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570" windowHeight="7755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ÓVODA" sheetId="10" r:id="rId5"/>
    <sheet name="5.SZ.TÁBL. ÓVODAI NORMATÍVA" sheetId="15" r:id="rId6"/>
    <sheet name="6.SZ.TÁBL. SZOCIÁLIS NORMATÍVA" sheetId="18" r:id="rId7"/>
    <sheet name="7.SZ.TÁBL. PÉNZE. ÁTAD - ÁTVÉT" sheetId="21" r:id="rId8"/>
    <sheet name="8.SZ.TÁBL. ELŐIRÁNYZAT FELHASZN" sheetId="20" r:id="rId9"/>
    <sheet name="9.SZ.TÁBL. LÉTSZÁMADATOK" sheetId="1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Titles" localSheetId="4">'4.SZ.TÁBL. ÓVODA'!$1:$2</definedName>
    <definedName name="_xlnm.Print_Area" localSheetId="1">'1.1.SZ.TÁBL. BEV - KIAD'!$A$1:$V$111</definedName>
    <definedName name="_xlnm.Print_Area" localSheetId="0">'1.SZ.TÁBL. TÁRSULÁS KON. MÉRLEG'!$A$1:$L$17</definedName>
    <definedName name="_xlnm.Print_Area" localSheetId="2">'2.SZ.TÁBL. BEVÉTELEK'!$A$3:$G$90</definedName>
    <definedName name="_xlnm.Print_Area" localSheetId="3">'3.SZ.TÁBL. SEGÍTŐ SZOLGÁLAT'!$A$1:$AC$116</definedName>
    <definedName name="_xlnm.Print_Area" localSheetId="4">'4.SZ.TÁBL. ÓVODA'!$A$1:$T$114</definedName>
    <definedName name="_xlnm.Print_Area" localSheetId="5">'5.SZ.TÁBL. ÓVODAI NORMATÍVA'!$A$30:$M$44</definedName>
    <definedName name="_xlnm.Print_Area" localSheetId="6">'6.SZ.TÁBL. SZOCIÁLIS NORMATÍVA'!$A$1:$B$14</definedName>
    <definedName name="_xlnm.Print_Area" localSheetId="7">'7.SZ.TÁBL. PÉNZE. ÁTAD - ÁTVÉT'!$A$1:$O$23</definedName>
    <definedName name="_xlnm.Print_Area" localSheetId="8">'8.SZ.TÁBL. ELŐIRÁNYZAT FELHASZN'!$A$1:$O$32</definedName>
    <definedName name="_xlnm.Print_Area" localSheetId="9">'9.SZ.TÁBL. LÉTSZÁMADATOK'!$A$1:$G$26</definedName>
    <definedName name="onev" localSheetId="9">[1]kod!$BT$34:$BT$3184</definedName>
    <definedName name="onev">[2]kod!$BT$34:$BT$3184</definedName>
  </definedNames>
  <calcPr calcId="124519"/>
</workbook>
</file>

<file path=xl/calcChain.xml><?xml version="1.0" encoding="utf-8"?>
<calcChain xmlns="http://schemas.openxmlformats.org/spreadsheetml/2006/main">
  <c r="M15" i="21"/>
  <c r="L15"/>
  <c r="K15"/>
  <c r="J15"/>
  <c r="I15"/>
  <c r="H15"/>
  <c r="G15"/>
  <c r="F15"/>
  <c r="E15"/>
  <c r="D15"/>
  <c r="C15"/>
  <c r="O12"/>
  <c r="O3" i="20"/>
  <c r="F101" i="9"/>
  <c r="F30"/>
  <c r="B14" i="18"/>
  <c r="B13"/>
  <c r="P10" i="1"/>
  <c r="H41" i="15"/>
  <c r="H35"/>
  <c r="H33"/>
  <c r="F41"/>
  <c r="F35"/>
  <c r="F33"/>
  <c r="D41"/>
  <c r="D35"/>
  <c r="D33"/>
  <c r="B43"/>
  <c r="B41"/>
  <c r="B35"/>
  <c r="B33"/>
  <c r="C21" i="9" l="1"/>
  <c r="B22" i="21"/>
  <c r="B21"/>
  <c r="B18"/>
  <c r="B13"/>
  <c r="B10"/>
  <c r="B9"/>
  <c r="B8"/>
  <c r="B7"/>
  <c r="B6"/>
  <c r="B5"/>
  <c r="B4"/>
  <c r="B3"/>
  <c r="O89" i="1" l="1"/>
  <c r="O90"/>
  <c r="O91"/>
  <c r="O88"/>
  <c r="O86"/>
  <c r="O78"/>
  <c r="R78" s="1"/>
  <c r="O73"/>
  <c r="R73" s="1"/>
  <c r="O72"/>
  <c r="R72" s="1"/>
  <c r="O6"/>
  <c r="O5"/>
  <c r="G108"/>
  <c r="G106"/>
  <c r="G104"/>
  <c r="G103"/>
  <c r="G102"/>
  <c r="G101"/>
  <c r="G99"/>
  <c r="G98"/>
  <c r="G97"/>
  <c r="G96"/>
  <c r="G95"/>
  <c r="G94"/>
  <c r="G93"/>
  <c r="G91"/>
  <c r="G90"/>
  <c r="G89"/>
  <c r="G88"/>
  <c r="G87"/>
  <c r="G86"/>
  <c r="G85"/>
  <c r="G82"/>
  <c r="G81"/>
  <c r="G80"/>
  <c r="G79"/>
  <c r="G78"/>
  <c r="G76"/>
  <c r="G75"/>
  <c r="G73"/>
  <c r="G72"/>
  <c r="G71"/>
  <c r="G70"/>
  <c r="G69"/>
  <c r="G68"/>
  <c r="G67"/>
  <c r="G66"/>
  <c r="G65"/>
  <c r="G63"/>
  <c r="G62"/>
  <c r="G60"/>
  <c r="G59"/>
  <c r="G58"/>
  <c r="G57"/>
  <c r="G56"/>
  <c r="G55"/>
  <c r="G54"/>
  <c r="G53"/>
  <c r="G49"/>
  <c r="G48"/>
  <c r="G47"/>
  <c r="G33"/>
  <c r="G34"/>
  <c r="G35"/>
  <c r="G36"/>
  <c r="G37"/>
  <c r="G38"/>
  <c r="G39"/>
  <c r="G40"/>
  <c r="G41"/>
  <c r="G42"/>
  <c r="G43"/>
  <c r="G44"/>
  <c r="G45"/>
  <c r="G32"/>
  <c r="G29"/>
  <c r="G16"/>
  <c r="C108"/>
  <c r="C106"/>
  <c r="C29"/>
  <c r="C104"/>
  <c r="C103"/>
  <c r="C102"/>
  <c r="C101"/>
  <c r="C99"/>
  <c r="C98"/>
  <c r="C97"/>
  <c r="C96"/>
  <c r="C95"/>
  <c r="C94"/>
  <c r="C93"/>
  <c r="C91"/>
  <c r="C90"/>
  <c r="C89"/>
  <c r="C88"/>
  <c r="C87"/>
  <c r="C86"/>
  <c r="C85"/>
  <c r="C82"/>
  <c r="C81"/>
  <c r="C80"/>
  <c r="C79"/>
  <c r="C78"/>
  <c r="C76"/>
  <c r="C75"/>
  <c r="C73"/>
  <c r="C72"/>
  <c r="C71"/>
  <c r="C70"/>
  <c r="C69"/>
  <c r="C68"/>
  <c r="C67"/>
  <c r="C66"/>
  <c r="C65"/>
  <c r="C63"/>
  <c r="C62"/>
  <c r="C60"/>
  <c r="C59"/>
  <c r="C58"/>
  <c r="C57"/>
  <c r="C56"/>
  <c r="C55"/>
  <c r="C54"/>
  <c r="C53"/>
  <c r="C49"/>
  <c r="C48"/>
  <c r="C47"/>
  <c r="C45"/>
  <c r="C44"/>
  <c r="C43"/>
  <c r="C42"/>
  <c r="C41"/>
  <c r="C40"/>
  <c r="C39"/>
  <c r="C38"/>
  <c r="C37"/>
  <c r="C36"/>
  <c r="C35"/>
  <c r="C34"/>
  <c r="C33"/>
  <c r="C32"/>
  <c r="C20"/>
  <c r="C19"/>
  <c r="C18"/>
  <c r="C17"/>
  <c r="C16"/>
  <c r="K16" s="1"/>
  <c r="C15"/>
  <c r="C14"/>
  <c r="C13"/>
  <c r="C12"/>
  <c r="K12" s="1"/>
  <c r="S12" s="1"/>
  <c r="S28"/>
  <c r="S30" s="1"/>
  <c r="S26"/>
  <c r="S25"/>
  <c r="S24"/>
  <c r="S23"/>
  <c r="S22"/>
  <c r="S10"/>
  <c r="S9" s="1"/>
  <c r="S8"/>
  <c r="S6"/>
  <c r="S5"/>
  <c r="S3"/>
  <c r="O105"/>
  <c r="O100"/>
  <c r="O85"/>
  <c r="O83"/>
  <c r="R83" s="1"/>
  <c r="O77"/>
  <c r="O74"/>
  <c r="R74" s="1"/>
  <c r="O87"/>
  <c r="O64"/>
  <c r="O61"/>
  <c r="O52"/>
  <c r="O50"/>
  <c r="O51" s="1"/>
  <c r="O30"/>
  <c r="O26"/>
  <c r="O24"/>
  <c r="O21"/>
  <c r="O9"/>
  <c r="O11" s="1"/>
  <c r="K91"/>
  <c r="S91" s="1"/>
  <c r="K90"/>
  <c r="K28"/>
  <c r="K26"/>
  <c r="K24"/>
  <c r="K89"/>
  <c r="S89" s="1"/>
  <c r="K87"/>
  <c r="G30"/>
  <c r="G26"/>
  <c r="G24"/>
  <c r="G21"/>
  <c r="G27" s="1"/>
  <c r="K108"/>
  <c r="K104"/>
  <c r="S104" s="1"/>
  <c r="K103"/>
  <c r="S103" s="1"/>
  <c r="K102"/>
  <c r="S102" s="1"/>
  <c r="K101"/>
  <c r="S101" s="1"/>
  <c r="K99"/>
  <c r="S99" s="1"/>
  <c r="K98"/>
  <c r="S98" s="1"/>
  <c r="K97"/>
  <c r="S97" s="1"/>
  <c r="K96"/>
  <c r="S96" s="1"/>
  <c r="K95"/>
  <c r="S95" s="1"/>
  <c r="K94"/>
  <c r="S94" s="1"/>
  <c r="K93"/>
  <c r="S93" s="1"/>
  <c r="K86"/>
  <c r="C92"/>
  <c r="K82"/>
  <c r="S82" s="1"/>
  <c r="K81"/>
  <c r="S81" s="1"/>
  <c r="K80"/>
  <c r="S80" s="1"/>
  <c r="K79"/>
  <c r="S79" s="1"/>
  <c r="K78"/>
  <c r="S78" s="1"/>
  <c r="K76"/>
  <c r="S76" s="1"/>
  <c r="K75"/>
  <c r="K73"/>
  <c r="S73" s="1"/>
  <c r="K72"/>
  <c r="S72" s="1"/>
  <c r="K71"/>
  <c r="S71" s="1"/>
  <c r="K70"/>
  <c r="S70" s="1"/>
  <c r="K69"/>
  <c r="S69" s="1"/>
  <c r="K68"/>
  <c r="S68" s="1"/>
  <c r="K67"/>
  <c r="S67" s="1"/>
  <c r="K66"/>
  <c r="K65"/>
  <c r="S65" s="1"/>
  <c r="K63"/>
  <c r="S63" s="1"/>
  <c r="K60"/>
  <c r="S60" s="1"/>
  <c r="K59"/>
  <c r="S59" s="1"/>
  <c r="K58"/>
  <c r="S58" s="1"/>
  <c r="K57"/>
  <c r="S57" s="1"/>
  <c r="K56"/>
  <c r="S56" s="1"/>
  <c r="K55"/>
  <c r="S55" s="1"/>
  <c r="K54"/>
  <c r="S54" s="1"/>
  <c r="K53"/>
  <c r="S53" s="1"/>
  <c r="K49"/>
  <c r="S49" s="1"/>
  <c r="K48"/>
  <c r="S48" s="1"/>
  <c r="K47"/>
  <c r="S47" s="1"/>
  <c r="K45"/>
  <c r="S45" s="1"/>
  <c r="K44"/>
  <c r="S44" s="1"/>
  <c r="K43"/>
  <c r="S43" s="1"/>
  <c r="K42"/>
  <c r="S42" s="1"/>
  <c r="K41"/>
  <c r="S41" s="1"/>
  <c r="K40"/>
  <c r="S40" s="1"/>
  <c r="K39"/>
  <c r="S39" s="1"/>
  <c r="K38"/>
  <c r="S38" s="1"/>
  <c r="K37"/>
  <c r="S37" s="1"/>
  <c r="K36"/>
  <c r="S36" s="1"/>
  <c r="K35"/>
  <c r="S35" s="1"/>
  <c r="K34"/>
  <c r="S34" s="1"/>
  <c r="K33"/>
  <c r="S33" s="1"/>
  <c r="K32"/>
  <c r="S32" s="1"/>
  <c r="C30"/>
  <c r="C26"/>
  <c r="C24"/>
  <c r="K20"/>
  <c r="S20" s="1"/>
  <c r="K19"/>
  <c r="S19" s="1"/>
  <c r="K18"/>
  <c r="S18" s="1"/>
  <c r="K17"/>
  <c r="S17" s="1"/>
  <c r="K15"/>
  <c r="S15" s="1"/>
  <c r="K14"/>
  <c r="S14" s="1"/>
  <c r="K13"/>
  <c r="S13" s="1"/>
  <c r="O4" l="1"/>
  <c r="S16"/>
  <c r="S61"/>
  <c r="K74"/>
  <c r="S105"/>
  <c r="K106"/>
  <c r="S106" s="1"/>
  <c r="S90"/>
  <c r="O84"/>
  <c r="R84" s="1"/>
  <c r="S4"/>
  <c r="S7" s="1"/>
  <c r="O7"/>
  <c r="O27" s="1"/>
  <c r="S52"/>
  <c r="G31"/>
  <c r="S50"/>
  <c r="S83"/>
  <c r="S46"/>
  <c r="S100"/>
  <c r="K77"/>
  <c r="K83"/>
  <c r="S66"/>
  <c r="S75"/>
  <c r="S86"/>
  <c r="S85" s="1"/>
  <c r="S21"/>
  <c r="K46"/>
  <c r="S11"/>
  <c r="C64"/>
  <c r="G77"/>
  <c r="K52"/>
  <c r="O92"/>
  <c r="O107" s="1"/>
  <c r="K100"/>
  <c r="K50"/>
  <c r="K61"/>
  <c r="K21"/>
  <c r="K105"/>
  <c r="G61"/>
  <c r="G74"/>
  <c r="G83"/>
  <c r="G92"/>
  <c r="G105"/>
  <c r="K85"/>
  <c r="K88"/>
  <c r="S88" s="1"/>
  <c r="C46"/>
  <c r="C74"/>
  <c r="C77"/>
  <c r="G64"/>
  <c r="K29"/>
  <c r="G100"/>
  <c r="K62"/>
  <c r="C83"/>
  <c r="C100"/>
  <c r="C105"/>
  <c r="G52"/>
  <c r="C52"/>
  <c r="G46"/>
  <c r="G50"/>
  <c r="C21"/>
  <c r="C50"/>
  <c r="C61"/>
  <c r="S87" l="1"/>
  <c r="S74"/>
  <c r="S77"/>
  <c r="O31"/>
  <c r="C27"/>
  <c r="K92"/>
  <c r="K27"/>
  <c r="G84"/>
  <c r="S51"/>
  <c r="K51"/>
  <c r="K64"/>
  <c r="S62"/>
  <c r="S27"/>
  <c r="S31" s="1"/>
  <c r="K30"/>
  <c r="O108"/>
  <c r="C51"/>
  <c r="C84"/>
  <c r="G51"/>
  <c r="O109" l="1"/>
  <c r="S92"/>
  <c r="S64"/>
  <c r="C31"/>
  <c r="G107"/>
  <c r="K84"/>
  <c r="K31"/>
  <c r="C107"/>
  <c r="K107" l="1"/>
  <c r="S84"/>
  <c r="K109"/>
  <c r="C109"/>
  <c r="G109"/>
  <c r="D62" i="2"/>
  <c r="D61"/>
  <c r="P73" i="1"/>
  <c r="P72"/>
  <c r="S107" l="1"/>
  <c r="S109" s="1"/>
  <c r="G25" i="13"/>
  <c r="G16"/>
  <c r="G5"/>
  <c r="G6"/>
  <c r="G7"/>
  <c r="G8"/>
  <c r="G9"/>
  <c r="G10"/>
  <c r="G11"/>
  <c r="G12"/>
  <c r="G13"/>
  <c r="G14"/>
  <c r="G15"/>
  <c r="G18"/>
  <c r="G19"/>
  <c r="G20"/>
  <c r="G21"/>
  <c r="G22"/>
  <c r="G23"/>
  <c r="G24"/>
  <c r="G4"/>
  <c r="F26"/>
  <c r="F25"/>
  <c r="F16"/>
  <c r="F5"/>
  <c r="F6"/>
  <c r="F7"/>
  <c r="F8"/>
  <c r="F9"/>
  <c r="F10"/>
  <c r="F11"/>
  <c r="F12"/>
  <c r="F13"/>
  <c r="F14"/>
  <c r="F15"/>
  <c r="F18"/>
  <c r="F19"/>
  <c r="F20"/>
  <c r="F21"/>
  <c r="F22"/>
  <c r="F23"/>
  <c r="F24"/>
  <c r="F4"/>
  <c r="E25"/>
  <c r="E26" s="1"/>
  <c r="C26"/>
  <c r="C16"/>
  <c r="C34" i="10"/>
  <c r="C33"/>
  <c r="C32"/>
  <c r="F126"/>
  <c r="C126"/>
  <c r="D125"/>
  <c r="E125" s="1"/>
  <c r="D124"/>
  <c r="E124" s="1"/>
  <c r="E123"/>
  <c r="D123"/>
  <c r="D122"/>
  <c r="D126" s="1"/>
  <c r="E122" l="1"/>
  <c r="E126" s="1"/>
  <c r="O102" l="1"/>
  <c r="O98"/>
  <c r="O83"/>
  <c r="O80"/>
  <c r="O78"/>
  <c r="O77"/>
  <c r="O73"/>
  <c r="O68"/>
  <c r="O67"/>
  <c r="O64"/>
  <c r="O63"/>
  <c r="L91"/>
  <c r="L83"/>
  <c r="L77"/>
  <c r="L68"/>
  <c r="I83"/>
  <c r="I68"/>
  <c r="F102"/>
  <c r="F99"/>
  <c r="F83"/>
  <c r="F80"/>
  <c r="F78"/>
  <c r="F77"/>
  <c r="F73"/>
  <c r="F70"/>
  <c r="F68"/>
  <c r="F64"/>
  <c r="F63"/>
  <c r="C83" l="1"/>
  <c r="C80"/>
  <c r="C78"/>
  <c r="C77"/>
  <c r="C73"/>
  <c r="C71"/>
  <c r="C70"/>
  <c r="C68"/>
  <c r="C64"/>
  <c r="C63"/>
  <c r="O62" l="1"/>
  <c r="O61"/>
  <c r="O60"/>
  <c r="O59"/>
  <c r="O58"/>
  <c r="O54"/>
  <c r="O53"/>
  <c r="O52"/>
  <c r="O50"/>
  <c r="O49"/>
  <c r="O48"/>
  <c r="O47"/>
  <c r="O46"/>
  <c r="O45"/>
  <c r="O44"/>
  <c r="O43"/>
  <c r="O42"/>
  <c r="O41"/>
  <c r="O40"/>
  <c r="O39"/>
  <c r="O38"/>
  <c r="O37"/>
  <c r="L62"/>
  <c r="L61"/>
  <c r="L60"/>
  <c r="L59"/>
  <c r="L58"/>
  <c r="L54"/>
  <c r="L53"/>
  <c r="L52"/>
  <c r="L50"/>
  <c r="L49"/>
  <c r="L48"/>
  <c r="L47"/>
  <c r="L46"/>
  <c r="L45"/>
  <c r="L44"/>
  <c r="L43"/>
  <c r="L42"/>
  <c r="L41"/>
  <c r="L40"/>
  <c r="L39"/>
  <c r="L38"/>
  <c r="L37"/>
  <c r="I62"/>
  <c r="I61"/>
  <c r="I60"/>
  <c r="I59"/>
  <c r="I58"/>
  <c r="I54"/>
  <c r="I53"/>
  <c r="I52"/>
  <c r="I50"/>
  <c r="I49"/>
  <c r="I48"/>
  <c r="I47"/>
  <c r="I46"/>
  <c r="I45"/>
  <c r="I44"/>
  <c r="I43"/>
  <c r="I42"/>
  <c r="I41"/>
  <c r="I40"/>
  <c r="I39"/>
  <c r="I38"/>
  <c r="I37"/>
  <c r="F62"/>
  <c r="F61"/>
  <c r="F60"/>
  <c r="F59"/>
  <c r="F58"/>
  <c r="F54"/>
  <c r="F53"/>
  <c r="F52"/>
  <c r="F50"/>
  <c r="F49"/>
  <c r="F48"/>
  <c r="F47"/>
  <c r="F46"/>
  <c r="F45"/>
  <c r="F44"/>
  <c r="F43"/>
  <c r="F42"/>
  <c r="F41"/>
  <c r="F40"/>
  <c r="F39"/>
  <c r="F38"/>
  <c r="F37"/>
  <c r="C62"/>
  <c r="C61"/>
  <c r="C60"/>
  <c r="C59"/>
  <c r="C58"/>
  <c r="C54"/>
  <c r="C53"/>
  <c r="C52"/>
  <c r="C50"/>
  <c r="C49"/>
  <c r="C48"/>
  <c r="C47"/>
  <c r="C46"/>
  <c r="C45"/>
  <c r="C44"/>
  <c r="C43"/>
  <c r="C42"/>
  <c r="C41"/>
  <c r="C40"/>
  <c r="C39"/>
  <c r="C38"/>
  <c r="C37"/>
  <c r="O30" l="1"/>
  <c r="L30"/>
  <c r="I30"/>
  <c r="F30"/>
  <c r="C30"/>
  <c r="M45" i="15"/>
  <c r="X35" i="9" l="1"/>
  <c r="R32"/>
  <c r="AA20"/>
  <c r="AA19"/>
  <c r="AA18"/>
  <c r="AA17"/>
  <c r="AA16"/>
  <c r="AA15"/>
  <c r="AA14"/>
  <c r="AA13"/>
  <c r="X30"/>
  <c r="U30"/>
  <c r="R30"/>
  <c r="O30"/>
  <c r="L30"/>
  <c r="I30"/>
  <c r="C30"/>
  <c r="AA30" s="1"/>
  <c r="X87"/>
  <c r="X92" s="1"/>
  <c r="X75"/>
  <c r="X72"/>
  <c r="X68"/>
  <c r="X70" s="1"/>
  <c r="U87"/>
  <c r="U84"/>
  <c r="U82"/>
  <c r="U74"/>
  <c r="U83" s="1"/>
  <c r="U72"/>
  <c r="U68"/>
  <c r="U67"/>
  <c r="R91"/>
  <c r="R92" s="1"/>
  <c r="R87"/>
  <c r="R82"/>
  <c r="R77"/>
  <c r="R72"/>
  <c r="R73" s="1"/>
  <c r="R68"/>
  <c r="O91"/>
  <c r="O87"/>
  <c r="O84"/>
  <c r="O82"/>
  <c r="O77"/>
  <c r="O83" s="1"/>
  <c r="O74"/>
  <c r="O72"/>
  <c r="O73" s="1"/>
  <c r="O68"/>
  <c r="O70" s="1"/>
  <c r="F91"/>
  <c r="F87"/>
  <c r="F84"/>
  <c r="F86" s="1"/>
  <c r="F82"/>
  <c r="F81"/>
  <c r="F77"/>
  <c r="F74"/>
  <c r="F72"/>
  <c r="F73" s="1"/>
  <c r="F68"/>
  <c r="F67"/>
  <c r="I91"/>
  <c r="I92" s="1"/>
  <c r="I87"/>
  <c r="I84"/>
  <c r="I86" s="1"/>
  <c r="I82"/>
  <c r="I77"/>
  <c r="I83" s="1"/>
  <c r="I74"/>
  <c r="I72"/>
  <c r="I73" s="1"/>
  <c r="I68"/>
  <c r="I67"/>
  <c r="I70" s="1"/>
  <c r="L87"/>
  <c r="L92" s="1"/>
  <c r="L84"/>
  <c r="L86" s="1"/>
  <c r="L82"/>
  <c r="L81"/>
  <c r="L83" s="1"/>
  <c r="L74"/>
  <c r="L72"/>
  <c r="L73" s="1"/>
  <c r="L71"/>
  <c r="L68"/>
  <c r="L70" s="1"/>
  <c r="L67"/>
  <c r="F70"/>
  <c r="F94"/>
  <c r="F97"/>
  <c r="F105"/>
  <c r="F110"/>
  <c r="I94"/>
  <c r="I97" s="1"/>
  <c r="I105"/>
  <c r="I110"/>
  <c r="L94"/>
  <c r="L97"/>
  <c r="L105"/>
  <c r="L110"/>
  <c r="O86"/>
  <c r="O92"/>
  <c r="O94"/>
  <c r="O97" s="1"/>
  <c r="O105"/>
  <c r="O110"/>
  <c r="R70"/>
  <c r="R83"/>
  <c r="R86"/>
  <c r="R94"/>
  <c r="R97" s="1"/>
  <c r="R105"/>
  <c r="R110"/>
  <c r="U70"/>
  <c r="U73"/>
  <c r="U86"/>
  <c r="U92"/>
  <c r="U94"/>
  <c r="U97" s="1"/>
  <c r="U105"/>
  <c r="U110"/>
  <c r="X73"/>
  <c r="X83"/>
  <c r="X86"/>
  <c r="X97"/>
  <c r="X105"/>
  <c r="X110"/>
  <c r="C91"/>
  <c r="C87"/>
  <c r="C84"/>
  <c r="C77"/>
  <c r="C75"/>
  <c r="C72"/>
  <c r="C68"/>
  <c r="C67"/>
  <c r="C82"/>
  <c r="C74"/>
  <c r="X93" l="1"/>
  <c r="U93"/>
  <c r="O93"/>
  <c r="F92"/>
  <c r="F83"/>
  <c r="F93" s="1"/>
  <c r="I93"/>
  <c r="L93"/>
  <c r="R93"/>
  <c r="X66"/>
  <c r="X65"/>
  <c r="X64"/>
  <c r="X63"/>
  <c r="X62"/>
  <c r="X58"/>
  <c r="X57"/>
  <c r="X56"/>
  <c r="X54"/>
  <c r="X53"/>
  <c r="X52"/>
  <c r="X51"/>
  <c r="X50"/>
  <c r="X49"/>
  <c r="X48"/>
  <c r="X47"/>
  <c r="X46"/>
  <c r="X45"/>
  <c r="X44"/>
  <c r="X43"/>
  <c r="X42"/>
  <c r="X41"/>
  <c r="U66"/>
  <c r="U65"/>
  <c r="U64"/>
  <c r="U63"/>
  <c r="U62"/>
  <c r="U58"/>
  <c r="U57"/>
  <c r="U56"/>
  <c r="U54"/>
  <c r="U53"/>
  <c r="U52"/>
  <c r="U51"/>
  <c r="U50"/>
  <c r="U49"/>
  <c r="U48"/>
  <c r="U47"/>
  <c r="U46"/>
  <c r="U45"/>
  <c r="U44"/>
  <c r="U43"/>
  <c r="U42"/>
  <c r="U41"/>
  <c r="R66"/>
  <c r="R65"/>
  <c r="R64"/>
  <c r="R63"/>
  <c r="R62"/>
  <c r="R58"/>
  <c r="R57"/>
  <c r="R56"/>
  <c r="R54"/>
  <c r="R53"/>
  <c r="R52"/>
  <c r="R51"/>
  <c r="R50"/>
  <c r="R49"/>
  <c r="R48"/>
  <c r="R47"/>
  <c r="R46"/>
  <c r="R45"/>
  <c r="R44"/>
  <c r="R43"/>
  <c r="R42"/>
  <c r="R41"/>
  <c r="O66"/>
  <c r="O65"/>
  <c r="O64"/>
  <c r="O63"/>
  <c r="O62"/>
  <c r="O58"/>
  <c r="O57"/>
  <c r="O56"/>
  <c r="O54"/>
  <c r="O53"/>
  <c r="O52"/>
  <c r="O51"/>
  <c r="O50"/>
  <c r="O49"/>
  <c r="O48"/>
  <c r="O47"/>
  <c r="O46"/>
  <c r="O45"/>
  <c r="O44"/>
  <c r="O43"/>
  <c r="O42"/>
  <c r="O41"/>
  <c r="L66"/>
  <c r="L65"/>
  <c r="L64"/>
  <c r="L63"/>
  <c r="L62"/>
  <c r="L58"/>
  <c r="L57"/>
  <c r="L56"/>
  <c r="L54"/>
  <c r="L53"/>
  <c r="L52"/>
  <c r="L51"/>
  <c r="L50"/>
  <c r="L49"/>
  <c r="L48"/>
  <c r="L47"/>
  <c r="L46"/>
  <c r="L45"/>
  <c r="L44"/>
  <c r="L43"/>
  <c r="L42"/>
  <c r="L41"/>
  <c r="I66"/>
  <c r="I65"/>
  <c r="I64"/>
  <c r="I63"/>
  <c r="I62"/>
  <c r="I58"/>
  <c r="I57"/>
  <c r="I56"/>
  <c r="I54"/>
  <c r="I53"/>
  <c r="I52"/>
  <c r="I51"/>
  <c r="I50"/>
  <c r="I49"/>
  <c r="I48"/>
  <c r="I47"/>
  <c r="I46"/>
  <c r="I45"/>
  <c r="I44"/>
  <c r="I43"/>
  <c r="I42"/>
  <c r="I41"/>
  <c r="F66"/>
  <c r="F65"/>
  <c r="F64"/>
  <c r="F63"/>
  <c r="F62"/>
  <c r="F58"/>
  <c r="F57"/>
  <c r="F56"/>
  <c r="F54"/>
  <c r="F53"/>
  <c r="F52"/>
  <c r="F51"/>
  <c r="F50"/>
  <c r="F49"/>
  <c r="F48"/>
  <c r="F47"/>
  <c r="F46"/>
  <c r="F45"/>
  <c r="F44"/>
  <c r="F43"/>
  <c r="F42"/>
  <c r="F41"/>
  <c r="C66"/>
  <c r="C65"/>
  <c r="C64"/>
  <c r="C63"/>
  <c r="C62"/>
  <c r="C58"/>
  <c r="C57"/>
  <c r="C56"/>
  <c r="C42"/>
  <c r="C43"/>
  <c r="C44"/>
  <c r="C45"/>
  <c r="C46"/>
  <c r="C47"/>
  <c r="C48"/>
  <c r="C49"/>
  <c r="C50"/>
  <c r="C51"/>
  <c r="C52"/>
  <c r="C53"/>
  <c r="C54"/>
  <c r="C41"/>
  <c r="O13" l="1"/>
  <c r="J42" i="15"/>
  <c r="J39"/>
  <c r="J34"/>
  <c r="H42"/>
  <c r="H39"/>
  <c r="H34"/>
  <c r="F42"/>
  <c r="F39"/>
  <c r="F34"/>
  <c r="D42"/>
  <c r="D39"/>
  <c r="D34"/>
  <c r="B42"/>
  <c r="B39"/>
  <c r="B34"/>
  <c r="L36"/>
  <c r="L35"/>
  <c r="J44" l="1"/>
  <c r="H44"/>
  <c r="F44"/>
  <c r="L38"/>
  <c r="L43"/>
  <c r="D44"/>
  <c r="L32"/>
  <c r="L41"/>
  <c r="B44"/>
  <c r="L33"/>
  <c r="L37"/>
  <c r="L39" s="1"/>
  <c r="L40"/>
  <c r="L42" s="1"/>
  <c r="B70"/>
  <c r="C69"/>
  <c r="C68"/>
  <c r="C67"/>
  <c r="G36" s="1"/>
  <c r="C66"/>
  <c r="C65"/>
  <c r="C36" s="1"/>
  <c r="S64"/>
  <c r="Q64"/>
  <c r="I41" s="1"/>
  <c r="S63"/>
  <c r="Q63"/>
  <c r="G41" s="1"/>
  <c r="S62"/>
  <c r="Q62"/>
  <c r="E41" s="1"/>
  <c r="S61"/>
  <c r="S65" s="1"/>
  <c r="Q61"/>
  <c r="Q65" s="1"/>
  <c r="D61"/>
  <c r="C61"/>
  <c r="B61"/>
  <c r="F60"/>
  <c r="K38" s="1"/>
  <c r="E60"/>
  <c r="F59"/>
  <c r="I38" s="1"/>
  <c r="E59"/>
  <c r="F58"/>
  <c r="G38" s="1"/>
  <c r="E58"/>
  <c r="S57"/>
  <c r="Q57"/>
  <c r="F57"/>
  <c r="E38" s="1"/>
  <c r="E57"/>
  <c r="S56"/>
  <c r="Q56"/>
  <c r="F56"/>
  <c r="C38" s="1"/>
  <c r="E56"/>
  <c r="E61" s="1"/>
  <c r="S55"/>
  <c r="Q55"/>
  <c r="S54"/>
  <c r="Q54"/>
  <c r="Q58" s="1"/>
  <c r="D53"/>
  <c r="C53"/>
  <c r="B53"/>
  <c r="E52"/>
  <c r="F52" s="1"/>
  <c r="K37" s="1"/>
  <c r="E51"/>
  <c r="F51" s="1"/>
  <c r="I37" s="1"/>
  <c r="I39" s="1"/>
  <c r="E50"/>
  <c r="F50" s="1"/>
  <c r="G37" s="1"/>
  <c r="E49"/>
  <c r="F49" s="1"/>
  <c r="E37" s="1"/>
  <c r="E39" s="1"/>
  <c r="E48"/>
  <c r="C43"/>
  <c r="M43" s="1"/>
  <c r="AD41"/>
  <c r="AB41"/>
  <c r="AA41"/>
  <c r="Z41"/>
  <c r="Y41"/>
  <c r="T41"/>
  <c r="S41"/>
  <c r="R41"/>
  <c r="AC40"/>
  <c r="AC41" s="1"/>
  <c r="U40"/>
  <c r="U41" s="1"/>
  <c r="I40"/>
  <c r="G40"/>
  <c r="G42" s="1"/>
  <c r="E40"/>
  <c r="C40"/>
  <c r="K36"/>
  <c r="I36"/>
  <c r="E36"/>
  <c r="T32"/>
  <c r="U32" s="1"/>
  <c r="V33" s="1"/>
  <c r="AB28"/>
  <c r="W28"/>
  <c r="S28"/>
  <c r="R28"/>
  <c r="Q28"/>
  <c r="M28"/>
  <c r="H28"/>
  <c r="D28"/>
  <c r="C28"/>
  <c r="B28"/>
  <c r="AC27"/>
  <c r="AA27"/>
  <c r="Y27"/>
  <c r="N27"/>
  <c r="K35" s="1"/>
  <c r="J27"/>
  <c r="L27" s="1"/>
  <c r="AC26"/>
  <c r="Y26"/>
  <c r="T26"/>
  <c r="Z26" s="1"/>
  <c r="AA26" s="1"/>
  <c r="N26"/>
  <c r="I35" s="1"/>
  <c r="J26"/>
  <c r="E26"/>
  <c r="K26" s="1"/>
  <c r="AC25"/>
  <c r="Y25"/>
  <c r="T25"/>
  <c r="Z25" s="1"/>
  <c r="AA25" s="1"/>
  <c r="N25"/>
  <c r="G35" s="1"/>
  <c r="J25"/>
  <c r="E25"/>
  <c r="K25" s="1"/>
  <c r="AC24"/>
  <c r="X24"/>
  <c r="X28" s="1"/>
  <c r="T24"/>
  <c r="Z24" s="1"/>
  <c r="N24"/>
  <c r="E35" s="1"/>
  <c r="I24"/>
  <c r="I28" s="1"/>
  <c r="E24"/>
  <c r="K24" s="1"/>
  <c r="AC23"/>
  <c r="Y23"/>
  <c r="T23"/>
  <c r="Z23" s="1"/>
  <c r="N23"/>
  <c r="C35" s="1"/>
  <c r="J23"/>
  <c r="E23"/>
  <c r="E28" s="1"/>
  <c r="AB19"/>
  <c r="W19"/>
  <c r="S19"/>
  <c r="R19"/>
  <c r="Q19"/>
  <c r="M19"/>
  <c r="H19"/>
  <c r="D19"/>
  <c r="C19"/>
  <c r="B19"/>
  <c r="AC18"/>
  <c r="Y18"/>
  <c r="AA18" s="1"/>
  <c r="N18"/>
  <c r="K33" s="1"/>
  <c r="J18"/>
  <c r="L18" s="1"/>
  <c r="AC17"/>
  <c r="Y17"/>
  <c r="T17"/>
  <c r="Z17" s="1"/>
  <c r="AA17" s="1"/>
  <c r="N17"/>
  <c r="I33" s="1"/>
  <c r="J17"/>
  <c r="E17"/>
  <c r="K17" s="1"/>
  <c r="AC16"/>
  <c r="Y16"/>
  <c r="T16"/>
  <c r="Z16" s="1"/>
  <c r="N16"/>
  <c r="G33" s="1"/>
  <c r="J16"/>
  <c r="E16"/>
  <c r="K16" s="1"/>
  <c r="AC15"/>
  <c r="X15"/>
  <c r="X19" s="1"/>
  <c r="T15"/>
  <c r="Z15" s="1"/>
  <c r="N15"/>
  <c r="E33" s="1"/>
  <c r="I15"/>
  <c r="I19" s="1"/>
  <c r="E15"/>
  <c r="K15" s="1"/>
  <c r="AC14"/>
  <c r="AC19" s="1"/>
  <c r="Y14"/>
  <c r="T14"/>
  <c r="T19" s="1"/>
  <c r="N14"/>
  <c r="C33" s="1"/>
  <c r="J14"/>
  <c r="E14"/>
  <c r="K14" s="1"/>
  <c r="AB11"/>
  <c r="AC11" s="1"/>
  <c r="W11"/>
  <c r="S11"/>
  <c r="R11"/>
  <c r="Q11"/>
  <c r="M11"/>
  <c r="N11" s="1"/>
  <c r="H11"/>
  <c r="D11"/>
  <c r="C11"/>
  <c r="B11"/>
  <c r="AC10"/>
  <c r="Y10"/>
  <c r="AA10" s="1"/>
  <c r="N10"/>
  <c r="K32" s="1"/>
  <c r="J10"/>
  <c r="L10" s="1"/>
  <c r="AC9"/>
  <c r="Y9"/>
  <c r="T9"/>
  <c r="Z9" s="1"/>
  <c r="N9"/>
  <c r="I32" s="1"/>
  <c r="I34" s="1"/>
  <c r="J9"/>
  <c r="E9"/>
  <c r="K9" s="1"/>
  <c r="AC8"/>
  <c r="Y8"/>
  <c r="T8"/>
  <c r="Z8" s="1"/>
  <c r="N8"/>
  <c r="G32" s="1"/>
  <c r="G34" s="1"/>
  <c r="J8"/>
  <c r="L8" s="1"/>
  <c r="E8"/>
  <c r="K8" s="1"/>
  <c r="AC7"/>
  <c r="X7"/>
  <c r="X11" s="1"/>
  <c r="T7"/>
  <c r="Z7" s="1"/>
  <c r="N7"/>
  <c r="E32" s="1"/>
  <c r="I7"/>
  <c r="I11" s="1"/>
  <c r="E7"/>
  <c r="K7" s="1"/>
  <c r="AC6"/>
  <c r="Y6"/>
  <c r="T6"/>
  <c r="Z6" s="1"/>
  <c r="N6"/>
  <c r="C32" s="1"/>
  <c r="J6"/>
  <c r="E6"/>
  <c r="E11" s="1"/>
  <c r="D11" i="18"/>
  <c r="J11"/>
  <c r="I11"/>
  <c r="K10"/>
  <c r="J10"/>
  <c r="I10"/>
  <c r="K9"/>
  <c r="I9"/>
  <c r="B9" s="1"/>
  <c r="H9"/>
  <c r="J9" s="1"/>
  <c r="J8"/>
  <c r="I8"/>
  <c r="B8" s="1"/>
  <c r="K7"/>
  <c r="H7"/>
  <c r="I7" s="1"/>
  <c r="B7" s="1"/>
  <c r="H6"/>
  <c r="J6" s="1"/>
  <c r="J5"/>
  <c r="I5"/>
  <c r="B5" s="1"/>
  <c r="J4"/>
  <c r="I4"/>
  <c r="B4" s="1"/>
  <c r="J3"/>
  <c r="I3"/>
  <c r="B3"/>
  <c r="L34" i="15" l="1"/>
  <c r="L44" s="1"/>
  <c r="I42"/>
  <c r="I44" s="1"/>
  <c r="S58"/>
  <c r="Z11"/>
  <c r="M33"/>
  <c r="L16"/>
  <c r="L26"/>
  <c r="E34"/>
  <c r="J15"/>
  <c r="L15" s="1"/>
  <c r="Y15"/>
  <c r="Y19" s="1"/>
  <c r="L17"/>
  <c r="L25"/>
  <c r="E53"/>
  <c r="E42"/>
  <c r="AA16"/>
  <c r="T28"/>
  <c r="K39"/>
  <c r="T11"/>
  <c r="K23"/>
  <c r="L23" s="1"/>
  <c r="K6"/>
  <c r="K11" s="1"/>
  <c r="AA8"/>
  <c r="L9"/>
  <c r="AA9"/>
  <c r="J24"/>
  <c r="L24" s="1"/>
  <c r="Y24"/>
  <c r="Y28" s="1"/>
  <c r="G39"/>
  <c r="G44" s="1"/>
  <c r="J7"/>
  <c r="L7" s="1"/>
  <c r="Y7"/>
  <c r="AA7" s="1"/>
  <c r="M38"/>
  <c r="C34"/>
  <c r="M32"/>
  <c r="M34" s="1"/>
  <c r="M35"/>
  <c r="K19"/>
  <c r="L14"/>
  <c r="AA23"/>
  <c r="Z28"/>
  <c r="AA6"/>
  <c r="K34"/>
  <c r="M36"/>
  <c r="N28"/>
  <c r="C70"/>
  <c r="Y11"/>
  <c r="Z14"/>
  <c r="E19"/>
  <c r="AC28"/>
  <c r="C41"/>
  <c r="M41" s="1"/>
  <c r="F61"/>
  <c r="N19"/>
  <c r="M40"/>
  <c r="V40"/>
  <c r="F48"/>
  <c r="I6" i="18"/>
  <c r="B6" s="1"/>
  <c r="J7"/>
  <c r="B10"/>
  <c r="B11"/>
  <c r="K6"/>
  <c r="AA11" i="15" l="1"/>
  <c r="K28"/>
  <c r="J19"/>
  <c r="AA24"/>
  <c r="AA15"/>
  <c r="J28"/>
  <c r="L6"/>
  <c r="E44"/>
  <c r="L19"/>
  <c r="K44"/>
  <c r="L28"/>
  <c r="AA28"/>
  <c r="J11"/>
  <c r="L11" s="1"/>
  <c r="V41"/>
  <c r="Q40"/>
  <c r="Q41" s="1"/>
  <c r="Z19"/>
  <c r="AA14"/>
  <c r="AA19" s="1"/>
  <c r="C42"/>
  <c r="F53"/>
  <c r="C37"/>
  <c r="M42"/>
  <c r="C39" l="1"/>
  <c r="C44" s="1"/>
  <c r="M37"/>
  <c r="M39" s="1"/>
  <c r="M44" s="1"/>
  <c r="AA113" i="9" l="1"/>
  <c r="AA111"/>
  <c r="AA109"/>
  <c r="AA108"/>
  <c r="AA107"/>
  <c r="AA106"/>
  <c r="AA104"/>
  <c r="AA103"/>
  <c r="AA102"/>
  <c r="AA101"/>
  <c r="AA100"/>
  <c r="AA99"/>
  <c r="AA98"/>
  <c r="AA96"/>
  <c r="AA95"/>
  <c r="AA94"/>
  <c r="AA91"/>
  <c r="AA90"/>
  <c r="AA89"/>
  <c r="AA88"/>
  <c r="AA87"/>
  <c r="AA85"/>
  <c r="AA84"/>
  <c r="AA82"/>
  <c r="AA81"/>
  <c r="AA80"/>
  <c r="AA79"/>
  <c r="AA77"/>
  <c r="AA76"/>
  <c r="AA75"/>
  <c r="AA74"/>
  <c r="AA72"/>
  <c r="AA71"/>
  <c r="AA69"/>
  <c r="AA68"/>
  <c r="AA67"/>
  <c r="AA66"/>
  <c r="AA65"/>
  <c r="AA64"/>
  <c r="AA63"/>
  <c r="AA62"/>
  <c r="AA58"/>
  <c r="AA57"/>
  <c r="AA56"/>
  <c r="AA54"/>
  <c r="AA53"/>
  <c r="AA52"/>
  <c r="AA51"/>
  <c r="AA50"/>
  <c r="AA49"/>
  <c r="AA48"/>
  <c r="AA47"/>
  <c r="AA46"/>
  <c r="AA45"/>
  <c r="AA44"/>
  <c r="AA43"/>
  <c r="AA42"/>
  <c r="AA12"/>
  <c r="AA41"/>
  <c r="U132" l="1"/>
  <c r="U61"/>
  <c r="U59"/>
  <c r="U55"/>
  <c r="U60" s="1"/>
  <c r="U112" s="1"/>
  <c r="U31"/>
  <c r="U29" s="1"/>
  <c r="U39" s="1"/>
  <c r="U26"/>
  <c r="U24"/>
  <c r="U21"/>
  <c r="U11"/>
  <c r="U7"/>
  <c r="C75" i="2"/>
  <c r="C72"/>
  <c r="C62"/>
  <c r="C61"/>
  <c r="C58"/>
  <c r="D57"/>
  <c r="C55"/>
  <c r="C54"/>
  <c r="C53"/>
  <c r="C52"/>
  <c r="C51"/>
  <c r="C50"/>
  <c r="C49"/>
  <c r="C46"/>
  <c r="C45"/>
  <c r="C44"/>
  <c r="C43"/>
  <c r="C42"/>
  <c r="C41"/>
  <c r="C40"/>
  <c r="C37"/>
  <c r="C36"/>
  <c r="C35"/>
  <c r="C34"/>
  <c r="C33"/>
  <c r="C32"/>
  <c r="C31"/>
  <c r="C30"/>
  <c r="C27"/>
  <c r="C26"/>
  <c r="C25"/>
  <c r="C24"/>
  <c r="C23"/>
  <c r="C22"/>
  <c r="C21"/>
  <c r="C17"/>
  <c r="C18"/>
  <c r="C16"/>
  <c r="C8"/>
  <c r="C9"/>
  <c r="C10"/>
  <c r="C11"/>
  <c r="C12"/>
  <c r="C13"/>
  <c r="C7"/>
  <c r="C4"/>
  <c r="H12" i="22"/>
  <c r="H13"/>
  <c r="H14"/>
  <c r="H11"/>
  <c r="H3"/>
  <c r="H4"/>
  <c r="H5"/>
  <c r="H6"/>
  <c r="H7"/>
  <c r="H2"/>
  <c r="B5"/>
  <c r="B4"/>
  <c r="B3"/>
  <c r="B2"/>
  <c r="U27" i="9" l="1"/>
  <c r="U40" s="1"/>
  <c r="U119"/>
  <c r="U114"/>
  <c r="C57" i="2"/>
  <c r="U116" i="9" l="1"/>
  <c r="B14" i="21"/>
  <c r="B11" l="1"/>
  <c r="B15" s="1"/>
  <c r="B23"/>
  <c r="D25" i="13"/>
  <c r="D26" s="1"/>
  <c r="B16"/>
  <c r="B26" s="1"/>
  <c r="G26" l="1"/>
  <c r="C102" i="10"/>
  <c r="C132" i="9" l="1"/>
  <c r="P88" i="1" l="1"/>
  <c r="C79" i="10" l="1"/>
  <c r="J4" i="2" l="1"/>
  <c r="D4" s="1"/>
  <c r="J6" s="1"/>
  <c r="Q42" l="1"/>
  <c r="Q43" s="1"/>
  <c r="D55" l="1"/>
  <c r="G55" s="1"/>
  <c r="C80" l="1"/>
  <c r="G4"/>
  <c r="C89"/>
  <c r="C85"/>
  <c r="C83"/>
  <c r="C68"/>
  <c r="C70" s="1"/>
  <c r="C60"/>
  <c r="C48"/>
  <c r="C39"/>
  <c r="C29"/>
  <c r="C20"/>
  <c r="C6"/>
  <c r="H16" i="22"/>
  <c r="H9"/>
  <c r="B16"/>
  <c r="B9"/>
  <c r="B17" s="1"/>
  <c r="H17" l="1"/>
  <c r="C15" i="2"/>
  <c r="C64" s="1"/>
  <c r="C24" i="20"/>
  <c r="C6"/>
  <c r="D6"/>
  <c r="E6"/>
  <c r="F6"/>
  <c r="G6"/>
  <c r="H6"/>
  <c r="I6"/>
  <c r="J6"/>
  <c r="K6"/>
  <c r="L6"/>
  <c r="M6"/>
  <c r="N6"/>
  <c r="C10"/>
  <c r="D10"/>
  <c r="E10"/>
  <c r="F10"/>
  <c r="G10"/>
  <c r="H10"/>
  <c r="I10"/>
  <c r="J10"/>
  <c r="K10"/>
  <c r="L10"/>
  <c r="M10"/>
  <c r="N10"/>
  <c r="O29"/>
  <c r="N28"/>
  <c r="M28"/>
  <c r="L28"/>
  <c r="K28"/>
  <c r="J28"/>
  <c r="I28"/>
  <c r="H28"/>
  <c r="G28"/>
  <c r="F28"/>
  <c r="E28"/>
  <c r="D28"/>
  <c r="C28"/>
  <c r="O27"/>
  <c r="O26"/>
  <c r="O25"/>
  <c r="O28" s="1"/>
  <c r="N24"/>
  <c r="M24"/>
  <c r="L24"/>
  <c r="K24"/>
  <c r="J24"/>
  <c r="I24"/>
  <c r="H24"/>
  <c r="G24"/>
  <c r="F24"/>
  <c r="E24"/>
  <c r="D24"/>
  <c r="O23"/>
  <c r="O22"/>
  <c r="O21"/>
  <c r="O20"/>
  <c r="O19"/>
  <c r="O18"/>
  <c r="N14"/>
  <c r="N15" s="1"/>
  <c r="M14"/>
  <c r="M15" s="1"/>
  <c r="L14"/>
  <c r="L15" s="1"/>
  <c r="K14"/>
  <c r="K15" s="1"/>
  <c r="J14"/>
  <c r="J15" s="1"/>
  <c r="I14"/>
  <c r="I15" s="1"/>
  <c r="H14"/>
  <c r="H15" s="1"/>
  <c r="G14"/>
  <c r="G15" s="1"/>
  <c r="F14"/>
  <c r="F15" s="1"/>
  <c r="E14"/>
  <c r="E15" s="1"/>
  <c r="D14"/>
  <c r="D15" s="1"/>
  <c r="C14"/>
  <c r="C15" s="1"/>
  <c r="O13"/>
  <c r="O12"/>
  <c r="B14"/>
  <c r="B15" s="1"/>
  <c r="O9"/>
  <c r="O8"/>
  <c r="O7"/>
  <c r="O5"/>
  <c r="O4"/>
  <c r="C66" i="2" l="1"/>
  <c r="C86" s="1"/>
  <c r="C90" s="1"/>
  <c r="C3"/>
  <c r="O10" i="20"/>
  <c r="O24"/>
  <c r="O30" s="1"/>
  <c r="O6"/>
  <c r="O14"/>
  <c r="O15" s="1"/>
  <c r="C30"/>
  <c r="D30"/>
  <c r="E30"/>
  <c r="F30"/>
  <c r="G30"/>
  <c r="H30"/>
  <c r="I30"/>
  <c r="J30"/>
  <c r="K30"/>
  <c r="L30"/>
  <c r="M30"/>
  <c r="N30"/>
  <c r="C16"/>
  <c r="D16"/>
  <c r="E16"/>
  <c r="F16"/>
  <c r="F32" s="1"/>
  <c r="G16"/>
  <c r="H16"/>
  <c r="H32" s="1"/>
  <c r="I16"/>
  <c r="J16"/>
  <c r="K16"/>
  <c r="K32" s="1"/>
  <c r="L16"/>
  <c r="M16"/>
  <c r="N16"/>
  <c r="N32" s="1"/>
  <c r="D32" l="1"/>
  <c r="L32"/>
  <c r="M32"/>
  <c r="J32"/>
  <c r="G32"/>
  <c r="I32"/>
  <c r="E32"/>
  <c r="C32"/>
  <c r="O16"/>
  <c r="O32" s="1"/>
  <c r="M13" i="21"/>
  <c r="L13"/>
  <c r="K13"/>
  <c r="J13"/>
  <c r="I13"/>
  <c r="I14" s="1"/>
  <c r="H13"/>
  <c r="G13"/>
  <c r="G14" s="1"/>
  <c r="F13"/>
  <c r="E13"/>
  <c r="E14" s="1"/>
  <c r="D13"/>
  <c r="C13"/>
  <c r="C14" s="1"/>
  <c r="H14"/>
  <c r="F14"/>
  <c r="D14"/>
  <c r="M10"/>
  <c r="L10"/>
  <c r="K10"/>
  <c r="J10"/>
  <c r="I10"/>
  <c r="H10"/>
  <c r="G10"/>
  <c r="F10"/>
  <c r="E10"/>
  <c r="D10"/>
  <c r="M9"/>
  <c r="L9"/>
  <c r="K9"/>
  <c r="J9"/>
  <c r="I9"/>
  <c r="H9"/>
  <c r="G9"/>
  <c r="F9"/>
  <c r="E9"/>
  <c r="D9"/>
  <c r="M8"/>
  <c r="L8"/>
  <c r="K8"/>
  <c r="J8"/>
  <c r="I8"/>
  <c r="H8"/>
  <c r="G8"/>
  <c r="F8"/>
  <c r="E8"/>
  <c r="D8"/>
  <c r="M7"/>
  <c r="L7"/>
  <c r="K7"/>
  <c r="J7"/>
  <c r="I7"/>
  <c r="H7"/>
  <c r="G7"/>
  <c r="F7"/>
  <c r="E7"/>
  <c r="D7"/>
  <c r="M6"/>
  <c r="L6"/>
  <c r="K6"/>
  <c r="J6"/>
  <c r="I6"/>
  <c r="H6"/>
  <c r="G6"/>
  <c r="F6"/>
  <c r="E6"/>
  <c r="D6"/>
  <c r="M5"/>
  <c r="L5"/>
  <c r="K5"/>
  <c r="J5"/>
  <c r="I5"/>
  <c r="H5"/>
  <c r="G5"/>
  <c r="F5"/>
  <c r="E5"/>
  <c r="D5"/>
  <c r="M4"/>
  <c r="L4"/>
  <c r="K4"/>
  <c r="J4"/>
  <c r="I4"/>
  <c r="H4"/>
  <c r="G4"/>
  <c r="F4"/>
  <c r="E4"/>
  <c r="D4"/>
  <c r="M3"/>
  <c r="M11" s="1"/>
  <c r="L3"/>
  <c r="L11" s="1"/>
  <c r="K3"/>
  <c r="K11" s="1"/>
  <c r="J3"/>
  <c r="J11" s="1"/>
  <c r="I3"/>
  <c r="I11" s="1"/>
  <c r="H3"/>
  <c r="H11" s="1"/>
  <c r="G3"/>
  <c r="G11" s="1"/>
  <c r="F3"/>
  <c r="F11" s="1"/>
  <c r="E3"/>
  <c r="E11" s="1"/>
  <c r="D3"/>
  <c r="D11" s="1"/>
  <c r="C10"/>
  <c r="C9"/>
  <c r="C8"/>
  <c r="C7"/>
  <c r="C6"/>
  <c r="C5"/>
  <c r="C4"/>
  <c r="C3"/>
  <c r="B19"/>
  <c r="X132" i="9"/>
  <c r="AA132"/>
  <c r="M18" i="21"/>
  <c r="L18"/>
  <c r="K18"/>
  <c r="J18"/>
  <c r="I18"/>
  <c r="H18"/>
  <c r="G18"/>
  <c r="F18"/>
  <c r="E18"/>
  <c r="D18"/>
  <c r="C18"/>
  <c r="C19" s="1"/>
  <c r="M53" i="2"/>
  <c r="M52"/>
  <c r="M51"/>
  <c r="C11" i="21" l="1"/>
  <c r="Q126" i="10"/>
  <c r="O34"/>
  <c r="O33"/>
  <c r="O32"/>
  <c r="N126"/>
  <c r="O125" s="1"/>
  <c r="P125" s="1"/>
  <c r="R94"/>
  <c r="H89" i="1" s="1"/>
  <c r="L89" s="1"/>
  <c r="T89" s="1"/>
  <c r="R93" i="10"/>
  <c r="H88" i="1" s="1"/>
  <c r="L88" s="1"/>
  <c r="O92" i="10"/>
  <c r="L92"/>
  <c r="I92"/>
  <c r="F92"/>
  <c r="C92"/>
  <c r="L91" i="1"/>
  <c r="T91" s="1"/>
  <c r="L90"/>
  <c r="D87"/>
  <c r="M22" i="21"/>
  <c r="L22"/>
  <c r="K22"/>
  <c r="J22"/>
  <c r="I22"/>
  <c r="H22"/>
  <c r="G22"/>
  <c r="F22"/>
  <c r="E22"/>
  <c r="D22"/>
  <c r="M21"/>
  <c r="L21"/>
  <c r="K21"/>
  <c r="J21"/>
  <c r="I21"/>
  <c r="H21"/>
  <c r="G21"/>
  <c r="F21"/>
  <c r="E21"/>
  <c r="D21"/>
  <c r="C22"/>
  <c r="C21"/>
  <c r="D41" i="2"/>
  <c r="G41" s="1"/>
  <c r="D42"/>
  <c r="D43"/>
  <c r="G43" s="1"/>
  <c r="D44"/>
  <c r="G44" s="1"/>
  <c r="D45"/>
  <c r="G45" s="1"/>
  <c r="D46"/>
  <c r="G46" s="1"/>
  <c r="D40"/>
  <c r="G40" s="1"/>
  <c r="N48"/>
  <c r="M44"/>
  <c r="M47"/>
  <c r="D54"/>
  <c r="G54" s="1"/>
  <c r="D53"/>
  <c r="G53" s="1"/>
  <c r="D52"/>
  <c r="G52" s="1"/>
  <c r="D51"/>
  <c r="G51" s="1"/>
  <c r="D50"/>
  <c r="G50" s="1"/>
  <c r="D49"/>
  <c r="P5" i="1"/>
  <c r="P30"/>
  <c r="P26"/>
  <c r="P24"/>
  <c r="P21"/>
  <c r="P9"/>
  <c r="P11" s="1"/>
  <c r="T25"/>
  <c r="T26" s="1"/>
  <c r="C12" i="22" s="1"/>
  <c r="T23" i="1"/>
  <c r="T24" s="1"/>
  <c r="C4" i="22" s="1"/>
  <c r="T22" i="1"/>
  <c r="T10"/>
  <c r="T9" s="1"/>
  <c r="T8"/>
  <c r="T3"/>
  <c r="L73" i="2"/>
  <c r="M67" s="1"/>
  <c r="N67" s="1"/>
  <c r="L63"/>
  <c r="O73"/>
  <c r="O63"/>
  <c r="M54"/>
  <c r="N54"/>
  <c r="L54"/>
  <c r="N38"/>
  <c r="D37"/>
  <c r="G37" s="1"/>
  <c r="M37"/>
  <c r="L38"/>
  <c r="D31"/>
  <c r="G31" s="1"/>
  <c r="D32"/>
  <c r="G32" s="1"/>
  <c r="D33"/>
  <c r="G33" s="1"/>
  <c r="D34"/>
  <c r="G34" s="1"/>
  <c r="D35"/>
  <c r="G35" s="1"/>
  <c r="D36"/>
  <c r="G36" s="1"/>
  <c r="D30"/>
  <c r="M31"/>
  <c r="M32"/>
  <c r="M33"/>
  <c r="M34"/>
  <c r="M35"/>
  <c r="M36"/>
  <c r="M30"/>
  <c r="D8"/>
  <c r="D9"/>
  <c r="G9" s="1"/>
  <c r="D10"/>
  <c r="G10" s="1"/>
  <c r="D11"/>
  <c r="G11" s="1"/>
  <c r="D12"/>
  <c r="G12" s="1"/>
  <c r="D13"/>
  <c r="G13" s="1"/>
  <c r="D7"/>
  <c r="O14"/>
  <c r="L14"/>
  <c r="M8" s="1"/>
  <c r="P105" i="1"/>
  <c r="P100"/>
  <c r="P83"/>
  <c r="P77"/>
  <c r="P74"/>
  <c r="P64"/>
  <c r="P61"/>
  <c r="P52"/>
  <c r="P50"/>
  <c r="P51" s="1"/>
  <c r="L28"/>
  <c r="T28" s="1"/>
  <c r="C5" i="22" s="1"/>
  <c r="L26" i="1"/>
  <c r="L24"/>
  <c r="H26"/>
  <c r="H24"/>
  <c r="D26"/>
  <c r="D24"/>
  <c r="D89" i="2"/>
  <c r="D85"/>
  <c r="D83"/>
  <c r="D68"/>
  <c r="D70" s="1"/>
  <c r="O33" i="9"/>
  <c r="O34"/>
  <c r="O35"/>
  <c r="O36"/>
  <c r="O37"/>
  <c r="O38"/>
  <c r="O32"/>
  <c r="C151"/>
  <c r="D146" s="1"/>
  <c r="O136" s="1"/>
  <c r="L33"/>
  <c r="L34"/>
  <c r="L35"/>
  <c r="L36"/>
  <c r="L37"/>
  <c r="L38"/>
  <c r="L32"/>
  <c r="I33"/>
  <c r="I34"/>
  <c r="I35"/>
  <c r="I36"/>
  <c r="I37"/>
  <c r="I38"/>
  <c r="I32"/>
  <c r="F33"/>
  <c r="F34"/>
  <c r="F35"/>
  <c r="F36"/>
  <c r="F37"/>
  <c r="F38"/>
  <c r="F32"/>
  <c r="C38"/>
  <c r="F132"/>
  <c r="C33"/>
  <c r="C34"/>
  <c r="C35"/>
  <c r="C36"/>
  <c r="C37"/>
  <c r="C32"/>
  <c r="P142"/>
  <c r="M142"/>
  <c r="J142"/>
  <c r="G142"/>
  <c r="C142"/>
  <c r="D126"/>
  <c r="E126" s="1"/>
  <c r="D127"/>
  <c r="E127" s="1"/>
  <c r="D128"/>
  <c r="E128" s="1"/>
  <c r="D129"/>
  <c r="E129" s="1"/>
  <c r="D130"/>
  <c r="E130" s="1"/>
  <c r="D125"/>
  <c r="E125" s="1"/>
  <c r="E132" s="1"/>
  <c r="T5" i="1" l="1"/>
  <c r="V5" s="1"/>
  <c r="R5"/>
  <c r="T11"/>
  <c r="C11" i="22" s="1"/>
  <c r="B7" i="20" s="1"/>
  <c r="B10" s="1"/>
  <c r="AA38" i="9"/>
  <c r="AA37"/>
  <c r="D26" i="2" s="1"/>
  <c r="G26" s="1"/>
  <c r="AA33" i="9"/>
  <c r="D22" i="2" s="1"/>
  <c r="G22" s="1"/>
  <c r="AA36" i="9"/>
  <c r="D25" i="2" s="1"/>
  <c r="Q8" i="21" s="1"/>
  <c r="R8" s="1"/>
  <c r="AA35" i="9"/>
  <c r="D24" i="2" s="1"/>
  <c r="G24" s="1"/>
  <c r="AA34" i="9"/>
  <c r="AA32"/>
  <c r="D21" i="2" s="1"/>
  <c r="G21" s="1"/>
  <c r="M62"/>
  <c r="N62" s="1"/>
  <c r="M57"/>
  <c r="N57" s="1"/>
  <c r="M58"/>
  <c r="N58" s="1"/>
  <c r="M59"/>
  <c r="N59" s="1"/>
  <c r="D39"/>
  <c r="G39" s="1"/>
  <c r="G42"/>
  <c r="D23"/>
  <c r="Q6" i="21" s="1"/>
  <c r="R6" s="1"/>
  <c r="M38" i="2"/>
  <c r="C23" i="21"/>
  <c r="T88" i="1"/>
  <c r="V88" s="1"/>
  <c r="H87"/>
  <c r="D6" i="2"/>
  <c r="G6" s="1"/>
  <c r="G7"/>
  <c r="Q5" i="21"/>
  <c r="R5" s="1"/>
  <c r="G8" i="2"/>
  <c r="D29"/>
  <c r="P90" i="1" s="1"/>
  <c r="G30" i="2"/>
  <c r="D48"/>
  <c r="P86" i="1" s="1"/>
  <c r="R86" s="1"/>
  <c r="G49" i="2"/>
  <c r="D27"/>
  <c r="O122" i="10"/>
  <c r="P122" s="1"/>
  <c r="O123"/>
  <c r="P123" s="1"/>
  <c r="O124"/>
  <c r="P124" s="1"/>
  <c r="P84" i="1"/>
  <c r="M41" i="2"/>
  <c r="M42"/>
  <c r="M43"/>
  <c r="M45"/>
  <c r="M46"/>
  <c r="M66"/>
  <c r="N66" s="1"/>
  <c r="M72"/>
  <c r="N72" s="1"/>
  <c r="M71"/>
  <c r="N71" s="1"/>
  <c r="M70"/>
  <c r="N70" s="1"/>
  <c r="M69"/>
  <c r="N69" s="1"/>
  <c r="M68"/>
  <c r="N68" s="1"/>
  <c r="M61"/>
  <c r="N61" s="1"/>
  <c r="M60"/>
  <c r="N60" s="1"/>
  <c r="M9"/>
  <c r="N9" s="1"/>
  <c r="M10"/>
  <c r="N10" s="1"/>
  <c r="M11"/>
  <c r="N11" s="1"/>
  <c r="M12"/>
  <c r="N12" s="1"/>
  <c r="M13"/>
  <c r="N13" s="1"/>
  <c r="M7"/>
  <c r="N7" s="1"/>
  <c r="N8"/>
  <c r="D145" i="9"/>
  <c r="O135" s="1"/>
  <c r="D150"/>
  <c r="O140" s="1"/>
  <c r="D149"/>
  <c r="O139" s="1"/>
  <c r="D148"/>
  <c r="O138" s="1"/>
  <c r="D147"/>
  <c r="O137" s="1"/>
  <c r="D135"/>
  <c r="D141"/>
  <c r="D140"/>
  <c r="D139"/>
  <c r="D138"/>
  <c r="D137"/>
  <c r="D136"/>
  <c r="D132"/>
  <c r="D20" i="1"/>
  <c r="L20" s="1"/>
  <c r="T20" s="1"/>
  <c r="D19"/>
  <c r="L19" s="1"/>
  <c r="T19" s="1"/>
  <c r="D18"/>
  <c r="L18" s="1"/>
  <c r="T18" s="1"/>
  <c r="D17"/>
  <c r="L17" s="1"/>
  <c r="T17" s="1"/>
  <c r="D14"/>
  <c r="L14" s="1"/>
  <c r="T14" s="1"/>
  <c r="D12"/>
  <c r="L12" s="1"/>
  <c r="T12" s="1"/>
  <c r="D72" i="2"/>
  <c r="G72" s="1"/>
  <c r="D108" i="1"/>
  <c r="D106"/>
  <c r="D104"/>
  <c r="D103"/>
  <c r="D102"/>
  <c r="D101"/>
  <c r="D99"/>
  <c r="D98"/>
  <c r="D97"/>
  <c r="D96"/>
  <c r="D95"/>
  <c r="D94"/>
  <c r="D93"/>
  <c r="D86"/>
  <c r="D82"/>
  <c r="F82" s="1"/>
  <c r="D81"/>
  <c r="D80"/>
  <c r="D79"/>
  <c r="D78"/>
  <c r="F78" s="1"/>
  <c r="D76"/>
  <c r="D75"/>
  <c r="F75" s="1"/>
  <c r="D73"/>
  <c r="F73" s="1"/>
  <c r="D72"/>
  <c r="F72" s="1"/>
  <c r="D71"/>
  <c r="D70"/>
  <c r="D68"/>
  <c r="F68" s="1"/>
  <c r="D67"/>
  <c r="D66"/>
  <c r="F66" s="1"/>
  <c r="D65"/>
  <c r="F65" s="1"/>
  <c r="D63"/>
  <c r="F63" s="1"/>
  <c r="D62"/>
  <c r="F62" s="1"/>
  <c r="D60"/>
  <c r="D59"/>
  <c r="F59" s="1"/>
  <c r="D58"/>
  <c r="F58" s="1"/>
  <c r="X61" i="9"/>
  <c r="X59"/>
  <c r="X55"/>
  <c r="R61"/>
  <c r="R59"/>
  <c r="R55"/>
  <c r="O61"/>
  <c r="O59"/>
  <c r="O55"/>
  <c r="O60" s="1"/>
  <c r="O112" s="1"/>
  <c r="L61"/>
  <c r="L59"/>
  <c r="L55"/>
  <c r="I61"/>
  <c r="I59"/>
  <c r="I55"/>
  <c r="F61"/>
  <c r="F59"/>
  <c r="F55"/>
  <c r="D57" i="1"/>
  <c r="F57" s="1"/>
  <c r="D56"/>
  <c r="D55"/>
  <c r="F55" s="1"/>
  <c r="D54"/>
  <c r="F54" s="1"/>
  <c r="C61" i="9"/>
  <c r="D49" i="1"/>
  <c r="F49" s="1"/>
  <c r="D48"/>
  <c r="F48" s="1"/>
  <c r="D33"/>
  <c r="D34"/>
  <c r="D35"/>
  <c r="F35" s="1"/>
  <c r="D36"/>
  <c r="D37"/>
  <c r="F37" s="1"/>
  <c r="D38"/>
  <c r="F38" s="1"/>
  <c r="D39"/>
  <c r="D40"/>
  <c r="F40" s="1"/>
  <c r="D41"/>
  <c r="D42"/>
  <c r="D43"/>
  <c r="D44"/>
  <c r="D45"/>
  <c r="G62" i="2"/>
  <c r="AA110" i="9"/>
  <c r="AA105"/>
  <c r="AA92"/>
  <c r="AA78"/>
  <c r="AA70"/>
  <c r="AA26"/>
  <c r="AA24"/>
  <c r="AA11"/>
  <c r="AA7"/>
  <c r="X31"/>
  <c r="X29" s="1"/>
  <c r="X39" s="1"/>
  <c r="X26"/>
  <c r="X24"/>
  <c r="X21"/>
  <c r="X11"/>
  <c r="X7"/>
  <c r="R31"/>
  <c r="R29" s="1"/>
  <c r="R39" s="1"/>
  <c r="R26"/>
  <c r="R24"/>
  <c r="R21"/>
  <c r="R11"/>
  <c r="R7"/>
  <c r="O31"/>
  <c r="O29" s="1"/>
  <c r="O39" s="1"/>
  <c r="O26"/>
  <c r="O24"/>
  <c r="O21"/>
  <c r="O11"/>
  <c r="O7"/>
  <c r="L31"/>
  <c r="L29" s="1"/>
  <c r="L39" s="1"/>
  <c r="L26"/>
  <c r="L24"/>
  <c r="L21"/>
  <c r="L11"/>
  <c r="L7"/>
  <c r="L27" s="1"/>
  <c r="I31"/>
  <c r="I29" s="1"/>
  <c r="I39" s="1"/>
  <c r="I26"/>
  <c r="I24"/>
  <c r="I21"/>
  <c r="I11"/>
  <c r="I7"/>
  <c r="F31"/>
  <c r="F29" s="1"/>
  <c r="F39" s="1"/>
  <c r="F26"/>
  <c r="F24"/>
  <c r="F21"/>
  <c r="F11"/>
  <c r="F7"/>
  <c r="F27" s="1"/>
  <c r="C110"/>
  <c r="C105"/>
  <c r="C94"/>
  <c r="C97" s="1"/>
  <c r="C92"/>
  <c r="C86"/>
  <c r="C83"/>
  <c r="C73"/>
  <c r="C70"/>
  <c r="C59"/>
  <c r="C55"/>
  <c r="C31"/>
  <c r="C29" s="1"/>
  <c r="C39" s="1"/>
  <c r="C26"/>
  <c r="C24"/>
  <c r="C11"/>
  <c r="C7"/>
  <c r="R90" i="1" l="1"/>
  <c r="P87"/>
  <c r="R87" s="1"/>
  <c r="R27" i="9"/>
  <c r="R40" s="1"/>
  <c r="D105" i="1"/>
  <c r="D100"/>
  <c r="Q10" i="21"/>
  <c r="G27" i="2"/>
  <c r="G48"/>
  <c r="G25"/>
  <c r="Q7" i="21"/>
  <c r="R7" s="1"/>
  <c r="G23" i="2"/>
  <c r="AA31" i="9"/>
  <c r="AA29" s="1"/>
  <c r="D29" i="1" s="1"/>
  <c r="D20" i="2"/>
  <c r="G20" s="1"/>
  <c r="AA86" i="9"/>
  <c r="AA73"/>
  <c r="F60"/>
  <c r="F112" s="1"/>
  <c r="F114" s="1"/>
  <c r="X60"/>
  <c r="X112" s="1"/>
  <c r="X114" s="1"/>
  <c r="R60"/>
  <c r="R112" s="1"/>
  <c r="L60"/>
  <c r="L112" s="1"/>
  <c r="I60"/>
  <c r="I112" s="1"/>
  <c r="C60"/>
  <c r="P85" i="1"/>
  <c r="R85" s="1"/>
  <c r="Q18" i="21"/>
  <c r="I27" i="9"/>
  <c r="I40" s="1"/>
  <c r="O27"/>
  <c r="O40" s="1"/>
  <c r="X27"/>
  <c r="X40" s="1"/>
  <c r="F40"/>
  <c r="L40"/>
  <c r="AA83"/>
  <c r="D69" i="1"/>
  <c r="D74" s="1"/>
  <c r="F74" s="1"/>
  <c r="AA97" i="9"/>
  <c r="D85" i="1"/>
  <c r="D92" s="1"/>
  <c r="G29" i="2"/>
  <c r="D15" i="1"/>
  <c r="L15" s="1"/>
  <c r="T15" s="1"/>
  <c r="D16"/>
  <c r="F16" s="1"/>
  <c r="P126" i="10"/>
  <c r="O126"/>
  <c r="M48" i="2"/>
  <c r="M73"/>
  <c r="M63"/>
  <c r="AA55" i="9"/>
  <c r="D32" i="1"/>
  <c r="F32" s="1"/>
  <c r="AA59" i="9"/>
  <c r="D47" i="1"/>
  <c r="AA61" i="9"/>
  <c r="D53" i="1"/>
  <c r="F53" s="1"/>
  <c r="D61"/>
  <c r="F61" s="1"/>
  <c r="D64"/>
  <c r="F64" s="1"/>
  <c r="D77"/>
  <c r="F77" s="1"/>
  <c r="D83"/>
  <c r="F83" s="1"/>
  <c r="AA21" i="9"/>
  <c r="AA27" s="1"/>
  <c r="D13" i="1"/>
  <c r="F13" s="1"/>
  <c r="N73" i="2"/>
  <c r="N63"/>
  <c r="N14"/>
  <c r="L136" i="9"/>
  <c r="I136"/>
  <c r="F136"/>
  <c r="L137"/>
  <c r="I137"/>
  <c r="F137"/>
  <c r="L138"/>
  <c r="I138"/>
  <c r="F138"/>
  <c r="L139"/>
  <c r="I139"/>
  <c r="F139"/>
  <c r="L140"/>
  <c r="I140"/>
  <c r="F140"/>
  <c r="L141"/>
  <c r="I141"/>
  <c r="F141"/>
  <c r="O142"/>
  <c r="L135"/>
  <c r="I135"/>
  <c r="F135"/>
  <c r="D142"/>
  <c r="C27"/>
  <c r="C40" s="1"/>
  <c r="C93"/>
  <c r="C112" s="1"/>
  <c r="C114" s="1"/>
  <c r="D151"/>
  <c r="C119"/>
  <c r="F119"/>
  <c r="I119"/>
  <c r="L119"/>
  <c r="O119"/>
  <c r="R119"/>
  <c r="X119"/>
  <c r="O114"/>
  <c r="R33" i="10"/>
  <c r="D17" i="2" s="1"/>
  <c r="R34" i="10"/>
  <c r="D18" i="2" s="1"/>
  <c r="L90" i="10"/>
  <c r="Q22" i="21" s="1"/>
  <c r="R22" s="1"/>
  <c r="I90" i="10"/>
  <c r="Q21" i="21" s="1"/>
  <c r="R21" s="1"/>
  <c r="O118" i="10"/>
  <c r="L118"/>
  <c r="I118"/>
  <c r="F103"/>
  <c r="F118"/>
  <c r="L31"/>
  <c r="I31"/>
  <c r="F31"/>
  <c r="O95"/>
  <c r="F95"/>
  <c r="R28"/>
  <c r="R16"/>
  <c r="H16" i="1" s="1"/>
  <c r="R26" i="10"/>
  <c r="R24"/>
  <c r="R11"/>
  <c r="R7"/>
  <c r="O26"/>
  <c r="O24"/>
  <c r="O21"/>
  <c r="O11"/>
  <c r="O7"/>
  <c r="O27" s="1"/>
  <c r="L26"/>
  <c r="L24"/>
  <c r="L21"/>
  <c r="L11"/>
  <c r="L7"/>
  <c r="I26"/>
  <c r="I24"/>
  <c r="I21"/>
  <c r="I11"/>
  <c r="I7"/>
  <c r="I27" s="1"/>
  <c r="F26"/>
  <c r="F24"/>
  <c r="F21"/>
  <c r="F11"/>
  <c r="F7"/>
  <c r="C95"/>
  <c r="R91"/>
  <c r="H86" i="1" s="1"/>
  <c r="C31" i="10"/>
  <c r="C26"/>
  <c r="C24"/>
  <c r="C11"/>
  <c r="C7"/>
  <c r="C21"/>
  <c r="O103"/>
  <c r="L103"/>
  <c r="I103"/>
  <c r="C118"/>
  <c r="C66"/>
  <c r="L86" i="1" l="1"/>
  <c r="J86"/>
  <c r="H21"/>
  <c r="J16"/>
  <c r="D30"/>
  <c r="F30" s="1"/>
  <c r="F29"/>
  <c r="L95" i="10"/>
  <c r="I142" i="9"/>
  <c r="R114"/>
  <c r="R116" s="1"/>
  <c r="L114"/>
  <c r="L116" s="1"/>
  <c r="AA39"/>
  <c r="AA40" s="1"/>
  <c r="Q23" i="21"/>
  <c r="R18"/>
  <c r="R10"/>
  <c r="U10"/>
  <c r="N10" s="1"/>
  <c r="O10" s="1"/>
  <c r="X116" i="9"/>
  <c r="O116"/>
  <c r="L142"/>
  <c r="F116"/>
  <c r="F142"/>
  <c r="AA93"/>
  <c r="I114"/>
  <c r="I116" s="1"/>
  <c r="R21" i="10"/>
  <c r="R27" s="1"/>
  <c r="R90"/>
  <c r="H85" i="1" s="1"/>
  <c r="I95" i="10"/>
  <c r="F27"/>
  <c r="L27"/>
  <c r="Q9" i="21"/>
  <c r="R9" s="1"/>
  <c r="G18" i="2"/>
  <c r="Q4" i="21"/>
  <c r="R4" s="1"/>
  <c r="G17" i="2"/>
  <c r="T90" i="1"/>
  <c r="P92"/>
  <c r="D75" i="2"/>
  <c r="C27" i="10"/>
  <c r="L16" i="1"/>
  <c r="D52"/>
  <c r="F52" s="1"/>
  <c r="D50"/>
  <c r="F50" s="1"/>
  <c r="D46"/>
  <c r="F46" s="1"/>
  <c r="AA60" i="9"/>
  <c r="L13" i="1"/>
  <c r="N13" s="1"/>
  <c r="D21"/>
  <c r="D84"/>
  <c r="F84" s="1"/>
  <c r="C116" i="9"/>
  <c r="O31" i="10"/>
  <c r="R31" s="1"/>
  <c r="R32"/>
  <c r="D16" i="2" s="1"/>
  <c r="G16" s="1"/>
  <c r="C103" i="10"/>
  <c r="D27" i="1" l="1"/>
  <c r="F21"/>
  <c r="T86"/>
  <c r="N86"/>
  <c r="T16"/>
  <c r="V16" s="1"/>
  <c r="N16"/>
  <c r="T87"/>
  <c r="V90"/>
  <c r="L85"/>
  <c r="N85" s="1"/>
  <c r="J85"/>
  <c r="H27"/>
  <c r="J27" s="1"/>
  <c r="J21"/>
  <c r="P107"/>
  <c r="R107" s="1"/>
  <c r="R92"/>
  <c r="AA112" i="9"/>
  <c r="AA114" s="1"/>
  <c r="AA116" s="1"/>
  <c r="D51" i="1"/>
  <c r="G75" i="2"/>
  <c r="D80"/>
  <c r="G80" s="1"/>
  <c r="D15"/>
  <c r="G15" s="1"/>
  <c r="Q3" i="21"/>
  <c r="R3" s="1"/>
  <c r="L21" i="1"/>
  <c r="T13"/>
  <c r="R111" i="10"/>
  <c r="H108" i="1" s="1"/>
  <c r="L108" s="1"/>
  <c r="R109" i="10"/>
  <c r="H106" i="1" s="1"/>
  <c r="L106" s="1"/>
  <c r="T106" s="1"/>
  <c r="I13" i="22" s="1"/>
  <c r="R107" i="10"/>
  <c r="H104" i="1" s="1"/>
  <c r="L104" s="1"/>
  <c r="T104" s="1"/>
  <c r="R106" i="10"/>
  <c r="H103" i="1" s="1"/>
  <c r="L103" s="1"/>
  <c r="T103" s="1"/>
  <c r="R105" i="10"/>
  <c r="H102" i="1" s="1"/>
  <c r="L102" s="1"/>
  <c r="T102" s="1"/>
  <c r="R104" i="10"/>
  <c r="H101" i="1" s="1"/>
  <c r="R102" i="10"/>
  <c r="H99" i="1" s="1"/>
  <c r="R101" i="10"/>
  <c r="H98" i="1" s="1"/>
  <c r="L98" s="1"/>
  <c r="T98" s="1"/>
  <c r="R100" i="10"/>
  <c r="H97" i="1" s="1"/>
  <c r="L97" s="1"/>
  <c r="T97" s="1"/>
  <c r="R99" i="10"/>
  <c r="H96" i="1" s="1"/>
  <c r="J96" s="1"/>
  <c r="R98" i="10"/>
  <c r="H95" i="1" s="1"/>
  <c r="L95" s="1"/>
  <c r="T95" s="1"/>
  <c r="R97" i="10"/>
  <c r="H94" i="1" s="1"/>
  <c r="L94" s="1"/>
  <c r="T94" s="1"/>
  <c r="R96" i="10"/>
  <c r="R92"/>
  <c r="R87"/>
  <c r="H82" i="1" s="1"/>
  <c r="L82" s="1"/>
  <c r="R86" i="10"/>
  <c r="H81" i="1" s="1"/>
  <c r="L81" s="1"/>
  <c r="T81" s="1"/>
  <c r="R85" i="10"/>
  <c r="H80" i="1" s="1"/>
  <c r="L80" s="1"/>
  <c r="T80" s="1"/>
  <c r="R84" i="10"/>
  <c r="H79" i="1" s="1"/>
  <c r="L79" s="1"/>
  <c r="T79" s="1"/>
  <c r="R83" i="10"/>
  <c r="H78" i="1" s="1"/>
  <c r="J78" s="1"/>
  <c r="R81" i="10"/>
  <c r="H76" i="1" s="1"/>
  <c r="L76" s="1"/>
  <c r="T76" s="1"/>
  <c r="R80" i="10"/>
  <c r="H75" i="1" s="1"/>
  <c r="J75" s="1"/>
  <c r="R78" i="10"/>
  <c r="H73" i="1" s="1"/>
  <c r="R77" i="10"/>
  <c r="H72" i="1" s="1"/>
  <c r="R76" i="10"/>
  <c r="H71" i="1" s="1"/>
  <c r="L71" s="1"/>
  <c r="T71" s="1"/>
  <c r="R75" i="10"/>
  <c r="H70" i="1" s="1"/>
  <c r="L70" s="1"/>
  <c r="T70" s="1"/>
  <c r="R73" i="10"/>
  <c r="H68" i="1" s="1"/>
  <c r="R72" i="10"/>
  <c r="H67" i="1" s="1"/>
  <c r="L67" s="1"/>
  <c r="T67" s="1"/>
  <c r="R71" i="10"/>
  <c r="H66" i="1" s="1"/>
  <c r="R70" i="10"/>
  <c r="R68"/>
  <c r="H63" i="1" s="1"/>
  <c r="R67" i="10"/>
  <c r="H62" i="1" s="1"/>
  <c r="J62" s="1"/>
  <c r="R65" i="10"/>
  <c r="H60" i="1" s="1"/>
  <c r="L60" s="1"/>
  <c r="T60" s="1"/>
  <c r="R64" i="10"/>
  <c r="H59" i="1" s="1"/>
  <c r="R63" i="10"/>
  <c r="H58" i="1" s="1"/>
  <c r="J58" s="1"/>
  <c r="R108" i="10"/>
  <c r="R74"/>
  <c r="O108"/>
  <c r="O88"/>
  <c r="O82"/>
  <c r="O79"/>
  <c r="O69"/>
  <c r="O66"/>
  <c r="O57"/>
  <c r="O55"/>
  <c r="O51"/>
  <c r="L108"/>
  <c r="L88"/>
  <c r="L82"/>
  <c r="L79"/>
  <c r="L69"/>
  <c r="L66"/>
  <c r="L57"/>
  <c r="L55"/>
  <c r="L51"/>
  <c r="I108"/>
  <c r="I88"/>
  <c r="I82"/>
  <c r="I79"/>
  <c r="I69"/>
  <c r="I66"/>
  <c r="I57"/>
  <c r="I55"/>
  <c r="I51"/>
  <c r="F108"/>
  <c r="F88"/>
  <c r="F82"/>
  <c r="F79"/>
  <c r="F69"/>
  <c r="F66"/>
  <c r="F57"/>
  <c r="F55"/>
  <c r="F51"/>
  <c r="C108"/>
  <c r="C88"/>
  <c r="C82"/>
  <c r="C69"/>
  <c r="R62"/>
  <c r="H57" i="1" s="1"/>
  <c r="R61" i="10"/>
  <c r="H56" i="1" s="1"/>
  <c r="L56" s="1"/>
  <c r="T56" s="1"/>
  <c r="R60" i="10"/>
  <c r="H55" i="1" s="1"/>
  <c r="R59" i="10"/>
  <c r="H54" i="1" s="1"/>
  <c r="R58" i="10"/>
  <c r="R54"/>
  <c r="H49" i="1" s="1"/>
  <c r="R53" i="10"/>
  <c r="H48" i="1" s="1"/>
  <c r="R52" i="10"/>
  <c r="R38"/>
  <c r="H33" i="1" s="1"/>
  <c r="L33" s="1"/>
  <c r="T33" s="1"/>
  <c r="R39" i="10"/>
  <c r="H34" i="1" s="1"/>
  <c r="L34" s="1"/>
  <c r="T34" s="1"/>
  <c r="R40" i="10"/>
  <c r="H35" i="1" s="1"/>
  <c r="R41" i="10"/>
  <c r="H36" i="1" s="1"/>
  <c r="L36" s="1"/>
  <c r="T36" s="1"/>
  <c r="R42" i="10"/>
  <c r="H37" i="1" s="1"/>
  <c r="L37" s="1"/>
  <c r="R43" i="10"/>
  <c r="H38" i="1" s="1"/>
  <c r="R44" i="10"/>
  <c r="H39" i="1" s="1"/>
  <c r="L39" s="1"/>
  <c r="T39" s="1"/>
  <c r="R45" i="10"/>
  <c r="H40" i="1" s="1"/>
  <c r="R46" i="10"/>
  <c r="H41" i="1" s="1"/>
  <c r="L41" s="1"/>
  <c r="T41" s="1"/>
  <c r="R47" i="10"/>
  <c r="H42" i="1" s="1"/>
  <c r="L42" s="1"/>
  <c r="T42" s="1"/>
  <c r="R48" i="10"/>
  <c r="H43" i="1" s="1"/>
  <c r="L43" s="1"/>
  <c r="T43" s="1"/>
  <c r="R49" i="10"/>
  <c r="H44" i="1" s="1"/>
  <c r="L44" s="1"/>
  <c r="T44" s="1"/>
  <c r="R50" i="10"/>
  <c r="H45" i="1" s="1"/>
  <c r="L45" s="1"/>
  <c r="T45" s="1"/>
  <c r="R37" i="10"/>
  <c r="O29"/>
  <c r="O35" s="1"/>
  <c r="O36" s="1"/>
  <c r="L29"/>
  <c r="L35" s="1"/>
  <c r="L36" s="1"/>
  <c r="I29"/>
  <c r="I35" s="1"/>
  <c r="I36" s="1"/>
  <c r="F29"/>
  <c r="F35" s="1"/>
  <c r="F36" s="1"/>
  <c r="L59" i="1" l="1"/>
  <c r="J59"/>
  <c r="D31"/>
  <c r="F31" s="1"/>
  <c r="F27"/>
  <c r="L72"/>
  <c r="J72"/>
  <c r="T82"/>
  <c r="V82" s="1"/>
  <c r="N82"/>
  <c r="L99"/>
  <c r="J99"/>
  <c r="L27"/>
  <c r="N27" s="1"/>
  <c r="N21"/>
  <c r="V87"/>
  <c r="V86"/>
  <c r="T85"/>
  <c r="T92" s="1"/>
  <c r="V92" s="1"/>
  <c r="L63"/>
  <c r="J63"/>
  <c r="L68"/>
  <c r="J68"/>
  <c r="L73"/>
  <c r="J73"/>
  <c r="L66"/>
  <c r="J66"/>
  <c r="T21"/>
  <c r="V21" s="1"/>
  <c r="V13"/>
  <c r="L57"/>
  <c r="N57" s="1"/>
  <c r="J57"/>
  <c r="L38"/>
  <c r="J38"/>
  <c r="L49"/>
  <c r="J49"/>
  <c r="L35"/>
  <c r="J35"/>
  <c r="L48"/>
  <c r="J48"/>
  <c r="L55"/>
  <c r="J55"/>
  <c r="L40"/>
  <c r="J40"/>
  <c r="L54"/>
  <c r="J54"/>
  <c r="T99"/>
  <c r="V99" s="1"/>
  <c r="N99"/>
  <c r="T37"/>
  <c r="V37" s="1"/>
  <c r="N37"/>
  <c r="T38"/>
  <c r="V38" s="1"/>
  <c r="N38"/>
  <c r="T49"/>
  <c r="V49" s="1"/>
  <c r="N49"/>
  <c r="T35"/>
  <c r="V35" s="1"/>
  <c r="N35"/>
  <c r="T48"/>
  <c r="V48" s="1"/>
  <c r="N48"/>
  <c r="T55"/>
  <c r="V55" s="1"/>
  <c r="N55"/>
  <c r="T40"/>
  <c r="V40" s="1"/>
  <c r="N40"/>
  <c r="T54"/>
  <c r="V54" s="1"/>
  <c r="N54"/>
  <c r="D107"/>
  <c r="F51"/>
  <c r="D60" i="2"/>
  <c r="G61"/>
  <c r="H65" i="1"/>
  <c r="R79" i="10"/>
  <c r="R82"/>
  <c r="O89"/>
  <c r="O116" s="1"/>
  <c r="L89"/>
  <c r="L116" s="1"/>
  <c r="I89"/>
  <c r="I116" s="1"/>
  <c r="R88"/>
  <c r="F89"/>
  <c r="F116" s="1"/>
  <c r="R66"/>
  <c r="R69"/>
  <c r="F56"/>
  <c r="L56"/>
  <c r="I56"/>
  <c r="O56"/>
  <c r="C3" i="22"/>
  <c r="F3" s="1"/>
  <c r="B4" i="20"/>
  <c r="D64" i="2"/>
  <c r="H69" i="1"/>
  <c r="L69" s="1"/>
  <c r="T69" s="1"/>
  <c r="H83"/>
  <c r="J83" s="1"/>
  <c r="L78"/>
  <c r="N78" s="1"/>
  <c r="R103" i="10"/>
  <c r="H93" i="1"/>
  <c r="L93" s="1"/>
  <c r="T93" s="1"/>
  <c r="H105"/>
  <c r="L101"/>
  <c r="R51" i="10"/>
  <c r="H32" i="1"/>
  <c r="J32" s="1"/>
  <c r="R55" i="10"/>
  <c r="H47" i="1"/>
  <c r="R57" i="10"/>
  <c r="H53" i="1"/>
  <c r="J53" s="1"/>
  <c r="H61"/>
  <c r="J61" s="1"/>
  <c r="L58"/>
  <c r="N58" s="1"/>
  <c r="H64"/>
  <c r="J64" s="1"/>
  <c r="L62"/>
  <c r="N62" s="1"/>
  <c r="H77"/>
  <c r="J77" s="1"/>
  <c r="L75"/>
  <c r="N75" s="1"/>
  <c r="L96"/>
  <c r="N96" s="1"/>
  <c r="R95" i="10"/>
  <c r="C29"/>
  <c r="C35" s="1"/>
  <c r="C36" s="1"/>
  <c r="R30"/>
  <c r="R29" s="1"/>
  <c r="C89"/>
  <c r="C116" s="1"/>
  <c r="C51"/>
  <c r="C55"/>
  <c r="C57"/>
  <c r="T68" i="1" l="1"/>
  <c r="V68" s="1"/>
  <c r="N68"/>
  <c r="T73"/>
  <c r="V73" s="1"/>
  <c r="N73"/>
  <c r="T63"/>
  <c r="V63" s="1"/>
  <c r="N63"/>
  <c r="T72"/>
  <c r="V72" s="1"/>
  <c r="N72"/>
  <c r="T59"/>
  <c r="V59" s="1"/>
  <c r="N59"/>
  <c r="T57"/>
  <c r="V57" s="1"/>
  <c r="L65"/>
  <c r="N65" s="1"/>
  <c r="J65"/>
  <c r="T66"/>
  <c r="V66" s="1"/>
  <c r="N66"/>
  <c r="V85"/>
  <c r="I6" i="22"/>
  <c r="D109" i="1"/>
  <c r="F107"/>
  <c r="H100"/>
  <c r="J100" s="1"/>
  <c r="H74"/>
  <c r="J74" s="1"/>
  <c r="O110" i="10"/>
  <c r="O112" s="1"/>
  <c r="O114" s="1"/>
  <c r="I110"/>
  <c r="I112" s="1"/>
  <c r="I114" s="1"/>
  <c r="Q13" i="21"/>
  <c r="R13" s="1"/>
  <c r="G60" i="2"/>
  <c r="R89" i="10"/>
  <c r="L110"/>
  <c r="L112" s="1"/>
  <c r="L114" s="1"/>
  <c r="F110"/>
  <c r="F112" s="1"/>
  <c r="F114" s="1"/>
  <c r="G64" i="2"/>
  <c r="D66"/>
  <c r="D3"/>
  <c r="P6" i="1"/>
  <c r="R6" s="1"/>
  <c r="T101"/>
  <c r="T105" s="1"/>
  <c r="I12" i="22" s="1"/>
  <c r="L105" i="1"/>
  <c r="T78"/>
  <c r="L83"/>
  <c r="N83" s="1"/>
  <c r="R35" i="10"/>
  <c r="R36" s="1"/>
  <c r="H29" i="1"/>
  <c r="J29" s="1"/>
  <c r="T96"/>
  <c r="L100"/>
  <c r="N100" s="1"/>
  <c r="L77"/>
  <c r="N77" s="1"/>
  <c r="T75"/>
  <c r="L74"/>
  <c r="N74" s="1"/>
  <c r="T65"/>
  <c r="L64"/>
  <c r="N64" s="1"/>
  <c r="T62"/>
  <c r="L61"/>
  <c r="N61" s="1"/>
  <c r="T58"/>
  <c r="H52"/>
  <c r="J52" s="1"/>
  <c r="L53"/>
  <c r="N53" s="1"/>
  <c r="H50"/>
  <c r="J50" s="1"/>
  <c r="L47"/>
  <c r="H46"/>
  <c r="J46" s="1"/>
  <c r="L32"/>
  <c r="N32" s="1"/>
  <c r="H84"/>
  <c r="J84" s="1"/>
  <c r="R56" i="10"/>
  <c r="L87" i="1"/>
  <c r="H92"/>
  <c r="J92" s="1"/>
  <c r="C56" i="10"/>
  <c r="C110" s="1"/>
  <c r="C112" s="1"/>
  <c r="C114" s="1"/>
  <c r="T64" i="1" l="1"/>
  <c r="V64" s="1"/>
  <c r="V62"/>
  <c r="T77"/>
  <c r="V77" s="1"/>
  <c r="V75"/>
  <c r="T83"/>
  <c r="V83" s="1"/>
  <c r="V78"/>
  <c r="T61"/>
  <c r="V61" s="1"/>
  <c r="V58"/>
  <c r="T74"/>
  <c r="V74" s="1"/>
  <c r="V65"/>
  <c r="L6" i="22"/>
  <c r="B22" i="20"/>
  <c r="T100" i="1"/>
  <c r="V100" s="1"/>
  <c r="V96"/>
  <c r="D111"/>
  <c r="F109"/>
  <c r="H51"/>
  <c r="J51" s="1"/>
  <c r="L84"/>
  <c r="N84" s="1"/>
  <c r="R110" i="10"/>
  <c r="R112" s="1"/>
  <c r="R114" s="1"/>
  <c r="H107" i="1"/>
  <c r="D86" i="2"/>
  <c r="G66"/>
  <c r="P4" i="1"/>
  <c r="T6"/>
  <c r="L46"/>
  <c r="N46" s="1"/>
  <c r="T32"/>
  <c r="L50"/>
  <c r="N50" s="1"/>
  <c r="T47"/>
  <c r="T50" s="1"/>
  <c r="V50" s="1"/>
  <c r="L52"/>
  <c r="N52" s="1"/>
  <c r="T53"/>
  <c r="H30"/>
  <c r="L29"/>
  <c r="N29" s="1"/>
  <c r="L92"/>
  <c r="N92" s="1"/>
  <c r="H31" l="1"/>
  <c r="J31" s="1"/>
  <c r="J30"/>
  <c r="T84"/>
  <c r="H109"/>
  <c r="J109" s="1"/>
  <c r="J107"/>
  <c r="I11" i="22"/>
  <c r="B25" i="20" s="1"/>
  <c r="B28" s="1"/>
  <c r="T52" i="1"/>
  <c r="V53"/>
  <c r="T46"/>
  <c r="V46" s="1"/>
  <c r="V32"/>
  <c r="P7"/>
  <c r="R4"/>
  <c r="T4"/>
  <c r="V6"/>
  <c r="H111"/>
  <c r="D90" i="2"/>
  <c r="G90" s="1"/>
  <c r="G86"/>
  <c r="L30" i="1"/>
  <c r="P108"/>
  <c r="R108" s="1"/>
  <c r="T30"/>
  <c r="L51"/>
  <c r="I7" i="22"/>
  <c r="I4" l="1"/>
  <c r="V84" i="1"/>
  <c r="T51"/>
  <c r="V51" s="1"/>
  <c r="L31"/>
  <c r="N31" s="1"/>
  <c r="N30"/>
  <c r="I3" i="22"/>
  <c r="V52" i="1"/>
  <c r="I2" i="22"/>
  <c r="L2" s="1"/>
  <c r="L107" i="1"/>
  <c r="N51"/>
  <c r="P27"/>
  <c r="R7"/>
  <c r="T7"/>
  <c r="V4"/>
  <c r="T107"/>
  <c r="B23" i="20"/>
  <c r="L7" i="22"/>
  <c r="P109" i="1"/>
  <c r="I16" i="22"/>
  <c r="C16"/>
  <c r="I9"/>
  <c r="L4" l="1"/>
  <c r="B20" i="20"/>
  <c r="B18"/>
  <c r="B24" s="1"/>
  <c r="B30" s="1"/>
  <c r="L109" i="1"/>
  <c r="N107"/>
  <c r="B19" i="20"/>
  <c r="L3" i="22"/>
  <c r="T109" i="1"/>
  <c r="V109" s="1"/>
  <c r="V107"/>
  <c r="P31"/>
  <c r="R31" s="1"/>
  <c r="R27"/>
  <c r="V7"/>
  <c r="B3" i="20"/>
  <c r="B6" s="1"/>
  <c r="B16" s="1"/>
  <c r="C2" i="22"/>
  <c r="T27" i="1"/>
  <c r="R109"/>
  <c r="I17" i="22"/>
  <c r="L17" s="1"/>
  <c r="L9"/>
  <c r="D23" i="21"/>
  <c r="E23"/>
  <c r="F23"/>
  <c r="G23"/>
  <c r="H23"/>
  <c r="I23"/>
  <c r="J23"/>
  <c r="K23"/>
  <c r="L23"/>
  <c r="M23"/>
  <c r="U22"/>
  <c r="N22" s="1"/>
  <c r="O22" s="1"/>
  <c r="U21"/>
  <c r="N21" s="1"/>
  <c r="O21" s="1"/>
  <c r="D19"/>
  <c r="E19"/>
  <c r="F19"/>
  <c r="G19"/>
  <c r="H19"/>
  <c r="I19"/>
  <c r="J19"/>
  <c r="K19"/>
  <c r="L19"/>
  <c r="M19"/>
  <c r="U9"/>
  <c r="N9" s="1"/>
  <c r="O9" s="1"/>
  <c r="U8"/>
  <c r="N8" s="1"/>
  <c r="O8" s="1"/>
  <c r="U7"/>
  <c r="N7" s="1"/>
  <c r="O7" s="1"/>
  <c r="U6"/>
  <c r="N6" s="1"/>
  <c r="O6" s="1"/>
  <c r="U5"/>
  <c r="N5" s="1"/>
  <c r="O5" s="1"/>
  <c r="U4"/>
  <c r="N4" s="1"/>
  <c r="O4" s="1"/>
  <c r="U3"/>
  <c r="N3" s="1"/>
  <c r="U18"/>
  <c r="N18" s="1"/>
  <c r="N109" i="1" l="1"/>
  <c r="L111"/>
  <c r="P111"/>
  <c r="B32" i="20"/>
  <c r="F2" i="22"/>
  <c r="C9"/>
  <c r="V27" i="1"/>
  <c r="T31"/>
  <c r="N11" i="21"/>
  <c r="O3"/>
  <c r="O11" s="1"/>
  <c r="O23"/>
  <c r="O18"/>
  <c r="O19" s="1"/>
  <c r="N19"/>
  <c r="N23"/>
  <c r="N15" l="1"/>
  <c r="F9" i="22"/>
  <c r="C17"/>
  <c r="F17" s="1"/>
  <c r="V31" i="1"/>
  <c r="T111"/>
  <c r="J14" i="21"/>
  <c r="K14"/>
  <c r="L14"/>
  <c r="M14"/>
  <c r="U13"/>
  <c r="N13" s="1"/>
  <c r="N14" s="1"/>
  <c r="O13" l="1"/>
  <c r="O14" s="1"/>
  <c r="O15" s="1"/>
</calcChain>
</file>

<file path=xl/comments1.xml><?xml version="1.0" encoding="utf-8"?>
<comments xmlns="http://schemas.openxmlformats.org/spreadsheetml/2006/main">
  <authors>
    <author>Tompai Judit</author>
    <author>Judit</author>
  </authors>
  <commentList>
    <comment ref="O73" authorId="0">
      <text>
        <r>
          <rPr>
            <b/>
            <sz val="8"/>
            <color indexed="81"/>
            <rFont val="Tahoma"/>
            <charset val="1"/>
          </rPr>
          <t>Tompai Judit:</t>
        </r>
        <r>
          <rPr>
            <sz val="8"/>
            <color indexed="81"/>
            <rFont val="Tahoma"/>
            <charset val="1"/>
          </rPr>
          <t xml:space="preserve">
ált.fel.bizt: 23eFt
bankktg: 500eFt</t>
        </r>
      </text>
    </comment>
    <comment ref="P73" authorId="0">
      <text>
        <r>
          <rPr>
            <b/>
            <sz val="8"/>
            <color indexed="81"/>
            <rFont val="Tahoma"/>
            <charset val="1"/>
          </rPr>
          <t>Tompai Judit:</t>
        </r>
        <r>
          <rPr>
            <sz val="8"/>
            <color indexed="81"/>
            <rFont val="Tahoma"/>
            <charset val="1"/>
          </rPr>
          <t xml:space="preserve">
ált.fel.bizt: 23eFt
bankktg: 500eFt
szakértő(SSZ): 25eFt</t>
        </r>
      </text>
    </comment>
    <comment ref="P82" authorId="1">
      <text>
        <r>
          <rPr>
            <b/>
            <sz val="9"/>
            <color indexed="81"/>
            <rFont val="Tahoma"/>
            <family val="2"/>
            <charset val="238"/>
          </rPr>
          <t>Judit:</t>
        </r>
        <r>
          <rPr>
            <sz val="9"/>
            <color indexed="81"/>
            <rFont val="Tahoma"/>
            <family val="2"/>
            <charset val="238"/>
          </rPr>
          <t xml:space="preserve">
SSZ műk.eng.mód</t>
        </r>
      </text>
    </comment>
  </commentList>
</comments>
</file>

<file path=xl/sharedStrings.xml><?xml version="1.0" encoding="utf-8"?>
<sst xmlns="http://schemas.openxmlformats.org/spreadsheetml/2006/main" count="1294" uniqueCount="480">
  <si>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</si>
  <si>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</si>
  <si>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</si>
  <si>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</si>
  <si>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</si>
  <si>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</si>
  <si>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</si>
  <si>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</si>
  <si>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</si>
  <si>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</si>
  <si>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</si>
  <si>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</si>
  <si>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</si>
  <si>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</si>
  <si>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</si>
  <si>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létszám</t>
  </si>
  <si>
    <t>GÉZENGÚZ TAGÓVODA</t>
  </si>
  <si>
    <t>KÖZPONTI IGAZGATÁS</t>
  </si>
  <si>
    <t>fajlagos összeg</t>
  </si>
  <si>
    <t>Ft</t>
  </si>
  <si>
    <t>Egyéb dologi kiadások</t>
  </si>
  <si>
    <t>TANYAGONDNOKI SZOLGÁLTATÁS</t>
  </si>
  <si>
    <t>Közalkalmazotti státuszok</t>
  </si>
  <si>
    <t>Összesen</t>
  </si>
  <si>
    <t>ENGEDÉLYEZETT LÉTSZÁM</t>
  </si>
  <si>
    <t>Segítő Szolgálat</t>
  </si>
  <si>
    <t>Intézményvezető</t>
  </si>
  <si>
    <t>Családsegítés csopvez.</t>
  </si>
  <si>
    <t>Támogató szolg. csopvez.</t>
  </si>
  <si>
    <t>Házi.seg.nyújtás csopvez.</t>
  </si>
  <si>
    <t>Idősek nappalija csopvez.</t>
  </si>
  <si>
    <t>Személyi segítő</t>
  </si>
  <si>
    <t>Családgondozó</t>
  </si>
  <si>
    <t>Gondozó</t>
  </si>
  <si>
    <t>Gépkocsivezető</t>
  </si>
  <si>
    <t>Segítő Szolgálat Összesen</t>
  </si>
  <si>
    <t>Tagintézmény vezető</t>
  </si>
  <si>
    <t>Pedagógus</t>
  </si>
  <si>
    <t>Óvodatitkár</t>
  </si>
  <si>
    <t>Státusz összesen</t>
  </si>
  <si>
    <t>mutató</t>
  </si>
  <si>
    <t>MOVI</t>
  </si>
  <si>
    <t>BOVI</t>
  </si>
  <si>
    <t>GYOVI</t>
  </si>
  <si>
    <t>TOVI</t>
  </si>
  <si>
    <t>Bevételek</t>
  </si>
  <si>
    <t>Tartalék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</si>
  <si>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</si>
  <si>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</si>
  <si>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</si>
  <si>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</si>
  <si>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</si>
  <si>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</si>
  <si>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</si>
  <si>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</si>
  <si>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</si>
  <si>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</si>
  <si>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</si>
  <si>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</si>
  <si>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r>
      <t xml:space="preserve">Önkormányzati hozzájárulások </t>
    </r>
    <r>
      <rPr>
        <b/>
        <sz val="8"/>
        <rFont val="Times New Roman"/>
        <family val="1"/>
        <charset val="238"/>
      </rPr>
      <t>(fizetendő minden hó 5-éig)</t>
    </r>
  </si>
  <si>
    <r>
      <t>TKT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</si>
  <si>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</si>
  <si>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</si>
  <si>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</si>
  <si>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</si>
  <si>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</si>
  <si>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</si>
  <si>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</si>
  <si>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</si>
  <si>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</si>
  <si>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</si>
  <si>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</si>
  <si>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</si>
  <si>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CSALÁDI NAPKÖZI</t>
  </si>
  <si>
    <t>Családi napközi csopvez.</t>
  </si>
  <si>
    <t>Családi napközi gondozó</t>
  </si>
  <si>
    <t>Intézmények összesen</t>
  </si>
  <si>
    <t>Társulás és intézményeinek konszolidált összesítése</t>
  </si>
  <si>
    <t>Szociális és gyermekjóléti feladatok támogatása</t>
  </si>
  <si>
    <t>SZOCIÁLIS NORMATÍVA ÖSSZESEN</t>
  </si>
  <si>
    <t>Óvodapedagógusok bértámogatása</t>
  </si>
  <si>
    <t>Óvodapedagógusok  nev. munkáját közvetlenül segítők bértámogatása</t>
  </si>
  <si>
    <t>Óvodaműködtetési támogatás</t>
  </si>
  <si>
    <t>Gyermekétkeztetés támogatás</t>
  </si>
  <si>
    <t>KÖZNEVELÉSI FELADATOK TÁMOGATÁSA ÖSSZESEN</t>
  </si>
  <si>
    <t>ÖSSZESEN</t>
  </si>
  <si>
    <t>3 főnek számító</t>
  </si>
  <si>
    <t>2 főnek számító</t>
  </si>
  <si>
    <t>működtetési támogatás Ft/fő/év</t>
  </si>
  <si>
    <t>KIK</t>
  </si>
  <si>
    <t>Adminisztrátor</t>
  </si>
  <si>
    <t>Kiadások</t>
  </si>
  <si>
    <t>Martonvásár munkaszervezeti feladat</t>
  </si>
  <si>
    <t xml:space="preserve">     Házi segítségnyújtás - társulási kiegészítéssel (188.500 Ft/fő)</t>
  </si>
  <si>
    <t xml:space="preserve">     Idősek klubja - társulási kiegészítéssel (163.500 Ft/fő)</t>
  </si>
  <si>
    <t>SNI-vel növ lsz</t>
  </si>
  <si>
    <t>CS: csop.átlagl</t>
  </si>
  <si>
    <t>Feh: fogl.együtth</t>
  </si>
  <si>
    <t>Közp.Irányítás</t>
  </si>
  <si>
    <t>V1: vez.köt.lét</t>
  </si>
  <si>
    <t>Vi1: vez.köt órasz</t>
  </si>
  <si>
    <t>PSZ:ped.lsz</t>
  </si>
  <si>
    <t>VK</t>
  </si>
  <si>
    <t>Vez.nélk.ped.lsz</t>
  </si>
  <si>
    <t>Ker.</t>
  </si>
  <si>
    <t>Óvi ped átlagbér elismert összege:</t>
  </si>
  <si>
    <t>Tám. Összege</t>
  </si>
  <si>
    <t>8hónap</t>
  </si>
  <si>
    <t>4hónap</t>
  </si>
  <si>
    <t>Dajka létszám</t>
  </si>
  <si>
    <t>Óvi titkár</t>
  </si>
  <si>
    <t>Ped.asszisztens</t>
  </si>
  <si>
    <t>Óvoda ped.seg. bére:</t>
  </si>
  <si>
    <t>Összeg</t>
  </si>
  <si>
    <r>
      <t>Óvoda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</si>
  <si>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Szent László Völgye Segítő Szolgálat költségvetése</t>
  </si>
  <si>
    <t>Társulás költségvetése</t>
  </si>
  <si>
    <t>Eredeti előirányzat</t>
  </si>
  <si>
    <t>Módosított előirányzat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</si>
  <si>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</si>
  <si>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</si>
  <si>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</si>
  <si>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</si>
  <si>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</si>
  <si>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</si>
  <si>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</si>
  <si>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</si>
  <si>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</si>
  <si>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</si>
  <si>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</si>
  <si>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</si>
  <si>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</si>
  <si>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</si>
  <si>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</si>
  <si>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</si>
  <si>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</si>
  <si>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</si>
  <si>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</si>
  <si>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Szent László Völgye - Bóbita Óvoda költségvetése</t>
  </si>
  <si>
    <t>Teljesítés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</si>
  <si>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</si>
  <si>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</si>
  <si>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</si>
  <si>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</si>
  <si>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</si>
  <si>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</si>
  <si>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</si>
  <si>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</si>
  <si>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</si>
  <si>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</si>
  <si>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</si>
  <si>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</si>
  <si>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</si>
  <si>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</si>
  <si>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</si>
  <si>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</si>
  <si>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</si>
  <si>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</si>
  <si>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</si>
  <si>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</si>
  <si>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</si>
  <si>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</si>
  <si>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</si>
  <si>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</si>
  <si>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</si>
  <si>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</si>
  <si>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</si>
  <si>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</si>
  <si>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</si>
  <si>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</si>
  <si>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</si>
  <si>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</si>
  <si>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</si>
  <si>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</si>
  <si>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</si>
  <si>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</si>
  <si>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</si>
  <si>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</si>
  <si>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</si>
  <si>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</si>
  <si>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</si>
  <si>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</si>
  <si>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</si>
  <si>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</si>
  <si>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</si>
  <si>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</si>
  <si>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</si>
  <si>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</si>
  <si>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</si>
  <si>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</si>
  <si>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</si>
  <si>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</si>
  <si>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</si>
  <si>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</si>
  <si>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</si>
  <si>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</si>
  <si>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</si>
  <si>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</si>
  <si>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</si>
  <si>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</si>
  <si>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</si>
  <si>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</si>
  <si>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</si>
  <si>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</si>
  <si>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</si>
  <si>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</si>
  <si>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</si>
  <si>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</si>
  <si>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</si>
  <si>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</si>
  <si>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</si>
  <si>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</si>
  <si>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</si>
  <si>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</si>
  <si>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</si>
  <si>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</si>
  <si>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</si>
  <si>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</si>
  <si>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</si>
  <si>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</si>
  <si>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</si>
  <si>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</si>
  <si>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</si>
  <si>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</si>
  <si>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</si>
  <si>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</si>
  <si>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</si>
  <si>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</si>
  <si>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</si>
  <si>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</si>
  <si>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</si>
  <si>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</si>
  <si>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</si>
  <si>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</si>
  <si>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</si>
  <si>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</si>
  <si>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</si>
  <si>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</si>
  <si>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</si>
  <si>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</si>
  <si>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</si>
  <si>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</si>
  <si>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</si>
  <si>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</si>
  <si>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</si>
  <si>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</si>
  <si>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</si>
  <si>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</si>
  <si>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</si>
  <si>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</si>
  <si>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</si>
  <si>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</si>
  <si>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</si>
  <si>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</si>
  <si>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</si>
  <si>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</si>
  <si>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</si>
  <si>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</si>
  <si>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</si>
  <si>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</si>
  <si>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</si>
  <si>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</si>
  <si>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</si>
  <si>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</si>
  <si>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</si>
  <si>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</si>
  <si>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</si>
  <si>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</si>
  <si>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</si>
  <si>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</si>
  <si>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</si>
  <si>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</si>
  <si>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</si>
  <si>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</si>
  <si>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 xml:space="preserve">Egyéb szolgáltatások 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</si>
  <si>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</si>
  <si>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</si>
  <si>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</si>
  <si>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</si>
  <si>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</si>
  <si>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</si>
  <si>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</si>
  <si>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</si>
  <si>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</si>
  <si>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</si>
  <si>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</si>
  <si>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</si>
  <si>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</si>
  <si>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</si>
  <si>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</si>
  <si>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</si>
  <si>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</si>
  <si>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</si>
  <si>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</si>
  <si>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</si>
  <si>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</si>
  <si>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</si>
  <si>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</si>
  <si>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</si>
  <si>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</si>
  <si>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</si>
  <si>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</si>
  <si>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</si>
  <si>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</si>
  <si>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</si>
  <si>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</si>
  <si>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</si>
  <si>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</si>
  <si>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</si>
  <si>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</si>
  <si>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</si>
  <si>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</si>
  <si>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</si>
  <si>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munkaadót a foglalkoztatottak részére történő kifizetésekkel kapcsolatban terhelő más járulék jellegű kötelezettségek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</si>
  <si>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</si>
  <si>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</si>
  <si>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</si>
  <si>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</si>
  <si>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</si>
  <si>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</si>
  <si>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</si>
  <si>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Óvodaped pótlólagos bértám</t>
  </si>
  <si>
    <t>Étkeztetés bér alapútámogatása Ft/fő/év</t>
  </si>
  <si>
    <t>Elismert Dolgozói létszám</t>
  </si>
  <si>
    <t>100% kedv 3*étk</t>
  </si>
  <si>
    <t>50% kedv 3*étk</t>
  </si>
  <si>
    <t>Nem kedvezményes</t>
  </si>
  <si>
    <t>Összes étkező</t>
  </si>
  <si>
    <t>Feladatellátási hely tényezőszáma</t>
  </si>
  <si>
    <t>4-6 hely:</t>
  </si>
  <si>
    <t>Étkeztetés dologi kiadásra támogatás</t>
  </si>
  <si>
    <t>Összes kiadás</t>
  </si>
  <si>
    <t>Térítési díj</t>
  </si>
  <si>
    <t>Elvárt tér.díj</t>
  </si>
  <si>
    <t>Csökkentő tétel</t>
  </si>
  <si>
    <t>eredeti Ft</t>
  </si>
  <si>
    <t xml:space="preserve">     Családi napközi ellátás (348.660 Ft/fő)</t>
  </si>
  <si>
    <t>KIADÁSOK ÖSSZESEN</t>
  </si>
  <si>
    <t>REGIONÁLIS TAGÓVODA</t>
  </si>
  <si>
    <t>BÓBITA ÓVODA</t>
  </si>
  <si>
    <t xml:space="preserve">MESEVÁR TAGÓVODA </t>
  </si>
  <si>
    <t>ebből: normatív támogatás</t>
  </si>
  <si>
    <t>ebből: önkormányzati hozzájárulás</t>
  </si>
  <si>
    <t>Vál</t>
  </si>
  <si>
    <t>SZENT LÁSZLÓ VÖLGYE - BÓBITA ÓVODA ÖSSZESEN</t>
  </si>
  <si>
    <t>kerekítve</t>
  </si>
  <si>
    <t>Dajka és konyhai kisegítő</t>
  </si>
  <si>
    <t>Bóbita Óvoda</t>
  </si>
  <si>
    <t>Bóbita Óvoda Összesen</t>
  </si>
  <si>
    <t>Áfa</t>
  </si>
  <si>
    <t>Beruházás áfa</t>
  </si>
  <si>
    <t>K506</t>
  </si>
  <si>
    <t>Egyéb működési célú támogatások államháztartáson belülre</t>
  </si>
  <si>
    <t>K512</t>
  </si>
  <si>
    <t>Tartalékok</t>
  </si>
  <si>
    <t>EGYENLEG ÖSSZESEN</t>
  </si>
  <si>
    <t>Megbontás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</si>
  <si>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</si>
  <si>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</si>
  <si>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</si>
  <si>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</si>
  <si>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</si>
  <si>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</si>
  <si>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</si>
  <si>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>B) Óvodai neveléshez</t>
  </si>
  <si>
    <t xml:space="preserve">Gyúró  </t>
  </si>
  <si>
    <t>C) Szociális ellátásokhoz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</si>
  <si>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</si>
  <si>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</si>
  <si>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</si>
  <si>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</si>
  <si>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</si>
  <si>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</si>
  <si>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Baracska </t>
  </si>
  <si>
    <t xml:space="preserve">Kajászó </t>
  </si>
  <si>
    <t xml:space="preserve">Ráckeresztúr </t>
  </si>
  <si>
    <t xml:space="preserve">Tordas </t>
  </si>
  <si>
    <t>társulási feladatarányosan</t>
  </si>
  <si>
    <t>D) Tagdíjhoz</t>
  </si>
  <si>
    <t>A) Központi orvosi ügyelethez</t>
  </si>
  <si>
    <t>Közoktatás</t>
  </si>
  <si>
    <t>Szociális ellátás</t>
  </si>
  <si>
    <t>ÖNKORMÁNYZATI HOZZÁJÁRULÁSOK ÖSSZESEN</t>
  </si>
  <si>
    <t>E) Belső ellenőrzéshez</t>
  </si>
  <si>
    <t>F) Munkaszervezeti feladatokhoz</t>
  </si>
  <si>
    <t>H) Normatív támogatás átvétel</t>
  </si>
  <si>
    <t>belső ell.</t>
  </si>
  <si>
    <t>ell.nap száma</t>
  </si>
  <si>
    <t>ell.naponként Ft</t>
  </si>
  <si>
    <t>ebből TB PÉNZÜGYI ALAPJAI</t>
  </si>
  <si>
    <t>ebből ÖNKORMÁNYZATI HOZZÁJÁRULÁSOK</t>
  </si>
  <si>
    <t>Gyúró óvoda üzemeltetés</t>
  </si>
  <si>
    <t>Tordas óvoda üzemeltetés</t>
  </si>
  <si>
    <t>Műk. célú átvett pénzeszközök Áh kívülről</t>
  </si>
  <si>
    <t>Felhalmozásra átvett pénzeszközök Áh kívülről</t>
  </si>
  <si>
    <t>ebből: szeptemberi óvodai béremelés tartaléka</t>
  </si>
  <si>
    <t>ebből: fel nem használt bértámogatás tartaléka</t>
  </si>
  <si>
    <t>ebből: pénzügyi alap tartaléka</t>
  </si>
  <si>
    <t>ebből: pénzmaradvány miatti tartalék</t>
  </si>
  <si>
    <t>Baracska (4csop)</t>
  </si>
  <si>
    <t xml:space="preserve">Gyúró (2csop)     </t>
  </si>
  <si>
    <t xml:space="preserve">Tordas (4csop)        </t>
  </si>
  <si>
    <t xml:space="preserve">Regionális Tagóvoda (2csop)     </t>
  </si>
  <si>
    <t>G) Irányítószervi feladatokhoz</t>
  </si>
  <si>
    <t>K915</t>
  </si>
  <si>
    <t>IDŐSEK - CSALÁDI NAPKÖZI</t>
  </si>
  <si>
    <t>Martonvásár normatíva átadás</t>
  </si>
  <si>
    <t>Normatíva átadás összesen</t>
  </si>
  <si>
    <t>MINDÖSSZESEN</t>
  </si>
  <si>
    <t>Tárgyévi terv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</si>
  <si>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</si>
  <si>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</si>
  <si>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</si>
  <si>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</si>
  <si>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</si>
  <si>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</si>
  <si>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</si>
  <si>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</si>
  <si>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</si>
  <si>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</si>
  <si>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</si>
  <si>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</si>
  <si>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</si>
  <si>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</si>
  <si>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</si>
  <si>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szolgáltatások (Martongazda kft., bankköltségek, üzemorvos, posta költség)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</si>
  <si>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</si>
  <si>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</si>
  <si>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</si>
  <si>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 xml:space="preserve">Üzemeltetési anyagok beszerzése (üzemanyag, tisztító szerek, irodaszer) </t>
  </si>
  <si>
    <t>Intézményvezető-helyettes</t>
  </si>
  <si>
    <t>2015. évi eredeti előirányzat</t>
  </si>
  <si>
    <t>2015/2016 4 hó</t>
  </si>
  <si>
    <t>2015. évre</t>
  </si>
  <si>
    <t>Óvodaped. Minősítés</t>
  </si>
  <si>
    <t>Ped. II. fokozat</t>
  </si>
  <si>
    <t>Támogatás</t>
  </si>
  <si>
    <t>Kieg.tám. Óvodaped. Minősítéshez</t>
  </si>
  <si>
    <t>Ell.éves díja</t>
  </si>
  <si>
    <t>Ell.napok</t>
  </si>
  <si>
    <t>1nap díja</t>
  </si>
  <si>
    <t>Szent László Völgye Segítő Szolgálat</t>
  </si>
  <si>
    <t>Szent László Völgye - Bóbita Óvoda</t>
  </si>
  <si>
    <t>Pedagógiai asszisztens</t>
  </si>
  <si>
    <t>2016. évi eredeti előirányzat</t>
  </si>
  <si>
    <t>2016. évi módosított előirányzat</t>
  </si>
  <si>
    <t>2016.évi teljesítés</t>
  </si>
  <si>
    <t>2016. évi teljesítés</t>
  </si>
  <si>
    <t>CSALÁD- ÉS GYERMEKJÓLÉTI KÖZPONT</t>
  </si>
  <si>
    <t>CSALÁD- ÉS GYERMEKJÓLÉTI SZOLGÁLAT</t>
  </si>
  <si>
    <t>SZOCIÁLIS ÉTKEZTETÉS</t>
  </si>
  <si>
    <t>Összeg Ft</t>
  </si>
  <si>
    <t>júniusi lemondás</t>
  </si>
  <si>
    <t>októberi lemondás</t>
  </si>
  <si>
    <t>júniusi lemondás Ft</t>
  </si>
  <si>
    <t>októberi lemondás Ft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</si>
  <si>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</si>
  <si>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</si>
  <si>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</si>
  <si>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Falugondnoki feladatellátás (2.500.000Ft)</t>
  </si>
  <si>
    <t xml:space="preserve">     Támogató szolgáltatás</t>
  </si>
  <si>
    <t>kerekítés</t>
  </si>
  <si>
    <t>OKTÓBERI MÓDOSÍTÁS</t>
  </si>
  <si>
    <t>2015/2016 8 hó</t>
  </si>
  <si>
    <t>2016/2017 4 hó</t>
  </si>
  <si>
    <t>Támogatás alapja</t>
  </si>
  <si>
    <t>2016. évre</t>
  </si>
  <si>
    <t>októberi módosítás</t>
  </si>
  <si>
    <t>2016. évi eredeti ei</t>
  </si>
  <si>
    <t>Egyéb dologi kiadások (biztosítás, műszaki vizsga)</t>
  </si>
  <si>
    <t>2015. évi</t>
  </si>
  <si>
    <t>2016. évi</t>
  </si>
  <si>
    <t>lakosszám 2015.01.01.</t>
  </si>
  <si>
    <t>2015. évi eredeti ei</t>
  </si>
  <si>
    <t>2016. évi mód. ei</t>
  </si>
  <si>
    <t>2015. évi eredeti ei.</t>
  </si>
  <si>
    <t>2016. évi eredeti ei.</t>
  </si>
  <si>
    <t xml:space="preserve">     Beruházási célra átvett p.eszköz Család- és gyermekjóléti központra</t>
  </si>
  <si>
    <t>BERUHÁZÁSI PÉNZESZKÖZ ÁTVÉTEL ÖSSZESEN</t>
  </si>
  <si>
    <t>Martonvásár beruházási pe. Átadás</t>
  </si>
</sst>
</file>

<file path=xl/styles.xml><?xml version="1.0" encoding="utf-8"?>
<styleSheet xmlns="http://schemas.openxmlformats.org/spreadsheetml/2006/main">
  <numFmts count="9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_ ;\-#,##0\ "/>
    <numFmt numFmtId="169" formatCode="#,##0\ _F_t"/>
    <numFmt numFmtId="170" formatCode="0.0000"/>
    <numFmt numFmtId="171" formatCode="0__"/>
  </numFmts>
  <fonts count="48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2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3" fillId="0" borderId="0"/>
  </cellStyleXfs>
  <cellXfs count="960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0" fontId="28" fillId="0" borderId="28" xfId="0" applyFont="1" applyFill="1" applyBorder="1" applyAlignment="1">
      <alignment wrapText="1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33" xfId="0" applyNumberFormat="1" applyFont="1" applyFill="1" applyBorder="1" applyAlignment="1">
      <alignment horizontal="right"/>
    </xf>
    <xf numFmtId="3" fontId="21" fillId="0" borderId="34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right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1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168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8" xfId="0" applyFont="1" applyFill="1" applyBorder="1"/>
    <xf numFmtId="0" fontId="26" fillId="0" borderId="49" xfId="0" applyFont="1" applyFill="1" applyBorder="1"/>
    <xf numFmtId="0" fontId="26" fillId="0" borderId="50" xfId="0" applyFont="1" applyFill="1" applyBorder="1"/>
    <xf numFmtId="0" fontId="21" fillId="0" borderId="58" xfId="0" applyFont="1" applyFill="1" applyBorder="1"/>
    <xf numFmtId="3" fontId="21" fillId="0" borderId="33" xfId="0" applyNumberFormat="1" applyFont="1" applyFill="1" applyBorder="1"/>
    <xf numFmtId="3" fontId="21" fillId="0" borderId="24" xfId="0" applyNumberFormat="1" applyFont="1" applyFill="1" applyBorder="1"/>
    <xf numFmtId="0" fontId="21" fillId="0" borderId="59" xfId="0" applyFont="1" applyFill="1" applyBorder="1"/>
    <xf numFmtId="0" fontId="28" fillId="0" borderId="14" xfId="0" applyFont="1" applyFill="1" applyBorder="1"/>
    <xf numFmtId="3" fontId="28" fillId="0" borderId="60" xfId="0" applyNumberFormat="1" applyFont="1" applyFill="1" applyBorder="1"/>
    <xf numFmtId="3" fontId="28" fillId="0" borderId="26" xfId="0" applyNumberFormat="1" applyFont="1" applyFill="1" applyBorder="1"/>
    <xf numFmtId="2" fontId="21" fillId="0" borderId="0" xfId="0" applyNumberFormat="1" applyFont="1" applyFill="1"/>
    <xf numFmtId="3" fontId="21" fillId="0" borderId="49" xfId="0" applyNumberFormat="1" applyFont="1" applyFill="1" applyBorder="1"/>
    <xf numFmtId="3" fontId="21" fillId="0" borderId="50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3" fontId="21" fillId="0" borderId="0" xfId="0" quotePrefix="1" applyNumberFormat="1" applyFont="1" applyFill="1" applyAlignment="1">
      <alignment vertical="center"/>
    </xf>
    <xf numFmtId="3" fontId="21" fillId="0" borderId="0" xfId="0" applyNumberFormat="1" applyFont="1" applyFill="1" applyAlignment="1"/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7" fillId="0" borderId="26" xfId="0" applyFont="1" applyFill="1" applyBorder="1" applyAlignment="1">
      <alignment horizontal="center" vertical="center" wrapText="1"/>
    </xf>
    <xf numFmtId="0" fontId="27" fillId="0" borderId="60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3" fontId="21" fillId="0" borderId="65" xfId="0" applyNumberFormat="1" applyFont="1" applyFill="1" applyBorder="1"/>
    <xf numFmtId="3" fontId="21" fillId="0" borderId="58" xfId="0" applyNumberFormat="1" applyFont="1" applyFill="1" applyBorder="1"/>
    <xf numFmtId="3" fontId="28" fillId="0" borderId="14" xfId="0" applyNumberFormat="1" applyFont="1" applyFill="1" applyBorder="1"/>
    <xf numFmtId="0" fontId="32" fillId="0" borderId="0" xfId="78" applyFont="1" applyFill="1"/>
    <xf numFmtId="0" fontId="26" fillId="0" borderId="48" xfId="78" applyFont="1" applyFill="1" applyBorder="1"/>
    <xf numFmtId="0" fontId="26" fillId="0" borderId="49" xfId="78" applyFont="1" applyFill="1" applyBorder="1"/>
    <xf numFmtId="0" fontId="26" fillId="0" borderId="50" xfId="78" applyFont="1" applyFill="1" applyBorder="1"/>
    <xf numFmtId="167" fontId="21" fillId="0" borderId="0" xfId="0" applyNumberFormat="1" applyFont="1" applyFill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21" fillId="0" borderId="17" xfId="0" applyNumberFormat="1" applyFont="1" applyFill="1" applyBorder="1"/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80" xfId="0" applyNumberFormat="1" applyFont="1" applyFill="1" applyBorder="1" applyAlignment="1">
      <alignment horizontal="center" vertical="center" wrapText="1"/>
    </xf>
    <xf numFmtId="3" fontId="30" fillId="0" borderId="57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80" xfId="0" applyNumberFormat="1" applyFont="1" applyFill="1" applyBorder="1"/>
    <xf numFmtId="3" fontId="21" fillId="0" borderId="28" xfId="0" applyNumberFormat="1" applyFont="1" applyFill="1" applyBorder="1"/>
    <xf numFmtId="0" fontId="21" fillId="0" borderId="55" xfId="0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65" xfId="0" applyFont="1" applyFill="1" applyBorder="1"/>
    <xf numFmtId="0" fontId="27" fillId="0" borderId="32" xfId="0" applyFont="1" applyFill="1" applyBorder="1" applyAlignment="1">
      <alignment horizontal="center" vertical="center" wrapText="1"/>
    </xf>
    <xf numFmtId="3" fontId="28" fillId="0" borderId="32" xfId="0" applyNumberFormat="1" applyFont="1" applyFill="1" applyBorder="1"/>
    <xf numFmtId="3" fontId="21" fillId="0" borderId="59" xfId="0" applyNumberFormat="1" applyFont="1" applyFill="1" applyBorder="1"/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0" fontId="19" fillId="0" borderId="0" xfId="77" applyFont="1"/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0" fontId="21" fillId="0" borderId="39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169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170" fontId="26" fillId="0" borderId="0" xfId="0" applyNumberFormat="1" applyFont="1" applyFill="1" applyBorder="1" applyAlignment="1">
      <alignment vertical="center"/>
    </xf>
    <xf numFmtId="3" fontId="32" fillId="0" borderId="0" xfId="0" applyNumberFormat="1" applyFont="1" applyFill="1" applyBorder="1" applyAlignment="1">
      <alignment vertical="center"/>
    </xf>
    <xf numFmtId="169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6" fillId="0" borderId="0" xfId="0" applyFont="1" applyFill="1" applyAlignment="1">
      <alignment vertical="center" wrapText="1"/>
    </xf>
    <xf numFmtId="3" fontId="26" fillId="0" borderId="0" xfId="0" applyNumberFormat="1" applyFont="1" applyFill="1" applyAlignment="1">
      <alignment horizontal="right" vertical="center"/>
    </xf>
    <xf numFmtId="0" fontId="26" fillId="0" borderId="48" xfId="0" applyFont="1" applyFill="1" applyBorder="1" applyAlignment="1">
      <alignment vertical="center" wrapText="1"/>
    </xf>
    <xf numFmtId="3" fontId="26" fillId="0" borderId="48" xfId="0" applyNumberFormat="1" applyFont="1" applyFill="1" applyBorder="1" applyAlignment="1">
      <alignment horizontal="right" vertical="center"/>
    </xf>
    <xf numFmtId="0" fontId="26" fillId="0" borderId="48" xfId="0" applyFont="1" applyFill="1" applyBorder="1" applyAlignment="1">
      <alignment vertical="center"/>
    </xf>
    <xf numFmtId="169" fontId="26" fillId="0" borderId="48" xfId="0" applyNumberFormat="1" applyFont="1" applyFill="1" applyBorder="1" applyAlignment="1">
      <alignment vertical="center"/>
    </xf>
    <xf numFmtId="0" fontId="26" fillId="0" borderId="49" xfId="0" applyFont="1" applyFill="1" applyBorder="1" applyAlignment="1">
      <alignment vertical="center" wrapText="1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49" xfId="0" applyFont="1" applyFill="1" applyBorder="1" applyAlignment="1">
      <alignment vertical="center"/>
    </xf>
    <xf numFmtId="169" fontId="26" fillId="0" borderId="49" xfId="0" applyNumberFormat="1" applyFont="1" applyFill="1" applyBorder="1" applyAlignment="1">
      <alignment vertical="center"/>
    </xf>
    <xf numFmtId="0" fontId="26" fillId="0" borderId="50" xfId="0" applyFont="1" applyFill="1" applyBorder="1" applyAlignment="1">
      <alignment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6" fillId="0" borderId="50" xfId="0" applyFont="1" applyFill="1" applyBorder="1" applyAlignment="1">
      <alignment vertical="center"/>
    </xf>
    <xf numFmtId="169" fontId="26" fillId="0" borderId="50" xfId="0" applyNumberFormat="1" applyFont="1" applyFill="1" applyBorder="1" applyAlignment="1">
      <alignment vertical="center"/>
    </xf>
    <xf numFmtId="169" fontId="26" fillId="0" borderId="0" xfId="0" applyNumberFormat="1" applyFont="1" applyFill="1" applyAlignment="1">
      <alignment vertical="center"/>
    </xf>
    <xf numFmtId="0" fontId="28" fillId="0" borderId="70" xfId="0" applyFont="1" applyFill="1" applyBorder="1" applyAlignment="1">
      <alignment wrapText="1"/>
    </xf>
    <xf numFmtId="0" fontId="21" fillId="0" borderId="16" xfId="0" applyFont="1" applyFill="1" applyBorder="1"/>
    <xf numFmtId="0" fontId="21" fillId="0" borderId="13" xfId="0" applyFont="1" applyFill="1" applyBorder="1"/>
    <xf numFmtId="0" fontId="28" fillId="0" borderId="25" xfId="0" applyFont="1" applyFill="1" applyBorder="1"/>
    <xf numFmtId="3" fontId="21" fillId="0" borderId="73" xfId="0" applyNumberFormat="1" applyFont="1" applyFill="1" applyBorder="1"/>
    <xf numFmtId="3" fontId="21" fillId="0" borderId="90" xfId="0" applyNumberFormat="1" applyFont="1" applyFill="1" applyBorder="1"/>
    <xf numFmtId="3" fontId="21" fillId="0" borderId="82" xfId="0" applyNumberFormat="1" applyFont="1" applyFill="1" applyBorder="1"/>
    <xf numFmtId="3" fontId="21" fillId="0" borderId="31" xfId="0" applyNumberFormat="1" applyFont="1" applyFill="1" applyBorder="1"/>
    <xf numFmtId="0" fontId="21" fillId="0" borderId="0" xfId="0" applyFont="1" applyFill="1" applyAlignment="1">
      <alignment horizontal="left" vertical="center"/>
    </xf>
    <xf numFmtId="3" fontId="21" fillId="0" borderId="101" xfId="0" applyNumberFormat="1" applyFont="1" applyFill="1" applyBorder="1"/>
    <xf numFmtId="3" fontId="28" fillId="0" borderId="78" xfId="0" applyNumberFormat="1" applyFont="1" applyFill="1" applyBorder="1"/>
    <xf numFmtId="0" fontId="28" fillId="0" borderId="78" xfId="0" applyFont="1" applyFill="1" applyBorder="1"/>
    <xf numFmtId="0" fontId="19" fillId="0" borderId="0" xfId="77" applyFont="1" applyBorder="1"/>
    <xf numFmtId="3" fontId="21" fillId="0" borderId="103" xfId="54" applyNumberFormat="1" applyFont="1" applyFill="1" applyBorder="1" applyAlignment="1">
      <alignment horizontal="right"/>
    </xf>
    <xf numFmtId="3" fontId="21" fillId="0" borderId="76" xfId="54" applyNumberFormat="1" applyFont="1" applyFill="1" applyBorder="1" applyAlignment="1">
      <alignment horizontal="right"/>
    </xf>
    <xf numFmtId="3" fontId="28" fillId="28" borderId="75" xfId="0" applyNumberFormat="1" applyFont="1" applyFill="1" applyBorder="1" applyAlignment="1">
      <alignment vertical="center"/>
    </xf>
    <xf numFmtId="168" fontId="28" fillId="28" borderId="75" xfId="54" applyNumberFormat="1" applyFont="1" applyFill="1" applyBorder="1" applyAlignment="1">
      <alignment vertical="center"/>
    </xf>
    <xf numFmtId="0" fontId="28" fillId="0" borderId="109" xfId="0" applyFont="1" applyBorder="1" applyAlignment="1">
      <alignment horizontal="center" vertical="center"/>
    </xf>
    <xf numFmtId="0" fontId="21" fillId="0" borderId="16" xfId="0" applyFont="1" applyBorder="1"/>
    <xf numFmtId="0" fontId="21" fillId="0" borderId="13" xfId="0" applyFont="1" applyBorder="1"/>
    <xf numFmtId="0" fontId="28" fillId="27" borderId="110" xfId="0" applyFont="1" applyFill="1" applyBorder="1" applyAlignment="1">
      <alignment horizontal="center" vertical="center" wrapText="1"/>
    </xf>
    <xf numFmtId="3" fontId="21" fillId="0" borderId="52" xfId="0" applyNumberFormat="1" applyFont="1" applyBorder="1"/>
    <xf numFmtId="3" fontId="21" fillId="0" borderId="68" xfId="0" applyNumberFormat="1" applyFont="1" applyBorder="1"/>
    <xf numFmtId="3" fontId="21" fillId="0" borderId="68" xfId="0" applyNumberFormat="1" applyFont="1" applyFill="1" applyBorder="1"/>
    <xf numFmtId="0" fontId="28" fillId="27" borderId="111" xfId="0" applyFont="1" applyFill="1" applyBorder="1" applyAlignment="1">
      <alignment horizontal="center" vertical="center" wrapText="1"/>
    </xf>
    <xf numFmtId="3" fontId="21" fillId="0" borderId="48" xfId="0" applyNumberFormat="1" applyFont="1" applyBorder="1"/>
    <xf numFmtId="3" fontId="21" fillId="0" borderId="49" xfId="0" applyNumberFormat="1" applyFont="1" applyBorder="1"/>
    <xf numFmtId="0" fontId="21" fillId="27" borderId="18" xfId="0" applyFont="1" applyFill="1" applyBorder="1"/>
    <xf numFmtId="3" fontId="21" fillId="27" borderId="67" xfId="0" applyNumberFormat="1" applyFont="1" applyFill="1" applyBorder="1"/>
    <xf numFmtId="3" fontId="21" fillId="27" borderId="50" xfId="0" applyNumberFormat="1" applyFont="1" applyFill="1" applyBorder="1"/>
    <xf numFmtId="0" fontId="28" fillId="0" borderId="29" xfId="0" applyFont="1" applyBorder="1" applyAlignment="1">
      <alignment vertical="center"/>
    </xf>
    <xf numFmtId="3" fontId="28" fillId="0" borderId="99" xfId="0" applyNumberFormat="1" applyFont="1" applyBorder="1" applyAlignment="1">
      <alignment vertical="center"/>
    </xf>
    <xf numFmtId="3" fontId="28" fillId="0" borderId="104" xfId="0" applyNumberFormat="1" applyFont="1" applyBorder="1" applyAlignment="1">
      <alignment vertical="center"/>
    </xf>
    <xf numFmtId="3" fontId="21" fillId="0" borderId="68" xfId="0" applyNumberFormat="1" applyFont="1" applyBorder="1" applyAlignment="1">
      <alignment wrapText="1"/>
    </xf>
    <xf numFmtId="0" fontId="35" fillId="27" borderId="67" xfId="0" applyFont="1" applyFill="1" applyBorder="1"/>
    <xf numFmtId="3" fontId="21" fillId="0" borderId="49" xfId="0" applyNumberFormat="1" applyFont="1" applyBorder="1" applyAlignment="1">
      <alignment wrapText="1"/>
    </xf>
    <xf numFmtId="3" fontId="21" fillId="0" borderId="50" xfId="0" applyNumberFormat="1" applyFont="1" applyBorder="1"/>
    <xf numFmtId="9" fontId="28" fillId="0" borderId="112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72" xfId="0" applyNumberFormat="1" applyFont="1" applyBorder="1" applyAlignment="1">
      <alignment vertical="center"/>
    </xf>
    <xf numFmtId="0" fontId="21" fillId="0" borderId="13" xfId="0" applyFont="1" applyBorder="1" applyProtection="1">
      <protection locked="0" hidden="1"/>
    </xf>
    <xf numFmtId="168" fontId="21" fillId="0" borderId="52" xfId="54" applyNumberFormat="1" applyFont="1" applyBorder="1" applyAlignment="1"/>
    <xf numFmtId="168" fontId="21" fillId="0" borderId="68" xfId="54" applyNumberFormat="1" applyFont="1" applyBorder="1" applyAlignment="1"/>
    <xf numFmtId="168" fontId="21" fillId="0" borderId="68" xfId="54" applyNumberFormat="1" applyFont="1" applyBorder="1" applyAlignment="1">
      <alignment horizontal="right"/>
    </xf>
    <xf numFmtId="168" fontId="21" fillId="0" borderId="48" xfId="54" applyNumberFormat="1" applyFont="1" applyBorder="1" applyAlignment="1"/>
    <xf numFmtId="168" fontId="21" fillId="0" borderId="49" xfId="54" applyNumberFormat="1" applyFont="1" applyBorder="1" applyAlignment="1"/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168" fontId="28" fillId="28" borderId="37" xfId="54" applyNumberFormat="1" applyFont="1" applyFill="1" applyBorder="1" applyAlignment="1">
      <alignment vertical="center"/>
    </xf>
    <xf numFmtId="0" fontId="28" fillId="0" borderId="71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102" xfId="0" applyNumberFormat="1" applyFont="1" applyBorder="1" applyAlignment="1">
      <alignment vertical="center"/>
    </xf>
    <xf numFmtId="0" fontId="21" fillId="0" borderId="18" xfId="0" applyFont="1" applyBorder="1"/>
    <xf numFmtId="3" fontId="21" fillId="0" borderId="67" xfId="0" applyNumberFormat="1" applyFont="1" applyFill="1" applyBorder="1"/>
    <xf numFmtId="168" fontId="21" fillId="0" borderId="67" xfId="54" applyNumberFormat="1" applyFont="1" applyBorder="1" applyAlignment="1"/>
    <xf numFmtId="168" fontId="21" fillId="0" borderId="50" xfId="54" applyNumberFormat="1" applyFont="1" applyBorder="1" applyAlignment="1"/>
    <xf numFmtId="168" fontId="28" fillId="0" borderId="99" xfId="54" applyNumberFormat="1" applyFont="1" applyBorder="1" applyAlignment="1">
      <alignment vertical="center"/>
    </xf>
    <xf numFmtId="168" fontId="28" fillId="0" borderId="104" xfId="54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9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left" vertical="center"/>
    </xf>
    <xf numFmtId="0" fontId="21" fillId="0" borderId="84" xfId="0" applyFont="1" applyFill="1" applyBorder="1" applyAlignment="1">
      <alignment horizontal="left" vertical="center"/>
    </xf>
    <xf numFmtId="0" fontId="21" fillId="0" borderId="68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/>
    </xf>
    <xf numFmtId="0" fontId="29" fillId="0" borderId="86" xfId="0" applyFont="1" applyFill="1" applyBorder="1" applyAlignment="1">
      <alignment horizontal="left" vertical="center" wrapText="1" indent="5"/>
    </xf>
    <xf numFmtId="0" fontId="36" fillId="0" borderId="49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0" fontId="21" fillId="0" borderId="33" xfId="0" applyFont="1" applyFill="1" applyBorder="1" applyAlignment="1">
      <alignment wrapText="1"/>
    </xf>
    <xf numFmtId="168" fontId="21" fillId="0" borderId="33" xfId="54" applyNumberFormat="1" applyFont="1" applyFill="1" applyBorder="1" applyAlignment="1">
      <alignment wrapText="1"/>
    </xf>
    <xf numFmtId="171" fontId="38" fillId="0" borderId="49" xfId="75" applyNumberFormat="1" applyFont="1" applyFill="1" applyBorder="1" applyAlignment="1">
      <alignment horizontal="left" vertical="center" wrapText="1"/>
    </xf>
    <xf numFmtId="0" fontId="21" fillId="0" borderId="106" xfId="0" applyFont="1" applyFill="1" applyBorder="1" applyAlignment="1">
      <alignment vertical="center"/>
    </xf>
    <xf numFmtId="165" fontId="26" fillId="0" borderId="0" xfId="0" applyNumberFormat="1" applyFont="1" applyFill="1" applyBorder="1" applyAlignment="1">
      <alignment vertical="center"/>
    </xf>
    <xf numFmtId="0" fontId="29" fillId="0" borderId="96" xfId="0" applyFont="1" applyFill="1" applyBorder="1" applyAlignment="1">
      <alignment horizontal="left" vertical="center"/>
    </xf>
    <xf numFmtId="0" fontId="21" fillId="0" borderId="95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96" xfId="0" applyFont="1" applyFill="1" applyBorder="1" applyAlignment="1">
      <alignment horizontal="left" vertical="center"/>
    </xf>
    <xf numFmtId="0" fontId="21" fillId="0" borderId="120" xfId="0" applyFont="1" applyFill="1" applyBorder="1" applyAlignment="1">
      <alignment horizontal="left" vertical="center"/>
    </xf>
    <xf numFmtId="3" fontId="21" fillId="0" borderId="103" xfId="0" applyNumberFormat="1" applyFont="1" applyFill="1" applyBorder="1" applyAlignment="1">
      <alignment horizontal="right"/>
    </xf>
    <xf numFmtId="0" fontId="36" fillId="0" borderId="48" xfId="75" applyFont="1" applyFill="1" applyBorder="1" applyAlignment="1">
      <alignment vertical="center" wrapText="1"/>
    </xf>
    <xf numFmtId="0" fontId="36" fillId="0" borderId="50" xfId="75" applyFont="1" applyFill="1" applyBorder="1" applyAlignment="1">
      <alignment vertical="center" wrapText="1"/>
    </xf>
    <xf numFmtId="0" fontId="37" fillId="0" borderId="72" xfId="75" applyFont="1" applyFill="1" applyBorder="1" applyAlignment="1">
      <alignment vertical="center" wrapText="1"/>
    </xf>
    <xf numFmtId="0" fontId="21" fillId="0" borderId="92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 indent="5"/>
    </xf>
    <xf numFmtId="0" fontId="21" fillId="0" borderId="87" xfId="0" applyFont="1" applyFill="1" applyBorder="1" applyAlignment="1">
      <alignment horizontal="left" vertical="center" wrapText="1"/>
    </xf>
    <xf numFmtId="0" fontId="21" fillId="0" borderId="88" xfId="0" applyFont="1" applyFill="1" applyBorder="1" applyAlignment="1">
      <alignment horizontal="left" vertical="center" wrapText="1"/>
    </xf>
    <xf numFmtId="0" fontId="21" fillId="0" borderId="122" xfId="0" applyFont="1" applyFill="1" applyBorder="1" applyAlignment="1">
      <alignment horizontal="left" vertical="center" wrapText="1"/>
    </xf>
    <xf numFmtId="3" fontId="21" fillId="0" borderId="34" xfId="0" applyNumberFormat="1" applyFont="1" applyFill="1" applyBorder="1" applyAlignment="1">
      <alignment wrapText="1"/>
    </xf>
    <xf numFmtId="3" fontId="21" fillId="0" borderId="103" xfId="0" applyNumberFormat="1" applyFont="1" applyFill="1" applyBorder="1" applyAlignment="1">
      <alignment wrapText="1"/>
    </xf>
    <xf numFmtId="0" fontId="28" fillId="0" borderId="122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171" fontId="38" fillId="0" borderId="48" xfId="75" applyNumberFormat="1" applyFont="1" applyFill="1" applyBorder="1" applyAlignment="1">
      <alignment horizontal="left" vertical="center" wrapText="1"/>
    </xf>
    <xf numFmtId="0" fontId="21" fillId="0" borderId="34" xfId="0" applyFont="1" applyFill="1" applyBorder="1" applyAlignment="1">
      <alignment wrapText="1"/>
    </xf>
    <xf numFmtId="168" fontId="21" fillId="0" borderId="34" xfId="54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wrapText="1"/>
    </xf>
    <xf numFmtId="0" fontId="21" fillId="0" borderId="36" xfId="0" applyFont="1" applyFill="1" applyBorder="1" applyAlignment="1">
      <alignment wrapText="1"/>
    </xf>
    <xf numFmtId="168" fontId="21" fillId="0" borderId="36" xfId="54" applyNumberFormat="1" applyFont="1" applyFill="1" applyBorder="1" applyAlignment="1">
      <alignment wrapText="1"/>
    </xf>
    <xf numFmtId="0" fontId="21" fillId="0" borderId="48" xfId="75" applyFont="1" applyFill="1" applyBorder="1" applyAlignment="1">
      <alignment vertical="center" wrapText="1"/>
    </xf>
    <xf numFmtId="0" fontId="29" fillId="0" borderId="50" xfId="75" applyFont="1" applyFill="1" applyBorder="1" applyAlignment="1">
      <alignment horizontal="left" vertical="center" wrapText="1"/>
    </xf>
    <xf numFmtId="3" fontId="28" fillId="0" borderId="60" xfId="54" applyNumberFormat="1" applyFont="1" applyFill="1" applyBorder="1" applyAlignment="1">
      <alignment wrapText="1"/>
    </xf>
    <xf numFmtId="0" fontId="28" fillId="0" borderId="60" xfId="0" applyFont="1" applyFill="1" applyBorder="1" applyAlignment="1">
      <alignment wrapText="1"/>
    </xf>
    <xf numFmtId="168" fontId="28" fillId="0" borderId="60" xfId="54" applyNumberFormat="1" applyFont="1" applyFill="1" applyBorder="1" applyAlignment="1">
      <alignment wrapText="1"/>
    </xf>
    <xf numFmtId="3" fontId="28" fillId="0" borderId="60" xfId="0" applyNumberFormat="1" applyFont="1" applyFill="1" applyBorder="1" applyAlignment="1">
      <alignment wrapText="1"/>
    </xf>
    <xf numFmtId="0" fontId="36" fillId="0" borderId="95" xfId="75" applyFont="1" applyFill="1" applyBorder="1" applyAlignment="1">
      <alignment horizontal="left" vertical="center"/>
    </xf>
    <xf numFmtId="0" fontId="36" fillId="0" borderId="84" xfId="75" applyFont="1" applyFill="1" applyBorder="1" applyAlignment="1">
      <alignment horizontal="left" vertical="center"/>
    </xf>
    <xf numFmtId="0" fontId="36" fillId="0" borderId="96" xfId="75" applyFont="1" applyFill="1" applyBorder="1" applyAlignment="1">
      <alignment horizontal="left" vertical="center"/>
    </xf>
    <xf numFmtId="0" fontId="37" fillId="0" borderId="39" xfId="75" applyFont="1" applyFill="1" applyBorder="1" applyAlignment="1">
      <alignment horizontal="left" vertical="center"/>
    </xf>
    <xf numFmtId="0" fontId="38" fillId="0" borderId="95" xfId="75" applyFont="1" applyFill="1" applyBorder="1" applyAlignment="1">
      <alignment horizontal="left" vertical="center"/>
    </xf>
    <xf numFmtId="0" fontId="38" fillId="0" borderId="84" xfId="75" applyFont="1" applyFill="1" applyBorder="1" applyAlignment="1">
      <alignment horizontal="left" vertical="center"/>
    </xf>
    <xf numFmtId="0" fontId="38" fillId="0" borderId="96" xfId="75" applyFont="1" applyFill="1" applyBorder="1" applyAlignment="1">
      <alignment horizontal="left" vertical="center" wrapText="1"/>
    </xf>
    <xf numFmtId="0" fontId="37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171" fontId="38" fillId="0" borderId="68" xfId="75" applyNumberFormat="1" applyFont="1" applyFill="1" applyBorder="1" applyAlignment="1">
      <alignment horizontal="left" vertical="center" wrapText="1"/>
    </xf>
    <xf numFmtId="3" fontId="21" fillId="0" borderId="82" xfId="0" applyNumberFormat="1" applyFont="1" applyFill="1" applyBorder="1" applyAlignment="1">
      <alignment vertical="center" wrapText="1"/>
    </xf>
    <xf numFmtId="3" fontId="21" fillId="0" borderId="126" xfId="0" applyNumberFormat="1" applyFont="1" applyFill="1" applyBorder="1" applyAlignment="1">
      <alignment vertical="center" wrapText="1"/>
    </xf>
    <xf numFmtId="3" fontId="21" fillId="0" borderId="123" xfId="0" applyNumberFormat="1" applyFont="1" applyFill="1" applyBorder="1" applyAlignment="1">
      <alignment vertical="center" wrapText="1"/>
    </xf>
    <xf numFmtId="166" fontId="21" fillId="0" borderId="123" xfId="0" applyNumberFormat="1" applyFont="1" applyFill="1" applyBorder="1" applyAlignment="1">
      <alignment vertical="center" wrapText="1"/>
    </xf>
    <xf numFmtId="166" fontId="21" fillId="0" borderId="82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52" xfId="0" applyFont="1" applyFill="1" applyBorder="1" applyAlignment="1">
      <alignment horizontal="left" vertical="center" wrapText="1"/>
    </xf>
    <xf numFmtId="3" fontId="21" fillId="0" borderId="127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28" xfId="0" applyNumberFormat="1" applyFont="1" applyFill="1" applyBorder="1" applyAlignment="1">
      <alignment vertical="center" wrapText="1"/>
    </xf>
    <xf numFmtId="3" fontId="21" fillId="0" borderId="129" xfId="0" applyNumberFormat="1" applyFont="1" applyFill="1" applyBorder="1" applyAlignment="1">
      <alignment vertical="center" wrapText="1"/>
    </xf>
    <xf numFmtId="3" fontId="21" fillId="0" borderId="130" xfId="0" applyNumberFormat="1" applyFont="1" applyFill="1" applyBorder="1" applyAlignment="1">
      <alignment vertical="center" wrapText="1"/>
    </xf>
    <xf numFmtId="166" fontId="21" fillId="0" borderId="130" xfId="0" applyNumberFormat="1" applyFont="1" applyFill="1" applyBorder="1" applyAlignment="1">
      <alignment vertical="center" wrapText="1"/>
    </xf>
    <xf numFmtId="166" fontId="21" fillId="0" borderId="128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8" fillId="0" borderId="136" xfId="54" applyNumberFormat="1" applyFont="1" applyFill="1" applyBorder="1" applyAlignment="1">
      <alignment horizontal="center" vertical="center" wrapText="1"/>
    </xf>
    <xf numFmtId="3" fontId="28" fillId="0" borderId="137" xfId="54" applyNumberFormat="1" applyFont="1" applyFill="1" applyBorder="1" applyAlignment="1">
      <alignment horizontal="center" vertical="center" wrapText="1"/>
    </xf>
    <xf numFmtId="3" fontId="28" fillId="0" borderId="138" xfId="54" applyNumberFormat="1" applyFont="1" applyFill="1" applyBorder="1" applyAlignment="1">
      <alignment horizontal="center" vertical="center" wrapText="1"/>
    </xf>
    <xf numFmtId="3" fontId="28" fillId="0" borderId="139" xfId="54" applyNumberFormat="1" applyFont="1" applyFill="1" applyBorder="1" applyAlignment="1">
      <alignment horizontal="center" vertical="center" wrapText="1"/>
    </xf>
    <xf numFmtId="3" fontId="28" fillId="0" borderId="140" xfId="54" applyNumberFormat="1" applyFont="1" applyFill="1" applyBorder="1" applyAlignment="1">
      <alignment horizontal="center" vertical="center" wrapText="1"/>
    </xf>
    <xf numFmtId="3" fontId="28" fillId="0" borderId="141" xfId="54" applyNumberFormat="1" applyFont="1" applyFill="1" applyBorder="1" applyAlignment="1">
      <alignment horizontal="center" vertical="center" wrapText="1"/>
    </xf>
    <xf numFmtId="3" fontId="28" fillId="0" borderId="142" xfId="54" applyNumberFormat="1" applyFont="1" applyFill="1" applyBorder="1" applyAlignment="1">
      <alignment horizontal="center" vertical="center" wrapText="1"/>
    </xf>
    <xf numFmtId="0" fontId="29" fillId="0" borderId="67" xfId="0" applyFont="1" applyFill="1" applyBorder="1" applyAlignment="1">
      <alignment horizontal="left" vertical="center" wrapText="1" indent="5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146" xfId="0" applyNumberFormat="1" applyFont="1" applyFill="1" applyBorder="1" applyAlignment="1">
      <alignment vertical="center" wrapText="1"/>
    </xf>
    <xf numFmtId="166" fontId="21" fillId="0" borderId="146" xfId="0" applyNumberFormat="1" applyFont="1" applyFill="1" applyBorder="1" applyAlignment="1">
      <alignment vertical="center" wrapText="1"/>
    </xf>
    <xf numFmtId="166" fontId="21" fillId="0" borderId="144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67" xfId="0" applyFont="1" applyFill="1" applyBorder="1" applyAlignment="1">
      <alignment horizontal="left" vertical="center" wrapText="1"/>
    </xf>
    <xf numFmtId="0" fontId="21" fillId="0" borderId="94" xfId="0" applyFont="1" applyFill="1" applyBorder="1" applyAlignment="1">
      <alignment horizontal="left"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03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166" fontId="21" fillId="0" borderId="154" xfId="0" applyNumberFormat="1" applyFont="1" applyFill="1" applyBorder="1" applyAlignment="1">
      <alignment vertical="center" wrapText="1"/>
    </xf>
    <xf numFmtId="166" fontId="21" fillId="0" borderId="152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7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36" fillId="0" borderId="52" xfId="75" applyFont="1" applyFill="1" applyBorder="1" applyAlignment="1">
      <alignment vertical="center" wrapText="1"/>
    </xf>
    <xf numFmtId="0" fontId="36" fillId="0" borderId="67" xfId="75" applyFont="1" applyFill="1" applyBorder="1" applyAlignment="1">
      <alignment vertical="center" wrapText="1"/>
    </xf>
    <xf numFmtId="0" fontId="37" fillId="0" borderId="40" xfId="75" applyFont="1" applyFill="1" applyBorder="1" applyAlignment="1">
      <alignment vertical="center" wrapText="1"/>
    </xf>
    <xf numFmtId="171" fontId="38" fillId="0" borderId="52" xfId="75" applyNumberFormat="1" applyFont="1" applyFill="1" applyBorder="1" applyAlignment="1">
      <alignment horizontal="left" vertical="center" wrapText="1"/>
    </xf>
    <xf numFmtId="0" fontId="29" fillId="0" borderId="67" xfId="75" applyFont="1" applyFill="1" applyBorder="1" applyAlignment="1">
      <alignment horizontal="left" vertical="center" wrapText="1"/>
    </xf>
    <xf numFmtId="0" fontId="37" fillId="0" borderId="120" xfId="0" applyFont="1" applyFill="1" applyBorder="1" applyAlignment="1">
      <alignment horizontal="left" vertical="center" wrapText="1"/>
    </xf>
    <xf numFmtId="0" fontId="28" fillId="0" borderId="94" xfId="0" applyFont="1" applyFill="1" applyBorder="1" applyAlignment="1">
      <alignment vertical="center" wrapText="1"/>
    </xf>
    <xf numFmtId="0" fontId="36" fillId="0" borderId="87" xfId="75" applyFont="1" applyFill="1" applyBorder="1" applyAlignment="1">
      <alignment vertical="center" wrapText="1"/>
    </xf>
    <xf numFmtId="0" fontId="36" fillId="0" borderId="86" xfId="75" applyFont="1" applyFill="1" applyBorder="1" applyAlignment="1">
      <alignment vertical="center" wrapText="1"/>
    </xf>
    <xf numFmtId="0" fontId="36" fillId="0" borderId="88" xfId="75" applyFont="1" applyFill="1" applyBorder="1" applyAlignment="1">
      <alignment vertical="center" wrapText="1"/>
    </xf>
    <xf numFmtId="0" fontId="37" fillId="0" borderId="89" xfId="75" applyFont="1" applyFill="1" applyBorder="1" applyAlignment="1">
      <alignment vertical="center" wrapText="1"/>
    </xf>
    <xf numFmtId="171" fontId="38" fillId="0" borderId="87" xfId="75" applyNumberFormat="1" applyFont="1" applyFill="1" applyBorder="1" applyAlignment="1">
      <alignment horizontal="left" vertical="center" wrapText="1"/>
    </xf>
    <xf numFmtId="171" fontId="38" fillId="0" borderId="86" xfId="75" applyNumberFormat="1" applyFont="1" applyFill="1" applyBorder="1" applyAlignment="1">
      <alignment horizontal="left" vertical="center" wrapText="1"/>
    </xf>
    <xf numFmtId="0" fontId="28" fillId="0" borderId="122" xfId="0" applyFont="1" applyFill="1" applyBorder="1" applyAlignment="1">
      <alignment vertical="center" wrapText="1"/>
    </xf>
    <xf numFmtId="3" fontId="28" fillId="0" borderId="147" xfId="54" applyNumberFormat="1" applyFont="1" applyFill="1" applyBorder="1" applyAlignment="1">
      <alignment horizontal="center" vertical="center" wrapText="1"/>
    </xf>
    <xf numFmtId="3" fontId="28" fillId="0" borderId="148" xfId="54" applyNumberFormat="1" applyFont="1" applyFill="1" applyBorder="1" applyAlignment="1">
      <alignment horizontal="center" vertical="center" wrapText="1"/>
    </xf>
    <xf numFmtId="166" fontId="21" fillId="0" borderId="76" xfId="0" applyNumberFormat="1" applyFont="1" applyFill="1" applyBorder="1" applyAlignment="1">
      <alignment vertical="center" wrapText="1"/>
    </xf>
    <xf numFmtId="166" fontId="21" fillId="0" borderId="17" xfId="0" applyNumberFormat="1" applyFont="1" applyFill="1" applyBorder="1" applyAlignment="1">
      <alignment vertical="center" wrapText="1"/>
    </xf>
    <xf numFmtId="166" fontId="21" fillId="0" borderId="54" xfId="0" applyNumberFormat="1" applyFont="1" applyFill="1" applyBorder="1" applyAlignment="1">
      <alignment vertical="center" wrapText="1"/>
    </xf>
    <xf numFmtId="166" fontId="21" fillId="0" borderId="77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160" xfId="0" applyNumberFormat="1" applyFont="1" applyFill="1" applyBorder="1" applyAlignment="1">
      <alignment vertical="center" wrapText="1"/>
    </xf>
    <xf numFmtId="3" fontId="21" fillId="0" borderId="161" xfId="0" applyNumberFormat="1" applyFont="1" applyFill="1" applyBorder="1" applyAlignment="1">
      <alignment vertical="center" wrapText="1"/>
    </xf>
    <xf numFmtId="3" fontId="21" fillId="0" borderId="162" xfId="0" applyNumberFormat="1" applyFont="1" applyFill="1" applyBorder="1" applyAlignment="1">
      <alignment vertical="center" wrapText="1"/>
    </xf>
    <xf numFmtId="3" fontId="21" fillId="0" borderId="163" xfId="0" applyNumberFormat="1" applyFont="1" applyFill="1" applyBorder="1" applyAlignment="1">
      <alignment vertical="center" wrapText="1"/>
    </xf>
    <xf numFmtId="3" fontId="21" fillId="0" borderId="164" xfId="0" applyNumberFormat="1" applyFont="1" applyFill="1" applyBorder="1" applyAlignment="1">
      <alignment vertical="center" wrapText="1"/>
    </xf>
    <xf numFmtId="166" fontId="21" fillId="0" borderId="164" xfId="0" applyNumberFormat="1" applyFont="1" applyFill="1" applyBorder="1" applyAlignment="1">
      <alignment vertical="center" wrapText="1"/>
    </xf>
    <xf numFmtId="166" fontId="21" fillId="0" borderId="162" xfId="0" applyNumberFormat="1" applyFont="1" applyFill="1" applyBorder="1" applyAlignment="1">
      <alignment vertical="center" wrapText="1"/>
    </xf>
    <xf numFmtId="3" fontId="21" fillId="0" borderId="165" xfId="0" applyNumberFormat="1" applyFont="1" applyFill="1" applyBorder="1" applyAlignment="1">
      <alignment vertical="center" wrapText="1"/>
    </xf>
    <xf numFmtId="3" fontId="21" fillId="0" borderId="166" xfId="0" applyNumberFormat="1" applyFont="1" applyFill="1" applyBorder="1" applyAlignment="1">
      <alignment vertical="center" wrapText="1"/>
    </xf>
    <xf numFmtId="3" fontId="21" fillId="0" borderId="167" xfId="0" applyNumberFormat="1" applyFont="1" applyFill="1" applyBorder="1" applyAlignment="1">
      <alignment vertical="center" wrapText="1"/>
    </xf>
    <xf numFmtId="3" fontId="21" fillId="0" borderId="168" xfId="0" applyNumberFormat="1" applyFont="1" applyFill="1" applyBorder="1" applyAlignment="1">
      <alignment vertical="center" wrapText="1"/>
    </xf>
    <xf numFmtId="3" fontId="21" fillId="0" borderId="169" xfId="0" applyNumberFormat="1" applyFont="1" applyFill="1" applyBorder="1" applyAlignment="1">
      <alignment vertical="center" wrapText="1"/>
    </xf>
    <xf numFmtId="166" fontId="21" fillId="0" borderId="169" xfId="0" applyNumberFormat="1" applyFont="1" applyFill="1" applyBorder="1" applyAlignment="1">
      <alignment vertical="center" wrapText="1"/>
    </xf>
    <xf numFmtId="166" fontId="21" fillId="0" borderId="167" xfId="0" applyNumberFormat="1" applyFont="1" applyFill="1" applyBorder="1" applyAlignment="1">
      <alignment vertical="center" wrapText="1"/>
    </xf>
    <xf numFmtId="3" fontId="21" fillId="0" borderId="170" xfId="0" applyNumberFormat="1" applyFont="1" applyFill="1" applyBorder="1" applyAlignment="1">
      <alignment vertical="center" wrapText="1"/>
    </xf>
    <xf numFmtId="3" fontId="21" fillId="0" borderId="171" xfId="0" applyNumberFormat="1" applyFont="1" applyFill="1" applyBorder="1" applyAlignment="1">
      <alignment vertical="center" wrapText="1"/>
    </xf>
    <xf numFmtId="0" fontId="28" fillId="0" borderId="99" xfId="0" applyFont="1" applyFill="1" applyBorder="1" applyAlignment="1">
      <alignment horizontal="left" vertical="center"/>
    </xf>
    <xf numFmtId="0" fontId="21" fillId="0" borderId="63" xfId="0" applyFont="1" applyFill="1" applyBorder="1" applyAlignment="1">
      <alignment horizontal="left" vertical="center" wrapText="1"/>
    </xf>
    <xf numFmtId="0" fontId="21" fillId="0" borderId="84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 wrapText="1"/>
    </xf>
    <xf numFmtId="3" fontId="29" fillId="0" borderId="73" xfId="0" applyNumberFormat="1" applyFont="1" applyFill="1" applyBorder="1" applyAlignment="1">
      <alignment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82" xfId="0" applyNumberFormat="1" applyFont="1" applyFill="1" applyBorder="1" applyAlignment="1">
      <alignment vertical="center" wrapText="1"/>
    </xf>
    <xf numFmtId="3" fontId="29" fillId="0" borderId="126" xfId="0" applyNumberFormat="1" applyFont="1" applyFill="1" applyBorder="1" applyAlignment="1">
      <alignment vertical="center" wrapText="1"/>
    </xf>
    <xf numFmtId="3" fontId="29" fillId="0" borderId="123" xfId="0" applyNumberFormat="1" applyFont="1" applyFill="1" applyBorder="1" applyAlignment="1">
      <alignment vertical="center" wrapText="1"/>
    </xf>
    <xf numFmtId="166" fontId="29" fillId="0" borderId="123" xfId="0" applyNumberFormat="1" applyFont="1" applyFill="1" applyBorder="1" applyAlignment="1">
      <alignment vertical="center" wrapText="1"/>
    </xf>
    <xf numFmtId="166" fontId="29" fillId="0" borderId="82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62" xfId="0" applyFont="1" applyFill="1" applyBorder="1" applyAlignment="1">
      <alignment horizontal="left" vertical="center" wrapText="1"/>
    </xf>
    <xf numFmtId="3" fontId="29" fillId="0" borderId="161" xfId="0" applyNumberFormat="1" applyFont="1" applyFill="1" applyBorder="1" applyAlignment="1">
      <alignment vertical="center" wrapText="1"/>
    </xf>
    <xf numFmtId="3" fontId="29" fillId="0" borderId="159" xfId="0" applyNumberFormat="1" applyFont="1" applyFill="1" applyBorder="1" applyAlignment="1">
      <alignment vertical="center" wrapText="1"/>
    </xf>
    <xf numFmtId="3" fontId="29" fillId="0" borderId="162" xfId="0" applyNumberFormat="1" applyFont="1" applyFill="1" applyBorder="1" applyAlignment="1">
      <alignment vertical="center" wrapText="1"/>
    </xf>
    <xf numFmtId="3" fontId="29" fillId="0" borderId="158" xfId="0" applyNumberFormat="1" applyFont="1" applyFill="1" applyBorder="1" applyAlignment="1">
      <alignment vertical="center" wrapText="1"/>
    </xf>
    <xf numFmtId="3" fontId="29" fillId="0" borderId="160" xfId="0" applyNumberFormat="1" applyFont="1" applyFill="1" applyBorder="1" applyAlignment="1">
      <alignment vertical="center" wrapText="1"/>
    </xf>
    <xf numFmtId="0" fontId="28" fillId="0" borderId="97" xfId="0" applyFont="1" applyFill="1" applyBorder="1" applyAlignment="1">
      <alignment horizontal="left" vertical="center" wrapText="1"/>
    </xf>
    <xf numFmtId="0" fontId="28" fillId="0" borderId="172" xfId="0" applyFont="1" applyFill="1" applyBorder="1" applyAlignment="1">
      <alignment horizontal="left" vertical="center"/>
    </xf>
    <xf numFmtId="166" fontId="21" fillId="0" borderId="171" xfId="0" applyNumberFormat="1" applyFont="1" applyFill="1" applyBorder="1" applyAlignment="1">
      <alignment vertical="center" wrapText="1"/>
    </xf>
    <xf numFmtId="166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wrapText="1"/>
    </xf>
    <xf numFmtId="166" fontId="29" fillId="0" borderId="160" xfId="0" applyNumberFormat="1" applyFont="1" applyFill="1" applyBorder="1" applyAlignment="1">
      <alignment vertical="center"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4" xfId="0" applyNumberFormat="1" applyFont="1" applyFill="1" applyBorder="1" applyAlignment="1">
      <alignment vertical="center" wrapText="1"/>
    </xf>
    <xf numFmtId="3" fontId="29" fillId="0" borderId="144" xfId="0" applyNumberFormat="1" applyFont="1" applyFill="1" applyBorder="1" applyAlignment="1">
      <alignment vertical="center" wrapText="1"/>
    </xf>
    <xf numFmtId="166" fontId="29" fillId="0" borderId="54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166" fontId="28" fillId="0" borderId="15" xfId="0" applyNumberFormat="1" applyFont="1" applyFill="1" applyBorder="1" applyAlignment="1">
      <alignment vertical="center" wrapText="1"/>
    </xf>
    <xf numFmtId="3" fontId="28" fillId="0" borderId="173" xfId="0" applyNumberFormat="1" applyFont="1" applyFill="1" applyBorder="1" applyAlignment="1">
      <alignment vertical="center" wrapText="1"/>
    </xf>
    <xf numFmtId="3" fontId="28" fillId="0" borderId="174" xfId="0" applyNumberFormat="1" applyFont="1" applyFill="1" applyBorder="1" applyAlignment="1">
      <alignment vertical="center" wrapText="1"/>
    </xf>
    <xf numFmtId="3" fontId="28" fillId="0" borderId="175" xfId="0" applyNumberFormat="1" applyFont="1" applyFill="1" applyBorder="1" applyAlignment="1">
      <alignment vertical="center" wrapText="1"/>
    </xf>
    <xf numFmtId="3" fontId="28" fillId="0" borderId="176" xfId="0" applyNumberFormat="1" applyFont="1" applyFill="1" applyBorder="1" applyAlignment="1">
      <alignment vertical="center" wrapText="1"/>
    </xf>
    <xf numFmtId="166" fontId="28" fillId="0" borderId="175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60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4" xfId="0" applyNumberFormat="1" applyFont="1" applyFill="1" applyBorder="1" applyAlignment="1">
      <alignment vertical="center" wrapText="1"/>
    </xf>
    <xf numFmtId="3" fontId="28" fillId="0" borderId="156" xfId="0" applyNumberFormat="1" applyFont="1" applyFill="1" applyBorder="1" applyAlignment="1">
      <alignment vertical="center" wrapText="1"/>
    </xf>
    <xf numFmtId="166" fontId="28" fillId="0" borderId="32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6" xfId="0" applyNumberFormat="1" applyFont="1" applyFill="1" applyBorder="1" applyAlignment="1">
      <alignment vertical="center" wrapText="1"/>
    </xf>
    <xf numFmtId="3" fontId="29" fillId="0" borderId="76" xfId="0" applyNumberFormat="1" applyFont="1" applyFill="1" applyBorder="1" applyAlignment="1">
      <alignment vertical="center" wrapText="1"/>
    </xf>
    <xf numFmtId="3" fontId="29" fillId="0" borderId="128" xfId="0" applyNumberFormat="1" applyFont="1" applyFill="1" applyBorder="1" applyAlignment="1">
      <alignment vertical="center" wrapText="1"/>
    </xf>
    <xf numFmtId="166" fontId="29" fillId="0" borderId="76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103" xfId="0" applyNumberFormat="1" applyFont="1" applyFill="1" applyBorder="1" applyAlignment="1">
      <alignment vertical="center" wrapText="1"/>
    </xf>
    <xf numFmtId="3" fontId="28" fillId="0" borderId="77" xfId="0" applyNumberFormat="1" applyFont="1" applyFill="1" applyBorder="1" applyAlignment="1">
      <alignment vertical="center" wrapText="1"/>
    </xf>
    <xf numFmtId="3" fontId="28" fillId="0" borderId="151" xfId="0" applyNumberFormat="1" applyFont="1" applyFill="1" applyBorder="1" applyAlignment="1">
      <alignment vertical="center" wrapText="1"/>
    </xf>
    <xf numFmtId="3" fontId="28" fillId="0" borderId="152" xfId="0" applyNumberFormat="1" applyFont="1" applyFill="1" applyBorder="1" applyAlignment="1">
      <alignment vertical="center" wrapText="1"/>
    </xf>
    <xf numFmtId="166" fontId="28" fillId="0" borderId="77" xfId="0" applyNumberFormat="1" applyFont="1" applyFill="1" applyBorder="1" applyAlignment="1">
      <alignment vertical="center" wrapText="1"/>
    </xf>
    <xf numFmtId="0" fontId="36" fillId="0" borderId="96" xfId="75" applyFont="1" applyFill="1" applyBorder="1" applyAlignment="1">
      <alignment horizontal="left" vertical="center" wrapText="1"/>
    </xf>
    <xf numFmtId="0" fontId="36" fillId="0" borderId="62" xfId="75" applyFont="1" applyFill="1" applyBorder="1" applyAlignment="1">
      <alignment horizontal="left" vertical="center" wrapText="1"/>
    </xf>
    <xf numFmtId="0" fontId="21" fillId="0" borderId="42" xfId="75" applyFont="1" applyFill="1" applyBorder="1" applyAlignment="1">
      <alignment vertical="center" wrapText="1"/>
    </xf>
    <xf numFmtId="0" fontId="21" fillId="0" borderId="44" xfId="75" applyFont="1" applyFill="1" applyBorder="1" applyAlignment="1">
      <alignment horizontal="left" vertical="center" wrapText="1"/>
    </xf>
    <xf numFmtId="0" fontId="21" fillId="0" borderId="50" xfId="75" applyFont="1" applyFill="1" applyBorder="1" applyAlignment="1">
      <alignment horizontal="left" vertical="center" wrapText="1"/>
    </xf>
    <xf numFmtId="3" fontId="28" fillId="0" borderId="149" xfId="0" applyNumberFormat="1" applyFont="1" applyFill="1" applyBorder="1" applyAlignment="1">
      <alignment vertical="center" wrapText="1"/>
    </xf>
    <xf numFmtId="3" fontId="28" fillId="0" borderId="150" xfId="0" applyNumberFormat="1" applyFont="1" applyFill="1" applyBorder="1" applyAlignment="1">
      <alignment vertical="center" wrapText="1"/>
    </xf>
    <xf numFmtId="166" fontId="28" fillId="0" borderId="150" xfId="0" applyNumberFormat="1" applyFont="1" applyFill="1" applyBorder="1" applyAlignment="1">
      <alignment vertical="center" wrapText="1"/>
    </xf>
    <xf numFmtId="166" fontId="28" fillId="0" borderId="148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53" xfId="0" applyNumberFormat="1" applyFont="1" applyFill="1" applyBorder="1" applyAlignment="1">
      <alignment vertical="center" wrapText="1"/>
    </xf>
    <xf numFmtId="3" fontId="28" fillId="0" borderId="154" xfId="0" applyNumberFormat="1" applyFont="1" applyFill="1" applyBorder="1" applyAlignment="1">
      <alignment vertical="center" wrapText="1"/>
    </xf>
    <xf numFmtId="166" fontId="28" fillId="0" borderId="154" xfId="0" applyNumberFormat="1" applyFont="1" applyFill="1" applyBorder="1" applyAlignment="1">
      <alignment vertical="center" wrapText="1"/>
    </xf>
    <xf numFmtId="166" fontId="28" fillId="0" borderId="152" xfId="0" applyNumberFormat="1" applyFont="1" applyFill="1" applyBorder="1" applyAlignment="1">
      <alignment vertical="center" wrapText="1"/>
    </xf>
    <xf numFmtId="3" fontId="28" fillId="0" borderId="157" xfId="0" applyNumberFormat="1" applyFont="1" applyFill="1" applyBorder="1" applyAlignment="1">
      <alignment vertical="center" wrapText="1"/>
    </xf>
    <xf numFmtId="3" fontId="28" fillId="0" borderId="155" xfId="0" applyNumberFormat="1" applyFont="1" applyFill="1" applyBorder="1" applyAlignment="1">
      <alignment vertical="center" wrapText="1"/>
    </xf>
    <xf numFmtId="166" fontId="28" fillId="0" borderId="155" xfId="0" applyNumberFormat="1" applyFont="1" applyFill="1" applyBorder="1" applyAlignment="1">
      <alignment vertical="center" wrapText="1"/>
    </xf>
    <xf numFmtId="166" fontId="28" fillId="0" borderId="156" xfId="0" applyNumberFormat="1" applyFont="1" applyFill="1" applyBorder="1" applyAlignment="1">
      <alignment vertical="center" wrapText="1"/>
    </xf>
    <xf numFmtId="3" fontId="21" fillId="0" borderId="125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78" xfId="0" applyNumberFormat="1" applyFont="1" applyFill="1" applyBorder="1" applyAlignment="1">
      <alignment vertical="center" wrapText="1"/>
    </xf>
    <xf numFmtId="3" fontId="21" fillId="0" borderId="127" xfId="54" applyNumberFormat="1" applyFont="1" applyFill="1" applyBorder="1"/>
    <xf numFmtId="3" fontId="21" fillId="0" borderId="73" xfId="54" applyNumberFormat="1" applyFont="1" applyFill="1" applyBorder="1"/>
    <xf numFmtId="3" fontId="29" fillId="0" borderId="73" xfId="54" applyNumberFormat="1" applyFont="1" applyFill="1" applyBorder="1"/>
    <xf numFmtId="3" fontId="21" fillId="0" borderId="143" xfId="54" applyNumberFormat="1" applyFont="1" applyFill="1" applyBorder="1"/>
    <xf numFmtId="3" fontId="21" fillId="0" borderId="34" xfId="0" applyNumberFormat="1" applyFont="1" applyFill="1" applyBorder="1"/>
    <xf numFmtId="3" fontId="21" fillId="0" borderId="5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43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47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47" xfId="54" applyNumberFormat="1" applyFont="1" applyFill="1" applyBorder="1"/>
    <xf numFmtId="3" fontId="28" fillId="0" borderId="35" xfId="0" applyNumberFormat="1" applyFont="1" applyFill="1" applyBorder="1"/>
    <xf numFmtId="3" fontId="21" fillId="0" borderId="151" xfId="54" applyNumberFormat="1" applyFont="1" applyFill="1" applyBorder="1"/>
    <xf numFmtId="3" fontId="21" fillId="0" borderId="103" xfId="0" applyNumberFormat="1" applyFont="1" applyFill="1" applyBorder="1"/>
    <xf numFmtId="0" fontId="28" fillId="0" borderId="98" xfId="0" applyFont="1" applyFill="1" applyBorder="1" applyAlignment="1">
      <alignment horizontal="left" vertical="center"/>
    </xf>
    <xf numFmtId="3" fontId="41" fillId="0" borderId="35" xfId="54" applyNumberFormat="1" applyFont="1" applyFill="1" applyBorder="1"/>
    <xf numFmtId="3" fontId="28" fillId="0" borderId="35" xfId="54" applyNumberFormat="1" applyFont="1" applyFill="1" applyBorder="1"/>
    <xf numFmtId="3" fontId="28" fillId="0" borderId="180" xfId="54" applyNumberFormat="1" applyFont="1" applyFill="1" applyBorder="1"/>
    <xf numFmtId="3" fontId="28" fillId="0" borderId="174" xfId="0" applyNumberFormat="1" applyFont="1" applyFill="1" applyBorder="1"/>
    <xf numFmtId="3" fontId="28" fillId="0" borderId="64" xfId="54" applyNumberFormat="1" applyFont="1" applyFill="1" applyBorder="1"/>
    <xf numFmtId="3" fontId="41" fillId="0" borderId="0" xfId="0" applyNumberFormat="1" applyFont="1" applyFill="1" applyBorder="1"/>
    <xf numFmtId="0" fontId="41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9" fillId="0" borderId="67" xfId="0" applyFont="1" applyFill="1" applyBorder="1" applyAlignment="1">
      <alignment horizontal="left" vertical="center" wrapText="1" indent="2"/>
    </xf>
    <xf numFmtId="0" fontId="21" fillId="0" borderId="68" xfId="0" applyFont="1" applyBorder="1" applyAlignment="1">
      <alignment horizontal="left" indent="6"/>
    </xf>
    <xf numFmtId="0" fontId="21" fillId="0" borderId="67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103" xfId="54" applyNumberFormat="1" applyFont="1" applyFill="1" applyBorder="1" applyAlignment="1">
      <alignment horizontal="right"/>
    </xf>
    <xf numFmtId="3" fontId="28" fillId="0" borderId="103" xfId="0" applyNumberFormat="1" applyFont="1" applyFill="1" applyBorder="1" applyAlignment="1">
      <alignment horizontal="right"/>
    </xf>
    <xf numFmtId="3" fontId="28" fillId="0" borderId="103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60" xfId="54" applyNumberFormat="1" applyFont="1" applyFill="1" applyBorder="1" applyAlignment="1">
      <alignment horizontal="right"/>
    </xf>
    <xf numFmtId="3" fontId="28" fillId="0" borderId="60" xfId="0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7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 vertical="center"/>
    </xf>
    <xf numFmtId="0" fontId="41" fillId="0" borderId="0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/>
    </xf>
    <xf numFmtId="0" fontId="21" fillId="0" borderId="67" xfId="0" applyFont="1" applyFill="1" applyBorder="1" applyAlignment="1">
      <alignment horizontal="left" vertical="center" wrapText="1" indent="2"/>
    </xf>
    <xf numFmtId="0" fontId="29" fillId="0" borderId="68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4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horizontal="right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36" xfId="0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horizontal="right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0" fontId="29" fillId="0" borderId="33" xfId="0" applyFont="1" applyFill="1" applyBorder="1" applyAlignment="1">
      <alignment wrapText="1"/>
    </xf>
    <xf numFmtId="168" fontId="29" fillId="0" borderId="33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0" fontId="29" fillId="0" borderId="34" xfId="0" applyFont="1" applyFill="1" applyBorder="1" applyAlignment="1">
      <alignment wrapText="1"/>
    </xf>
    <xf numFmtId="168" fontId="29" fillId="0" borderId="34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35" xfId="0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0" fontId="28" fillId="0" borderId="35" xfId="0" applyFont="1" applyFill="1" applyBorder="1" applyAlignment="1">
      <alignment wrapText="1"/>
    </xf>
    <xf numFmtId="168" fontId="28" fillId="0" borderId="3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168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6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41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3" fontId="29" fillId="0" borderId="159" xfId="0" applyNumberFormat="1" applyFont="1" applyFill="1" applyBorder="1" applyAlignment="1">
      <alignment wrapText="1"/>
    </xf>
    <xf numFmtId="0" fontId="21" fillId="0" borderId="0" xfId="0" applyFont="1" applyFill="1" applyBorder="1" applyAlignment="1"/>
    <xf numFmtId="0" fontId="29" fillId="0" borderId="68" xfId="0" applyFont="1" applyFill="1" applyBorder="1" applyAlignment="1">
      <alignment horizontal="left" vertical="center" wrapText="1"/>
    </xf>
    <xf numFmtId="0" fontId="29" fillId="0" borderId="67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42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9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/>
    </xf>
    <xf numFmtId="0" fontId="29" fillId="0" borderId="85" xfId="0" applyFont="1" applyFill="1" applyBorder="1" applyAlignment="1">
      <alignment horizontal="left" vertical="center" wrapText="1"/>
    </xf>
    <xf numFmtId="0" fontId="36" fillId="0" borderId="84" xfId="75" applyFont="1" applyFill="1" applyBorder="1" applyAlignment="1">
      <alignment horizontal="left" vertical="center" wrapText="1"/>
    </xf>
    <xf numFmtId="0" fontId="21" fillId="0" borderId="49" xfId="75" applyFont="1" applyFill="1" applyBorder="1" applyAlignment="1">
      <alignment horizontal="left" vertical="center" wrapText="1"/>
    </xf>
    <xf numFmtId="0" fontId="38" fillId="0" borderId="84" xfId="75" applyFont="1" applyFill="1" applyBorder="1" applyAlignment="1">
      <alignment horizontal="left" vertical="center" wrapText="1"/>
    </xf>
    <xf numFmtId="0" fontId="29" fillId="0" borderId="49" xfId="75" applyFont="1" applyFill="1" applyBorder="1" applyAlignment="1">
      <alignment horizontal="left" vertical="center" wrapText="1"/>
    </xf>
    <xf numFmtId="0" fontId="38" fillId="0" borderId="62" xfId="75" applyFont="1" applyFill="1" applyBorder="1" applyAlignment="1">
      <alignment horizontal="left" vertical="center" wrapText="1"/>
    </xf>
    <xf numFmtId="0" fontId="29" fillId="0" borderId="177" xfId="75" applyFont="1" applyFill="1" applyBorder="1" applyAlignment="1">
      <alignment horizontal="left" vertical="center" wrapText="1"/>
    </xf>
    <xf numFmtId="3" fontId="29" fillId="0" borderId="159" xfId="54" applyNumberFormat="1" applyFont="1" applyFill="1" applyBorder="1" applyAlignment="1">
      <alignment wrapText="1"/>
    </xf>
    <xf numFmtId="0" fontId="29" fillId="0" borderId="159" xfId="0" applyFont="1" applyFill="1" applyBorder="1" applyAlignment="1">
      <alignment wrapText="1"/>
    </xf>
    <xf numFmtId="168" fontId="29" fillId="0" borderId="159" xfId="54" applyNumberFormat="1" applyFont="1" applyFill="1" applyBorder="1" applyAlignment="1">
      <alignment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9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35" xfId="0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0" fontId="37" fillId="29" borderId="96" xfId="0" applyFont="1" applyFill="1" applyBorder="1" applyAlignment="1">
      <alignment horizontal="left" vertical="center" wrapText="1"/>
    </xf>
    <xf numFmtId="0" fontId="28" fillId="29" borderId="50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0" fontId="28" fillId="29" borderId="34" xfId="0" applyFont="1" applyFill="1" applyBorder="1" applyAlignment="1">
      <alignment wrapText="1"/>
    </xf>
    <xf numFmtId="3" fontId="28" fillId="29" borderId="27" xfId="54" applyNumberFormat="1" applyFont="1" applyFill="1" applyBorder="1" applyAlignment="1">
      <alignment horizontal="right"/>
    </xf>
    <xf numFmtId="168" fontId="28" fillId="29" borderId="34" xfId="54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1" fillId="0" borderId="182" xfId="0" applyNumberFormat="1" applyFont="1" applyFill="1" applyBorder="1"/>
    <xf numFmtId="0" fontId="21" fillId="0" borderId="183" xfId="0" applyFont="1" applyFill="1" applyBorder="1"/>
    <xf numFmtId="3" fontId="21" fillId="0" borderId="21" xfId="0" applyNumberFormat="1" applyFont="1" applyFill="1" applyBorder="1"/>
    <xf numFmtId="0" fontId="21" fillId="0" borderId="30" xfId="0" applyFont="1" applyFill="1" applyBorder="1" applyAlignment="1"/>
    <xf numFmtId="0" fontId="28" fillId="0" borderId="29" xfId="0" applyFont="1" applyFill="1" applyBorder="1" applyAlignment="1">
      <alignment vertical="center"/>
    </xf>
    <xf numFmtId="3" fontId="28" fillId="0" borderId="184" xfId="0" applyNumberFormat="1" applyFont="1" applyFill="1" applyBorder="1" applyAlignment="1">
      <alignment vertical="center"/>
    </xf>
    <xf numFmtId="3" fontId="28" fillId="0" borderId="174" xfId="0" applyNumberFormat="1" applyFont="1" applyFill="1" applyBorder="1" applyAlignment="1">
      <alignment vertical="center"/>
    </xf>
    <xf numFmtId="0" fontId="28" fillId="0" borderId="185" xfId="0" applyFont="1" applyFill="1" applyBorder="1" applyAlignment="1">
      <alignment vertical="center"/>
    </xf>
    <xf numFmtId="3" fontId="28" fillId="0" borderId="81" xfId="0" applyNumberFormat="1" applyFont="1" applyFill="1" applyBorder="1" applyAlignment="1">
      <alignment vertical="center"/>
    </xf>
    <xf numFmtId="3" fontId="28" fillId="0" borderId="186" xfId="0" applyNumberFormat="1" applyFont="1" applyFill="1" applyBorder="1" applyAlignment="1">
      <alignment vertical="center"/>
    </xf>
    <xf numFmtId="3" fontId="28" fillId="0" borderId="181" xfId="0" applyNumberFormat="1" applyFont="1" applyFill="1" applyBorder="1" applyAlignment="1">
      <alignment vertical="center"/>
    </xf>
    <xf numFmtId="3" fontId="28" fillId="0" borderId="187" xfId="0" applyNumberFormat="1" applyFont="1" applyFill="1" applyBorder="1" applyAlignment="1">
      <alignment vertical="center"/>
    </xf>
    <xf numFmtId="3" fontId="21" fillId="0" borderId="182" xfId="0" applyNumberFormat="1" applyFont="1" applyFill="1" applyBorder="1" applyAlignment="1"/>
    <xf numFmtId="3" fontId="21" fillId="0" borderId="151" xfId="0" applyNumberFormat="1" applyFont="1" applyFill="1" applyBorder="1" applyAlignment="1"/>
    <xf numFmtId="3" fontId="21" fillId="0" borderId="103" xfId="0" applyNumberFormat="1" applyFont="1" applyFill="1" applyBorder="1" applyAlignment="1"/>
    <xf numFmtId="3" fontId="21" fillId="0" borderId="152" xfId="0" applyNumberFormat="1" applyFont="1" applyFill="1" applyBorder="1" applyAlignment="1"/>
    <xf numFmtId="3" fontId="28" fillId="0" borderId="110" xfId="91" applyNumberFormat="1" applyFont="1" applyFill="1" applyBorder="1" applyAlignment="1" applyProtection="1">
      <alignment horizontal="center" vertical="center"/>
    </xf>
    <xf numFmtId="3" fontId="28" fillId="0" borderId="110" xfId="91" applyNumberFormat="1" applyFont="1" applyFill="1" applyBorder="1" applyAlignment="1" applyProtection="1">
      <alignment horizontal="center" vertical="center" wrapText="1"/>
    </xf>
    <xf numFmtId="3" fontId="28" fillId="0" borderId="112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9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6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6" fillId="0" borderId="18" xfId="75" applyFont="1" applyFill="1" applyBorder="1" applyAlignment="1">
      <alignment vertical="center" wrapText="1"/>
    </xf>
    <xf numFmtId="0" fontId="36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85" xfId="91" applyNumberFormat="1" applyFont="1" applyFill="1" applyBorder="1" applyAlignment="1" applyProtection="1">
      <alignment vertical="center"/>
    </xf>
    <xf numFmtId="3" fontId="28" fillId="0" borderId="188" xfId="91" applyNumberFormat="1" applyFont="1" applyFill="1" applyBorder="1" applyAlignment="1" applyProtection="1">
      <alignment horizontal="center" vertical="center"/>
    </xf>
    <xf numFmtId="3" fontId="28" fillId="0" borderId="127" xfId="91" applyNumberFormat="1" applyFont="1" applyFill="1" applyBorder="1" applyAlignment="1" applyProtection="1">
      <alignment horizontal="center" vertical="center"/>
    </xf>
    <xf numFmtId="3" fontId="28" fillId="0" borderId="147" xfId="75" applyNumberFormat="1" applyFont="1" applyFill="1" applyBorder="1" applyAlignment="1">
      <alignment horizontal="right" vertical="center" wrapText="1"/>
    </xf>
    <xf numFmtId="3" fontId="28" fillId="0" borderId="52" xfId="91" applyNumberFormat="1" applyFont="1" applyFill="1" applyBorder="1" applyAlignment="1" applyProtection="1">
      <alignment horizontal="center" vertical="center" wrapText="1"/>
    </xf>
    <xf numFmtId="3" fontId="28" fillId="0" borderId="114" xfId="91" applyNumberFormat="1" applyFont="1" applyFill="1" applyBorder="1" applyAlignment="1" applyProtection="1">
      <alignment horizontal="center" vertical="center"/>
    </xf>
    <xf numFmtId="3" fontId="28" fillId="0" borderId="128" xfId="91" applyNumberFormat="1" applyFont="1" applyFill="1" applyBorder="1" applyAlignment="1" applyProtection="1">
      <alignment horizontal="center" vertical="center"/>
    </xf>
    <xf numFmtId="3" fontId="28" fillId="0" borderId="148" xfId="75" applyNumberFormat="1" applyFont="1" applyFill="1" applyBorder="1" applyAlignment="1">
      <alignment horizontal="right" vertical="center" wrapText="1"/>
    </xf>
    <xf numFmtId="3" fontId="28" fillId="0" borderId="53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8" xfId="78" applyFont="1" applyFill="1" applyBorder="1" applyAlignment="1">
      <alignment horizontal="center" vertical="center"/>
    </xf>
    <xf numFmtId="0" fontId="26" fillId="0" borderId="49" xfId="78" applyFont="1" applyFill="1" applyBorder="1" applyAlignment="1">
      <alignment horizontal="center" vertical="center"/>
    </xf>
    <xf numFmtId="0" fontId="26" fillId="0" borderId="50" xfId="78" applyFont="1" applyFill="1" applyBorder="1" applyAlignment="1">
      <alignment horizontal="center" vertical="center"/>
    </xf>
    <xf numFmtId="3" fontId="21" fillId="0" borderId="68" xfId="0" applyNumberFormat="1" applyFont="1" applyFill="1" applyBorder="1" applyAlignment="1">
      <alignment horizontal="right" vertical="center"/>
    </xf>
    <xf numFmtId="3" fontId="21" fillId="0" borderId="73" xfId="91" applyNumberFormat="1" applyFont="1" applyFill="1" applyBorder="1" applyAlignment="1" applyProtection="1">
      <alignment horizontal="right" vertical="center"/>
      <protection locked="0"/>
    </xf>
    <xf numFmtId="3" fontId="28" fillId="0" borderId="51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82" xfId="91" applyNumberFormat="1" applyFont="1" applyFill="1" applyBorder="1" applyAlignment="1" applyProtection="1">
      <alignment horizontal="right" vertical="center"/>
      <protection locked="0"/>
    </xf>
    <xf numFmtId="3" fontId="21" fillId="0" borderId="67" xfId="0" applyNumberFormat="1" applyFont="1" applyFill="1" applyBorder="1" applyAlignment="1">
      <alignment horizontal="right" vertical="center"/>
    </xf>
    <xf numFmtId="3" fontId="21" fillId="0" borderId="143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44" xfId="91" applyNumberFormat="1" applyFont="1" applyFill="1" applyBorder="1" applyAlignment="1" applyProtection="1">
      <alignment horizontal="right" vertical="center"/>
      <protection locked="0"/>
    </xf>
    <xf numFmtId="3" fontId="28" fillId="0" borderId="69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47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48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52" xfId="0" applyNumberFormat="1" applyFont="1" applyFill="1" applyBorder="1" applyAlignment="1">
      <alignment horizontal="right" vertical="center"/>
    </xf>
    <xf numFmtId="3" fontId="21" fillId="0" borderId="127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28" xfId="91" applyNumberFormat="1" applyFont="1" applyFill="1" applyBorder="1" applyAlignment="1" applyProtection="1">
      <alignment horizontal="right" vertical="center"/>
      <protection locked="0"/>
    </xf>
    <xf numFmtId="3" fontId="28" fillId="0" borderId="53" xfId="91" applyNumberFormat="1" applyFont="1" applyFill="1" applyBorder="1" applyAlignment="1" applyProtection="1">
      <alignment horizontal="right" vertical="center"/>
      <protection locked="0"/>
    </xf>
    <xf numFmtId="3" fontId="28" fillId="0" borderId="51" xfId="91" applyNumberFormat="1" applyFont="1" applyFill="1" applyBorder="1" applyAlignment="1" applyProtection="1">
      <alignment horizontal="right" vertical="center"/>
      <protection locked="0"/>
    </xf>
    <xf numFmtId="3" fontId="28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47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48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52" xfId="91" applyNumberFormat="1" applyFont="1" applyFill="1" applyBorder="1" applyAlignment="1" applyProtection="1">
      <alignment horizontal="right" vertical="center"/>
    </xf>
    <xf numFmtId="3" fontId="28" fillId="0" borderId="127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28" xfId="91" applyNumberFormat="1" applyFont="1" applyFill="1" applyBorder="1" applyAlignment="1" applyProtection="1">
      <alignment horizontal="right" vertical="center"/>
    </xf>
    <xf numFmtId="3" fontId="28" fillId="0" borderId="53" xfId="91" applyNumberFormat="1" applyFont="1" applyFill="1" applyBorder="1" applyAlignment="1" applyProtection="1">
      <alignment horizontal="right" vertical="center"/>
    </xf>
    <xf numFmtId="3" fontId="21" fillId="0" borderId="147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48" xfId="91" applyNumberFormat="1" applyFont="1" applyFill="1" applyBorder="1" applyAlignment="1" applyProtection="1">
      <alignment horizontal="right" vertical="center"/>
      <protection locked="0"/>
    </xf>
    <xf numFmtId="3" fontId="28" fillId="0" borderId="115" xfId="91" applyNumberFormat="1" applyFont="1" applyFill="1" applyBorder="1" applyAlignment="1" applyProtection="1">
      <alignment horizontal="right" vertical="center"/>
    </xf>
    <xf numFmtId="3" fontId="28" fillId="0" borderId="186" xfId="91" applyNumberFormat="1" applyFont="1" applyFill="1" applyBorder="1" applyAlignment="1" applyProtection="1">
      <alignment horizontal="right" vertical="center"/>
    </xf>
    <xf numFmtId="3" fontId="28" fillId="0" borderId="181" xfId="91" applyNumberFormat="1" applyFont="1" applyFill="1" applyBorder="1" applyAlignment="1" applyProtection="1">
      <alignment horizontal="right" vertical="center"/>
    </xf>
    <xf numFmtId="3" fontId="28" fillId="0" borderId="187" xfId="91" applyNumberFormat="1" applyFont="1" applyFill="1" applyBorder="1" applyAlignment="1" applyProtection="1">
      <alignment horizontal="right" vertical="center"/>
    </xf>
    <xf numFmtId="3" fontId="28" fillId="0" borderId="116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14" xfId="0" applyNumberFormat="1" applyFont="1" applyBorder="1" applyAlignment="1">
      <alignment horizontal="center" vertical="center" wrapText="1"/>
    </xf>
    <xf numFmtId="9" fontId="21" fillId="0" borderId="87" xfId="0" applyNumberFormat="1" applyFont="1" applyBorder="1"/>
    <xf numFmtId="9" fontId="21" fillId="0" borderId="86" xfId="0" applyNumberFormat="1" applyFont="1" applyBorder="1"/>
    <xf numFmtId="9" fontId="21" fillId="0" borderId="88" xfId="0" applyNumberFormat="1" applyFont="1" applyBorder="1"/>
    <xf numFmtId="9" fontId="21" fillId="0" borderId="89" xfId="0" applyNumberFormat="1" applyFont="1" applyBorder="1"/>
    <xf numFmtId="9" fontId="21" fillId="0" borderId="92" xfId="0" applyNumberFormat="1" applyFont="1" applyBorder="1"/>
    <xf numFmtId="9" fontId="21" fillId="0" borderId="172" xfId="0" applyNumberFormat="1" applyFont="1" applyBorder="1"/>
    <xf numFmtId="9" fontId="21" fillId="0" borderId="189" xfId="0" applyNumberFormat="1" applyFont="1" applyBorder="1"/>
    <xf numFmtId="0" fontId="28" fillId="0" borderId="117" xfId="0" applyFont="1" applyBorder="1" applyAlignment="1">
      <alignment horizontal="center" vertical="center"/>
    </xf>
    <xf numFmtId="0" fontId="21" fillId="0" borderId="95" xfId="0" applyFont="1" applyBorder="1"/>
    <xf numFmtId="0" fontId="21" fillId="0" borderId="84" xfId="0" applyFont="1" applyBorder="1"/>
    <xf numFmtId="0" fontId="21" fillId="0" borderId="84" xfId="0" applyFont="1" applyFill="1" applyBorder="1"/>
    <xf numFmtId="0" fontId="35" fillId="27" borderId="96" xfId="0" applyFont="1" applyFill="1" applyBorder="1"/>
    <xf numFmtId="0" fontId="28" fillId="0" borderId="39" xfId="0" applyFont="1" applyBorder="1" applyAlignment="1">
      <alignment vertical="center"/>
    </xf>
    <xf numFmtId="0" fontId="28" fillId="0" borderId="63" xfId="0" applyFont="1" applyBorder="1" applyAlignment="1">
      <alignment vertical="center"/>
    </xf>
    <xf numFmtId="0" fontId="21" fillId="0" borderId="96" xfId="0" applyFont="1" applyBorder="1"/>
    <xf numFmtId="0" fontId="28" fillId="0" borderId="97" xfId="0" applyFont="1" applyBorder="1" applyAlignment="1">
      <alignment vertical="center"/>
    </xf>
    <xf numFmtId="3" fontId="28" fillId="28" borderId="66" xfId="0" applyNumberFormat="1" applyFont="1" applyFill="1" applyBorder="1" applyAlignment="1">
      <alignment horizontal="center" vertical="center"/>
    </xf>
    <xf numFmtId="166" fontId="21" fillId="0" borderId="87" xfId="0" applyNumberFormat="1" applyFont="1" applyBorder="1"/>
    <xf numFmtId="166" fontId="21" fillId="0" borderId="86" xfId="0" applyNumberFormat="1" applyFont="1" applyBorder="1"/>
    <xf numFmtId="166" fontId="21" fillId="0" borderId="88" xfId="0" applyNumberFormat="1" applyFont="1" applyBorder="1"/>
    <xf numFmtId="166" fontId="28" fillId="0" borderId="89" xfId="0" applyNumberFormat="1" applyFont="1" applyBorder="1"/>
    <xf numFmtId="166" fontId="21" fillId="0" borderId="92" xfId="0" applyNumberFormat="1" applyFont="1" applyBorder="1"/>
    <xf numFmtId="166" fontId="21" fillId="0" borderId="172" xfId="0" applyNumberFormat="1" applyFont="1" applyBorder="1"/>
    <xf numFmtId="166" fontId="28" fillId="0" borderId="189" xfId="0" applyNumberFormat="1" applyFont="1" applyBorder="1"/>
    <xf numFmtId="166" fontId="21" fillId="0" borderId="53" xfId="0" applyNumberFormat="1" applyFont="1" applyBorder="1"/>
    <xf numFmtId="166" fontId="21" fillId="0" borderId="51" xfId="0" applyNumberFormat="1" applyFont="1" applyBorder="1"/>
    <xf numFmtId="166" fontId="21" fillId="0" borderId="69" xfId="0" applyNumberFormat="1" applyFont="1" applyBorder="1"/>
    <xf numFmtId="166" fontId="28" fillId="0" borderId="41" xfId="0" applyNumberFormat="1" applyFont="1" applyBorder="1"/>
    <xf numFmtId="166" fontId="21" fillId="0" borderId="43" xfId="0" applyNumberFormat="1" applyFont="1" applyBorder="1"/>
    <xf numFmtId="166" fontId="28" fillId="0" borderId="100" xfId="0" applyNumberFormat="1" applyFont="1" applyBorder="1"/>
    <xf numFmtId="166" fontId="28" fillId="0" borderId="38" xfId="0" applyNumberFormat="1" applyFont="1" applyBorder="1"/>
    <xf numFmtId="3" fontId="21" fillId="0" borderId="82" xfId="54" applyNumberFormat="1" applyFont="1" applyFill="1" applyBorder="1"/>
    <xf numFmtId="3" fontId="29" fillId="0" borderId="82" xfId="0" applyNumberFormat="1" applyFont="1" applyFill="1" applyBorder="1"/>
    <xf numFmtId="3" fontId="29" fillId="0" borderId="144" xfId="0" applyNumberFormat="1" applyFont="1" applyFill="1" applyBorder="1"/>
    <xf numFmtId="3" fontId="21" fillId="0" borderId="144" xfId="0" applyNumberFormat="1" applyFont="1" applyFill="1" applyBorder="1"/>
    <xf numFmtId="3" fontId="28" fillId="0" borderId="148" xfId="0" applyNumberFormat="1" applyFont="1" applyFill="1" applyBorder="1" applyAlignment="1">
      <alignment vertical="center"/>
    </xf>
    <xf numFmtId="3" fontId="21" fillId="0" borderId="128" xfId="0" applyNumberFormat="1" applyFont="1" applyFill="1" applyBorder="1"/>
    <xf numFmtId="3" fontId="28" fillId="0" borderId="148" xfId="0" applyNumberFormat="1" applyFont="1" applyFill="1" applyBorder="1"/>
    <xf numFmtId="3" fontId="29" fillId="0" borderId="82" xfId="54" applyNumberFormat="1" applyFont="1" applyFill="1" applyBorder="1"/>
    <xf numFmtId="3" fontId="21" fillId="0" borderId="152" xfId="0" applyNumberFormat="1" applyFont="1" applyFill="1" applyBorder="1"/>
    <xf numFmtId="3" fontId="41" fillId="0" borderId="148" xfId="54" applyNumberFormat="1" applyFont="1" applyFill="1" applyBorder="1"/>
    <xf numFmtId="3" fontId="28" fillId="0" borderId="148" xfId="54" applyNumberFormat="1" applyFont="1" applyFill="1" applyBorder="1"/>
    <xf numFmtId="3" fontId="28" fillId="0" borderId="176" xfId="0" applyNumberFormat="1" applyFont="1" applyFill="1" applyBorder="1"/>
    <xf numFmtId="3" fontId="28" fillId="0" borderId="156" xfId="0" applyNumberFormat="1" applyFont="1" applyFill="1" applyBorder="1"/>
    <xf numFmtId="165" fontId="21" fillId="0" borderId="0" xfId="54" applyNumberFormat="1" applyFont="1" applyFill="1" applyBorder="1"/>
    <xf numFmtId="166" fontId="21" fillId="0" borderId="51" xfId="54" applyNumberFormat="1" applyFont="1" applyFill="1" applyBorder="1"/>
    <xf numFmtId="166" fontId="29" fillId="0" borderId="51" xfId="0" applyNumberFormat="1" applyFont="1" applyFill="1" applyBorder="1"/>
    <xf numFmtId="166" fontId="29" fillId="0" borderId="69" xfId="0" applyNumberFormat="1" applyFont="1" applyFill="1" applyBorder="1"/>
    <xf numFmtId="166" fontId="21" fillId="0" borderId="69" xfId="0" applyNumberFormat="1" applyFont="1" applyFill="1" applyBorder="1"/>
    <xf numFmtId="166" fontId="21" fillId="0" borderId="53" xfId="0" applyNumberFormat="1" applyFont="1" applyFill="1" applyBorder="1"/>
    <xf numFmtId="166" fontId="21" fillId="0" borderId="51" xfId="0" applyNumberFormat="1" applyFont="1" applyFill="1" applyBorder="1"/>
    <xf numFmtId="166" fontId="28" fillId="0" borderId="41" xfId="0" applyNumberFormat="1" applyFont="1" applyFill="1" applyBorder="1"/>
    <xf numFmtId="166" fontId="21" fillId="0" borderId="192" xfId="0" applyNumberFormat="1" applyFont="1" applyFill="1" applyBorder="1"/>
    <xf numFmtId="166" fontId="28" fillId="0" borderId="38" xfId="0" applyNumberFormat="1" applyFont="1" applyFill="1" applyBorder="1"/>
    <xf numFmtId="166" fontId="21" fillId="0" borderId="41" xfId="0" applyNumberFormat="1" applyFont="1" applyFill="1" applyBorder="1"/>
    <xf numFmtId="166" fontId="21" fillId="0" borderId="100" xfId="0" applyNumberFormat="1" applyFont="1" applyFill="1" applyBorder="1"/>
    <xf numFmtId="0" fontId="27" fillId="0" borderId="0" xfId="0" applyFont="1" applyFill="1" applyAlignment="1">
      <alignment horizontal="center" vertical="top" wrapText="1"/>
    </xf>
    <xf numFmtId="0" fontId="28" fillId="0" borderId="0" xfId="0" applyFont="1" applyFill="1"/>
    <xf numFmtId="2" fontId="28" fillId="0" borderId="0" xfId="0" applyNumberFormat="1" applyFont="1" applyFill="1"/>
    <xf numFmtId="164" fontId="21" fillId="0" borderId="0" xfId="0" applyNumberFormat="1" applyFont="1" applyFill="1"/>
    <xf numFmtId="0" fontId="21" fillId="0" borderId="39" xfId="0" applyFont="1" applyFill="1" applyBorder="1"/>
    <xf numFmtId="3" fontId="21" fillId="0" borderId="0" xfId="0" applyNumberFormat="1" applyFont="1" applyBorder="1"/>
    <xf numFmtId="3" fontId="40" fillId="0" borderId="0" xfId="0" applyNumberFormat="1" applyFont="1" applyBorder="1"/>
    <xf numFmtId="165" fontId="21" fillId="0" borderId="0" xfId="0" applyNumberFormat="1" applyFont="1" applyFill="1" applyBorder="1"/>
    <xf numFmtId="165" fontId="21" fillId="0" borderId="0" xfId="0" applyNumberFormat="1" applyFont="1" applyFill="1"/>
    <xf numFmtId="165" fontId="21" fillId="0" borderId="0" xfId="0" applyNumberFormat="1" applyFont="1" applyFill="1" applyAlignment="1"/>
    <xf numFmtId="165" fontId="28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4" fontId="21" fillId="0" borderId="0" xfId="0" applyNumberFormat="1" applyFont="1" applyFill="1" applyAlignment="1"/>
    <xf numFmtId="3" fontId="21" fillId="0" borderId="0" xfId="0" applyNumberFormat="1" applyFont="1" applyFill="1" applyAlignment="1">
      <alignment horizontal="right"/>
    </xf>
    <xf numFmtId="2" fontId="21" fillId="0" borderId="0" xfId="0" applyNumberFormat="1" applyFont="1" applyFill="1" applyAlignment="1">
      <alignment horizontal="right"/>
    </xf>
    <xf numFmtId="3" fontId="28" fillId="0" borderId="0" xfId="0" applyNumberFormat="1" applyFont="1" applyFill="1"/>
    <xf numFmtId="0" fontId="28" fillId="0" borderId="39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8" fillId="0" borderId="4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32" fillId="0" borderId="109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33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vertical="center"/>
    </xf>
    <xf numFmtId="0" fontId="33" fillId="0" borderId="193" xfId="0" applyFont="1" applyFill="1" applyBorder="1" applyAlignment="1">
      <alignment vertical="center"/>
    </xf>
    <xf numFmtId="0" fontId="32" fillId="0" borderId="25" xfId="0" applyFont="1" applyFill="1" applyBorder="1" applyAlignment="1">
      <alignment vertical="center"/>
    </xf>
    <xf numFmtId="164" fontId="26" fillId="0" borderId="194" xfId="0" applyNumberFormat="1" applyFont="1" applyFill="1" applyBorder="1" applyAlignment="1">
      <alignment horizontal="center" vertical="center" wrapText="1"/>
    </xf>
    <xf numFmtId="164" fontId="32" fillId="0" borderId="195" xfId="0" applyNumberFormat="1" applyFont="1" applyFill="1" applyBorder="1" applyAlignment="1">
      <alignment horizontal="center" vertical="center" wrapText="1"/>
    </xf>
    <xf numFmtId="164" fontId="26" fillId="0" borderId="196" xfId="0" applyNumberFormat="1" applyFont="1" applyFill="1" applyBorder="1" applyAlignment="1">
      <alignment vertical="center" wrapText="1"/>
    </xf>
    <xf numFmtId="164" fontId="32" fillId="0" borderId="196" xfId="0" applyNumberFormat="1" applyFont="1" applyFill="1" applyBorder="1" applyAlignment="1">
      <alignment vertical="center" wrapText="1"/>
    </xf>
    <xf numFmtId="164" fontId="32" fillId="0" borderId="197" xfId="0" applyNumberFormat="1" applyFont="1" applyFill="1" applyBorder="1" applyAlignment="1">
      <alignment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52" xfId="0" applyNumberFormat="1" applyFont="1" applyFill="1" applyBorder="1" applyAlignment="1">
      <alignment horizontal="center" vertical="center" wrapText="1"/>
    </xf>
    <xf numFmtId="164" fontId="26" fillId="0" borderId="68" xfId="0" applyNumberFormat="1" applyFont="1" applyFill="1" applyBorder="1" applyAlignment="1">
      <alignment vertical="center" wrapText="1"/>
    </xf>
    <xf numFmtId="164" fontId="33" fillId="0" borderId="68" xfId="0" applyNumberFormat="1" applyFont="1" applyFill="1" applyBorder="1" applyAlignment="1">
      <alignment vertical="center" wrapText="1"/>
    </xf>
    <xf numFmtId="164" fontId="32" fillId="0" borderId="68" xfId="0" applyNumberFormat="1" applyFont="1" applyFill="1" applyBorder="1" applyAlignment="1">
      <alignment vertical="center" wrapText="1"/>
    </xf>
    <xf numFmtId="164" fontId="26" fillId="0" borderId="68" xfId="0" applyNumberFormat="1" applyFont="1" applyFill="1" applyBorder="1" applyAlignment="1">
      <alignment vertical="center"/>
    </xf>
    <xf numFmtId="164" fontId="33" fillId="0" borderId="198" xfId="0" applyNumberFormat="1" applyFont="1" applyFill="1" applyBorder="1" applyAlignment="1">
      <alignment vertical="center"/>
    </xf>
    <xf numFmtId="164" fontId="32" fillId="0" borderId="37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wrapText="1"/>
    </xf>
    <xf numFmtId="164" fontId="21" fillId="0" borderId="0" xfId="0" applyNumberFormat="1" applyFont="1" applyFill="1" applyAlignment="1">
      <alignment horizontal="center"/>
    </xf>
    <xf numFmtId="3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40" fillId="0" borderId="0" xfId="0" applyFont="1" applyBorder="1" applyAlignment="1">
      <alignment horizontal="center" wrapText="1"/>
    </xf>
    <xf numFmtId="0" fontId="40" fillId="0" borderId="0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1" fillId="0" borderId="101" xfId="0" applyNumberFormat="1" applyFont="1" applyFill="1" applyBorder="1" applyAlignment="1">
      <alignment vertical="center" wrapText="1"/>
    </xf>
    <xf numFmtId="3" fontId="26" fillId="0" borderId="0" xfId="0" applyNumberFormat="1" applyFont="1" applyFill="1" applyAlignment="1">
      <alignment horizontal="center"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164" fontId="27" fillId="0" borderId="0" xfId="0" applyNumberFormat="1" applyFont="1" applyFill="1" applyAlignment="1">
      <alignment horizontal="center" vertical="top" wrapText="1"/>
    </xf>
    <xf numFmtId="3" fontId="27" fillId="0" borderId="0" xfId="0" applyNumberFormat="1" applyFont="1" applyFill="1" applyAlignment="1">
      <alignment horizontal="center" vertical="top"/>
    </xf>
    <xf numFmtId="0" fontId="21" fillId="0" borderId="61" xfId="0" applyFont="1" applyFill="1" applyBorder="1"/>
    <xf numFmtId="3" fontId="21" fillId="0" borderId="52" xfId="0" applyNumberFormat="1" applyFont="1" applyFill="1" applyBorder="1"/>
    <xf numFmtId="3" fontId="21" fillId="0" borderId="87" xfId="0" applyNumberFormat="1" applyFont="1" applyFill="1" applyBorder="1"/>
    <xf numFmtId="3" fontId="21" fillId="0" borderId="53" xfId="0" applyNumberFormat="1" applyFont="1" applyFill="1" applyBorder="1"/>
    <xf numFmtId="17" fontId="21" fillId="0" borderId="62" xfId="0" applyNumberFormat="1" applyFont="1" applyFill="1" applyBorder="1"/>
    <xf numFmtId="3" fontId="21" fillId="0" borderId="44" xfId="0" applyNumberFormat="1" applyFont="1" applyFill="1" applyBorder="1"/>
    <xf numFmtId="3" fontId="21" fillId="0" borderId="122" xfId="0" applyNumberFormat="1" applyFont="1" applyFill="1" applyBorder="1"/>
    <xf numFmtId="3" fontId="21" fillId="0" borderId="40" xfId="0" applyNumberFormat="1" applyFont="1" applyFill="1" applyBorder="1"/>
    <xf numFmtId="3" fontId="21" fillId="0" borderId="89" xfId="0" applyNumberFormat="1" applyFont="1" applyFill="1" applyBorder="1"/>
    <xf numFmtId="3" fontId="21" fillId="0" borderId="41" xfId="0" applyNumberFormat="1" applyFont="1" applyFill="1" applyBorder="1"/>
    <xf numFmtId="0" fontId="21" fillId="0" borderId="95" xfId="0" applyFont="1" applyFill="1" applyBorder="1"/>
    <xf numFmtId="16" fontId="21" fillId="0" borderId="0" xfId="0" quotePrefix="1" applyNumberFormat="1" applyFont="1" applyFill="1"/>
    <xf numFmtId="3" fontId="21" fillId="0" borderId="85" xfId="0" applyNumberFormat="1" applyFont="1" applyFill="1" applyBorder="1"/>
    <xf numFmtId="0" fontId="21" fillId="0" borderId="63" xfId="0" applyFont="1" applyFill="1" applyBorder="1"/>
    <xf numFmtId="3" fontId="21" fillId="0" borderId="42" xfId="0" applyNumberFormat="1" applyFont="1" applyFill="1" applyBorder="1"/>
    <xf numFmtId="3" fontId="21" fillId="0" borderId="92" xfId="0" applyNumberFormat="1" applyFont="1" applyFill="1" applyBorder="1"/>
    <xf numFmtId="3" fontId="21" fillId="0" borderId="0" xfId="0" quotePrefix="1" applyNumberFormat="1" applyFont="1" applyFill="1"/>
    <xf numFmtId="0" fontId="21" fillId="0" borderId="47" xfId="0" applyFont="1" applyFill="1" applyBorder="1"/>
    <xf numFmtId="3" fontId="21" fillId="0" borderId="45" xfId="0" applyNumberFormat="1" applyFont="1" applyFill="1" applyBorder="1"/>
    <xf numFmtId="3" fontId="21" fillId="0" borderId="93" xfId="0" applyNumberFormat="1" applyFont="1" applyFill="1" applyBorder="1"/>
    <xf numFmtId="0" fontId="28" fillId="0" borderId="66" xfId="0" applyFont="1" applyFill="1" applyBorder="1" applyAlignment="1">
      <alignment wrapText="1"/>
    </xf>
    <xf numFmtId="3" fontId="28" fillId="0" borderId="37" xfId="0" applyNumberFormat="1" applyFont="1" applyFill="1" applyBorder="1"/>
    <xf numFmtId="3" fontId="39" fillId="0" borderId="0" xfId="0" applyNumberFormat="1" applyFont="1" applyFill="1"/>
    <xf numFmtId="164" fontId="28" fillId="0" borderId="0" xfId="0" applyNumberFormat="1" applyFont="1" applyFill="1"/>
    <xf numFmtId="4" fontId="21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21" fillId="0" borderId="48" xfId="0" applyFont="1" applyFill="1" applyBorder="1"/>
    <xf numFmtId="3" fontId="21" fillId="0" borderId="48" xfId="0" applyNumberFormat="1" applyFont="1" applyFill="1" applyBorder="1"/>
    <xf numFmtId="4" fontId="21" fillId="0" borderId="48" xfId="0" applyNumberFormat="1" applyFont="1" applyFill="1" applyBorder="1"/>
    <xf numFmtId="0" fontId="21" fillId="0" borderId="49" xfId="0" applyFont="1" applyFill="1" applyBorder="1"/>
    <xf numFmtId="4" fontId="21" fillId="0" borderId="49" xfId="0" applyNumberFormat="1" applyFont="1" applyFill="1" applyBorder="1"/>
    <xf numFmtId="0" fontId="21" fillId="0" borderId="50" xfId="0" applyFont="1" applyFill="1" applyBorder="1"/>
    <xf numFmtId="4" fontId="21" fillId="0" borderId="50" xfId="0" applyNumberFormat="1" applyFont="1" applyFill="1" applyBorder="1"/>
    <xf numFmtId="165" fontId="21" fillId="0" borderId="0" xfId="0" applyNumberFormat="1" applyFont="1" applyFill="1" applyAlignment="1">
      <alignment horizontal="right"/>
    </xf>
    <xf numFmtId="3" fontId="21" fillId="0" borderId="46" xfId="0" applyNumberFormat="1" applyFont="1" applyFill="1" applyBorder="1"/>
    <xf numFmtId="3" fontId="28" fillId="0" borderId="38" xfId="0" applyNumberFormat="1" applyFont="1" applyFill="1" applyBorder="1"/>
    <xf numFmtId="0" fontId="28" fillId="0" borderId="202" xfId="0" applyFont="1" applyFill="1" applyBorder="1" applyAlignment="1">
      <alignment horizontal="center" vertical="center" wrapText="1"/>
    </xf>
    <xf numFmtId="3" fontId="21" fillId="0" borderId="201" xfId="0" applyNumberFormat="1" applyFont="1" applyFill="1" applyBorder="1"/>
    <xf numFmtId="3" fontId="21" fillId="0" borderId="179" xfId="0" applyNumberFormat="1" applyFont="1" applyFill="1" applyBorder="1"/>
    <xf numFmtId="3" fontId="21" fillId="0" borderId="202" xfId="0" applyNumberFormat="1" applyFont="1" applyFill="1" applyBorder="1"/>
    <xf numFmtId="3" fontId="21" fillId="0" borderId="203" xfId="0" applyNumberFormat="1" applyFont="1" applyFill="1" applyBorder="1"/>
    <xf numFmtId="3" fontId="21" fillId="0" borderId="204" xfId="0" applyNumberFormat="1" applyFont="1" applyFill="1" applyBorder="1"/>
    <xf numFmtId="3" fontId="28" fillId="0" borderId="124" xfId="0" applyNumberFormat="1" applyFont="1" applyFill="1" applyBorder="1"/>
    <xf numFmtId="0" fontId="29" fillId="0" borderId="96" xfId="0" applyFont="1" applyFill="1" applyBorder="1" applyAlignment="1">
      <alignment horizontal="left" vertical="center" wrapText="1"/>
    </xf>
    <xf numFmtId="3" fontId="29" fillId="0" borderId="143" xfId="0" applyNumberFormat="1" applyFont="1" applyFill="1" applyBorder="1" applyAlignment="1">
      <alignment vertical="center" wrapText="1"/>
    </xf>
    <xf numFmtId="3" fontId="29" fillId="0" borderId="145" xfId="0" applyNumberFormat="1" applyFont="1" applyFill="1" applyBorder="1" applyAlignment="1">
      <alignment vertical="center" wrapText="1"/>
    </xf>
    <xf numFmtId="3" fontId="29" fillId="0" borderId="146" xfId="0" applyNumberFormat="1" applyFont="1" applyFill="1" applyBorder="1" applyAlignment="1">
      <alignment vertical="center" wrapText="1"/>
    </xf>
    <xf numFmtId="166" fontId="29" fillId="0" borderId="146" xfId="0" applyNumberFormat="1" applyFont="1" applyFill="1" applyBorder="1" applyAlignment="1">
      <alignment vertical="center" wrapText="1"/>
    </xf>
    <xf numFmtId="166" fontId="29" fillId="0" borderId="144" xfId="0" applyNumberFormat="1" applyFont="1" applyFill="1" applyBorder="1" applyAlignment="1">
      <alignment vertical="center" wrapText="1"/>
    </xf>
    <xf numFmtId="3" fontId="28" fillId="0" borderId="206" xfId="0" applyNumberFormat="1" applyFont="1" applyFill="1" applyBorder="1" applyAlignment="1">
      <alignment vertical="center" wrapText="1"/>
    </xf>
    <xf numFmtId="3" fontId="28" fillId="0" borderId="180" xfId="0" applyNumberFormat="1" applyFont="1" applyFill="1" applyBorder="1" applyAlignment="1">
      <alignment vertical="center" wrapText="1"/>
    </xf>
    <xf numFmtId="166" fontId="28" fillId="0" borderId="206" xfId="0" applyNumberFormat="1" applyFont="1" applyFill="1" applyBorder="1" applyAlignment="1">
      <alignment vertical="center" wrapText="1"/>
    </xf>
    <xf numFmtId="166" fontId="28" fillId="0" borderId="176" xfId="0" applyNumberFormat="1" applyFont="1" applyFill="1" applyBorder="1" applyAlignment="1">
      <alignment vertical="center" wrapText="1"/>
    </xf>
    <xf numFmtId="0" fontId="28" fillId="0" borderId="75" xfId="0" applyFont="1" applyFill="1" applyBorder="1" applyAlignment="1">
      <alignment horizontal="center" vertical="center" wrapText="1"/>
    </xf>
    <xf numFmtId="164" fontId="32" fillId="0" borderId="48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vertical="center" wrapText="1"/>
    </xf>
    <xf numFmtId="164" fontId="33" fillId="0" borderId="49" xfId="0" applyNumberFormat="1" applyFont="1" applyFill="1" applyBorder="1" applyAlignment="1">
      <alignment vertical="center" wrapText="1"/>
    </xf>
    <xf numFmtId="0" fontId="26" fillId="0" borderId="0" xfId="0" applyFont="1" applyFill="1" applyBorder="1"/>
    <xf numFmtId="164" fontId="26" fillId="0" borderId="89" xfId="0" applyNumberFormat="1" applyFont="1" applyFill="1" applyBorder="1" applyAlignment="1">
      <alignment horizontal="center" vertical="center" wrapText="1"/>
    </xf>
    <xf numFmtId="164" fontId="26" fillId="0" borderId="86" xfId="0" applyNumberFormat="1" applyFont="1" applyFill="1" applyBorder="1" applyAlignment="1">
      <alignment vertical="center"/>
    </xf>
    <xf numFmtId="164" fontId="33" fillId="0" borderId="207" xfId="0" applyNumberFormat="1" applyFont="1" applyFill="1" applyBorder="1" applyAlignment="1">
      <alignment vertical="center"/>
    </xf>
    <xf numFmtId="164" fontId="32" fillId="0" borderId="189" xfId="0" applyNumberFormat="1" applyFont="1" applyFill="1" applyBorder="1" applyAlignment="1">
      <alignment vertical="center"/>
    </xf>
    <xf numFmtId="164" fontId="26" fillId="0" borderId="39" xfId="0" applyNumberFormat="1" applyFont="1" applyFill="1" applyBorder="1" applyAlignment="1">
      <alignment horizontal="center" vertical="center" wrapText="1"/>
    </xf>
    <xf numFmtId="164" fontId="32" fillId="0" borderId="95" xfId="0" applyNumberFormat="1" applyFont="1" applyFill="1" applyBorder="1" applyAlignment="1">
      <alignment horizontal="center" vertical="center" wrapText="1"/>
    </xf>
    <xf numFmtId="164" fontId="32" fillId="0" borderId="84" xfId="0" applyNumberFormat="1" applyFont="1" applyFill="1" applyBorder="1" applyAlignment="1">
      <alignment vertical="center" wrapText="1"/>
    </xf>
    <xf numFmtId="164" fontId="32" fillId="0" borderId="66" xfId="0" applyNumberFormat="1" applyFont="1" applyFill="1" applyBorder="1" applyAlignment="1">
      <alignment vertical="center"/>
    </xf>
    <xf numFmtId="164" fontId="26" fillId="0" borderId="84" xfId="0" applyNumberFormat="1" applyFont="1" applyFill="1" applyBorder="1" applyAlignment="1">
      <alignment vertical="center" wrapText="1"/>
    </xf>
    <xf numFmtId="3" fontId="28" fillId="29" borderId="35" xfId="0" applyNumberFormat="1" applyFont="1" applyFill="1" applyBorder="1" applyAlignment="1">
      <alignment vertical="center" wrapText="1"/>
    </xf>
    <xf numFmtId="3" fontId="28" fillId="29" borderId="103" xfId="0" applyNumberFormat="1" applyFont="1" applyFill="1" applyBorder="1" applyAlignment="1">
      <alignment vertical="center" wrapText="1"/>
    </xf>
    <xf numFmtId="3" fontId="28" fillId="0" borderId="75" xfId="0" applyNumberFormat="1" applyFont="1" applyFill="1" applyBorder="1" applyAlignment="1">
      <alignment vertical="center" wrapText="1"/>
    </xf>
    <xf numFmtId="3" fontId="28" fillId="29" borderId="103" xfId="54" applyNumberFormat="1" applyFont="1" applyFill="1" applyBorder="1" applyAlignment="1">
      <alignment horizontal="right"/>
    </xf>
    <xf numFmtId="3" fontId="28" fillId="29" borderId="34" xfId="54" applyNumberFormat="1" applyFont="1" applyFill="1" applyBorder="1" applyAlignment="1">
      <alignment horizontal="right"/>
    </xf>
    <xf numFmtId="3" fontId="21" fillId="0" borderId="158" xfId="54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horizontal="center" vertical="center" wrapText="1"/>
    </xf>
    <xf numFmtId="166" fontId="21" fillId="0" borderId="76" xfId="90" applyNumberFormat="1" applyFont="1" applyFill="1" applyBorder="1" applyAlignment="1">
      <alignment horizontal="right"/>
    </xf>
    <xf numFmtId="166" fontId="21" fillId="0" borderId="17" xfId="90" applyNumberFormat="1" applyFont="1" applyFill="1" applyBorder="1" applyAlignment="1">
      <alignment horizontal="right"/>
    </xf>
    <xf numFmtId="166" fontId="29" fillId="0" borderId="17" xfId="90" applyNumberFormat="1" applyFont="1" applyFill="1" applyBorder="1" applyAlignment="1">
      <alignment horizontal="right"/>
    </xf>
    <xf numFmtId="166" fontId="29" fillId="0" borderId="54" xfId="90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horizontal="right"/>
    </xf>
    <xf numFmtId="166" fontId="21" fillId="0" borderId="54" xfId="90" applyNumberFormat="1" applyFont="1" applyFill="1" applyBorder="1" applyAlignment="1">
      <alignment horizontal="right"/>
    </xf>
    <xf numFmtId="166" fontId="21" fillId="0" borderId="77" xfId="90" applyNumberFormat="1" applyFont="1" applyFill="1" applyBorder="1" applyAlignment="1">
      <alignment horizontal="right"/>
    </xf>
    <xf numFmtId="166" fontId="28" fillId="29" borderId="15" xfId="90" applyNumberFormat="1" applyFont="1" applyFill="1" applyBorder="1" applyAlignment="1">
      <alignment horizontal="right"/>
    </xf>
    <xf numFmtId="166" fontId="28" fillId="0" borderId="77" xfId="90" applyNumberFormat="1" applyFont="1" applyFill="1" applyBorder="1" applyAlignment="1">
      <alignment horizontal="right"/>
    </xf>
    <xf numFmtId="166" fontId="28" fillId="0" borderId="32" xfId="90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wrapText="1"/>
    </xf>
    <xf numFmtId="166" fontId="21" fillId="0" borderId="76" xfId="90" applyNumberFormat="1" applyFont="1" applyFill="1" applyBorder="1" applyAlignment="1">
      <alignment wrapText="1"/>
    </xf>
    <xf numFmtId="166" fontId="21" fillId="0" borderId="54" xfId="90" applyNumberFormat="1" applyFont="1" applyFill="1" applyBorder="1" applyAlignment="1">
      <alignment wrapText="1"/>
    </xf>
    <xf numFmtId="166" fontId="21" fillId="0" borderId="17" xfId="90" applyNumberFormat="1" applyFont="1" applyFill="1" applyBorder="1" applyAlignment="1">
      <alignment wrapText="1"/>
    </xf>
    <xf numFmtId="166" fontId="29" fillId="0" borderId="17" xfId="90" applyNumberFormat="1" applyFont="1" applyFill="1" applyBorder="1" applyAlignment="1">
      <alignment wrapText="1"/>
    </xf>
    <xf numFmtId="166" fontId="29" fillId="0" borderId="54" xfId="90" applyNumberFormat="1" applyFont="1" applyFill="1" applyBorder="1" applyAlignment="1">
      <alignment wrapText="1"/>
    </xf>
    <xf numFmtId="166" fontId="29" fillId="0" borderId="160" xfId="90" applyNumberFormat="1" applyFont="1" applyFill="1" applyBorder="1" applyAlignment="1">
      <alignment wrapText="1"/>
    </xf>
    <xf numFmtId="166" fontId="28" fillId="29" borderId="54" xfId="90" applyNumberFormat="1" applyFont="1" applyFill="1" applyBorder="1" applyAlignment="1">
      <alignment wrapText="1"/>
    </xf>
    <xf numFmtId="166" fontId="28" fillId="0" borderId="32" xfId="90" applyNumberFormat="1" applyFont="1" applyFill="1" applyBorder="1" applyAlignment="1">
      <alignment wrapText="1"/>
    </xf>
    <xf numFmtId="166" fontId="28" fillId="0" borderId="0" xfId="90" applyNumberFormat="1" applyFont="1" applyFill="1" applyAlignment="1">
      <alignment wrapText="1"/>
    </xf>
    <xf numFmtId="166" fontId="28" fillId="0" borderId="155" xfId="90" applyNumberFormat="1" applyFont="1" applyFill="1" applyBorder="1" applyAlignment="1">
      <alignment vertical="center" wrapText="1"/>
    </xf>
    <xf numFmtId="166" fontId="21" fillId="0" borderId="0" xfId="90" applyNumberFormat="1" applyFont="1" applyFill="1" applyAlignment="1">
      <alignment wrapText="1"/>
    </xf>
    <xf numFmtId="3" fontId="28" fillId="29" borderId="20" xfId="0" applyNumberFormat="1" applyFont="1" applyFill="1" applyBorder="1" applyAlignment="1">
      <alignment vertical="center" wrapText="1"/>
    </xf>
    <xf numFmtId="166" fontId="21" fillId="0" borderId="15" xfId="90" applyNumberFormat="1" applyFont="1" applyFill="1" applyBorder="1" applyAlignment="1">
      <alignment horizontal="right"/>
    </xf>
    <xf numFmtId="166" fontId="21" fillId="29" borderId="77" xfId="90" applyNumberFormat="1" applyFont="1" applyFill="1" applyBorder="1" applyAlignment="1">
      <alignment horizontal="right"/>
    </xf>
    <xf numFmtId="166" fontId="21" fillId="0" borderId="77" xfId="90" applyNumberFormat="1" applyFont="1" applyFill="1" applyBorder="1" applyAlignment="1">
      <alignment wrapText="1"/>
    </xf>
    <xf numFmtId="166" fontId="28" fillId="29" borderId="15" xfId="90" applyNumberFormat="1" applyFont="1" applyFill="1" applyBorder="1" applyAlignment="1">
      <alignment wrapText="1"/>
    </xf>
    <xf numFmtId="166" fontId="28" fillId="0" borderId="77" xfId="90" applyNumberFormat="1" applyFont="1" applyFill="1" applyBorder="1" applyAlignment="1">
      <alignment wrapText="1"/>
    </xf>
    <xf numFmtId="166" fontId="29" fillId="0" borderId="76" xfId="90" applyNumberFormat="1" applyFont="1" applyFill="1" applyBorder="1" applyAlignment="1">
      <alignment wrapText="1"/>
    </xf>
    <xf numFmtId="166" fontId="28" fillId="0" borderId="32" xfId="90" applyNumberFormat="1" applyFont="1" applyFill="1" applyBorder="1" applyAlignment="1">
      <alignment vertical="center" wrapText="1"/>
    </xf>
    <xf numFmtId="166" fontId="21" fillId="0" borderId="160" xfId="90" applyNumberFormat="1" applyFont="1" applyFill="1" applyBorder="1" applyAlignment="1">
      <alignment wrapText="1"/>
    </xf>
    <xf numFmtId="3" fontId="26" fillId="0" borderId="208" xfId="0" applyNumberFormat="1" applyFont="1" applyFill="1" applyBorder="1" applyAlignment="1">
      <alignment horizontal="right" vertical="center"/>
    </xf>
    <xf numFmtId="1" fontId="32" fillId="0" borderId="197" xfId="0" applyNumberFormat="1" applyFont="1" applyFill="1" applyBorder="1" applyAlignment="1">
      <alignment horizontal="center" vertical="center" wrapText="1"/>
    </xf>
    <xf numFmtId="3" fontId="26" fillId="0" borderId="209" xfId="0" applyNumberFormat="1" applyFont="1" applyFill="1" applyBorder="1" applyAlignment="1">
      <alignment horizontal="right" vertical="center"/>
    </xf>
    <xf numFmtId="3" fontId="26" fillId="0" borderId="195" xfId="0" applyNumberFormat="1" applyFont="1" applyFill="1" applyBorder="1" applyAlignment="1">
      <alignment horizontal="right" vertical="center"/>
    </xf>
    <xf numFmtId="3" fontId="26" fillId="0" borderId="210" xfId="0" applyNumberFormat="1" applyFont="1" applyFill="1" applyBorder="1" applyAlignment="1">
      <alignment horizontal="right" vertical="center"/>
    </xf>
    <xf numFmtId="3" fontId="32" fillId="0" borderId="211" xfId="0" applyNumberFormat="1" applyFont="1" applyFill="1" applyBorder="1" applyAlignment="1">
      <alignment horizontal="right" vertical="center"/>
    </xf>
    <xf numFmtId="0" fontId="26" fillId="0" borderId="212" xfId="0" applyFont="1" applyFill="1" applyBorder="1" applyAlignment="1">
      <alignment vertical="center" wrapText="1"/>
    </xf>
    <xf numFmtId="0" fontId="32" fillId="0" borderId="61" xfId="0" applyFont="1" applyFill="1" applyBorder="1" applyAlignment="1">
      <alignment vertical="center" wrapText="1"/>
    </xf>
    <xf numFmtId="0" fontId="26" fillId="0" borderId="95" xfId="0" applyFont="1" applyFill="1" applyBorder="1" applyAlignment="1">
      <alignment vertical="center" wrapText="1"/>
    </xf>
    <xf numFmtId="0" fontId="26" fillId="0" borderId="84" xfId="0" applyFont="1" applyFill="1" applyBorder="1" applyAlignment="1">
      <alignment vertical="center" wrapText="1"/>
    </xf>
    <xf numFmtId="0" fontId="26" fillId="0" borderId="120" xfId="0" applyFont="1" applyFill="1" applyBorder="1" applyAlignment="1">
      <alignment vertical="center" wrapText="1"/>
    </xf>
    <xf numFmtId="0" fontId="26" fillId="0" borderId="62" xfId="0" applyFont="1" applyFill="1" applyBorder="1" applyAlignment="1">
      <alignment vertical="center" wrapText="1"/>
    </xf>
    <xf numFmtId="0" fontId="32" fillId="0" borderId="97" xfId="0" applyFont="1" applyFill="1" applyBorder="1" applyAlignment="1">
      <alignment vertical="center" wrapText="1"/>
    </xf>
    <xf numFmtId="0" fontId="32" fillId="0" borderId="213" xfId="0" applyFont="1" applyFill="1" applyBorder="1" applyAlignment="1">
      <alignment vertical="center" wrapText="1"/>
    </xf>
    <xf numFmtId="3" fontId="32" fillId="0" borderId="55" xfId="0" applyNumberFormat="1" applyFont="1" applyFill="1" applyBorder="1" applyAlignment="1">
      <alignment horizontal="right" vertical="center"/>
    </xf>
    <xf numFmtId="0" fontId="28" fillId="0" borderId="109" xfId="0" applyFont="1" applyFill="1" applyBorder="1"/>
    <xf numFmtId="3" fontId="28" fillId="0" borderId="214" xfId="0" applyNumberFormat="1" applyFont="1" applyFill="1" applyBorder="1"/>
    <xf numFmtId="3" fontId="28" fillId="0" borderId="135" xfId="0" applyNumberFormat="1" applyFont="1" applyFill="1" applyBorder="1"/>
    <xf numFmtId="3" fontId="28" fillId="0" borderId="132" xfId="0" applyNumberFormat="1" applyFont="1" applyFill="1" applyBorder="1"/>
    <xf numFmtId="3" fontId="28" fillId="0" borderId="133" xfId="0" applyNumberFormat="1" applyFont="1" applyFill="1" applyBorder="1"/>
    <xf numFmtId="3" fontId="28" fillId="0" borderId="214" xfId="0" applyNumberFormat="1" applyFont="1" applyFill="1" applyBorder="1" applyAlignment="1"/>
    <xf numFmtId="3" fontId="28" fillId="0" borderId="79" xfId="54" applyNumberFormat="1" applyFont="1" applyFill="1" applyBorder="1" applyAlignment="1">
      <alignment horizontal="center" vertical="center" wrapText="1"/>
    </xf>
    <xf numFmtId="3" fontId="28" fillId="0" borderId="105" xfId="54" applyNumberFormat="1" applyFont="1" applyFill="1" applyBorder="1" applyAlignment="1">
      <alignment horizontal="center" vertical="center" wrapText="1"/>
    </xf>
    <xf numFmtId="3" fontId="28" fillId="0" borderId="91" xfId="54" applyNumberFormat="1" applyFont="1" applyFill="1" applyBorder="1" applyAlignment="1">
      <alignment horizontal="center" vertical="center" wrapText="1"/>
    </xf>
    <xf numFmtId="3" fontId="28" fillId="0" borderId="107" xfId="0" applyNumberFormat="1" applyFont="1" applyFill="1" applyBorder="1" applyAlignment="1">
      <alignment horizontal="center" vertical="center" wrapText="1"/>
    </xf>
    <xf numFmtId="3" fontId="28" fillId="0" borderId="132" xfId="0" applyNumberFormat="1" applyFont="1" applyFill="1" applyBorder="1" applyAlignment="1">
      <alignment horizontal="center" vertical="center" wrapText="1"/>
    </xf>
    <xf numFmtId="3" fontId="28" fillId="0" borderId="108" xfId="0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55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5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5" xfId="0" applyFont="1" applyFill="1" applyBorder="1" applyAlignment="1">
      <alignment horizontal="center" wrapText="1"/>
    </xf>
    <xf numFmtId="0" fontId="28" fillId="0" borderId="117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21" xfId="0" applyFont="1" applyFill="1" applyBorder="1" applyAlignment="1">
      <alignment horizontal="center" vertical="center"/>
    </xf>
    <xf numFmtId="0" fontId="28" fillId="0" borderId="119" xfId="0" applyFont="1" applyFill="1" applyBorder="1" applyAlignment="1">
      <alignment horizontal="center" vertical="center"/>
    </xf>
    <xf numFmtId="3" fontId="28" fillId="0" borderId="80" xfId="54" applyNumberFormat="1" applyFont="1" applyFill="1" applyBorder="1" applyAlignment="1">
      <alignment horizontal="center" vertical="center" wrapText="1"/>
    </xf>
    <xf numFmtId="3" fontId="28" fillId="0" borderId="159" xfId="54" applyNumberFormat="1" applyFont="1" applyFill="1" applyBorder="1" applyAlignment="1">
      <alignment horizontal="center" vertical="center" wrapText="1"/>
    </xf>
    <xf numFmtId="3" fontId="28" fillId="0" borderId="101" xfId="54" applyNumberFormat="1" applyFont="1" applyFill="1" applyBorder="1" applyAlignment="1">
      <alignment horizontal="center" vertical="center" wrapText="1"/>
    </xf>
    <xf numFmtId="3" fontId="28" fillId="0" borderId="161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18" xfId="54" applyNumberFormat="1" applyFont="1" applyFill="1" applyBorder="1" applyAlignment="1">
      <alignment horizontal="center" vertical="center" wrapText="1"/>
    </xf>
    <xf numFmtId="165" fontId="28" fillId="0" borderId="191" xfId="54" applyNumberFormat="1" applyFont="1" applyFill="1" applyBorder="1" applyAlignment="1">
      <alignment horizontal="center" vertical="center" wrapText="1"/>
    </xf>
    <xf numFmtId="3" fontId="28" fillId="0" borderId="190" xfId="54" applyNumberFormat="1" applyFont="1" applyFill="1" applyBorder="1" applyAlignment="1">
      <alignment horizontal="center" vertical="center" wrapText="1"/>
    </xf>
    <xf numFmtId="3" fontId="28" fillId="0" borderId="138" xfId="54" applyNumberFormat="1" applyFont="1" applyFill="1" applyBorder="1" applyAlignment="1">
      <alignment horizontal="center" vertical="center" wrapText="1"/>
    </xf>
    <xf numFmtId="0" fontId="28" fillId="0" borderId="61" xfId="75" applyFont="1" applyFill="1" applyBorder="1" applyAlignment="1">
      <alignment horizontal="center" vertical="center" wrapText="1"/>
    </xf>
    <xf numFmtId="0" fontId="28" fillId="0" borderId="62" xfId="75" applyFont="1" applyFill="1" applyBorder="1" applyAlignment="1">
      <alignment horizontal="center" vertical="center" wrapText="1"/>
    </xf>
    <xf numFmtId="0" fontId="28" fillId="0" borderId="74" xfId="0" applyFont="1" applyFill="1" applyBorder="1" applyAlignment="1">
      <alignment horizontal="center" vertical="center"/>
    </xf>
    <xf numFmtId="0" fontId="28" fillId="0" borderId="179" xfId="0" applyFont="1" applyFill="1" applyBorder="1" applyAlignment="1">
      <alignment horizontal="center" vertical="center"/>
    </xf>
    <xf numFmtId="0" fontId="28" fillId="0" borderId="124" xfId="0" applyFont="1" applyFill="1" applyBorder="1" applyAlignment="1">
      <alignment horizontal="center" vertical="center" wrapText="1"/>
    </xf>
    <xf numFmtId="0" fontId="28" fillId="0" borderId="135" xfId="0" applyFont="1" applyFill="1" applyBorder="1" applyAlignment="1">
      <alignment horizontal="center" vertical="center" wrapText="1"/>
    </xf>
    <xf numFmtId="0" fontId="28" fillId="0" borderId="132" xfId="0" applyFont="1" applyFill="1" applyBorder="1" applyAlignment="1">
      <alignment horizontal="center" vertical="center" wrapText="1"/>
    </xf>
    <xf numFmtId="0" fontId="28" fillId="0" borderId="133" xfId="0" applyFont="1" applyFill="1" applyBorder="1" applyAlignment="1">
      <alignment horizontal="center" vertical="center" wrapText="1"/>
    </xf>
    <xf numFmtId="0" fontId="28" fillId="0" borderId="107" xfId="0" applyFont="1" applyFill="1" applyBorder="1" applyAlignment="1">
      <alignment horizontal="center" vertical="center" wrapText="1"/>
    </xf>
    <xf numFmtId="0" fontId="28" fillId="0" borderId="108" xfId="0" applyFont="1" applyFill="1" applyBorder="1" applyAlignment="1">
      <alignment horizontal="center" vertical="center" wrapText="1"/>
    </xf>
    <xf numFmtId="166" fontId="28" fillId="0" borderId="131" xfId="0" applyNumberFormat="1" applyFont="1" applyFill="1" applyBorder="1" applyAlignment="1">
      <alignment horizontal="center" vertical="center" wrapText="1"/>
    </xf>
    <xf numFmtId="166" fontId="28" fillId="0" borderId="132" xfId="0" applyNumberFormat="1" applyFont="1" applyFill="1" applyBorder="1" applyAlignment="1">
      <alignment horizontal="center" vertical="center" wrapText="1"/>
    </xf>
    <xf numFmtId="166" fontId="28" fillId="0" borderId="134" xfId="0" applyNumberFormat="1" applyFont="1" applyFill="1" applyBorder="1" applyAlignment="1">
      <alignment horizontal="center" vertical="center" wrapText="1"/>
    </xf>
    <xf numFmtId="166" fontId="28" fillId="0" borderId="135" xfId="0" applyNumberFormat="1" applyFont="1" applyFill="1" applyBorder="1" applyAlignment="1">
      <alignment horizontal="center" vertical="center" wrapText="1"/>
    </xf>
    <xf numFmtId="166" fontId="28" fillId="0" borderId="133" xfId="0" applyNumberFormat="1" applyFont="1" applyFill="1" applyBorder="1" applyAlignment="1">
      <alignment horizontal="center" vertical="center" wrapText="1"/>
    </xf>
    <xf numFmtId="0" fontId="28" fillId="0" borderId="131" xfId="0" applyFont="1" applyFill="1" applyBorder="1" applyAlignment="1">
      <alignment horizontal="center" vertical="center" wrapText="1"/>
    </xf>
    <xf numFmtId="0" fontId="28" fillId="0" borderId="134" xfId="0" applyFont="1" applyFill="1" applyBorder="1" applyAlignment="1">
      <alignment horizontal="center" vertical="center" wrapText="1"/>
    </xf>
    <xf numFmtId="0" fontId="28" fillId="0" borderId="83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31" xfId="0" applyNumberFormat="1" applyFont="1" applyFill="1" applyBorder="1" applyAlignment="1">
      <alignment horizontal="center" vertical="center" wrapText="1"/>
    </xf>
    <xf numFmtId="3" fontId="28" fillId="0" borderId="134" xfId="0" applyNumberFormat="1" applyFont="1" applyFill="1" applyBorder="1" applyAlignment="1">
      <alignment horizontal="center" vertical="center" wrapText="1"/>
    </xf>
    <xf numFmtId="0" fontId="28" fillId="0" borderId="109" xfId="0" applyFont="1" applyFill="1" applyBorder="1" applyAlignment="1">
      <alignment horizontal="center" vertical="center" wrapText="1"/>
    </xf>
    <xf numFmtId="0" fontId="28" fillId="0" borderId="111" xfId="0" applyFont="1" applyFill="1" applyBorder="1" applyAlignment="1">
      <alignment horizontal="center" vertical="center" wrapText="1"/>
    </xf>
    <xf numFmtId="0" fontId="28" fillId="0" borderId="113" xfId="0" applyFont="1" applyFill="1" applyBorder="1" applyAlignment="1">
      <alignment horizontal="center" vertical="center" wrapText="1"/>
    </xf>
    <xf numFmtId="0" fontId="28" fillId="0" borderId="156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3" fontId="28" fillId="0" borderId="117" xfId="0" applyNumberFormat="1" applyFont="1" applyFill="1" applyBorder="1" applyAlignment="1">
      <alignment horizontal="center" vertical="center"/>
    </xf>
    <xf numFmtId="3" fontId="28" fillId="0" borderId="110" xfId="0" applyNumberFormat="1" applyFont="1" applyFill="1" applyBorder="1" applyAlignment="1">
      <alignment horizontal="center" vertical="center"/>
    </xf>
    <xf numFmtId="0" fontId="28" fillId="0" borderId="199" xfId="0" applyFont="1" applyFill="1" applyBorder="1" applyAlignment="1">
      <alignment horizontal="center" vertical="center"/>
    </xf>
    <xf numFmtId="4" fontId="28" fillId="0" borderId="199" xfId="0" applyNumberFormat="1" applyFont="1" applyFill="1" applyBorder="1" applyAlignment="1">
      <alignment horizontal="center" vertical="center"/>
    </xf>
    <xf numFmtId="0" fontId="28" fillId="0" borderId="20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8" fillId="0" borderId="205" xfId="0" applyFont="1" applyFill="1" applyBorder="1" applyAlignment="1">
      <alignment horizontal="center" vertical="center"/>
    </xf>
    <xf numFmtId="3" fontId="21" fillId="0" borderId="0" xfId="0" applyNumberFormat="1" applyFont="1" applyFill="1" applyAlignment="1">
      <alignment horizontal="center"/>
    </xf>
    <xf numFmtId="164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 wrapText="1"/>
    </xf>
    <xf numFmtId="0" fontId="21" fillId="0" borderId="0" xfId="0" applyFont="1" applyFill="1" applyBorder="1" applyAlignment="1">
      <alignment horizontal="center" vertical="center"/>
    </xf>
    <xf numFmtId="0" fontId="32" fillId="0" borderId="114" xfId="0" applyFont="1" applyFill="1" applyBorder="1" applyAlignment="1">
      <alignment horizontal="center" vertical="center" wrapText="1"/>
    </xf>
    <xf numFmtId="0" fontId="32" fillId="0" borderId="188" xfId="0" applyFont="1" applyFill="1" applyBorder="1" applyAlignment="1">
      <alignment horizontal="center" vertical="center" wrapText="1"/>
    </xf>
    <xf numFmtId="0" fontId="32" fillId="0" borderId="111" xfId="0" applyFont="1" applyFill="1" applyBorder="1" applyAlignment="1">
      <alignment horizontal="center" vertical="center" wrapText="1"/>
    </xf>
    <xf numFmtId="0" fontId="32" fillId="0" borderId="109" xfId="0" applyFont="1" applyFill="1" applyBorder="1" applyAlignment="1">
      <alignment horizontal="center" vertical="center" wrapText="1"/>
    </xf>
    <xf numFmtId="0" fontId="32" fillId="0" borderId="113" xfId="0" applyFont="1" applyFill="1" applyBorder="1" applyAlignment="1">
      <alignment horizontal="center" vertical="center" wrapText="1"/>
    </xf>
  </cellXfs>
  <cellStyles count="9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 builtinId="29" customBuiltin="1"/>
    <cellStyle name="Jelölőszín (2)" xfId="65" builtinId="33" customBuiltin="1"/>
    <cellStyle name="Jelölőszín (3)" xfId="66" builtinId="37" customBuiltin="1"/>
    <cellStyle name="Jelölőszín (4)" xfId="67" builtinId="41" customBuiltin="1"/>
    <cellStyle name="Jelölőszín (5)" xfId="68" builtinId="45" customBuiltin="1"/>
    <cellStyle name="Jelölőszín (6)" xfId="69" builtinId="49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5\2015.&#233;vi%20eredeti%20kv\Szent%20L&#225;szl&#243;%20V&#246;lgye%20TKT%202015.&#233;vi%20k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AppData\Local\Microsoft\Windows\Temporary%20Internet%20Files\Content.Outlook\3Y2OUWDT\2016.%20szem&#233;lyi%20Seg&#237;t&#337;%20Sz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AppData\Local\Microsoft\Windows\Temporary%20Internet%20Files\Content.Outlook\3Y2OUWDT\K&#246;lts&#233;gvet&#233;s%20Seg&#237;t&#337;%20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AppData\Local\Microsoft\Windows\Temporary%20Internet%20Files\Content.Outlook\3Y2OUWDT\2016.%20szem&#233;lyi%20B&#243;bita%20&#211;v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AppData\Local\Microsoft\Windows\Temporary%20Internet%20Files\Content.Outlook\3Y2OUWDT\K&#246;lts&#233;gvet&#233;s%20tervez&#337;%20_B&#243;bita%20&#211;vi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>
        <row r="2">
          <cell r="C2">
            <v>303104</v>
          </cell>
          <cell r="I2">
            <v>164363</v>
          </cell>
        </row>
        <row r="3">
          <cell r="C3">
            <v>12345</v>
          </cell>
          <cell r="I3">
            <v>47244</v>
          </cell>
        </row>
        <row r="4">
          <cell r="C4">
            <v>0</v>
          </cell>
          <cell r="I4">
            <v>81733</v>
          </cell>
        </row>
        <row r="5">
          <cell r="C5">
            <v>0</v>
          </cell>
        </row>
        <row r="6">
          <cell r="I6">
            <v>18575</v>
          </cell>
        </row>
        <row r="7">
          <cell r="I7">
            <v>3089</v>
          </cell>
        </row>
        <row r="11">
          <cell r="I11">
            <v>445</v>
          </cell>
        </row>
        <row r="12">
          <cell r="I12">
            <v>0</v>
          </cell>
        </row>
        <row r="13">
          <cell r="I13">
            <v>0</v>
          </cell>
        </row>
      </sheetData>
      <sheetData sheetId="1">
        <row r="5">
          <cell r="L5">
            <v>29220</v>
          </cell>
        </row>
        <row r="6">
          <cell r="L6">
            <v>273884</v>
          </cell>
        </row>
        <row r="12">
          <cell r="C12">
            <v>0</v>
          </cell>
        </row>
        <row r="13">
          <cell r="C13">
            <v>2100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6791</v>
          </cell>
          <cell r="F16">
            <v>3454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9">
          <cell r="C29">
            <v>82753</v>
          </cell>
          <cell r="F29">
            <v>167951</v>
          </cell>
        </row>
        <row r="32">
          <cell r="C32">
            <v>52119</v>
          </cell>
          <cell r="F32">
            <v>99797</v>
          </cell>
        </row>
        <row r="33">
          <cell r="C33">
            <v>0</v>
          </cell>
          <cell r="F33">
            <v>0</v>
          </cell>
        </row>
        <row r="34">
          <cell r="C34">
            <v>0</v>
          </cell>
          <cell r="F34">
            <v>0</v>
          </cell>
        </row>
        <row r="35">
          <cell r="C35">
            <v>287</v>
          </cell>
          <cell r="F35">
            <v>1966</v>
          </cell>
        </row>
        <row r="36">
          <cell r="C36">
            <v>0</v>
          </cell>
          <cell r="F36">
            <v>0</v>
          </cell>
        </row>
        <row r="37">
          <cell r="C37">
            <v>973</v>
          </cell>
          <cell r="F37">
            <v>0</v>
          </cell>
        </row>
        <row r="38">
          <cell r="C38">
            <v>1770</v>
          </cell>
          <cell r="F38">
            <v>2370</v>
          </cell>
        </row>
        <row r="39">
          <cell r="C39">
            <v>0</v>
          </cell>
          <cell r="F39">
            <v>0</v>
          </cell>
        </row>
        <row r="40">
          <cell r="C40">
            <v>644</v>
          </cell>
          <cell r="F40">
            <v>838</v>
          </cell>
        </row>
        <row r="41">
          <cell r="C41">
            <v>0</v>
          </cell>
          <cell r="F41">
            <v>0</v>
          </cell>
        </row>
        <row r="42">
          <cell r="C42">
            <v>0</v>
          </cell>
          <cell r="F42">
            <v>0</v>
          </cell>
        </row>
        <row r="43">
          <cell r="C43">
            <v>0</v>
          </cell>
          <cell r="F43">
            <v>0</v>
          </cell>
        </row>
        <row r="44">
          <cell r="C44">
            <v>0</v>
          </cell>
          <cell r="F44">
            <v>0</v>
          </cell>
        </row>
        <row r="45">
          <cell r="C45">
            <v>0</v>
          </cell>
          <cell r="F45">
            <v>0</v>
          </cell>
        </row>
        <row r="47">
          <cell r="C47">
            <v>0</v>
          </cell>
          <cell r="F47">
            <v>0</v>
          </cell>
        </row>
        <row r="48">
          <cell r="C48">
            <v>550</v>
          </cell>
          <cell r="F48">
            <v>2884</v>
          </cell>
        </row>
        <row r="49">
          <cell r="C49">
            <v>105</v>
          </cell>
          <cell r="F49">
            <v>60</v>
          </cell>
        </row>
        <row r="53">
          <cell r="C53">
            <v>14535</v>
          </cell>
          <cell r="F53">
            <v>28255</v>
          </cell>
        </row>
        <row r="54">
          <cell r="C54">
            <v>1929</v>
          </cell>
          <cell r="F54">
            <v>964</v>
          </cell>
        </row>
        <row r="55">
          <cell r="C55">
            <v>329</v>
          </cell>
          <cell r="F55">
            <v>413</v>
          </cell>
        </row>
        <row r="56">
          <cell r="C56">
            <v>0</v>
          </cell>
          <cell r="F56">
            <v>0</v>
          </cell>
        </row>
        <row r="57">
          <cell r="C57">
            <v>356</v>
          </cell>
          <cell r="F57">
            <v>463</v>
          </cell>
        </row>
        <row r="58">
          <cell r="C58">
            <v>38</v>
          </cell>
          <cell r="F58">
            <v>914</v>
          </cell>
        </row>
        <row r="59">
          <cell r="C59">
            <v>3383</v>
          </cell>
          <cell r="F59">
            <v>971</v>
          </cell>
        </row>
        <row r="60">
          <cell r="C60">
            <v>0</v>
          </cell>
          <cell r="F60">
            <v>0</v>
          </cell>
        </row>
        <row r="62">
          <cell r="C62">
            <v>300</v>
          </cell>
          <cell r="F62">
            <v>180</v>
          </cell>
        </row>
        <row r="63">
          <cell r="C63">
            <v>534</v>
          </cell>
          <cell r="F63">
            <v>420</v>
          </cell>
        </row>
        <row r="65">
          <cell r="C65">
            <v>2330</v>
          </cell>
          <cell r="F65">
            <v>3165</v>
          </cell>
        </row>
        <row r="66">
          <cell r="C66">
            <v>250</v>
          </cell>
          <cell r="F66">
            <v>6230</v>
          </cell>
        </row>
        <row r="67">
          <cell r="C67">
            <v>0</v>
          </cell>
          <cell r="F67">
            <v>0</v>
          </cell>
        </row>
        <row r="68">
          <cell r="C68">
            <v>1160</v>
          </cell>
          <cell r="F68">
            <v>993</v>
          </cell>
        </row>
        <row r="69">
          <cell r="C69">
            <v>0</v>
          </cell>
          <cell r="F69">
            <v>0</v>
          </cell>
        </row>
        <row r="70">
          <cell r="C70">
            <v>0</v>
          </cell>
          <cell r="F70">
            <v>0</v>
          </cell>
        </row>
        <row r="71">
          <cell r="C71">
            <v>0</v>
          </cell>
          <cell r="F71">
            <v>0</v>
          </cell>
        </row>
        <row r="72">
          <cell r="C72">
            <v>1480</v>
          </cell>
          <cell r="F72">
            <v>1562</v>
          </cell>
          <cell r="L72">
            <v>41848</v>
          </cell>
        </row>
        <row r="73">
          <cell r="C73">
            <v>3818</v>
          </cell>
          <cell r="F73">
            <v>1655</v>
          </cell>
          <cell r="L73">
            <v>522</v>
          </cell>
        </row>
        <row r="75">
          <cell r="C75">
            <v>720</v>
          </cell>
          <cell r="F75">
            <v>150</v>
          </cell>
        </row>
        <row r="76">
          <cell r="C76">
            <v>0</v>
          </cell>
          <cell r="F76">
            <v>0</v>
          </cell>
        </row>
        <row r="78">
          <cell r="C78">
            <v>3589</v>
          </cell>
          <cell r="F78">
            <v>4436</v>
          </cell>
          <cell r="L78">
            <v>640</v>
          </cell>
        </row>
        <row r="79">
          <cell r="C79">
            <v>0</v>
          </cell>
          <cell r="F79">
            <v>0</v>
          </cell>
        </row>
        <row r="80">
          <cell r="C80">
            <v>0</v>
          </cell>
          <cell r="F80">
            <v>0</v>
          </cell>
        </row>
        <row r="81">
          <cell r="C81">
            <v>0</v>
          </cell>
          <cell r="F81">
            <v>0</v>
          </cell>
        </row>
        <row r="82">
          <cell r="C82">
            <v>445</v>
          </cell>
          <cell r="F82">
            <v>0</v>
          </cell>
        </row>
        <row r="85">
          <cell r="C85">
            <v>0</v>
          </cell>
          <cell r="F85">
            <v>12274</v>
          </cell>
        </row>
        <row r="86">
          <cell r="C86">
            <v>0</v>
          </cell>
          <cell r="F86">
            <v>12274</v>
          </cell>
          <cell r="L86">
            <v>6301</v>
          </cell>
        </row>
        <row r="87">
          <cell r="C87">
            <v>0</v>
          </cell>
          <cell r="F87">
            <v>0</v>
          </cell>
        </row>
        <row r="88">
          <cell r="F88">
            <v>0</v>
          </cell>
          <cell r="L88">
            <v>889</v>
          </cell>
        </row>
        <row r="89">
          <cell r="F89">
            <v>0</v>
          </cell>
        </row>
        <row r="90">
          <cell r="L90">
            <v>2200</v>
          </cell>
        </row>
        <row r="93">
          <cell r="C93">
            <v>0</v>
          </cell>
          <cell r="F93">
            <v>0</v>
          </cell>
        </row>
        <row r="94">
          <cell r="C94">
            <v>0</v>
          </cell>
          <cell r="F94">
            <v>0</v>
          </cell>
        </row>
        <row r="95">
          <cell r="C95">
            <v>0</v>
          </cell>
          <cell r="F95">
            <v>0</v>
          </cell>
        </row>
        <row r="96">
          <cell r="C96">
            <v>0</v>
          </cell>
          <cell r="F96">
            <v>350</v>
          </cell>
        </row>
        <row r="97">
          <cell r="C97">
            <v>0</v>
          </cell>
          <cell r="F97">
            <v>0</v>
          </cell>
        </row>
        <row r="98">
          <cell r="C98">
            <v>0</v>
          </cell>
          <cell r="F98">
            <v>0</v>
          </cell>
        </row>
        <row r="99">
          <cell r="C99">
            <v>0</v>
          </cell>
          <cell r="F99">
            <v>95</v>
          </cell>
        </row>
        <row r="101">
          <cell r="C101">
            <v>0</v>
          </cell>
          <cell r="F101">
            <v>0</v>
          </cell>
        </row>
        <row r="102">
          <cell r="C102">
            <v>0</v>
          </cell>
          <cell r="F102">
            <v>0</v>
          </cell>
        </row>
        <row r="103">
          <cell r="C103">
            <v>0</v>
          </cell>
          <cell r="F103">
            <v>0</v>
          </cell>
        </row>
        <row r="104">
          <cell r="C104">
            <v>0</v>
          </cell>
          <cell r="F104">
            <v>0</v>
          </cell>
        </row>
        <row r="106">
          <cell r="C106">
            <v>0</v>
          </cell>
          <cell r="F106">
            <v>0</v>
          </cell>
        </row>
        <row r="108">
          <cell r="C108">
            <v>0</v>
          </cell>
          <cell r="F108">
            <v>0</v>
          </cell>
        </row>
      </sheetData>
      <sheetData sheetId="2">
        <row r="4">
          <cell r="D4">
            <v>29220</v>
          </cell>
        </row>
        <row r="7">
          <cell r="D7">
            <v>1140</v>
          </cell>
        </row>
        <row r="8">
          <cell r="D8">
            <v>3548</v>
          </cell>
        </row>
        <row r="9">
          <cell r="D9">
            <v>518</v>
          </cell>
        </row>
        <row r="10">
          <cell r="D10">
            <v>447</v>
          </cell>
        </row>
        <row r="11">
          <cell r="D11">
            <v>2354</v>
          </cell>
        </row>
        <row r="12">
          <cell r="D12">
            <v>1411</v>
          </cell>
        </row>
        <row r="13">
          <cell r="D13">
            <v>842</v>
          </cell>
        </row>
        <row r="16">
          <cell r="D16">
            <v>3309</v>
          </cell>
        </row>
        <row r="17">
          <cell r="D17">
            <v>1004</v>
          </cell>
        </row>
        <row r="18">
          <cell r="D18">
            <v>2030</v>
          </cell>
        </row>
        <row r="21">
          <cell r="D21">
            <v>4572</v>
          </cell>
        </row>
        <row r="22">
          <cell r="D22">
            <v>1172</v>
          </cell>
        </row>
        <row r="23">
          <cell r="D23">
            <v>1271</v>
          </cell>
        </row>
        <row r="24">
          <cell r="D24">
            <v>7149</v>
          </cell>
        </row>
        <row r="25">
          <cell r="D25">
            <v>3455</v>
          </cell>
        </row>
        <row r="26">
          <cell r="D26">
            <v>1907</v>
          </cell>
        </row>
        <row r="27">
          <cell r="D27">
            <v>1921</v>
          </cell>
        </row>
        <row r="30">
          <cell r="D30">
            <v>274</v>
          </cell>
        </row>
        <row r="31">
          <cell r="D31">
            <v>854</v>
          </cell>
        </row>
        <row r="32">
          <cell r="D32">
            <v>125</v>
          </cell>
        </row>
        <row r="33">
          <cell r="D33">
            <v>107</v>
          </cell>
        </row>
        <row r="34">
          <cell r="D34">
            <v>567</v>
          </cell>
        </row>
        <row r="35">
          <cell r="D35">
            <v>340</v>
          </cell>
        </row>
        <row r="36">
          <cell r="D36">
            <v>203</v>
          </cell>
        </row>
        <row r="37">
          <cell r="D37">
            <v>252</v>
          </cell>
        </row>
        <row r="40">
          <cell r="D40">
            <v>248</v>
          </cell>
        </row>
        <row r="41">
          <cell r="D41">
            <v>335</v>
          </cell>
        </row>
        <row r="42">
          <cell r="D42">
            <v>385</v>
          </cell>
        </row>
        <row r="43">
          <cell r="D43">
            <v>935</v>
          </cell>
        </row>
        <row r="44">
          <cell r="D44">
            <v>447</v>
          </cell>
        </row>
        <row r="45">
          <cell r="D45">
            <v>273</v>
          </cell>
        </row>
        <row r="46">
          <cell r="D46">
            <v>385</v>
          </cell>
        </row>
        <row r="49">
          <cell r="D49">
            <v>1890</v>
          </cell>
        </row>
        <row r="50">
          <cell r="D50">
            <v>412</v>
          </cell>
        </row>
        <row r="51">
          <cell r="D51">
            <v>921</v>
          </cell>
        </row>
        <row r="52">
          <cell r="D52">
            <v>203</v>
          </cell>
        </row>
        <row r="53">
          <cell r="D53">
            <v>643</v>
          </cell>
        </row>
        <row r="54">
          <cell r="D54">
            <v>1755</v>
          </cell>
        </row>
        <row r="55">
          <cell r="D55">
            <v>477</v>
          </cell>
        </row>
        <row r="58">
          <cell r="D58">
            <v>0</v>
          </cell>
        </row>
        <row r="61">
          <cell r="D61">
            <v>162497</v>
          </cell>
        </row>
        <row r="62">
          <cell r="D62">
            <v>61306</v>
          </cell>
        </row>
        <row r="72">
          <cell r="D72">
            <v>2100</v>
          </cell>
        </row>
        <row r="75">
          <cell r="D75">
            <v>10245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3">
          <cell r="O3">
            <v>11433</v>
          </cell>
        </row>
        <row r="4">
          <cell r="O4">
            <v>4075</v>
          </cell>
        </row>
        <row r="5">
          <cell r="O5">
            <v>4814</v>
          </cell>
        </row>
        <row r="6">
          <cell r="O6">
            <v>2413</v>
          </cell>
        </row>
        <row r="7">
          <cell r="O7">
            <v>11005</v>
          </cell>
        </row>
        <row r="8">
          <cell r="O8">
            <v>6296</v>
          </cell>
        </row>
        <row r="9">
          <cell r="O9">
            <v>7010</v>
          </cell>
        </row>
        <row r="10">
          <cell r="O10">
            <v>3035</v>
          </cell>
        </row>
        <row r="12">
          <cell r="O12">
            <v>223803</v>
          </cell>
        </row>
        <row r="17">
          <cell r="O17">
            <v>6301</v>
          </cell>
        </row>
        <row r="20">
          <cell r="O20">
            <v>4498</v>
          </cell>
        </row>
        <row r="21">
          <cell r="O21">
            <v>7776</v>
          </cell>
        </row>
      </sheetData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dősek"/>
      <sheetName val="Cs-Gy. Központ"/>
      <sheetName val="Házi sg"/>
      <sheetName val="Cs-Gy. Szolgálat"/>
      <sheetName val="Támogató"/>
      <sheetName val="Tanyagond"/>
      <sheetName val="Cs.napközi"/>
      <sheetName val="Szoc.étk"/>
      <sheetName val="Segítő Szolgá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7">
          <cell r="B17">
            <v>767</v>
          </cell>
          <cell r="C17">
            <v>9020</v>
          </cell>
          <cell r="D17">
            <v>21203</v>
          </cell>
          <cell r="E17">
            <v>12609</v>
          </cell>
          <cell r="F17">
            <v>6591</v>
          </cell>
          <cell r="G17">
            <v>1781</v>
          </cell>
          <cell r="H17">
            <v>2974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537</v>
          </cell>
          <cell r="D20">
            <v>100</v>
          </cell>
          <cell r="E20">
            <v>0</v>
          </cell>
          <cell r="F20">
            <v>50</v>
          </cell>
          <cell r="G20">
            <v>0</v>
          </cell>
          <cell r="H20">
            <v>25</v>
          </cell>
          <cell r="I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30</v>
          </cell>
          <cell r="C23">
            <v>240</v>
          </cell>
          <cell r="D23">
            <v>780</v>
          </cell>
          <cell r="E23">
            <v>340</v>
          </cell>
          <cell r="F23">
            <v>210</v>
          </cell>
          <cell r="G23">
            <v>60</v>
          </cell>
          <cell r="H23">
            <v>90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94</v>
          </cell>
          <cell r="D25">
            <v>47</v>
          </cell>
          <cell r="E25">
            <v>152</v>
          </cell>
          <cell r="F25">
            <v>235</v>
          </cell>
          <cell r="G25">
            <v>0</v>
          </cell>
          <cell r="H25">
            <v>6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150</v>
          </cell>
          <cell r="D33">
            <v>100</v>
          </cell>
          <cell r="E33">
            <v>150</v>
          </cell>
          <cell r="F33">
            <v>0</v>
          </cell>
          <cell r="G33">
            <v>150</v>
          </cell>
          <cell r="H33">
            <v>0</v>
          </cell>
          <cell r="I33">
            <v>0</v>
          </cell>
        </row>
        <row r="34">
          <cell r="B34">
            <v>0</v>
          </cell>
          <cell r="C34">
            <v>25</v>
          </cell>
          <cell r="D34">
            <v>15</v>
          </cell>
          <cell r="E34">
            <v>25</v>
          </cell>
          <cell r="F34">
            <v>10</v>
          </cell>
          <cell r="G34">
            <v>0</v>
          </cell>
          <cell r="H34">
            <v>0</v>
          </cell>
          <cell r="I34">
            <v>0</v>
          </cell>
        </row>
        <row r="38">
          <cell r="B38">
            <v>207</v>
          </cell>
          <cell r="C38">
            <v>2621</v>
          </cell>
          <cell r="D38">
            <v>5779</v>
          </cell>
          <cell r="E38">
            <v>3592</v>
          </cell>
          <cell r="F38">
            <v>1793</v>
          </cell>
          <cell r="G38">
            <v>521</v>
          </cell>
          <cell r="H38">
            <v>810</v>
          </cell>
          <cell r="I38">
            <v>0</v>
          </cell>
        </row>
        <row r="39">
          <cell r="B39">
            <v>32</v>
          </cell>
          <cell r="C39">
            <v>253</v>
          </cell>
          <cell r="D39">
            <v>917</v>
          </cell>
          <cell r="E39">
            <v>348</v>
          </cell>
          <cell r="F39">
            <v>221</v>
          </cell>
          <cell r="G39">
            <v>63</v>
          </cell>
          <cell r="H39">
            <v>95</v>
          </cell>
          <cell r="I39">
            <v>0</v>
          </cell>
        </row>
        <row r="40">
          <cell r="B40">
            <v>5</v>
          </cell>
          <cell r="C40">
            <v>48</v>
          </cell>
          <cell r="D40">
            <v>135</v>
          </cell>
          <cell r="E40">
            <v>65</v>
          </cell>
          <cell r="F40">
            <v>38</v>
          </cell>
          <cell r="G40">
            <v>10</v>
          </cell>
          <cell r="H40">
            <v>15</v>
          </cell>
          <cell r="I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B42">
            <v>5</v>
          </cell>
          <cell r="C42">
            <v>47</v>
          </cell>
          <cell r="D42">
            <v>142</v>
          </cell>
          <cell r="E42">
            <v>65</v>
          </cell>
          <cell r="F42">
            <v>39</v>
          </cell>
          <cell r="G42">
            <v>11</v>
          </cell>
          <cell r="H42">
            <v>16</v>
          </cell>
          <cell r="I4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E10">
            <v>10</v>
          </cell>
          <cell r="G10">
            <v>8</v>
          </cell>
          <cell r="I10">
            <v>0</v>
          </cell>
          <cell r="K10">
            <v>10</v>
          </cell>
          <cell r="Q10">
            <v>30</v>
          </cell>
        </row>
        <row r="17">
          <cell r="E17">
            <v>228</v>
          </cell>
          <cell r="G17">
            <v>225</v>
          </cell>
          <cell r="I17">
            <v>870</v>
          </cell>
          <cell r="K17">
            <v>420</v>
          </cell>
          <cell r="M17">
            <v>1280</v>
          </cell>
          <cell r="O17">
            <v>1252</v>
          </cell>
          <cell r="Q17">
            <v>75</v>
          </cell>
          <cell r="R17">
            <v>5</v>
          </cell>
        </row>
        <row r="26">
          <cell r="G26">
            <v>300</v>
          </cell>
        </row>
        <row r="29">
          <cell r="E29">
            <v>25</v>
          </cell>
          <cell r="G29">
            <v>175</v>
          </cell>
          <cell r="I29">
            <v>87</v>
          </cell>
          <cell r="K29">
            <v>267</v>
          </cell>
          <cell r="M29">
            <v>87</v>
          </cell>
          <cell r="O29">
            <v>12</v>
          </cell>
          <cell r="Q29">
            <v>50</v>
          </cell>
          <cell r="R29">
            <v>24</v>
          </cell>
        </row>
        <row r="33">
          <cell r="E33">
            <v>268</v>
          </cell>
          <cell r="G33">
            <v>430</v>
          </cell>
          <cell r="I33">
            <v>563</v>
          </cell>
          <cell r="K33">
            <v>430</v>
          </cell>
          <cell r="M33">
            <v>563</v>
          </cell>
          <cell r="Q33">
            <v>76</v>
          </cell>
        </row>
        <row r="35">
          <cell r="E35">
            <v>120</v>
          </cell>
          <cell r="R35">
            <v>2300</v>
          </cell>
        </row>
        <row r="39">
          <cell r="E39">
            <v>40</v>
          </cell>
          <cell r="I39">
            <v>200</v>
          </cell>
          <cell r="K39">
            <v>200</v>
          </cell>
          <cell r="M39">
            <v>400</v>
          </cell>
          <cell r="O39">
            <v>1000</v>
          </cell>
        </row>
        <row r="41">
          <cell r="G41">
            <v>980</v>
          </cell>
          <cell r="K41">
            <v>800</v>
          </cell>
        </row>
        <row r="51">
          <cell r="E51">
            <v>380</v>
          </cell>
          <cell r="G51">
            <v>625</v>
          </cell>
          <cell r="I51">
            <v>780</v>
          </cell>
          <cell r="K51">
            <v>1320</v>
          </cell>
          <cell r="M51">
            <v>713</v>
          </cell>
          <cell r="O51">
            <v>30</v>
          </cell>
          <cell r="Q51">
            <v>70</v>
          </cell>
        </row>
        <row r="52">
          <cell r="E52">
            <v>15</v>
          </cell>
          <cell r="G52">
            <v>280</v>
          </cell>
          <cell r="I52">
            <v>60</v>
          </cell>
          <cell r="K52">
            <v>200</v>
          </cell>
          <cell r="M52">
            <v>70</v>
          </cell>
          <cell r="Q52">
            <v>15</v>
          </cell>
        </row>
        <row r="55">
          <cell r="E55">
            <v>289</v>
          </cell>
          <cell r="G55">
            <v>696</v>
          </cell>
          <cell r="I55">
            <v>675</v>
          </cell>
          <cell r="K55">
            <v>764</v>
          </cell>
          <cell r="M55">
            <v>822</v>
          </cell>
          <cell r="O55">
            <v>611</v>
          </cell>
          <cell r="Q55">
            <v>69</v>
          </cell>
          <cell r="R55">
            <v>629</v>
          </cell>
        </row>
        <row r="60">
          <cell r="E60">
            <v>20</v>
          </cell>
          <cell r="I60">
            <v>70</v>
          </cell>
          <cell r="K60">
            <v>25</v>
          </cell>
          <cell r="M60">
            <v>200</v>
          </cell>
          <cell r="O60">
            <v>320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OVI"/>
      <sheetName val="BOVI"/>
      <sheetName val="GYOVI"/>
      <sheetName val="TOVI"/>
      <sheetName val="KIK"/>
      <sheetName val="Óvoda össz"/>
    </sheetNames>
    <sheetDataSet>
      <sheetData sheetId="0"/>
      <sheetData sheetId="1"/>
      <sheetData sheetId="2"/>
      <sheetData sheetId="3"/>
      <sheetData sheetId="4"/>
      <sheetData sheetId="5">
        <row r="16">
          <cell r="B16">
            <v>18252</v>
          </cell>
          <cell r="C16">
            <v>34244</v>
          </cell>
          <cell r="D16">
            <v>19558</v>
          </cell>
          <cell r="E16">
            <v>30492</v>
          </cell>
          <cell r="F16">
            <v>5801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302</v>
          </cell>
          <cell r="C19">
            <v>665</v>
          </cell>
          <cell r="D19">
            <v>303</v>
          </cell>
          <cell r="E19">
            <v>605</v>
          </cell>
          <cell r="F19">
            <v>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1772</v>
          </cell>
          <cell r="C21">
            <v>0</v>
          </cell>
          <cell r="D21">
            <v>1771</v>
          </cell>
          <cell r="E21">
            <v>0</v>
          </cell>
          <cell r="F21">
            <v>0</v>
          </cell>
        </row>
        <row r="22">
          <cell r="B22">
            <v>410</v>
          </cell>
          <cell r="C22">
            <v>792</v>
          </cell>
          <cell r="D22">
            <v>415</v>
          </cell>
          <cell r="E22">
            <v>720</v>
          </cell>
          <cell r="F22">
            <v>108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B24">
            <v>142</v>
          </cell>
          <cell r="C24">
            <v>320</v>
          </cell>
          <cell r="D24">
            <v>114</v>
          </cell>
          <cell r="E24">
            <v>286</v>
          </cell>
          <cell r="F24">
            <v>36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112</v>
          </cell>
          <cell r="D32">
            <v>0</v>
          </cell>
          <cell r="E32">
            <v>441</v>
          </cell>
          <cell r="F32">
            <v>0</v>
          </cell>
        </row>
        <row r="33">
          <cell r="B33">
            <v>10</v>
          </cell>
          <cell r="C33">
            <v>30</v>
          </cell>
          <cell r="D33">
            <v>0</v>
          </cell>
          <cell r="E33">
            <v>0</v>
          </cell>
          <cell r="F33">
            <v>200</v>
          </cell>
        </row>
        <row r="37">
          <cell r="B37">
            <v>5488</v>
          </cell>
          <cell r="C37">
            <v>9456</v>
          </cell>
          <cell r="D37">
            <v>5841</v>
          </cell>
          <cell r="E37">
            <v>8515</v>
          </cell>
          <cell r="F37">
            <v>1591</v>
          </cell>
        </row>
        <row r="38">
          <cell r="B38">
            <v>317</v>
          </cell>
          <cell r="C38">
            <v>645</v>
          </cell>
          <cell r="D38">
            <v>293</v>
          </cell>
          <cell r="E38">
            <v>586</v>
          </cell>
          <cell r="F38">
            <v>88</v>
          </cell>
        </row>
        <row r="39">
          <cell r="B39">
            <v>72</v>
          </cell>
          <cell r="C39">
            <v>141</v>
          </cell>
          <cell r="D39">
            <v>69</v>
          </cell>
          <cell r="E39">
            <v>120</v>
          </cell>
          <cell r="F39">
            <v>82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>
            <v>75</v>
          </cell>
          <cell r="C41">
            <v>147</v>
          </cell>
          <cell r="D41">
            <v>74</v>
          </cell>
          <cell r="E41">
            <v>129</v>
          </cell>
          <cell r="F41">
            <v>55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9">
          <cell r="E9">
            <v>160</v>
          </cell>
          <cell r="G9">
            <v>531</v>
          </cell>
          <cell r="M9">
            <v>92</v>
          </cell>
        </row>
        <row r="16">
          <cell r="E16">
            <v>275</v>
          </cell>
          <cell r="G16">
            <v>430</v>
          </cell>
          <cell r="M16">
            <v>240</v>
          </cell>
        </row>
        <row r="25">
          <cell r="M25">
            <v>180</v>
          </cell>
        </row>
        <row r="28">
          <cell r="E28">
            <v>200</v>
          </cell>
          <cell r="G28">
            <v>150</v>
          </cell>
          <cell r="I28">
            <v>40</v>
          </cell>
          <cell r="K28">
            <v>40</v>
          </cell>
          <cell r="M28">
            <v>105</v>
          </cell>
        </row>
        <row r="32">
          <cell r="E32">
            <v>865</v>
          </cell>
          <cell r="G32">
            <v>2300</v>
          </cell>
        </row>
        <row r="34">
          <cell r="E34">
            <v>3083</v>
          </cell>
        </row>
        <row r="38">
          <cell r="E38">
            <v>100</v>
          </cell>
          <cell r="G38">
            <v>950</v>
          </cell>
          <cell r="M38">
            <v>100</v>
          </cell>
        </row>
        <row r="39">
          <cell r="K39">
            <v>494</v>
          </cell>
        </row>
        <row r="40">
          <cell r="E40">
            <v>570</v>
          </cell>
          <cell r="G40">
            <v>735</v>
          </cell>
          <cell r="M40">
            <v>250</v>
          </cell>
        </row>
        <row r="50">
          <cell r="E50">
            <v>100</v>
          </cell>
          <cell r="G50">
            <v>300</v>
          </cell>
          <cell r="M50">
            <v>1200</v>
          </cell>
        </row>
        <row r="51">
          <cell r="E51">
            <v>50</v>
          </cell>
          <cell r="G51">
            <v>50</v>
          </cell>
          <cell r="M51">
            <v>50</v>
          </cell>
        </row>
        <row r="54">
          <cell r="E54">
            <v>1445</v>
          </cell>
          <cell r="G54">
            <v>1457</v>
          </cell>
          <cell r="I54">
            <v>11</v>
          </cell>
          <cell r="K54">
            <v>144</v>
          </cell>
          <cell r="M54">
            <v>585</v>
          </cell>
        </row>
        <row r="61">
          <cell r="K61">
            <v>8107</v>
          </cell>
        </row>
        <row r="65">
          <cell r="M65">
            <v>150</v>
          </cell>
        </row>
        <row r="66">
          <cell r="G66">
            <v>400</v>
          </cell>
        </row>
        <row r="67">
          <cell r="G67">
            <v>108</v>
          </cell>
          <cell r="M67">
            <v>41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M26"/>
  <sheetViews>
    <sheetView tabSelected="1" workbookViewId="0">
      <selection activeCell="C21" sqref="C21"/>
    </sheetView>
  </sheetViews>
  <sheetFormatPr defaultColWidth="9.140625" defaultRowHeight="12.75"/>
  <cols>
    <col min="1" max="1" width="37.7109375" style="93" customWidth="1"/>
    <col min="2" max="5" width="11.28515625" style="93" customWidth="1"/>
    <col min="6" max="6" width="8" style="93" customWidth="1"/>
    <col min="7" max="7" width="37.7109375" style="93" customWidth="1"/>
    <col min="8" max="11" width="11.28515625" style="93" customWidth="1"/>
    <col min="12" max="12" width="7.85546875" style="93" customWidth="1"/>
    <col min="13" max="16384" width="9.140625" style="93"/>
  </cols>
  <sheetData>
    <row r="1" spans="1:13" ht="42.75" customHeight="1">
      <c r="A1" s="142" t="s">
        <v>45</v>
      </c>
      <c r="B1" s="145" t="s">
        <v>431</v>
      </c>
      <c r="C1" s="145" t="s">
        <v>444</v>
      </c>
      <c r="D1" s="149" t="s">
        <v>445</v>
      </c>
      <c r="E1" s="656" t="s">
        <v>446</v>
      </c>
      <c r="F1" s="656" t="s">
        <v>424</v>
      </c>
      <c r="G1" s="664" t="s">
        <v>91</v>
      </c>
      <c r="H1" s="145" t="s">
        <v>431</v>
      </c>
      <c r="I1" s="145" t="s">
        <v>444</v>
      </c>
      <c r="J1" s="149" t="s">
        <v>445</v>
      </c>
      <c r="K1" s="656" t="s">
        <v>446</v>
      </c>
      <c r="L1" s="162" t="s">
        <v>424</v>
      </c>
    </row>
    <row r="2" spans="1:13" ht="16.149999999999999" customHeight="1">
      <c r="A2" s="143" t="s">
        <v>119</v>
      </c>
      <c r="B2" s="146">
        <f>+'[3]1.SZ.TÁBL. TÁRSULÁS KON. MÉRLEG'!$C$2</f>
        <v>303104</v>
      </c>
      <c r="C2" s="146">
        <f>+'1.1.SZ.TÁBL. BEV - KIAD'!T7</f>
        <v>321181</v>
      </c>
      <c r="D2" s="150"/>
      <c r="E2" s="657"/>
      <c r="F2" s="674">
        <f>+C2/B2</f>
        <v>1.0596395956503379</v>
      </c>
      <c r="G2" s="665" t="s">
        <v>61</v>
      </c>
      <c r="H2" s="146">
        <f>+'[3]1.SZ.TÁBL. TÁRSULÁS KON. MÉRLEG'!$I2</f>
        <v>164363</v>
      </c>
      <c r="I2" s="146">
        <f>+'1.1.SZ.TÁBL. BEV - KIAD'!T51</f>
        <v>177103</v>
      </c>
      <c r="J2" s="150"/>
      <c r="K2" s="657"/>
      <c r="L2" s="681">
        <f>+I2/H2</f>
        <v>1.0775113620462027</v>
      </c>
    </row>
    <row r="3" spans="1:13" ht="16.149999999999999" customHeight="1">
      <c r="A3" s="144" t="s">
        <v>121</v>
      </c>
      <c r="B3" s="146">
        <f>+'[3]1.SZ.TÁBL. TÁRSULÁS KON. MÉRLEG'!$C$3</f>
        <v>12345</v>
      </c>
      <c r="C3" s="147">
        <f>+'1.1.SZ.TÁBL. BEV - KIAD'!T21</f>
        <v>9020</v>
      </c>
      <c r="D3" s="151"/>
      <c r="E3" s="658"/>
      <c r="F3" s="675">
        <f>+C3/B3</f>
        <v>0.7306601863102471</v>
      </c>
      <c r="G3" s="666" t="s">
        <v>120</v>
      </c>
      <c r="H3" s="146">
        <f>+'[3]1.SZ.TÁBL. TÁRSULÁS KON. MÉRLEG'!$I3</f>
        <v>47244</v>
      </c>
      <c r="I3" s="158">
        <f>+'1.1.SZ.TÁBL. BEV - KIAD'!T52</f>
        <v>51677</v>
      </c>
      <c r="J3" s="160"/>
      <c r="K3" s="658"/>
      <c r="L3" s="682">
        <f>+I3/H3</f>
        <v>1.0938320209973753</v>
      </c>
    </row>
    <row r="4" spans="1:13" ht="16.149999999999999" customHeight="1">
      <c r="A4" s="144" t="s">
        <v>393</v>
      </c>
      <c r="B4" s="146">
        <f>+'[3]1.SZ.TÁBL. TÁRSULÁS KON. MÉRLEG'!$C$4</f>
        <v>0</v>
      </c>
      <c r="C4" s="148">
        <f>+'1.1.SZ.TÁBL. BEV - KIAD'!T24</f>
        <v>0</v>
      </c>
      <c r="D4" s="47"/>
      <c r="E4" s="658"/>
      <c r="F4" s="675"/>
      <c r="G4" s="666" t="s">
        <v>122</v>
      </c>
      <c r="H4" s="146">
        <f>+'[3]1.SZ.TÁBL. TÁRSULÁS KON. MÉRLEG'!$I4</f>
        <v>81733</v>
      </c>
      <c r="I4" s="147">
        <f>+'1.1.SZ.TÁBL. BEV - KIAD'!T84</f>
        <v>83858</v>
      </c>
      <c r="J4" s="151"/>
      <c r="K4" s="658"/>
      <c r="L4" s="682">
        <f>+I4/H4</f>
        <v>1.0259992903723099</v>
      </c>
    </row>
    <row r="5" spans="1:13" ht="16.149999999999999" customHeight="1">
      <c r="A5" s="144" t="s">
        <v>124</v>
      </c>
      <c r="B5" s="146">
        <f>+'[3]1.SZ.TÁBL. TÁRSULÁS KON. MÉRLEG'!$C$5</f>
        <v>0</v>
      </c>
      <c r="C5" s="148">
        <f>+'1.1.SZ.TÁBL. BEV - KIAD'!T28</f>
        <v>0</v>
      </c>
      <c r="D5" s="47"/>
      <c r="E5" s="658"/>
      <c r="F5" s="675"/>
      <c r="G5" s="667" t="s">
        <v>123</v>
      </c>
      <c r="H5" s="146">
        <f>+'[3]1.SZ.TÁBL. TÁRSULÁS KON. MÉRLEG'!$I5</f>
        <v>0</v>
      </c>
      <c r="I5" s="148"/>
      <c r="J5" s="47"/>
      <c r="K5" s="658"/>
      <c r="L5" s="682"/>
    </row>
    <row r="6" spans="1:13" ht="16.149999999999999" customHeight="1">
      <c r="A6" s="144"/>
      <c r="B6" s="148"/>
      <c r="C6" s="148"/>
      <c r="D6" s="47"/>
      <c r="E6" s="658"/>
      <c r="F6" s="675"/>
      <c r="G6" s="666" t="s">
        <v>125</v>
      </c>
      <c r="H6" s="146">
        <f>+'[3]1.SZ.TÁBL. TÁRSULÁS KON. MÉRLEG'!$I6</f>
        <v>18575</v>
      </c>
      <c r="I6" s="147">
        <f>+'1.1.SZ.TÁBL. BEV - KIAD'!T85</f>
        <v>14717</v>
      </c>
      <c r="J6" s="47"/>
      <c r="K6" s="658"/>
      <c r="L6" s="682">
        <f>+I6/H6</f>
        <v>0.7923014804845222</v>
      </c>
    </row>
    <row r="7" spans="1:13" ht="16.149999999999999" customHeight="1">
      <c r="A7" s="144"/>
      <c r="B7" s="148"/>
      <c r="C7" s="148"/>
      <c r="D7" s="47"/>
      <c r="E7" s="658"/>
      <c r="F7" s="675"/>
      <c r="G7" s="667" t="s">
        <v>126</v>
      </c>
      <c r="H7" s="146">
        <f>+'[3]1.SZ.TÁBL. TÁRSULÁS KON. MÉRLEG'!$I7</f>
        <v>3089</v>
      </c>
      <c r="I7" s="148">
        <f>+'1.1.SZ.TÁBL. BEV - KIAD'!T87</f>
        <v>2147</v>
      </c>
      <c r="J7" s="151"/>
      <c r="K7" s="658"/>
      <c r="L7" s="682">
        <f>+I7/H7</f>
        <v>0.69504694075752671</v>
      </c>
    </row>
    <row r="8" spans="1:13" ht="16.149999999999999" customHeight="1">
      <c r="A8" s="152"/>
      <c r="B8" s="153"/>
      <c r="C8" s="153"/>
      <c r="D8" s="154"/>
      <c r="E8" s="659"/>
      <c r="F8" s="676"/>
      <c r="G8" s="668"/>
      <c r="H8" s="159"/>
      <c r="I8" s="159"/>
      <c r="J8" s="161"/>
      <c r="K8" s="659"/>
      <c r="L8" s="683"/>
    </row>
    <row r="9" spans="1:13" ht="16.149999999999999" customHeight="1">
      <c r="A9" s="163" t="s">
        <v>134</v>
      </c>
      <c r="B9" s="164">
        <f>SUM(B2:B8)</f>
        <v>315449</v>
      </c>
      <c r="C9" s="164">
        <f>SUM(C2:C8)</f>
        <v>330201</v>
      </c>
      <c r="D9" s="165"/>
      <c r="E9" s="660"/>
      <c r="F9" s="677">
        <f>+C9/B9</f>
        <v>1.0467650872248764</v>
      </c>
      <c r="G9" s="669" t="s">
        <v>136</v>
      </c>
      <c r="H9" s="164">
        <f>SUM(H2:H7)</f>
        <v>315004</v>
      </c>
      <c r="I9" s="164">
        <f>SUM(I2:I7)</f>
        <v>329502</v>
      </c>
      <c r="J9" s="165"/>
      <c r="K9" s="660"/>
      <c r="L9" s="684">
        <f>+I9/H9</f>
        <v>1.0460248123833349</v>
      </c>
    </row>
    <row r="10" spans="1:13" ht="16.149999999999999" customHeight="1">
      <c r="A10" s="175"/>
      <c r="B10" s="176"/>
      <c r="C10" s="176"/>
      <c r="D10" s="177"/>
      <c r="E10" s="661"/>
      <c r="F10" s="678"/>
      <c r="G10" s="670"/>
      <c r="H10" s="176"/>
      <c r="I10" s="176"/>
      <c r="J10" s="177"/>
      <c r="K10" s="661"/>
      <c r="L10" s="685"/>
    </row>
    <row r="11" spans="1:13" ht="16.149999999999999" customHeight="1">
      <c r="A11" s="143" t="s">
        <v>127</v>
      </c>
      <c r="B11" s="146"/>
      <c r="C11" s="146">
        <f>+'1.1.SZ.TÁBL. BEV - KIAD'!T11</f>
        <v>2000</v>
      </c>
      <c r="D11" s="150"/>
      <c r="E11" s="657"/>
      <c r="F11" s="674"/>
      <c r="G11" s="665" t="s">
        <v>128</v>
      </c>
      <c r="H11" s="146">
        <f>+'[3]1.SZ.TÁBL. TÁRSULÁS KON. MÉRLEG'!$I11</f>
        <v>445</v>
      </c>
      <c r="I11" s="167">
        <f>+'1.1.SZ.TÁBL. BEV - KIAD'!T100</f>
        <v>2699</v>
      </c>
      <c r="J11" s="170"/>
      <c r="K11" s="657"/>
      <c r="L11" s="681"/>
      <c r="M11" s="137"/>
    </row>
    <row r="12" spans="1:13" ht="16.149999999999999" customHeight="1">
      <c r="A12" s="166" t="s">
        <v>394</v>
      </c>
      <c r="B12" s="147"/>
      <c r="C12" s="147">
        <f>+'1.1.SZ.TÁBL. BEV - KIAD'!T26</f>
        <v>0</v>
      </c>
      <c r="D12" s="151"/>
      <c r="E12" s="658"/>
      <c r="F12" s="675"/>
      <c r="G12" s="666" t="s">
        <v>129</v>
      </c>
      <c r="H12" s="146">
        <f>+'[3]1.SZ.TÁBL. TÁRSULÁS KON. MÉRLEG'!$I12</f>
        <v>0</v>
      </c>
      <c r="I12" s="168">
        <f>+'1.1.SZ.TÁBL. BEV - KIAD'!T105</f>
        <v>0</v>
      </c>
      <c r="J12" s="171"/>
      <c r="K12" s="658"/>
      <c r="L12" s="682"/>
      <c r="M12" s="137"/>
    </row>
    <row r="13" spans="1:13" ht="16.149999999999999" customHeight="1">
      <c r="A13" s="144" t="s">
        <v>130</v>
      </c>
      <c r="B13" s="147"/>
      <c r="C13" s="147"/>
      <c r="D13" s="151"/>
      <c r="E13" s="658"/>
      <c r="F13" s="675"/>
      <c r="G13" s="666" t="s">
        <v>131</v>
      </c>
      <c r="H13" s="146">
        <f>+'[3]1.SZ.TÁBL. TÁRSULÁS KON. MÉRLEG'!$I13</f>
        <v>0</v>
      </c>
      <c r="I13" s="168">
        <f>+'1.1.SZ.TÁBL. BEV - KIAD'!T106</f>
        <v>0</v>
      </c>
      <c r="J13" s="171"/>
      <c r="K13" s="658"/>
      <c r="L13" s="682"/>
      <c r="M13" s="137"/>
    </row>
    <row r="14" spans="1:13" ht="16.149999999999999" customHeight="1">
      <c r="A14" s="144"/>
      <c r="B14" s="148"/>
      <c r="C14" s="148"/>
      <c r="D14" s="47"/>
      <c r="E14" s="658"/>
      <c r="F14" s="675"/>
      <c r="G14" s="666" t="s">
        <v>132</v>
      </c>
      <c r="H14" s="146">
        <f>+'[3]1.SZ.TÁBL. TÁRSULÁS KON. MÉRLEG'!$I14</f>
        <v>0</v>
      </c>
      <c r="I14" s="169"/>
      <c r="J14" s="171"/>
      <c r="K14" s="658"/>
      <c r="L14" s="682"/>
      <c r="M14" s="137"/>
    </row>
    <row r="15" spans="1:13" ht="16.149999999999999" customHeight="1">
      <c r="A15" s="178"/>
      <c r="B15" s="179"/>
      <c r="C15" s="179"/>
      <c r="D15" s="48"/>
      <c r="E15" s="659"/>
      <c r="F15" s="676"/>
      <c r="G15" s="671"/>
      <c r="H15" s="180"/>
      <c r="I15" s="180"/>
      <c r="J15" s="181"/>
      <c r="K15" s="659"/>
      <c r="L15" s="683"/>
    </row>
    <row r="16" spans="1:13" ht="16.149999999999999" customHeight="1" thickBot="1">
      <c r="A16" s="155" t="s">
        <v>135</v>
      </c>
      <c r="B16" s="156">
        <f>SUM(B11:B15)</f>
        <v>0</v>
      </c>
      <c r="C16" s="156">
        <f>SUM(C11:C15)</f>
        <v>2000</v>
      </c>
      <c r="D16" s="157"/>
      <c r="E16" s="662"/>
      <c r="F16" s="679"/>
      <c r="G16" s="672" t="s">
        <v>137</v>
      </c>
      <c r="H16" s="182">
        <f>SUM(H11:H15)</f>
        <v>445</v>
      </c>
      <c r="I16" s="182">
        <f>SUM(I11:I15)</f>
        <v>2699</v>
      </c>
      <c r="J16" s="183"/>
      <c r="K16" s="662"/>
      <c r="L16" s="686"/>
    </row>
    <row r="17" spans="1:13" ht="16.149999999999999" customHeight="1" thickBot="1">
      <c r="A17" s="172" t="s">
        <v>133</v>
      </c>
      <c r="B17" s="173">
        <f>B9+B16</f>
        <v>315449</v>
      </c>
      <c r="C17" s="173">
        <f>C9+C16</f>
        <v>332201</v>
      </c>
      <c r="D17" s="140"/>
      <c r="E17" s="663"/>
      <c r="F17" s="680">
        <f>+C17/B17</f>
        <v>1.0531052563171859</v>
      </c>
      <c r="G17" s="673" t="s">
        <v>133</v>
      </c>
      <c r="H17" s="174">
        <f>H9+H16</f>
        <v>315449</v>
      </c>
      <c r="I17" s="174">
        <f>I9+I16</f>
        <v>332201</v>
      </c>
      <c r="J17" s="141"/>
      <c r="K17" s="663"/>
      <c r="L17" s="687">
        <f>+I17/H17</f>
        <v>1.0531052563171859</v>
      </c>
      <c r="M17" s="137"/>
    </row>
    <row r="18" spans="1:13" ht="16.149999999999999" customHeight="1"/>
    <row r="19" spans="1:13" ht="16.149999999999999" customHeight="1"/>
    <row r="20" spans="1:13" ht="16.149999999999999" customHeight="1"/>
    <row r="21" spans="1:13" ht="16.149999999999999" customHeight="1"/>
    <row r="22" spans="1:13" ht="16.149999999999999" customHeight="1"/>
    <row r="23" spans="1:13" ht="16.149999999999999" customHeight="1"/>
    <row r="24" spans="1:13" ht="16.149999999999999" customHeight="1"/>
    <row r="25" spans="1:13" ht="16.149999999999999" customHeight="1"/>
    <row r="26" spans="1:13" ht="16.149999999999999" customHeight="1"/>
  </sheetData>
  <phoneticPr fontId="34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73" orientation="landscape" r:id="rId1"/>
  <headerFooter>
    <oddHeader>&amp;L&amp;"Times New Roman,Félkövér"&amp;13Szent László Völgye TKT&amp;C&amp;"Times New Roman,Félkövér"&amp;16 2016. ÉVI KÖLTSÉGVETÉS&amp;R1. sz. táblázat
&amp;12TÁRSULÁS KONSZOLIDÁLT MÉRLEGE&amp;"Arial,Félkövér"
&amp;"Arial,Normál"&amp;10Adatok: eFt-ban</oddHeader>
    <oddFooter>&amp;L&amp;F&amp;R&amp;P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11"/>
  </sheetPr>
  <dimension ref="A1:G80"/>
  <sheetViews>
    <sheetView workbookViewId="0">
      <selection activeCell="C21" sqref="C21"/>
    </sheetView>
  </sheetViews>
  <sheetFormatPr defaultColWidth="9.140625" defaultRowHeight="15"/>
  <cols>
    <col min="1" max="1" width="29" style="25" customWidth="1"/>
    <col min="2" max="7" width="14" style="25" customWidth="1"/>
    <col min="8" max="16384" width="9.140625" style="25"/>
  </cols>
  <sheetData>
    <row r="1" spans="1:7" s="35" customFormat="1" ht="45" customHeight="1">
      <c r="A1" s="733" t="s">
        <v>22</v>
      </c>
      <c r="B1" s="955" t="s">
        <v>441</v>
      </c>
      <c r="C1" s="956"/>
      <c r="D1" s="955" t="s">
        <v>442</v>
      </c>
      <c r="E1" s="957"/>
      <c r="F1" s="958" t="s">
        <v>23</v>
      </c>
      <c r="G1" s="959"/>
    </row>
    <row r="2" spans="1:7" s="35" customFormat="1" ht="21.6" customHeight="1">
      <c r="A2" s="734" t="s">
        <v>24</v>
      </c>
      <c r="B2" s="747" t="s">
        <v>470</v>
      </c>
      <c r="C2" s="747" t="s">
        <v>471</v>
      </c>
      <c r="D2" s="747" t="s">
        <v>470</v>
      </c>
      <c r="E2" s="825" t="s">
        <v>471</v>
      </c>
      <c r="F2" s="829" t="s">
        <v>470</v>
      </c>
      <c r="G2" s="742" t="s">
        <v>471</v>
      </c>
    </row>
    <row r="3" spans="1:7" s="35" customFormat="1" ht="16.5" customHeight="1">
      <c r="A3" s="735" t="s">
        <v>25</v>
      </c>
      <c r="B3" s="748"/>
      <c r="C3" s="748"/>
      <c r="D3" s="748"/>
      <c r="E3" s="821"/>
      <c r="F3" s="830"/>
      <c r="G3" s="743"/>
    </row>
    <row r="4" spans="1:7" s="35" customFormat="1" ht="16.5" customHeight="1">
      <c r="A4" s="736" t="s">
        <v>26</v>
      </c>
      <c r="B4" s="749">
        <v>1</v>
      </c>
      <c r="C4" s="749">
        <v>1</v>
      </c>
      <c r="D4" s="751"/>
      <c r="E4" s="822"/>
      <c r="F4" s="833">
        <f>+B4+D4</f>
        <v>1</v>
      </c>
      <c r="G4" s="744">
        <f>+C4+E4</f>
        <v>1</v>
      </c>
    </row>
    <row r="5" spans="1:7" s="35" customFormat="1" ht="16.5" customHeight="1">
      <c r="A5" s="736" t="s">
        <v>27</v>
      </c>
      <c r="B5" s="749">
        <v>1</v>
      </c>
      <c r="C5" s="749">
        <v>1</v>
      </c>
      <c r="D5" s="751"/>
      <c r="E5" s="822"/>
      <c r="F5" s="833">
        <f t="shared" ref="F5:F24" si="0">+B5+D5</f>
        <v>1</v>
      </c>
      <c r="G5" s="744">
        <f t="shared" ref="G5:G24" si="1">+C5+E5</f>
        <v>1</v>
      </c>
    </row>
    <row r="6" spans="1:7" s="35" customFormat="1" ht="16.5" customHeight="1">
      <c r="A6" s="736" t="s">
        <v>28</v>
      </c>
      <c r="B6" s="749">
        <v>1</v>
      </c>
      <c r="C6" s="749">
        <v>1</v>
      </c>
      <c r="D6" s="751"/>
      <c r="E6" s="822"/>
      <c r="F6" s="833">
        <f t="shared" si="0"/>
        <v>1</v>
      </c>
      <c r="G6" s="744">
        <f t="shared" si="1"/>
        <v>1</v>
      </c>
    </row>
    <row r="7" spans="1:7" s="35" customFormat="1" ht="16.5" customHeight="1">
      <c r="A7" s="736" t="s">
        <v>29</v>
      </c>
      <c r="B7" s="749">
        <v>1</v>
      </c>
      <c r="C7" s="749">
        <v>1</v>
      </c>
      <c r="D7" s="751"/>
      <c r="E7" s="822"/>
      <c r="F7" s="833">
        <f t="shared" si="0"/>
        <v>1</v>
      </c>
      <c r="G7" s="744">
        <f t="shared" si="1"/>
        <v>1</v>
      </c>
    </row>
    <row r="8" spans="1:7" s="35" customFormat="1" ht="16.5" customHeight="1">
      <c r="A8" s="736" t="s">
        <v>30</v>
      </c>
      <c r="B8" s="749">
        <v>0.5</v>
      </c>
      <c r="C8" s="749">
        <v>0.5</v>
      </c>
      <c r="D8" s="751"/>
      <c r="E8" s="822"/>
      <c r="F8" s="833">
        <f t="shared" si="0"/>
        <v>0.5</v>
      </c>
      <c r="G8" s="744">
        <f t="shared" si="1"/>
        <v>0.5</v>
      </c>
    </row>
    <row r="9" spans="1:7" s="35" customFormat="1" ht="16.5" customHeight="1">
      <c r="A9" s="736" t="s">
        <v>74</v>
      </c>
      <c r="B9" s="749">
        <v>0.5</v>
      </c>
      <c r="C9" s="749">
        <v>0.5</v>
      </c>
      <c r="D9" s="751"/>
      <c r="E9" s="822"/>
      <c r="F9" s="833">
        <f t="shared" si="0"/>
        <v>0.5</v>
      </c>
      <c r="G9" s="744">
        <f t="shared" si="1"/>
        <v>0.5</v>
      </c>
    </row>
    <row r="10" spans="1:7" s="35" customFormat="1" ht="16.5" customHeight="1">
      <c r="A10" s="736" t="s">
        <v>31</v>
      </c>
      <c r="B10" s="749">
        <v>1.5</v>
      </c>
      <c r="C10" s="749">
        <v>1.5</v>
      </c>
      <c r="D10" s="751"/>
      <c r="E10" s="822"/>
      <c r="F10" s="833">
        <f t="shared" si="0"/>
        <v>1.5</v>
      </c>
      <c r="G10" s="744">
        <f t="shared" si="1"/>
        <v>1.5</v>
      </c>
    </row>
    <row r="11" spans="1:7" s="35" customFormat="1" ht="16.5" customHeight="1">
      <c r="A11" s="736" t="s">
        <v>32</v>
      </c>
      <c r="B11" s="749">
        <v>6</v>
      </c>
      <c r="C11" s="749">
        <v>6</v>
      </c>
      <c r="D11" s="751"/>
      <c r="E11" s="822"/>
      <c r="F11" s="833">
        <f t="shared" si="0"/>
        <v>6</v>
      </c>
      <c r="G11" s="744">
        <f t="shared" si="1"/>
        <v>6</v>
      </c>
    </row>
    <row r="12" spans="1:7" s="35" customFormat="1" ht="16.5" customHeight="1">
      <c r="A12" s="736" t="s">
        <v>75</v>
      </c>
      <c r="B12" s="749">
        <v>2</v>
      </c>
      <c r="C12" s="749">
        <v>1</v>
      </c>
      <c r="D12" s="751"/>
      <c r="E12" s="822"/>
      <c r="F12" s="833">
        <f t="shared" si="0"/>
        <v>2</v>
      </c>
      <c r="G12" s="744">
        <f t="shared" si="1"/>
        <v>1</v>
      </c>
    </row>
    <row r="13" spans="1:7" s="35" customFormat="1" ht="16.5" customHeight="1">
      <c r="A13" s="736" t="s">
        <v>33</v>
      </c>
      <c r="B13" s="749">
        <v>14</v>
      </c>
      <c r="C13" s="749">
        <v>14</v>
      </c>
      <c r="D13" s="751"/>
      <c r="E13" s="822"/>
      <c r="F13" s="833">
        <f t="shared" si="0"/>
        <v>14</v>
      </c>
      <c r="G13" s="744">
        <f t="shared" si="1"/>
        <v>14</v>
      </c>
    </row>
    <row r="14" spans="1:7" s="35" customFormat="1" ht="16.5" customHeight="1">
      <c r="A14" s="736" t="s">
        <v>34</v>
      </c>
      <c r="B14" s="749">
        <v>2</v>
      </c>
      <c r="C14" s="749">
        <v>2</v>
      </c>
      <c r="D14" s="751"/>
      <c r="E14" s="822"/>
      <c r="F14" s="833">
        <f t="shared" si="0"/>
        <v>2</v>
      </c>
      <c r="G14" s="744">
        <f t="shared" si="1"/>
        <v>2</v>
      </c>
    </row>
    <row r="15" spans="1:7" s="35" customFormat="1" ht="16.5" customHeight="1">
      <c r="A15" s="736" t="s">
        <v>90</v>
      </c>
      <c r="B15" s="749">
        <v>1</v>
      </c>
      <c r="C15" s="749">
        <v>1</v>
      </c>
      <c r="D15" s="751"/>
      <c r="E15" s="822"/>
      <c r="F15" s="833">
        <f t="shared" si="0"/>
        <v>1</v>
      </c>
      <c r="G15" s="744">
        <f t="shared" si="1"/>
        <v>1</v>
      </c>
    </row>
    <row r="16" spans="1:7" s="35" customFormat="1" ht="16.5" customHeight="1">
      <c r="A16" s="737" t="s">
        <v>35</v>
      </c>
      <c r="B16" s="750">
        <f>SUM(B4:B15)</f>
        <v>31.5</v>
      </c>
      <c r="C16" s="750">
        <f>SUM(C4:C15)</f>
        <v>30.5</v>
      </c>
      <c r="D16" s="750"/>
      <c r="E16" s="823"/>
      <c r="F16" s="831">
        <f>SUM(F4:F15)</f>
        <v>31.5</v>
      </c>
      <c r="G16" s="745">
        <f>SUM(G4:G15)</f>
        <v>30.5</v>
      </c>
    </row>
    <row r="17" spans="1:7" s="35" customFormat="1" ht="16.5" customHeight="1">
      <c r="A17" s="738" t="s">
        <v>347</v>
      </c>
      <c r="B17" s="751"/>
      <c r="C17" s="751"/>
      <c r="D17" s="751"/>
      <c r="E17" s="822"/>
      <c r="F17" s="833"/>
      <c r="G17" s="744"/>
    </row>
    <row r="18" spans="1:7" ht="16.5" customHeight="1">
      <c r="A18" s="739" t="s">
        <v>26</v>
      </c>
      <c r="B18" s="752"/>
      <c r="C18" s="752"/>
      <c r="D18" s="752">
        <v>1</v>
      </c>
      <c r="E18" s="826">
        <v>1</v>
      </c>
      <c r="F18" s="833">
        <f t="shared" si="0"/>
        <v>1</v>
      </c>
      <c r="G18" s="744">
        <f t="shared" si="1"/>
        <v>1</v>
      </c>
    </row>
    <row r="19" spans="1:7" ht="16.5" customHeight="1">
      <c r="A19" s="739" t="s">
        <v>430</v>
      </c>
      <c r="B19" s="752"/>
      <c r="C19" s="752"/>
      <c r="D19" s="752">
        <v>2</v>
      </c>
      <c r="E19" s="826">
        <v>2</v>
      </c>
      <c r="F19" s="833">
        <f t="shared" si="0"/>
        <v>2</v>
      </c>
      <c r="G19" s="744">
        <f t="shared" si="1"/>
        <v>2</v>
      </c>
    </row>
    <row r="20" spans="1:7" ht="16.5" customHeight="1">
      <c r="A20" s="739" t="s">
        <v>36</v>
      </c>
      <c r="B20" s="752"/>
      <c r="C20" s="752"/>
      <c r="D20" s="752">
        <v>3</v>
      </c>
      <c r="E20" s="826">
        <v>3</v>
      </c>
      <c r="F20" s="833">
        <f t="shared" si="0"/>
        <v>3</v>
      </c>
      <c r="G20" s="744">
        <f t="shared" si="1"/>
        <v>3</v>
      </c>
    </row>
    <row r="21" spans="1:7" ht="16.5" customHeight="1">
      <c r="A21" s="739" t="s">
        <v>37</v>
      </c>
      <c r="B21" s="752"/>
      <c r="C21" s="752"/>
      <c r="D21" s="752">
        <v>18</v>
      </c>
      <c r="E21" s="826">
        <v>18</v>
      </c>
      <c r="F21" s="833">
        <f t="shared" si="0"/>
        <v>18</v>
      </c>
      <c r="G21" s="744">
        <f t="shared" si="1"/>
        <v>18</v>
      </c>
    </row>
    <row r="22" spans="1:7" ht="16.5" customHeight="1">
      <c r="A22" s="739" t="s">
        <v>346</v>
      </c>
      <c r="B22" s="752"/>
      <c r="C22" s="752"/>
      <c r="D22" s="752">
        <v>12.5</v>
      </c>
      <c r="E22" s="826">
        <v>12.5</v>
      </c>
      <c r="F22" s="833">
        <f t="shared" si="0"/>
        <v>12.5</v>
      </c>
      <c r="G22" s="744">
        <f t="shared" si="1"/>
        <v>12.5</v>
      </c>
    </row>
    <row r="23" spans="1:7" ht="16.5" customHeight="1">
      <c r="A23" s="739" t="s">
        <v>443</v>
      </c>
      <c r="B23" s="752"/>
      <c r="C23" s="752"/>
      <c r="D23" s="752">
        <v>2</v>
      </c>
      <c r="E23" s="826">
        <v>2</v>
      </c>
      <c r="F23" s="833">
        <f t="shared" si="0"/>
        <v>2</v>
      </c>
      <c r="G23" s="744">
        <f t="shared" si="1"/>
        <v>2</v>
      </c>
    </row>
    <row r="24" spans="1:7" ht="16.5" customHeight="1">
      <c r="A24" s="739" t="s">
        <v>38</v>
      </c>
      <c r="B24" s="752"/>
      <c r="C24" s="752"/>
      <c r="D24" s="752">
        <v>1</v>
      </c>
      <c r="E24" s="826">
        <v>1</v>
      </c>
      <c r="F24" s="833">
        <f t="shared" si="0"/>
        <v>1</v>
      </c>
      <c r="G24" s="744">
        <f t="shared" si="1"/>
        <v>1</v>
      </c>
    </row>
    <row r="25" spans="1:7" ht="15.75" thickBot="1">
      <c r="A25" s="740" t="s">
        <v>348</v>
      </c>
      <c r="B25" s="753"/>
      <c r="C25" s="753"/>
      <c r="D25" s="753">
        <f>SUM(D18:D24)</f>
        <v>39.5</v>
      </c>
      <c r="E25" s="827">
        <f>SUM(E18:E24)</f>
        <v>39.5</v>
      </c>
      <c r="F25" s="831">
        <f>SUM(F18:F24)</f>
        <v>39.5</v>
      </c>
      <c r="G25" s="745">
        <f>SUM(G18:G24)</f>
        <v>39.5</v>
      </c>
    </row>
    <row r="26" spans="1:7" ht="15.75" thickBot="1">
      <c r="A26" s="741" t="s">
        <v>39</v>
      </c>
      <c r="B26" s="754">
        <f>SUM(B16+B25)</f>
        <v>31.5</v>
      </c>
      <c r="C26" s="754">
        <f>SUM(C16+C25)</f>
        <v>30.5</v>
      </c>
      <c r="D26" s="754">
        <f>SUM(D16+D25)</f>
        <v>39.5</v>
      </c>
      <c r="E26" s="828">
        <f>SUM(E16+E25)</f>
        <v>39.5</v>
      </c>
      <c r="F26" s="832">
        <f>+F16+F25</f>
        <v>71</v>
      </c>
      <c r="G26" s="746">
        <f>+G16+G25</f>
        <v>70</v>
      </c>
    </row>
    <row r="76" spans="1:6">
      <c r="A76" s="36"/>
      <c r="B76" s="36"/>
      <c r="C76" s="36"/>
      <c r="D76" s="36"/>
      <c r="E76" s="824"/>
      <c r="F76" s="824"/>
    </row>
    <row r="77" spans="1:6">
      <c r="A77" s="37"/>
      <c r="B77" s="37"/>
      <c r="C77" s="37"/>
      <c r="D77" s="37"/>
      <c r="E77" s="824"/>
      <c r="F77" s="824"/>
    </row>
    <row r="78" spans="1:6">
      <c r="A78" s="37"/>
      <c r="B78" s="37"/>
      <c r="C78" s="37"/>
      <c r="D78" s="37"/>
      <c r="E78" s="824"/>
      <c r="F78" s="824"/>
    </row>
    <row r="79" spans="1:6">
      <c r="A79" s="37"/>
      <c r="B79" s="37"/>
      <c r="C79" s="37"/>
      <c r="D79" s="37"/>
      <c r="E79" s="824"/>
      <c r="F79" s="824"/>
    </row>
    <row r="80" spans="1:6">
      <c r="A80" s="38"/>
      <c r="B80" s="38"/>
      <c r="C80" s="38"/>
      <c r="D80" s="38"/>
      <c r="E80" s="824"/>
      <c r="F80" s="824"/>
    </row>
  </sheetData>
  <mergeCells count="3">
    <mergeCell ref="B1:C1"/>
    <mergeCell ref="D1:E1"/>
    <mergeCell ref="F1:G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85" orientation="portrait" r:id="rId1"/>
  <headerFooter alignWithMargins="0">
    <oddHeader>&amp;L&amp;"Times New Roman,Félkövér"&amp;13Szent László Völgye TKT&amp;C&amp;"Times New Roman,Félkövér"&amp;14
&amp;16 2016. ÉVI KÖLTSÉGVETÉS&amp;14
&amp;R9. sz. táblázat
LÉTSZÁMADATOK
Adatok: fő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A1:AH113"/>
  <sheetViews>
    <sheetView workbookViewId="0">
      <pane xSplit="2" ySplit="2" topLeftCell="C3" activePane="bottomRight" state="frozen"/>
      <selection activeCell="C21" sqref="C21"/>
      <selection pane="topRight" activeCell="C21" sqref="C21"/>
      <selection pane="bottomLeft" activeCell="C21" sqref="C21"/>
      <selection pane="bottomRight" activeCell="C68" sqref="C68"/>
    </sheetView>
  </sheetViews>
  <sheetFormatPr defaultColWidth="8.85546875" defaultRowHeight="12.75"/>
  <cols>
    <col min="1" max="1" width="6.28515625" style="1" customWidth="1"/>
    <col min="2" max="2" width="48" style="32" customWidth="1"/>
    <col min="3" max="3" width="10.42578125" style="32" customWidth="1"/>
    <col min="4" max="5" width="10.42578125" style="33" customWidth="1"/>
    <col min="6" max="6" width="10.42578125" style="862" customWidth="1"/>
    <col min="7" max="7" width="10.42578125" style="33" customWidth="1"/>
    <col min="8" max="9" width="10.42578125" style="32" customWidth="1"/>
    <col min="10" max="10" width="10.42578125" style="862" customWidth="1"/>
    <col min="11" max="11" width="10.42578125" style="32" customWidth="1"/>
    <col min="12" max="15" width="10.42578125" style="34" customWidth="1"/>
    <col min="16" max="17" width="10.42578125" style="14" customWidth="1"/>
    <col min="18" max="18" width="10.42578125" style="862" customWidth="1"/>
    <col min="19" max="21" width="10.42578125" style="14" customWidth="1"/>
    <col min="22" max="22" width="10.42578125" style="862" customWidth="1"/>
    <col min="23" max="23" width="8.85546875" style="1"/>
    <col min="24" max="24" width="10.85546875" style="2" bestFit="1" customWidth="1"/>
    <col min="25" max="16384" width="8.85546875" style="1"/>
  </cols>
  <sheetData>
    <row r="1" spans="1:24" s="186" customFormat="1" ht="45.75" customHeight="1">
      <c r="A1" s="905" t="s">
        <v>179</v>
      </c>
      <c r="B1" s="907" t="s">
        <v>204</v>
      </c>
      <c r="C1" s="893" t="s">
        <v>115</v>
      </c>
      <c r="D1" s="894"/>
      <c r="E1" s="894"/>
      <c r="F1" s="895"/>
      <c r="G1" s="896" t="s">
        <v>138</v>
      </c>
      <c r="H1" s="897"/>
      <c r="I1" s="897"/>
      <c r="J1" s="898"/>
      <c r="K1" s="896" t="s">
        <v>76</v>
      </c>
      <c r="L1" s="897"/>
      <c r="M1" s="897"/>
      <c r="N1" s="898"/>
      <c r="O1" s="896" t="s">
        <v>116</v>
      </c>
      <c r="P1" s="897"/>
      <c r="Q1" s="897"/>
      <c r="R1" s="898"/>
      <c r="S1" s="896" t="s">
        <v>77</v>
      </c>
      <c r="T1" s="897"/>
      <c r="U1" s="897"/>
      <c r="V1" s="898"/>
      <c r="X1" s="187"/>
    </row>
    <row r="2" spans="1:24" s="188" customFormat="1" ht="29.45" customHeight="1">
      <c r="A2" s="906"/>
      <c r="B2" s="908"/>
      <c r="C2" s="197" t="s">
        <v>473</v>
      </c>
      <c r="D2" s="198" t="s">
        <v>468</v>
      </c>
      <c r="E2" s="198" t="s">
        <v>474</v>
      </c>
      <c r="F2" s="840" t="s">
        <v>424</v>
      </c>
      <c r="G2" s="197" t="s">
        <v>473</v>
      </c>
      <c r="H2" s="198" t="s">
        <v>468</v>
      </c>
      <c r="I2" s="198" t="s">
        <v>474</v>
      </c>
      <c r="J2" s="840" t="s">
        <v>424</v>
      </c>
      <c r="K2" s="197" t="s">
        <v>473</v>
      </c>
      <c r="L2" s="198" t="s">
        <v>468</v>
      </c>
      <c r="M2" s="198" t="s">
        <v>474</v>
      </c>
      <c r="N2" s="192" t="s">
        <v>424</v>
      </c>
      <c r="O2" s="197" t="s">
        <v>473</v>
      </c>
      <c r="P2" s="198" t="s">
        <v>468</v>
      </c>
      <c r="Q2" s="198" t="s">
        <v>474</v>
      </c>
      <c r="R2" s="840" t="s">
        <v>424</v>
      </c>
      <c r="S2" s="197" t="s">
        <v>473</v>
      </c>
      <c r="T2" s="198" t="s">
        <v>468</v>
      </c>
      <c r="U2" s="198" t="s">
        <v>474</v>
      </c>
      <c r="V2" s="840" t="s">
        <v>424</v>
      </c>
      <c r="X2" s="189"/>
    </row>
    <row r="3" spans="1:24" ht="13.5" customHeight="1">
      <c r="A3" s="199" t="s">
        <v>180</v>
      </c>
      <c r="B3" s="220" t="s">
        <v>140</v>
      </c>
      <c r="C3" s="72"/>
      <c r="D3" s="94"/>
      <c r="E3" s="94"/>
      <c r="F3" s="841"/>
      <c r="G3" s="72"/>
      <c r="H3" s="94"/>
      <c r="I3" s="94"/>
      <c r="J3" s="841"/>
      <c r="K3" s="72"/>
      <c r="L3" s="94"/>
      <c r="M3" s="94"/>
      <c r="N3" s="139"/>
      <c r="O3" s="72"/>
      <c r="P3" s="94"/>
      <c r="Q3" s="94"/>
      <c r="R3" s="841"/>
      <c r="S3" s="72">
        <f>+K3+O3</f>
        <v>0</v>
      </c>
      <c r="T3" s="94">
        <f>+L3+P3</f>
        <v>0</v>
      </c>
      <c r="U3" s="94"/>
      <c r="V3" s="841"/>
    </row>
    <row r="4" spans="1:24" ht="13.5" customHeight="1">
      <c r="A4" s="200" t="s">
        <v>181</v>
      </c>
      <c r="B4" s="221" t="s">
        <v>141</v>
      </c>
      <c r="C4" s="74"/>
      <c r="D4" s="90"/>
      <c r="E4" s="90"/>
      <c r="F4" s="842"/>
      <c r="G4" s="74"/>
      <c r="H4" s="90"/>
      <c r="I4" s="90"/>
      <c r="J4" s="842"/>
      <c r="K4" s="74"/>
      <c r="L4" s="90"/>
      <c r="M4" s="90"/>
      <c r="N4" s="29"/>
      <c r="O4" s="74">
        <f>+SUM(O5:O6)</f>
        <v>303104</v>
      </c>
      <c r="P4" s="90">
        <f>+SUM(P5:P6)</f>
        <v>321181</v>
      </c>
      <c r="Q4" s="90"/>
      <c r="R4" s="842">
        <f>+P4/O4</f>
        <v>1.0596395956503379</v>
      </c>
      <c r="S4" s="72">
        <f>+SUM(S5:S6)</f>
        <v>303104</v>
      </c>
      <c r="T4" s="94">
        <f>+SUM(T5:T6)</f>
        <v>321181</v>
      </c>
      <c r="U4" s="90"/>
      <c r="V4" s="842">
        <f>+T4/S4</f>
        <v>1.0596395956503379</v>
      </c>
    </row>
    <row r="5" spans="1:24" s="363" customFormat="1" ht="13.5" customHeight="1">
      <c r="A5" s="202"/>
      <c r="B5" s="203" t="s">
        <v>142</v>
      </c>
      <c r="C5" s="479"/>
      <c r="D5" s="480"/>
      <c r="E5" s="480"/>
      <c r="F5" s="843"/>
      <c r="G5" s="479"/>
      <c r="H5" s="480"/>
      <c r="I5" s="480"/>
      <c r="J5" s="843"/>
      <c r="K5" s="479"/>
      <c r="L5" s="480"/>
      <c r="M5" s="480"/>
      <c r="N5" s="481"/>
      <c r="O5" s="479">
        <f>+'[3]1.1.SZ.TÁBL. BEV - KIAD'!$L$5</f>
        <v>29220</v>
      </c>
      <c r="P5" s="480">
        <f>+'2.SZ.TÁBL. BEVÉTELEK'!D4</f>
        <v>29220</v>
      </c>
      <c r="Q5" s="480"/>
      <c r="R5" s="843">
        <f>+P5/O5</f>
        <v>1</v>
      </c>
      <c r="S5" s="482">
        <f t="shared" ref="S5:T6" si="0">+K5+O5</f>
        <v>29220</v>
      </c>
      <c r="T5" s="491">
        <f t="shared" si="0"/>
        <v>29220</v>
      </c>
      <c r="U5" s="480"/>
      <c r="V5" s="843">
        <f>+T5/S5</f>
        <v>1</v>
      </c>
      <c r="X5" s="483"/>
    </row>
    <row r="6" spans="1:24" s="352" customFormat="1" ht="13.5" customHeight="1">
      <c r="A6" s="211"/>
      <c r="B6" s="222" t="s">
        <v>143</v>
      </c>
      <c r="C6" s="484"/>
      <c r="D6" s="485"/>
      <c r="E6" s="485"/>
      <c r="F6" s="844"/>
      <c r="G6" s="484"/>
      <c r="H6" s="485"/>
      <c r="I6" s="485"/>
      <c r="J6" s="844"/>
      <c r="K6" s="484"/>
      <c r="L6" s="485"/>
      <c r="M6" s="485"/>
      <c r="N6" s="486"/>
      <c r="O6" s="484">
        <f>+'[3]1.1.SZ.TÁBL. BEV - KIAD'!$L$6</f>
        <v>273884</v>
      </c>
      <c r="P6" s="485">
        <f>+'2.SZ.TÁBL. BEVÉTELEK'!D64</f>
        <v>291961</v>
      </c>
      <c r="Q6" s="485"/>
      <c r="R6" s="844">
        <f>+P6/O6</f>
        <v>1.0660023951745994</v>
      </c>
      <c r="S6" s="482">
        <f t="shared" si="0"/>
        <v>273884</v>
      </c>
      <c r="T6" s="491">
        <f t="shared" si="0"/>
        <v>291961</v>
      </c>
      <c r="U6" s="485"/>
      <c r="V6" s="844">
        <f>+T6/S6</f>
        <v>1.0660023951745994</v>
      </c>
      <c r="W6" s="487"/>
      <c r="X6" s="487"/>
    </row>
    <row r="7" spans="1:24" s="3" customFormat="1" ht="13.5" customHeight="1">
      <c r="A7" s="190" t="s">
        <v>182</v>
      </c>
      <c r="B7" s="185" t="s">
        <v>144</v>
      </c>
      <c r="C7" s="504"/>
      <c r="D7" s="505"/>
      <c r="E7" s="505"/>
      <c r="F7" s="845"/>
      <c r="G7" s="504"/>
      <c r="H7" s="505"/>
      <c r="I7" s="507"/>
      <c r="J7" s="845"/>
      <c r="K7" s="504"/>
      <c r="L7" s="505"/>
      <c r="M7" s="505"/>
      <c r="N7" s="506"/>
      <c r="O7" s="508">
        <f>+O3+O4</f>
        <v>303104</v>
      </c>
      <c r="P7" s="509">
        <f>+P3+P4</f>
        <v>321181</v>
      </c>
      <c r="Q7" s="509"/>
      <c r="R7" s="851">
        <f>+P7/O7</f>
        <v>1.0596395956503379</v>
      </c>
      <c r="S7" s="504">
        <f>+S3+S4</f>
        <v>303104</v>
      </c>
      <c r="T7" s="505">
        <f>+T3+T4</f>
        <v>321181</v>
      </c>
      <c r="U7" s="505"/>
      <c r="V7" s="845">
        <f>+T7/S7</f>
        <v>1.0596395956503379</v>
      </c>
      <c r="X7" s="4"/>
    </row>
    <row r="8" spans="1:24" ht="13.5" customHeight="1">
      <c r="A8" s="212" t="s">
        <v>183</v>
      </c>
      <c r="B8" s="223" t="s">
        <v>178</v>
      </c>
      <c r="C8" s="72"/>
      <c r="D8" s="94"/>
      <c r="E8" s="94"/>
      <c r="F8" s="841"/>
      <c r="G8" s="72"/>
      <c r="H8" s="94"/>
      <c r="I8" s="17"/>
      <c r="J8" s="841"/>
      <c r="K8" s="72"/>
      <c r="L8" s="94"/>
      <c r="M8" s="94"/>
      <c r="N8" s="139"/>
      <c r="O8" s="5"/>
      <c r="P8" s="92"/>
      <c r="Q8" s="92"/>
      <c r="R8" s="852"/>
      <c r="S8" s="72">
        <f>+K8+O8</f>
        <v>0</v>
      </c>
      <c r="T8" s="94">
        <f>+L8+P8</f>
        <v>0</v>
      </c>
      <c r="U8" s="94"/>
      <c r="V8" s="841"/>
    </row>
    <row r="9" spans="1:24" ht="13.5" customHeight="1">
      <c r="A9" s="200" t="s">
        <v>184</v>
      </c>
      <c r="B9" s="221" t="s">
        <v>145</v>
      </c>
      <c r="C9" s="74"/>
      <c r="D9" s="90"/>
      <c r="E9" s="90"/>
      <c r="F9" s="842"/>
      <c r="G9" s="74"/>
      <c r="H9" s="90"/>
      <c r="I9" s="15"/>
      <c r="J9" s="842"/>
      <c r="K9" s="74"/>
      <c r="L9" s="90"/>
      <c r="M9" s="90"/>
      <c r="N9" s="29"/>
      <c r="O9" s="6">
        <f>+O10</f>
        <v>0</v>
      </c>
      <c r="P9" s="184">
        <f>+P10</f>
        <v>2000</v>
      </c>
      <c r="Q9" s="184"/>
      <c r="R9" s="854"/>
      <c r="S9" s="72">
        <f>+SUM(S10)</f>
        <v>0</v>
      </c>
      <c r="T9" s="94">
        <f>+SUM(T10)</f>
        <v>2000</v>
      </c>
      <c r="U9" s="90"/>
      <c r="V9" s="842"/>
    </row>
    <row r="10" spans="1:24" s="363" customFormat="1" ht="13.5" customHeight="1">
      <c r="A10" s="211"/>
      <c r="B10" s="222" t="s">
        <v>143</v>
      </c>
      <c r="C10" s="484"/>
      <c r="D10" s="485"/>
      <c r="E10" s="485"/>
      <c r="F10" s="844"/>
      <c r="G10" s="484"/>
      <c r="H10" s="485"/>
      <c r="I10" s="488"/>
      <c r="J10" s="844"/>
      <c r="K10" s="484"/>
      <c r="L10" s="485"/>
      <c r="M10" s="485"/>
      <c r="N10" s="486"/>
      <c r="O10" s="489"/>
      <c r="P10" s="490">
        <f>+'2.SZ.TÁBL. BEVÉTELEK'!D69</f>
        <v>2000</v>
      </c>
      <c r="Q10" s="490"/>
      <c r="R10" s="856"/>
      <c r="S10" s="482">
        <f t="shared" ref="S10:T10" si="1">+K10+O10</f>
        <v>0</v>
      </c>
      <c r="T10" s="491">
        <f t="shared" si="1"/>
        <v>2000</v>
      </c>
      <c r="U10" s="485"/>
      <c r="V10" s="844"/>
      <c r="X10" s="483"/>
    </row>
    <row r="11" spans="1:24" s="3" customFormat="1" ht="13.5" customHeight="1">
      <c r="A11" s="190" t="s">
        <v>185</v>
      </c>
      <c r="B11" s="185" t="s">
        <v>146</v>
      </c>
      <c r="C11" s="504"/>
      <c r="D11" s="505"/>
      <c r="E11" s="505"/>
      <c r="F11" s="845"/>
      <c r="G11" s="504"/>
      <c r="H11" s="505"/>
      <c r="I11" s="507"/>
      <c r="J11" s="845"/>
      <c r="K11" s="504"/>
      <c r="L11" s="505"/>
      <c r="M11" s="505"/>
      <c r="N11" s="506"/>
      <c r="O11" s="508">
        <f>+O8+O9</f>
        <v>0</v>
      </c>
      <c r="P11" s="509">
        <f>+P8+P9</f>
        <v>2000</v>
      </c>
      <c r="Q11" s="509"/>
      <c r="R11" s="851"/>
      <c r="S11" s="504">
        <f>+S8+S9</f>
        <v>0</v>
      </c>
      <c r="T11" s="505">
        <f>+T8+T9</f>
        <v>2000</v>
      </c>
      <c r="U11" s="505"/>
      <c r="V11" s="845"/>
      <c r="X11" s="4"/>
    </row>
    <row r="12" spans="1:24" ht="13.5" customHeight="1">
      <c r="A12" s="212" t="s">
        <v>186</v>
      </c>
      <c r="B12" s="223" t="s">
        <v>147</v>
      </c>
      <c r="C12" s="72">
        <f>+'[3]1.1.SZ.TÁBL. BEV - KIAD'!$C12</f>
        <v>0</v>
      </c>
      <c r="D12" s="94">
        <f>+'3.SZ.TÁBL. SEGÍTŐ SZOLGÁLAT'!AA12</f>
        <v>0</v>
      </c>
      <c r="E12" s="94"/>
      <c r="F12" s="841"/>
      <c r="G12" s="72"/>
      <c r="H12" s="94"/>
      <c r="I12" s="94"/>
      <c r="J12" s="841"/>
      <c r="K12" s="72">
        <f>+C12+G12</f>
        <v>0</v>
      </c>
      <c r="L12" s="94">
        <f>+D12+H12</f>
        <v>0</v>
      </c>
      <c r="M12" s="94"/>
      <c r="N12" s="139"/>
      <c r="O12" s="5"/>
      <c r="P12" s="92"/>
      <c r="Q12" s="94"/>
      <c r="R12" s="841"/>
      <c r="S12" s="72">
        <f t="shared" ref="S12:T75" si="2">+K12+O12</f>
        <v>0</v>
      </c>
      <c r="T12" s="94">
        <f t="shared" si="2"/>
        <v>0</v>
      </c>
      <c r="U12" s="94"/>
      <c r="V12" s="841"/>
    </row>
    <row r="13" spans="1:24" ht="13.5" customHeight="1">
      <c r="A13" s="200" t="s">
        <v>187</v>
      </c>
      <c r="B13" s="221" t="s">
        <v>148</v>
      </c>
      <c r="C13" s="74">
        <f>+'[3]1.1.SZ.TÁBL. BEV - KIAD'!$C13</f>
        <v>2100</v>
      </c>
      <c r="D13" s="90">
        <f>+'3.SZ.TÁBL. SEGÍTŐ SZOLGÁLAT'!AA13</f>
        <v>1925</v>
      </c>
      <c r="E13" s="90"/>
      <c r="F13" s="842">
        <f>+D13/C13</f>
        <v>0.91666666666666663</v>
      </c>
      <c r="G13" s="74"/>
      <c r="H13" s="90"/>
      <c r="I13" s="15"/>
      <c r="J13" s="842"/>
      <c r="K13" s="74">
        <f t="shared" ref="K13:L20" si="3">+C13+G13</f>
        <v>2100</v>
      </c>
      <c r="L13" s="90">
        <f t="shared" si="3"/>
        <v>1925</v>
      </c>
      <c r="M13" s="90"/>
      <c r="N13" s="842">
        <f>+L13/K13</f>
        <v>0.91666666666666663</v>
      </c>
      <c r="O13" s="6"/>
      <c r="P13" s="184"/>
      <c r="Q13" s="184"/>
      <c r="R13" s="854"/>
      <c r="S13" s="74">
        <f t="shared" si="2"/>
        <v>2100</v>
      </c>
      <c r="T13" s="90">
        <f t="shared" si="2"/>
        <v>1925</v>
      </c>
      <c r="U13" s="90"/>
      <c r="V13" s="842">
        <f>+T13/S13</f>
        <v>0.91666666666666663</v>
      </c>
    </row>
    <row r="14" spans="1:24" ht="13.5" customHeight="1">
      <c r="A14" s="200" t="s">
        <v>188</v>
      </c>
      <c r="B14" s="221" t="s">
        <v>149</v>
      </c>
      <c r="C14" s="74">
        <f>+'[3]1.1.SZ.TÁBL. BEV - KIAD'!$C14</f>
        <v>0</v>
      </c>
      <c r="D14" s="90">
        <f>+'3.SZ.TÁBL. SEGÍTŐ SZOLGÁLAT'!AA14</f>
        <v>0</v>
      </c>
      <c r="E14" s="90"/>
      <c r="F14" s="842"/>
      <c r="G14" s="74"/>
      <c r="H14" s="90"/>
      <c r="I14" s="90"/>
      <c r="J14" s="842"/>
      <c r="K14" s="74">
        <f t="shared" si="3"/>
        <v>0</v>
      </c>
      <c r="L14" s="90">
        <f t="shared" si="3"/>
        <v>0</v>
      </c>
      <c r="M14" s="90"/>
      <c r="N14" s="842"/>
      <c r="O14" s="6"/>
      <c r="P14" s="184"/>
      <c r="Q14" s="90"/>
      <c r="R14" s="842"/>
      <c r="S14" s="74">
        <f t="shared" si="2"/>
        <v>0</v>
      </c>
      <c r="T14" s="90">
        <f t="shared" si="2"/>
        <v>0</v>
      </c>
      <c r="U14" s="90"/>
      <c r="V14" s="842"/>
    </row>
    <row r="15" spans="1:24" ht="13.5" customHeight="1">
      <c r="A15" s="200" t="s">
        <v>189</v>
      </c>
      <c r="B15" s="221" t="s">
        <v>150</v>
      </c>
      <c r="C15" s="74">
        <f>+'[3]1.1.SZ.TÁBL. BEV - KIAD'!$C15</f>
        <v>0</v>
      </c>
      <c r="D15" s="90">
        <f>+'3.SZ.TÁBL. SEGÍTŐ SZOLGÁLAT'!AA15</f>
        <v>0</v>
      </c>
      <c r="E15" s="90"/>
      <c r="F15" s="842"/>
      <c r="G15" s="74"/>
      <c r="H15" s="90"/>
      <c r="I15" s="15"/>
      <c r="J15" s="842"/>
      <c r="K15" s="74">
        <f t="shared" si="3"/>
        <v>0</v>
      </c>
      <c r="L15" s="90">
        <f t="shared" si="3"/>
        <v>0</v>
      </c>
      <c r="M15" s="90"/>
      <c r="N15" s="842"/>
      <c r="O15" s="6"/>
      <c r="P15" s="184"/>
      <c r="Q15" s="184"/>
      <c r="R15" s="854"/>
      <c r="S15" s="74">
        <f t="shared" si="2"/>
        <v>0</v>
      </c>
      <c r="T15" s="90">
        <f t="shared" si="2"/>
        <v>0</v>
      </c>
      <c r="U15" s="184"/>
      <c r="V15" s="854"/>
    </row>
    <row r="16" spans="1:24" ht="13.5" customHeight="1">
      <c r="A16" s="200" t="s">
        <v>190</v>
      </c>
      <c r="B16" s="221" t="s">
        <v>151</v>
      </c>
      <c r="C16" s="74">
        <f>+'[3]1.1.SZ.TÁBL. BEV - KIAD'!$C16</f>
        <v>6791</v>
      </c>
      <c r="D16" s="90">
        <f>+'3.SZ.TÁBL. SEGÍTŐ SZOLGÁLAT'!AA16</f>
        <v>7095</v>
      </c>
      <c r="E16" s="90"/>
      <c r="F16" s="842">
        <f>+D16/C16</f>
        <v>1.0447651303195407</v>
      </c>
      <c r="G16" s="74">
        <f>+'[3]1.1.SZ.TÁBL. BEV - KIAD'!$F$16</f>
        <v>3454</v>
      </c>
      <c r="H16" s="90">
        <f>+'4.SZ.TÁBL. ÓVODA'!R16</f>
        <v>0</v>
      </c>
      <c r="I16" s="15"/>
      <c r="J16" s="842">
        <f>+H16/G16</f>
        <v>0</v>
      </c>
      <c r="K16" s="74">
        <f>+C16+G16</f>
        <v>10245</v>
      </c>
      <c r="L16" s="90">
        <f t="shared" si="3"/>
        <v>7095</v>
      </c>
      <c r="M16" s="90"/>
      <c r="N16" s="842">
        <f>+L16/K16</f>
        <v>0.69253294289897516</v>
      </c>
      <c r="O16" s="6"/>
      <c r="P16" s="184"/>
      <c r="Q16" s="184"/>
      <c r="R16" s="854"/>
      <c r="S16" s="74">
        <f t="shared" si="2"/>
        <v>10245</v>
      </c>
      <c r="T16" s="90">
        <f t="shared" si="2"/>
        <v>7095</v>
      </c>
      <c r="U16" s="184"/>
      <c r="V16" s="854">
        <f>+T16/S16</f>
        <v>0.69253294289897516</v>
      </c>
    </row>
    <row r="17" spans="1:24" ht="13.5" customHeight="1">
      <c r="A17" s="200" t="s">
        <v>191</v>
      </c>
      <c r="B17" s="221" t="s">
        <v>152</v>
      </c>
      <c r="C17" s="74">
        <f>+'[3]1.1.SZ.TÁBL. BEV - KIAD'!$C17</f>
        <v>0</v>
      </c>
      <c r="D17" s="90">
        <f>+'3.SZ.TÁBL. SEGÍTŐ SZOLGÁLAT'!AA17</f>
        <v>0</v>
      </c>
      <c r="E17" s="90"/>
      <c r="F17" s="842"/>
      <c r="G17" s="74"/>
      <c r="H17" s="90"/>
      <c r="I17" s="15"/>
      <c r="J17" s="842"/>
      <c r="K17" s="74">
        <f t="shared" si="3"/>
        <v>0</v>
      </c>
      <c r="L17" s="90">
        <f t="shared" si="3"/>
        <v>0</v>
      </c>
      <c r="M17" s="90"/>
      <c r="N17" s="842"/>
      <c r="O17" s="6"/>
      <c r="P17" s="184"/>
      <c r="Q17" s="184"/>
      <c r="R17" s="854"/>
      <c r="S17" s="74">
        <f t="shared" si="2"/>
        <v>0</v>
      </c>
      <c r="T17" s="90">
        <f t="shared" si="2"/>
        <v>0</v>
      </c>
      <c r="U17" s="184"/>
      <c r="V17" s="854"/>
    </row>
    <row r="18" spans="1:24" ht="13.5" customHeight="1">
      <c r="A18" s="200" t="s">
        <v>192</v>
      </c>
      <c r="B18" s="221" t="s">
        <v>153</v>
      </c>
      <c r="C18" s="74">
        <f>+'[3]1.1.SZ.TÁBL. BEV - KIAD'!$C18</f>
        <v>0</v>
      </c>
      <c r="D18" s="90">
        <f>+'3.SZ.TÁBL. SEGÍTŐ SZOLGÁLAT'!AA18</f>
        <v>0</v>
      </c>
      <c r="E18" s="90"/>
      <c r="F18" s="842"/>
      <c r="G18" s="74"/>
      <c r="H18" s="90"/>
      <c r="I18" s="15"/>
      <c r="J18" s="842"/>
      <c r="K18" s="74">
        <f t="shared" si="3"/>
        <v>0</v>
      </c>
      <c r="L18" s="90">
        <f t="shared" si="3"/>
        <v>0</v>
      </c>
      <c r="M18" s="90"/>
      <c r="N18" s="842"/>
      <c r="O18" s="6"/>
      <c r="P18" s="184"/>
      <c r="Q18" s="184"/>
      <c r="R18" s="854"/>
      <c r="S18" s="74">
        <f t="shared" si="2"/>
        <v>0</v>
      </c>
      <c r="T18" s="90">
        <f t="shared" si="2"/>
        <v>0</v>
      </c>
      <c r="U18" s="184"/>
      <c r="V18" s="854"/>
    </row>
    <row r="19" spans="1:24" ht="13.5" customHeight="1">
      <c r="A19" s="200" t="s">
        <v>193</v>
      </c>
      <c r="B19" s="221" t="s">
        <v>154</v>
      </c>
      <c r="C19" s="74">
        <f>+'[3]1.1.SZ.TÁBL. BEV - KIAD'!$C19</f>
        <v>0</v>
      </c>
      <c r="D19" s="90">
        <f>+'3.SZ.TÁBL. SEGÍTŐ SZOLGÁLAT'!AA19</f>
        <v>0</v>
      </c>
      <c r="E19" s="90"/>
      <c r="F19" s="842"/>
      <c r="G19" s="74"/>
      <c r="H19" s="90"/>
      <c r="I19" s="15"/>
      <c r="J19" s="842"/>
      <c r="K19" s="74">
        <f t="shared" si="3"/>
        <v>0</v>
      </c>
      <c r="L19" s="90">
        <f t="shared" si="3"/>
        <v>0</v>
      </c>
      <c r="M19" s="90"/>
      <c r="N19" s="842"/>
      <c r="O19" s="6"/>
      <c r="P19" s="184"/>
      <c r="Q19" s="184"/>
      <c r="R19" s="854"/>
      <c r="S19" s="74">
        <f t="shared" si="2"/>
        <v>0</v>
      </c>
      <c r="T19" s="90">
        <f t="shared" si="2"/>
        <v>0</v>
      </c>
      <c r="U19" s="184"/>
      <c r="V19" s="854"/>
    </row>
    <row r="20" spans="1:24" ht="13.5" customHeight="1">
      <c r="A20" s="214" t="s">
        <v>194</v>
      </c>
      <c r="B20" s="224" t="s">
        <v>155</v>
      </c>
      <c r="C20" s="75">
        <f>+'[3]1.1.SZ.TÁBL. BEV - KIAD'!$C20</f>
        <v>0</v>
      </c>
      <c r="D20" s="91">
        <f>+'3.SZ.TÁBL. SEGÍTŐ SZOLGÁLAT'!AA20</f>
        <v>0</v>
      </c>
      <c r="E20" s="91"/>
      <c r="F20" s="846"/>
      <c r="G20" s="75"/>
      <c r="H20" s="91"/>
      <c r="I20" s="16"/>
      <c r="J20" s="846"/>
      <c r="K20" s="75">
        <f t="shared" si="3"/>
        <v>0</v>
      </c>
      <c r="L20" s="91">
        <f t="shared" si="3"/>
        <v>0</v>
      </c>
      <c r="M20" s="91"/>
      <c r="N20" s="846"/>
      <c r="O20" s="213"/>
      <c r="P20" s="226"/>
      <c r="Q20" s="226"/>
      <c r="R20" s="853"/>
      <c r="S20" s="75">
        <f t="shared" si="2"/>
        <v>0</v>
      </c>
      <c r="T20" s="91">
        <f t="shared" si="2"/>
        <v>0</v>
      </c>
      <c r="U20" s="226"/>
      <c r="V20" s="853"/>
    </row>
    <row r="21" spans="1:24" s="3" customFormat="1" ht="13.5" customHeight="1">
      <c r="A21" s="190" t="s">
        <v>195</v>
      </c>
      <c r="B21" s="185" t="s">
        <v>156</v>
      </c>
      <c r="C21" s="365">
        <f>SUM(C12:C20)</f>
        <v>8891</v>
      </c>
      <c r="D21" s="371">
        <f>SUM(D12:D20)</f>
        <v>9020</v>
      </c>
      <c r="E21" s="505"/>
      <c r="F21" s="845">
        <f>+D21/C21</f>
        <v>1.0145090540996513</v>
      </c>
      <c r="G21" s="365">
        <f>SUM(G12:G20)</f>
        <v>3454</v>
      </c>
      <c r="H21" s="371">
        <f>SUM(H12:H20)</f>
        <v>0</v>
      </c>
      <c r="I21" s="507"/>
      <c r="J21" s="845">
        <f>+H21/G21</f>
        <v>0</v>
      </c>
      <c r="K21" s="365">
        <f>SUM(K12:K20)</f>
        <v>12345</v>
      </c>
      <c r="L21" s="371">
        <f>SUM(L12:L20)</f>
        <v>9020</v>
      </c>
      <c r="M21" s="505"/>
      <c r="N21" s="845">
        <f>+L21/K21</f>
        <v>0.7306601863102471</v>
      </c>
      <c r="O21" s="365">
        <f>SUM(O12:O20)</f>
        <v>0</v>
      </c>
      <c r="P21" s="371">
        <f>SUM(P12:P20)</f>
        <v>0</v>
      </c>
      <c r="Q21" s="509"/>
      <c r="R21" s="851"/>
      <c r="S21" s="504">
        <f>SUM(S12:S20)</f>
        <v>12345</v>
      </c>
      <c r="T21" s="505">
        <f>SUM(T12:T20)</f>
        <v>9020</v>
      </c>
      <c r="U21" s="509"/>
      <c r="V21" s="851">
        <f>+T21/S21</f>
        <v>0.7306601863102471</v>
      </c>
      <c r="X21" s="4"/>
    </row>
    <row r="22" spans="1:24" s="3" customFormat="1" ht="13.5" customHeight="1">
      <c r="A22" s="190" t="s">
        <v>196</v>
      </c>
      <c r="B22" s="185" t="s">
        <v>157</v>
      </c>
      <c r="C22" s="365"/>
      <c r="D22" s="371"/>
      <c r="E22" s="505"/>
      <c r="F22" s="845"/>
      <c r="G22" s="365"/>
      <c r="H22" s="371"/>
      <c r="I22" s="507"/>
      <c r="J22" s="845"/>
      <c r="K22" s="365"/>
      <c r="L22" s="371"/>
      <c r="M22" s="505"/>
      <c r="N22" s="845"/>
      <c r="O22" s="508"/>
      <c r="P22" s="509"/>
      <c r="Q22" s="509"/>
      <c r="R22" s="851"/>
      <c r="S22" s="504">
        <f t="shared" si="2"/>
        <v>0</v>
      </c>
      <c r="T22" s="505">
        <f t="shared" si="2"/>
        <v>0</v>
      </c>
      <c r="U22" s="509"/>
      <c r="V22" s="851"/>
      <c r="X22" s="4"/>
    </row>
    <row r="23" spans="1:24" ht="13.5" customHeight="1">
      <c r="A23" s="215" t="s">
        <v>197</v>
      </c>
      <c r="B23" s="225" t="s">
        <v>158</v>
      </c>
      <c r="C23" s="299"/>
      <c r="D23" s="293"/>
      <c r="E23" s="138"/>
      <c r="F23" s="847"/>
      <c r="G23" s="299"/>
      <c r="H23" s="293"/>
      <c r="I23" s="216"/>
      <c r="J23" s="847"/>
      <c r="K23" s="299"/>
      <c r="L23" s="293"/>
      <c r="M23" s="138"/>
      <c r="N23" s="847"/>
      <c r="O23" s="7"/>
      <c r="P23" s="227"/>
      <c r="Q23" s="227"/>
      <c r="R23" s="866"/>
      <c r="S23" s="73">
        <f t="shared" si="2"/>
        <v>0</v>
      </c>
      <c r="T23" s="138">
        <f t="shared" si="2"/>
        <v>0</v>
      </c>
      <c r="U23" s="227"/>
      <c r="V23" s="866"/>
    </row>
    <row r="24" spans="1:24" s="3" customFormat="1" ht="13.5" customHeight="1">
      <c r="A24" s="190" t="s">
        <v>198</v>
      </c>
      <c r="B24" s="185" t="s">
        <v>319</v>
      </c>
      <c r="C24" s="365">
        <f>+C23</f>
        <v>0</v>
      </c>
      <c r="D24" s="371">
        <f>+D23</f>
        <v>0</v>
      </c>
      <c r="E24" s="505"/>
      <c r="F24" s="845"/>
      <c r="G24" s="365">
        <f>+G23</f>
        <v>0</v>
      </c>
      <c r="H24" s="371">
        <f>+H23</f>
        <v>0</v>
      </c>
      <c r="I24" s="505"/>
      <c r="J24" s="845"/>
      <c r="K24" s="365">
        <f>+K23</f>
        <v>0</v>
      </c>
      <c r="L24" s="371">
        <f>+L23</f>
        <v>0</v>
      </c>
      <c r="M24" s="505"/>
      <c r="N24" s="845"/>
      <c r="O24" s="365">
        <f>+O23</f>
        <v>0</v>
      </c>
      <c r="P24" s="371">
        <f>+P23</f>
        <v>0</v>
      </c>
      <c r="Q24" s="509"/>
      <c r="R24" s="845"/>
      <c r="S24" s="504">
        <f>+S23</f>
        <v>0</v>
      </c>
      <c r="T24" s="505">
        <f>+T23</f>
        <v>0</v>
      </c>
      <c r="U24" s="505"/>
      <c r="V24" s="845"/>
      <c r="X24" s="4"/>
    </row>
    <row r="25" spans="1:24" ht="13.5" customHeight="1">
      <c r="A25" s="215" t="s">
        <v>199</v>
      </c>
      <c r="B25" s="225" t="s">
        <v>159</v>
      </c>
      <c r="C25" s="299"/>
      <c r="D25" s="293"/>
      <c r="E25" s="138"/>
      <c r="F25" s="847"/>
      <c r="G25" s="299"/>
      <c r="H25" s="293"/>
      <c r="I25" s="216"/>
      <c r="J25" s="847"/>
      <c r="K25" s="299"/>
      <c r="L25" s="293"/>
      <c r="M25" s="138"/>
      <c r="N25" s="847"/>
      <c r="O25" s="7"/>
      <c r="P25" s="227"/>
      <c r="Q25" s="227"/>
      <c r="R25" s="866"/>
      <c r="S25" s="73">
        <f t="shared" si="2"/>
        <v>0</v>
      </c>
      <c r="T25" s="138">
        <f t="shared" si="2"/>
        <v>0</v>
      </c>
      <c r="U25" s="227"/>
      <c r="V25" s="866"/>
    </row>
    <row r="26" spans="1:24" s="3" customFormat="1" ht="13.5" customHeight="1">
      <c r="A26" s="190" t="s">
        <v>200</v>
      </c>
      <c r="B26" s="185" t="s">
        <v>320</v>
      </c>
      <c r="C26" s="365">
        <f>+C25</f>
        <v>0</v>
      </c>
      <c r="D26" s="371">
        <f>+D25</f>
        <v>0</v>
      </c>
      <c r="E26" s="505"/>
      <c r="F26" s="845"/>
      <c r="G26" s="365">
        <f>+G25</f>
        <v>0</v>
      </c>
      <c r="H26" s="371">
        <f>+H25</f>
        <v>0</v>
      </c>
      <c r="I26" s="507"/>
      <c r="J26" s="845"/>
      <c r="K26" s="365">
        <f>+K25</f>
        <v>0</v>
      </c>
      <c r="L26" s="371">
        <f>+L25</f>
        <v>0</v>
      </c>
      <c r="M26" s="505"/>
      <c r="N26" s="845"/>
      <c r="O26" s="365">
        <f>+O25</f>
        <v>0</v>
      </c>
      <c r="P26" s="371">
        <f>+P25</f>
        <v>0</v>
      </c>
      <c r="Q26" s="509"/>
      <c r="R26" s="851"/>
      <c r="S26" s="504">
        <f>+S25</f>
        <v>0</v>
      </c>
      <c r="T26" s="505">
        <f>+T25</f>
        <v>0</v>
      </c>
      <c r="U26" s="509"/>
      <c r="V26" s="851"/>
      <c r="X26" s="4"/>
    </row>
    <row r="27" spans="1:24" s="3" customFormat="1" ht="13.5" customHeight="1">
      <c r="A27" s="190" t="s">
        <v>201</v>
      </c>
      <c r="B27" s="185" t="s">
        <v>160</v>
      </c>
      <c r="C27" s="365">
        <f>+C7+C11+C21+C22+C24+C26</f>
        <v>8891</v>
      </c>
      <c r="D27" s="371">
        <f>+D7+D11+D21+D22+D24+D26</f>
        <v>9020</v>
      </c>
      <c r="E27" s="505"/>
      <c r="F27" s="845">
        <f>+D27/C27</f>
        <v>1.0145090540996513</v>
      </c>
      <c r="G27" s="365">
        <f>+G7+G11+G21+G22+G24+G26</f>
        <v>3454</v>
      </c>
      <c r="H27" s="371">
        <f>+H7+H11+H21+H22+H24+H26</f>
        <v>0</v>
      </c>
      <c r="I27" s="507"/>
      <c r="J27" s="845">
        <f>+H27/G27</f>
        <v>0</v>
      </c>
      <c r="K27" s="365">
        <f>+K7+K11+K21+K22+K24+K26</f>
        <v>12345</v>
      </c>
      <c r="L27" s="371">
        <f>+L7+L11+L21+L22+L24+L26</f>
        <v>9020</v>
      </c>
      <c r="M27" s="505"/>
      <c r="N27" s="845">
        <f>+L27/K27</f>
        <v>0.7306601863102471</v>
      </c>
      <c r="O27" s="365">
        <f>+O7+O11+O21+O22+O24+O26</f>
        <v>303104</v>
      </c>
      <c r="P27" s="371">
        <f>+P7+P11+P21+P22+P24+P26</f>
        <v>323181</v>
      </c>
      <c r="Q27" s="509"/>
      <c r="R27" s="851">
        <f>+P27/O27</f>
        <v>1.0662379909206081</v>
      </c>
      <c r="S27" s="504">
        <f>+S7+S11+S21+S22+S24+S26</f>
        <v>315449</v>
      </c>
      <c r="T27" s="505">
        <f>+T7+T11+T21+T22+T24+T26</f>
        <v>332201</v>
      </c>
      <c r="U27" s="509"/>
      <c r="V27" s="851">
        <f>+T27/S27</f>
        <v>1.0531052563171859</v>
      </c>
      <c r="X27" s="4"/>
    </row>
    <row r="28" spans="1:24" s="3" customFormat="1" ht="13.5" customHeight="1">
      <c r="A28" s="191" t="s">
        <v>202</v>
      </c>
      <c r="B28" s="185" t="s">
        <v>161</v>
      </c>
      <c r="C28" s="365"/>
      <c r="D28" s="371"/>
      <c r="E28" s="505"/>
      <c r="F28" s="845"/>
      <c r="G28" s="365"/>
      <c r="H28" s="371"/>
      <c r="I28" s="507"/>
      <c r="J28" s="845"/>
      <c r="K28" s="504">
        <f>+C28+G28</f>
        <v>0</v>
      </c>
      <c r="L28" s="505">
        <f>+D28+H28</f>
        <v>0</v>
      </c>
      <c r="M28" s="505"/>
      <c r="N28" s="845"/>
      <c r="O28" s="508"/>
      <c r="P28" s="509"/>
      <c r="Q28" s="509"/>
      <c r="R28" s="851"/>
      <c r="S28" s="504">
        <f t="shared" si="2"/>
        <v>0</v>
      </c>
      <c r="T28" s="505">
        <f t="shared" si="2"/>
        <v>0</v>
      </c>
      <c r="U28" s="509"/>
      <c r="V28" s="851"/>
      <c r="X28" s="4"/>
    </row>
    <row r="29" spans="1:24" s="3" customFormat="1" ht="13.5" customHeight="1">
      <c r="A29" s="545" t="s">
        <v>317</v>
      </c>
      <c r="B29" s="546" t="s">
        <v>318</v>
      </c>
      <c r="C29" s="547">
        <f>+'[3]1.1.SZ.TÁBL. BEV - KIAD'!$C$29</f>
        <v>82753</v>
      </c>
      <c r="D29" s="834">
        <f>+'3.SZ.TÁBL. SEGÍTŐ SZOLGÁLAT'!AA29</f>
        <v>93542</v>
      </c>
      <c r="E29" s="548"/>
      <c r="F29" s="848">
        <f>+D29/C29</f>
        <v>1.1303759380324581</v>
      </c>
      <c r="G29" s="547">
        <f>+'[3]1.1.SZ.TÁBL. BEV - KIAD'!$F$29</f>
        <v>167951</v>
      </c>
      <c r="H29" s="834">
        <f>+'4.SZ.TÁBL. ÓVODA'!R29</f>
        <v>177864</v>
      </c>
      <c r="I29" s="549"/>
      <c r="J29" s="848">
        <f>+H29/G29</f>
        <v>1.059023167471465</v>
      </c>
      <c r="K29" s="550">
        <f>+C29+G29</f>
        <v>250704</v>
      </c>
      <c r="L29" s="548">
        <f>+D29+H29</f>
        <v>271406</v>
      </c>
      <c r="M29" s="548"/>
      <c r="N29" s="848">
        <f>+L29/K29</f>
        <v>1.0825754674835664</v>
      </c>
      <c r="O29" s="551"/>
      <c r="P29" s="552"/>
      <c r="Q29" s="552"/>
      <c r="R29" s="867"/>
      <c r="S29" s="550"/>
      <c r="T29" s="548"/>
      <c r="U29" s="552"/>
      <c r="V29" s="867"/>
      <c r="X29" s="4"/>
    </row>
    <row r="30" spans="1:24" s="3" customFormat="1" ht="13.5" customHeight="1" thickBot="1">
      <c r="A30" s="193" t="s">
        <v>203</v>
      </c>
      <c r="B30" s="228" t="s">
        <v>162</v>
      </c>
      <c r="C30" s="456">
        <f>SUM(C28:C29)</f>
        <v>82753</v>
      </c>
      <c r="D30" s="457">
        <f>SUM(D28:D29)</f>
        <v>93542</v>
      </c>
      <c r="E30" s="457"/>
      <c r="F30" s="849">
        <f>+D30/C30</f>
        <v>1.1303759380324581</v>
      </c>
      <c r="G30" s="456">
        <f>SUM(G28:G29)</f>
        <v>167951</v>
      </c>
      <c r="H30" s="457">
        <f>SUM(H28:H29)</f>
        <v>177864</v>
      </c>
      <c r="I30" s="458"/>
      <c r="J30" s="849">
        <f>+H30/G30</f>
        <v>1.059023167471465</v>
      </c>
      <c r="K30" s="456">
        <f>SUM(K28:K29)</f>
        <v>250704</v>
      </c>
      <c r="L30" s="457">
        <f>SUM(L28:L29)</f>
        <v>271406</v>
      </c>
      <c r="M30" s="457"/>
      <c r="N30" s="849">
        <f>+L30/K30</f>
        <v>1.0825754674835664</v>
      </c>
      <c r="O30" s="456">
        <f>SUM(O28:O29)</f>
        <v>0</v>
      </c>
      <c r="P30" s="457">
        <f>SUM(P28:P29)</f>
        <v>0</v>
      </c>
      <c r="Q30" s="459"/>
      <c r="R30" s="868"/>
      <c r="S30" s="456">
        <f>+S28+S29</f>
        <v>0</v>
      </c>
      <c r="T30" s="457">
        <f>+T28+T29</f>
        <v>0</v>
      </c>
      <c r="U30" s="459"/>
      <c r="V30" s="868"/>
      <c r="X30" s="4"/>
    </row>
    <row r="31" spans="1:24" s="3" customFormat="1" ht="13.5" customHeight="1" thickBot="1">
      <c r="A31" s="901" t="s">
        <v>0</v>
      </c>
      <c r="B31" s="902"/>
      <c r="C31" s="460">
        <f>+C27+C30</f>
        <v>91644</v>
      </c>
      <c r="D31" s="461">
        <f>+D27+D30</f>
        <v>102562</v>
      </c>
      <c r="E31" s="461"/>
      <c r="F31" s="850">
        <f>+D31/C31</f>
        <v>1.1191349133603945</v>
      </c>
      <c r="G31" s="460">
        <f>+G27+G30</f>
        <v>171405</v>
      </c>
      <c r="H31" s="461">
        <f>+H27+H30</f>
        <v>177864</v>
      </c>
      <c r="I31" s="462"/>
      <c r="J31" s="850">
        <f>+H31/G31</f>
        <v>1.0376826813686881</v>
      </c>
      <c r="K31" s="460">
        <f>+K27+K30</f>
        <v>263049</v>
      </c>
      <c r="L31" s="461">
        <f>+L27+L30</f>
        <v>280426</v>
      </c>
      <c r="M31" s="461"/>
      <c r="N31" s="850">
        <f>+L31/K31</f>
        <v>1.0660599356013518</v>
      </c>
      <c r="O31" s="460">
        <f>+O27+O30</f>
        <v>303104</v>
      </c>
      <c r="P31" s="461">
        <f>+P27+P30</f>
        <v>323181</v>
      </c>
      <c r="Q31" s="241"/>
      <c r="R31" s="859">
        <f>+P31/O31</f>
        <v>1.0662379909206081</v>
      </c>
      <c r="S31" s="460">
        <f>+S27+S30</f>
        <v>315449</v>
      </c>
      <c r="T31" s="461">
        <f>+T27+T30</f>
        <v>332201</v>
      </c>
      <c r="U31" s="241"/>
      <c r="V31" s="859">
        <f>+T31/S31</f>
        <v>1.0531052563171859</v>
      </c>
      <c r="X31" s="4"/>
    </row>
    <row r="32" spans="1:24" ht="13.5" customHeight="1">
      <c r="A32" s="242" t="s">
        <v>221</v>
      </c>
      <c r="B32" s="217" t="s">
        <v>222</v>
      </c>
      <c r="C32" s="72">
        <f>+'[3]1.1.SZ.TÁBL. BEV - KIAD'!$C32</f>
        <v>52119</v>
      </c>
      <c r="D32" s="263">
        <f>+'3.SZ.TÁBL. SEGÍTŐ SZOLGÁLAT'!AA41</f>
        <v>54945</v>
      </c>
      <c r="E32" s="94"/>
      <c r="F32" s="841">
        <f>+D32/C32</f>
        <v>1.0542220687273356</v>
      </c>
      <c r="G32" s="269">
        <f>+'[3]1.1.SZ.TÁBL. BEV - KIAD'!$F32</f>
        <v>99797</v>
      </c>
      <c r="H32" s="263">
        <f>+'4.SZ.TÁBL. ÓVODA'!R37</f>
        <v>108347</v>
      </c>
      <c r="I32" s="17"/>
      <c r="J32" s="841">
        <f>+H32/G32</f>
        <v>1.085673918053649</v>
      </c>
      <c r="K32" s="72">
        <f t="shared" ref="K32:L45" si="4">+C32+G32</f>
        <v>151916</v>
      </c>
      <c r="L32" s="94">
        <f t="shared" si="4"/>
        <v>163292</v>
      </c>
      <c r="M32" s="94"/>
      <c r="N32" s="841">
        <f>+L32/K32</f>
        <v>1.074883488243503</v>
      </c>
      <c r="O32" s="5"/>
      <c r="P32" s="92"/>
      <c r="Q32" s="92"/>
      <c r="R32" s="852"/>
      <c r="S32" s="72">
        <f t="shared" si="2"/>
        <v>151916</v>
      </c>
      <c r="T32" s="94">
        <f t="shared" si="2"/>
        <v>163292</v>
      </c>
      <c r="U32" s="92"/>
      <c r="V32" s="852">
        <f>+T32/S32</f>
        <v>1.074883488243503</v>
      </c>
    </row>
    <row r="33" spans="1:24" ht="13.5" customHeight="1">
      <c r="A33" s="243" t="s">
        <v>223</v>
      </c>
      <c r="B33" s="204" t="s">
        <v>224</v>
      </c>
      <c r="C33" s="74">
        <f>+'[3]1.1.SZ.TÁBL. BEV - KIAD'!$C33</f>
        <v>0</v>
      </c>
      <c r="D33" s="250">
        <f>+'3.SZ.TÁBL. SEGÍTŐ SZOLGÁLAT'!AA42</f>
        <v>0</v>
      </c>
      <c r="E33" s="90"/>
      <c r="F33" s="842"/>
      <c r="G33" s="269">
        <f>+'[3]1.1.SZ.TÁBL. BEV - KIAD'!$F33</f>
        <v>0</v>
      </c>
      <c r="H33" s="250">
        <f>+'4.SZ.TÁBL. ÓVODA'!R38</f>
        <v>0</v>
      </c>
      <c r="I33" s="15"/>
      <c r="J33" s="842"/>
      <c r="K33" s="74">
        <f t="shared" si="4"/>
        <v>0</v>
      </c>
      <c r="L33" s="90">
        <f t="shared" si="4"/>
        <v>0</v>
      </c>
      <c r="M33" s="90"/>
      <c r="N33" s="842"/>
      <c r="O33" s="6"/>
      <c r="P33" s="184"/>
      <c r="Q33" s="184"/>
      <c r="R33" s="854"/>
      <c r="S33" s="74">
        <f t="shared" si="2"/>
        <v>0</v>
      </c>
      <c r="T33" s="90">
        <f t="shared" si="2"/>
        <v>0</v>
      </c>
      <c r="U33" s="184"/>
      <c r="V33" s="854"/>
    </row>
    <row r="34" spans="1:24" ht="13.5" customHeight="1">
      <c r="A34" s="243" t="s">
        <v>225</v>
      </c>
      <c r="B34" s="204" t="s">
        <v>226</v>
      </c>
      <c r="C34" s="74">
        <f>+'[3]1.1.SZ.TÁBL. BEV - KIAD'!$C34</f>
        <v>0</v>
      </c>
      <c r="D34" s="250">
        <f>+'3.SZ.TÁBL. SEGÍTŐ SZOLGÁLAT'!AA43</f>
        <v>0</v>
      </c>
      <c r="E34" s="90"/>
      <c r="F34" s="842"/>
      <c r="G34" s="269">
        <f>+'[3]1.1.SZ.TÁBL. BEV - KIAD'!$F34</f>
        <v>0</v>
      </c>
      <c r="H34" s="250">
        <f>+'4.SZ.TÁBL. ÓVODA'!R39</f>
        <v>0</v>
      </c>
      <c r="I34" s="15"/>
      <c r="J34" s="842"/>
      <c r="K34" s="74">
        <f t="shared" si="4"/>
        <v>0</v>
      </c>
      <c r="L34" s="90">
        <f t="shared" si="4"/>
        <v>0</v>
      </c>
      <c r="M34" s="90"/>
      <c r="N34" s="842"/>
      <c r="O34" s="6"/>
      <c r="P34" s="184"/>
      <c r="Q34" s="184"/>
      <c r="R34" s="854"/>
      <c r="S34" s="74">
        <f t="shared" si="2"/>
        <v>0</v>
      </c>
      <c r="T34" s="90">
        <f t="shared" si="2"/>
        <v>0</v>
      </c>
      <c r="U34" s="184"/>
      <c r="V34" s="854"/>
    </row>
    <row r="35" spans="1:24" ht="13.5" customHeight="1">
      <c r="A35" s="243" t="s">
        <v>227</v>
      </c>
      <c r="B35" s="204" t="s">
        <v>228</v>
      </c>
      <c r="C35" s="74">
        <f>+'[3]1.1.SZ.TÁBL. BEV - KIAD'!$C35</f>
        <v>287</v>
      </c>
      <c r="D35" s="250">
        <f>+'3.SZ.TÁBL. SEGÍTŐ SZOLGÁLAT'!AA44</f>
        <v>712</v>
      </c>
      <c r="E35" s="90"/>
      <c r="F35" s="841">
        <f>+D35/C35</f>
        <v>2.480836236933798</v>
      </c>
      <c r="G35" s="269">
        <f>+'[3]1.1.SZ.TÁBL. BEV - KIAD'!$F35</f>
        <v>1966</v>
      </c>
      <c r="H35" s="250">
        <f>+'4.SZ.TÁBL. ÓVODA'!R40</f>
        <v>1966</v>
      </c>
      <c r="I35" s="15"/>
      <c r="J35" s="842">
        <f>+H35/G35</f>
        <v>1</v>
      </c>
      <c r="K35" s="74">
        <f t="shared" si="4"/>
        <v>2253</v>
      </c>
      <c r="L35" s="90">
        <f t="shared" si="4"/>
        <v>2678</v>
      </c>
      <c r="M35" s="90"/>
      <c r="N35" s="841">
        <f>+L35/K35</f>
        <v>1.1886373723923658</v>
      </c>
      <c r="O35" s="6"/>
      <c r="P35" s="184"/>
      <c r="Q35" s="184"/>
      <c r="R35" s="854"/>
      <c r="S35" s="74">
        <f t="shared" si="2"/>
        <v>2253</v>
      </c>
      <c r="T35" s="90">
        <f t="shared" si="2"/>
        <v>2678</v>
      </c>
      <c r="U35" s="184"/>
      <c r="V35" s="854">
        <f>+T35/S35</f>
        <v>1.1886373723923658</v>
      </c>
    </row>
    <row r="36" spans="1:24" ht="13.5" customHeight="1">
      <c r="A36" s="243" t="s">
        <v>229</v>
      </c>
      <c r="B36" s="204" t="s">
        <v>230</v>
      </c>
      <c r="C36" s="74">
        <f>+'[3]1.1.SZ.TÁBL. BEV - KIAD'!$C36</f>
        <v>0</v>
      </c>
      <c r="D36" s="250">
        <f>+'3.SZ.TÁBL. SEGÍTŐ SZOLGÁLAT'!AA45</f>
        <v>0</v>
      </c>
      <c r="E36" s="90"/>
      <c r="F36" s="842"/>
      <c r="G36" s="269">
        <f>+'[3]1.1.SZ.TÁBL. BEV - KIAD'!$F36</f>
        <v>0</v>
      </c>
      <c r="H36" s="250">
        <f>+'4.SZ.TÁBL. ÓVODA'!R41</f>
        <v>0</v>
      </c>
      <c r="I36" s="15"/>
      <c r="J36" s="842"/>
      <c r="K36" s="74">
        <f t="shared" si="4"/>
        <v>0</v>
      </c>
      <c r="L36" s="90">
        <f t="shared" si="4"/>
        <v>0</v>
      </c>
      <c r="M36" s="90"/>
      <c r="N36" s="842"/>
      <c r="O36" s="6"/>
      <c r="P36" s="184"/>
      <c r="Q36" s="90"/>
      <c r="R36" s="842"/>
      <c r="S36" s="74">
        <f t="shared" si="2"/>
        <v>0</v>
      </c>
      <c r="T36" s="90">
        <f t="shared" si="2"/>
        <v>0</v>
      </c>
      <c r="U36" s="184"/>
      <c r="V36" s="854"/>
    </row>
    <row r="37" spans="1:24" ht="13.5" customHeight="1">
      <c r="A37" s="243" t="s">
        <v>231</v>
      </c>
      <c r="B37" s="204" t="s">
        <v>1</v>
      </c>
      <c r="C37" s="74">
        <f>+'[3]1.1.SZ.TÁBL. BEV - KIAD'!$C37</f>
        <v>973</v>
      </c>
      <c r="D37" s="250">
        <f>+'3.SZ.TÁBL. SEGÍTŐ SZOLGÁLAT'!AA46</f>
        <v>545</v>
      </c>
      <c r="E37" s="90"/>
      <c r="F37" s="841">
        <f t="shared" ref="F37:F38" si="5">+D37/C37</f>
        <v>0.56012332990750258</v>
      </c>
      <c r="G37" s="269">
        <f>+'[3]1.1.SZ.TÁBL. BEV - KIAD'!$F37</f>
        <v>0</v>
      </c>
      <c r="H37" s="250">
        <f>+'4.SZ.TÁBL. ÓVODA'!R42</f>
        <v>3543</v>
      </c>
      <c r="I37" s="15"/>
      <c r="J37" s="842"/>
      <c r="K37" s="74">
        <f t="shared" si="4"/>
        <v>973</v>
      </c>
      <c r="L37" s="90">
        <f t="shared" si="4"/>
        <v>4088</v>
      </c>
      <c r="M37" s="90"/>
      <c r="N37" s="841">
        <f t="shared" ref="N37:N38" si="6">+L37/K37</f>
        <v>4.2014388489208629</v>
      </c>
      <c r="O37" s="6"/>
      <c r="P37" s="184"/>
      <c r="Q37" s="184"/>
      <c r="R37" s="854"/>
      <c r="S37" s="74">
        <f t="shared" si="2"/>
        <v>973</v>
      </c>
      <c r="T37" s="90">
        <f t="shared" si="2"/>
        <v>4088</v>
      </c>
      <c r="U37" s="184"/>
      <c r="V37" s="854">
        <f>+T37/S37</f>
        <v>4.2014388489208629</v>
      </c>
    </row>
    <row r="38" spans="1:24" ht="13.5" customHeight="1">
      <c r="A38" s="243" t="s">
        <v>232</v>
      </c>
      <c r="B38" s="204" t="s">
        <v>233</v>
      </c>
      <c r="C38" s="74">
        <f>+'[3]1.1.SZ.TÁBL. BEV - KIAD'!$C38</f>
        <v>1770</v>
      </c>
      <c r="D38" s="250">
        <f>+'3.SZ.TÁBL. SEGÍTŐ SZOLGÁLAT'!AA47</f>
        <v>1750</v>
      </c>
      <c r="E38" s="90"/>
      <c r="F38" s="841">
        <f t="shared" si="5"/>
        <v>0.98870056497175141</v>
      </c>
      <c r="G38" s="269">
        <f>+'[3]1.1.SZ.TÁBL. BEV - KIAD'!$F38</f>
        <v>2370</v>
      </c>
      <c r="H38" s="250">
        <f>+'4.SZ.TÁBL. ÓVODA'!R43</f>
        <v>2445</v>
      </c>
      <c r="I38" s="15"/>
      <c r="J38" s="842">
        <f>+H38/G38</f>
        <v>1.0316455696202531</v>
      </c>
      <c r="K38" s="74">
        <f t="shared" si="4"/>
        <v>4140</v>
      </c>
      <c r="L38" s="90">
        <f t="shared" si="4"/>
        <v>4195</v>
      </c>
      <c r="M38" s="90"/>
      <c r="N38" s="841">
        <f t="shared" si="6"/>
        <v>1.0132850241545894</v>
      </c>
      <c r="O38" s="6"/>
      <c r="P38" s="184"/>
      <c r="Q38" s="184"/>
      <c r="R38" s="854"/>
      <c r="S38" s="74">
        <f t="shared" si="2"/>
        <v>4140</v>
      </c>
      <c r="T38" s="90">
        <f t="shared" si="2"/>
        <v>4195</v>
      </c>
      <c r="U38" s="184"/>
      <c r="V38" s="854">
        <f>+T38/S38</f>
        <v>1.0132850241545894</v>
      </c>
    </row>
    <row r="39" spans="1:24" ht="13.5" customHeight="1">
      <c r="A39" s="243" t="s">
        <v>234</v>
      </c>
      <c r="B39" s="204" t="s">
        <v>235</v>
      </c>
      <c r="C39" s="74">
        <f>+'[3]1.1.SZ.TÁBL. BEV - KIAD'!$C39</f>
        <v>0</v>
      </c>
      <c r="D39" s="250">
        <f>+'3.SZ.TÁBL. SEGÍTŐ SZOLGÁLAT'!AA48</f>
        <v>0</v>
      </c>
      <c r="E39" s="90"/>
      <c r="F39" s="842"/>
      <c r="G39" s="269">
        <f>+'[3]1.1.SZ.TÁBL. BEV - KIAD'!$F39</f>
        <v>0</v>
      </c>
      <c r="H39" s="250">
        <f>+'4.SZ.TÁBL. ÓVODA'!R44</f>
        <v>0</v>
      </c>
      <c r="I39" s="15"/>
      <c r="J39" s="842"/>
      <c r="K39" s="74">
        <f t="shared" si="4"/>
        <v>0</v>
      </c>
      <c r="L39" s="90">
        <f t="shared" si="4"/>
        <v>0</v>
      </c>
      <c r="M39" s="90"/>
      <c r="N39" s="842"/>
      <c r="O39" s="6"/>
      <c r="P39" s="184"/>
      <c r="Q39" s="184"/>
      <c r="R39" s="854"/>
      <c r="S39" s="74">
        <f t="shared" si="2"/>
        <v>0</v>
      </c>
      <c r="T39" s="90">
        <f t="shared" si="2"/>
        <v>0</v>
      </c>
      <c r="U39" s="184"/>
      <c r="V39" s="854"/>
    </row>
    <row r="40" spans="1:24" ht="13.5" customHeight="1">
      <c r="A40" s="243" t="s">
        <v>236</v>
      </c>
      <c r="B40" s="204" t="s">
        <v>2</v>
      </c>
      <c r="C40" s="74">
        <f>+'[3]1.1.SZ.TÁBL. BEV - KIAD'!$C40</f>
        <v>644</v>
      </c>
      <c r="D40" s="250">
        <f>+'3.SZ.TÁBL. SEGÍTŐ SZOLGÁLAT'!AA49</f>
        <v>534</v>
      </c>
      <c r="E40" s="90"/>
      <c r="F40" s="841">
        <f>+D40/C40</f>
        <v>0.82919254658385089</v>
      </c>
      <c r="G40" s="269">
        <f>+'[3]1.1.SZ.TÁBL. BEV - KIAD'!$F40</f>
        <v>838</v>
      </c>
      <c r="H40" s="250">
        <f>+'4.SZ.TÁBL. ÓVODA'!R45</f>
        <v>898</v>
      </c>
      <c r="I40" s="90"/>
      <c r="J40" s="842">
        <f>+H40/G40</f>
        <v>1.071599045346062</v>
      </c>
      <c r="K40" s="74">
        <f t="shared" si="4"/>
        <v>1482</v>
      </c>
      <c r="L40" s="90">
        <f t="shared" si="4"/>
        <v>1432</v>
      </c>
      <c r="M40" s="90"/>
      <c r="N40" s="841">
        <f>+L40/K40</f>
        <v>0.96626180836707154</v>
      </c>
      <c r="O40" s="6"/>
      <c r="P40" s="184"/>
      <c r="Q40" s="90"/>
      <c r="R40" s="842"/>
      <c r="S40" s="74">
        <f t="shared" si="2"/>
        <v>1482</v>
      </c>
      <c r="T40" s="90">
        <f t="shared" si="2"/>
        <v>1432</v>
      </c>
      <c r="U40" s="90"/>
      <c r="V40" s="854">
        <f>+T40/S40</f>
        <v>0.96626180836707154</v>
      </c>
    </row>
    <row r="41" spans="1:24" ht="13.5" customHeight="1">
      <c r="A41" s="243" t="s">
        <v>237</v>
      </c>
      <c r="B41" s="204" t="s">
        <v>238</v>
      </c>
      <c r="C41" s="74">
        <f>+'[3]1.1.SZ.TÁBL. BEV - KIAD'!$C41</f>
        <v>0</v>
      </c>
      <c r="D41" s="250">
        <f>+'3.SZ.TÁBL. SEGÍTŐ SZOLGÁLAT'!AA50</f>
        <v>0</v>
      </c>
      <c r="E41" s="90"/>
      <c r="F41" s="842"/>
      <c r="G41" s="269">
        <f>+'[3]1.1.SZ.TÁBL. BEV - KIAD'!$F41</f>
        <v>0</v>
      </c>
      <c r="H41" s="250">
        <f>+'4.SZ.TÁBL. ÓVODA'!R46</f>
        <v>0</v>
      </c>
      <c r="I41" s="90"/>
      <c r="J41" s="842"/>
      <c r="K41" s="74">
        <f t="shared" si="4"/>
        <v>0</v>
      </c>
      <c r="L41" s="90">
        <f t="shared" si="4"/>
        <v>0</v>
      </c>
      <c r="M41" s="90"/>
      <c r="N41" s="842"/>
      <c r="O41" s="6"/>
      <c r="P41" s="184"/>
      <c r="Q41" s="90"/>
      <c r="R41" s="842"/>
      <c r="S41" s="74">
        <f t="shared" si="2"/>
        <v>0</v>
      </c>
      <c r="T41" s="90">
        <f t="shared" si="2"/>
        <v>0</v>
      </c>
      <c r="U41" s="184"/>
      <c r="V41" s="854"/>
    </row>
    <row r="42" spans="1:24" ht="13.5" customHeight="1">
      <c r="A42" s="243" t="s">
        <v>239</v>
      </c>
      <c r="B42" s="204" t="s">
        <v>240</v>
      </c>
      <c r="C42" s="74">
        <f>+'[3]1.1.SZ.TÁBL. BEV - KIAD'!$C42</f>
        <v>0</v>
      </c>
      <c r="D42" s="250">
        <f>+'3.SZ.TÁBL. SEGÍTŐ SZOLGÁLAT'!AA51</f>
        <v>0</v>
      </c>
      <c r="E42" s="90"/>
      <c r="F42" s="842"/>
      <c r="G42" s="269">
        <f>+'[3]1.1.SZ.TÁBL. BEV - KIAD'!$F42</f>
        <v>0</v>
      </c>
      <c r="H42" s="250">
        <f>+'4.SZ.TÁBL. ÓVODA'!R47</f>
        <v>0</v>
      </c>
      <c r="I42" s="15"/>
      <c r="J42" s="842"/>
      <c r="K42" s="74">
        <f t="shared" si="4"/>
        <v>0</v>
      </c>
      <c r="L42" s="90">
        <f t="shared" si="4"/>
        <v>0</v>
      </c>
      <c r="M42" s="90"/>
      <c r="N42" s="842"/>
      <c r="O42" s="6"/>
      <c r="P42" s="184"/>
      <c r="Q42" s="184"/>
      <c r="R42" s="854"/>
      <c r="S42" s="74">
        <f t="shared" si="2"/>
        <v>0</v>
      </c>
      <c r="T42" s="90">
        <f t="shared" si="2"/>
        <v>0</v>
      </c>
      <c r="U42" s="184"/>
      <c r="V42" s="854"/>
    </row>
    <row r="43" spans="1:24" ht="13.5" customHeight="1">
      <c r="A43" s="243" t="s">
        <v>241</v>
      </c>
      <c r="B43" s="204" t="s">
        <v>242</v>
      </c>
      <c r="C43" s="74">
        <f>+'[3]1.1.SZ.TÁBL. BEV - KIAD'!$C43</f>
        <v>0</v>
      </c>
      <c r="D43" s="250">
        <f>+'3.SZ.TÁBL. SEGÍTŐ SZOLGÁLAT'!AA52</f>
        <v>0</v>
      </c>
      <c r="E43" s="90"/>
      <c r="F43" s="842"/>
      <c r="G43" s="269">
        <f>+'[3]1.1.SZ.TÁBL. BEV - KIAD'!$F43</f>
        <v>0</v>
      </c>
      <c r="H43" s="250">
        <f>+'4.SZ.TÁBL. ÓVODA'!R48</f>
        <v>0</v>
      </c>
      <c r="I43" s="15"/>
      <c r="J43" s="842"/>
      <c r="K43" s="74">
        <f t="shared" si="4"/>
        <v>0</v>
      </c>
      <c r="L43" s="90">
        <f t="shared" si="4"/>
        <v>0</v>
      </c>
      <c r="M43" s="90"/>
      <c r="N43" s="842"/>
      <c r="O43" s="6"/>
      <c r="P43" s="184"/>
      <c r="Q43" s="184"/>
      <c r="R43" s="854"/>
      <c r="S43" s="74">
        <f t="shared" si="2"/>
        <v>0</v>
      </c>
      <c r="T43" s="90">
        <f t="shared" si="2"/>
        <v>0</v>
      </c>
      <c r="U43" s="184"/>
      <c r="V43" s="854"/>
    </row>
    <row r="44" spans="1:24" ht="13.5" customHeight="1">
      <c r="A44" s="243" t="s">
        <v>243</v>
      </c>
      <c r="B44" s="204" t="s">
        <v>244</v>
      </c>
      <c r="C44" s="74">
        <f>+'[3]1.1.SZ.TÁBL. BEV - KIAD'!$C44</f>
        <v>0</v>
      </c>
      <c r="D44" s="250">
        <f>+'3.SZ.TÁBL. SEGÍTŐ SZOLGÁLAT'!AA53</f>
        <v>0</v>
      </c>
      <c r="E44" s="90"/>
      <c r="F44" s="842"/>
      <c r="G44" s="269">
        <f>+'[3]1.1.SZ.TÁBL. BEV - KIAD'!$F44</f>
        <v>0</v>
      </c>
      <c r="H44" s="250">
        <f>+'4.SZ.TÁBL. ÓVODA'!R49</f>
        <v>0</v>
      </c>
      <c r="I44" s="15"/>
      <c r="J44" s="842"/>
      <c r="K44" s="74">
        <f t="shared" si="4"/>
        <v>0</v>
      </c>
      <c r="L44" s="90">
        <f t="shared" si="4"/>
        <v>0</v>
      </c>
      <c r="M44" s="90"/>
      <c r="N44" s="842"/>
      <c r="O44" s="6"/>
      <c r="P44" s="184"/>
      <c r="Q44" s="184"/>
      <c r="R44" s="854"/>
      <c r="S44" s="74">
        <f t="shared" si="2"/>
        <v>0</v>
      </c>
      <c r="T44" s="90">
        <f t="shared" si="2"/>
        <v>0</v>
      </c>
      <c r="U44" s="184"/>
      <c r="V44" s="854"/>
    </row>
    <row r="45" spans="1:24" ht="13.5" customHeight="1">
      <c r="A45" s="244" t="s">
        <v>243</v>
      </c>
      <c r="B45" s="218" t="s">
        <v>245</v>
      </c>
      <c r="C45" s="75">
        <f>+'[3]1.1.SZ.TÁBL. BEV - KIAD'!$C45</f>
        <v>0</v>
      </c>
      <c r="D45" s="280">
        <f>+'3.SZ.TÁBL. SEGÍTŐ SZOLGÁLAT'!AA54</f>
        <v>0</v>
      </c>
      <c r="E45" s="91"/>
      <c r="F45" s="846"/>
      <c r="G45" s="269">
        <f>+'[3]1.1.SZ.TÁBL. BEV - KIAD'!$F45</f>
        <v>0</v>
      </c>
      <c r="H45" s="280">
        <f>+'4.SZ.TÁBL. ÓVODA'!R50</f>
        <v>0</v>
      </c>
      <c r="I45" s="91"/>
      <c r="J45" s="846"/>
      <c r="K45" s="75">
        <f t="shared" si="4"/>
        <v>0</v>
      </c>
      <c r="L45" s="91">
        <f t="shared" si="4"/>
        <v>0</v>
      </c>
      <c r="M45" s="91"/>
      <c r="N45" s="846"/>
      <c r="O45" s="213"/>
      <c r="P45" s="226"/>
      <c r="Q45" s="91"/>
      <c r="R45" s="846"/>
      <c r="S45" s="75">
        <f t="shared" si="2"/>
        <v>0</v>
      </c>
      <c r="T45" s="91">
        <f t="shared" si="2"/>
        <v>0</v>
      </c>
      <c r="U45" s="91"/>
      <c r="V45" s="846"/>
    </row>
    <row r="46" spans="1:24" s="3" customFormat="1" ht="13.5" customHeight="1">
      <c r="A46" s="245" t="s">
        <v>205</v>
      </c>
      <c r="B46" s="219" t="s">
        <v>163</v>
      </c>
      <c r="C46" s="365">
        <f>+SUM(C32:C44)</f>
        <v>55793</v>
      </c>
      <c r="D46" s="371">
        <f>+SUM(D32:D44)</f>
        <v>58486</v>
      </c>
      <c r="E46" s="505"/>
      <c r="F46" s="845">
        <f>+D46/C46</f>
        <v>1.0482677038338142</v>
      </c>
      <c r="G46" s="365">
        <f>+SUM(G32:G44)</f>
        <v>104971</v>
      </c>
      <c r="H46" s="371">
        <f>+SUM(H32:H44)</f>
        <v>117199</v>
      </c>
      <c r="I46" s="507"/>
      <c r="J46" s="845">
        <f>+H46/G46</f>
        <v>1.1164893160968268</v>
      </c>
      <c r="K46" s="365">
        <f>+SUM(K32:K44)</f>
        <v>160764</v>
      </c>
      <c r="L46" s="371">
        <f>+SUM(L32:L44)</f>
        <v>175685</v>
      </c>
      <c r="M46" s="505"/>
      <c r="N46" s="845">
        <f>+L46/K46</f>
        <v>1.0928130676021994</v>
      </c>
      <c r="O46" s="508"/>
      <c r="P46" s="509"/>
      <c r="Q46" s="509"/>
      <c r="R46" s="851"/>
      <c r="S46" s="504">
        <f>SUM(S32:S45)</f>
        <v>160764</v>
      </c>
      <c r="T46" s="505">
        <f>SUM(T32:T45)</f>
        <v>175685</v>
      </c>
      <c r="U46" s="509"/>
      <c r="V46" s="851">
        <f>+T46/S46</f>
        <v>1.0928130676021994</v>
      </c>
      <c r="X46" s="4"/>
    </row>
    <row r="47" spans="1:24" ht="13.5" customHeight="1">
      <c r="A47" s="242" t="s">
        <v>246</v>
      </c>
      <c r="B47" s="217" t="s">
        <v>247</v>
      </c>
      <c r="C47" s="72">
        <f>+'[3]1.1.SZ.TÁBL. BEV - KIAD'!$C47</f>
        <v>0</v>
      </c>
      <c r="D47" s="263">
        <f>+'3.SZ.TÁBL. SEGÍTŐ SZOLGÁLAT'!AA56</f>
        <v>0</v>
      </c>
      <c r="E47" s="94"/>
      <c r="F47" s="841"/>
      <c r="G47" s="269">
        <f>+'[3]1.1.SZ.TÁBL. BEV - KIAD'!$F47</f>
        <v>0</v>
      </c>
      <c r="H47" s="263">
        <f>+'4.SZ.TÁBL. ÓVODA'!R52</f>
        <v>0</v>
      </c>
      <c r="I47" s="94"/>
      <c r="J47" s="841"/>
      <c r="K47" s="72">
        <f t="shared" ref="K47:L49" si="7">+C47+G47</f>
        <v>0</v>
      </c>
      <c r="L47" s="94">
        <f t="shared" si="7"/>
        <v>0</v>
      </c>
      <c r="M47" s="94"/>
      <c r="N47" s="841"/>
      <c r="O47" s="5"/>
      <c r="P47" s="92"/>
      <c r="Q47" s="94"/>
      <c r="R47" s="841"/>
      <c r="S47" s="72">
        <f t="shared" si="2"/>
        <v>0</v>
      </c>
      <c r="T47" s="94">
        <f t="shared" si="2"/>
        <v>0</v>
      </c>
      <c r="U47" s="94"/>
      <c r="V47" s="841"/>
    </row>
    <row r="48" spans="1:24" ht="13.5" customHeight="1">
      <c r="A48" s="243" t="s">
        <v>248</v>
      </c>
      <c r="B48" s="204" t="s">
        <v>249</v>
      </c>
      <c r="C48" s="74">
        <f>+'[3]1.1.SZ.TÁBL. BEV - KIAD'!$C48</f>
        <v>550</v>
      </c>
      <c r="D48" s="250">
        <f>+'3.SZ.TÁBL. SEGÍTŐ SZOLGÁLAT'!AA57</f>
        <v>550</v>
      </c>
      <c r="E48" s="90"/>
      <c r="F48" s="841">
        <f t="shared" ref="F48:F49" si="8">+D48/C48</f>
        <v>1</v>
      </c>
      <c r="G48" s="269">
        <f>+'[3]1.1.SZ.TÁBL. BEV - KIAD'!$F48</f>
        <v>2884</v>
      </c>
      <c r="H48" s="250">
        <f>+'4.SZ.TÁBL. ÓVODA'!R53</f>
        <v>553</v>
      </c>
      <c r="I48" s="15"/>
      <c r="J48" s="842">
        <f t="shared" ref="J48:J107" si="9">+H48/G48</f>
        <v>0.19174757281553398</v>
      </c>
      <c r="K48" s="74">
        <f t="shared" si="7"/>
        <v>3434</v>
      </c>
      <c r="L48" s="90">
        <f t="shared" si="7"/>
        <v>1103</v>
      </c>
      <c r="M48" s="90"/>
      <c r="N48" s="841">
        <f t="shared" ref="N48:N49" si="10">+L48/K48</f>
        <v>0.32119976703552711</v>
      </c>
      <c r="O48" s="6"/>
      <c r="P48" s="184"/>
      <c r="Q48" s="184"/>
      <c r="R48" s="854"/>
      <c r="S48" s="74">
        <f t="shared" si="2"/>
        <v>3434</v>
      </c>
      <c r="T48" s="90">
        <f t="shared" si="2"/>
        <v>1103</v>
      </c>
      <c r="U48" s="184"/>
      <c r="V48" s="854">
        <f>+T48/S48</f>
        <v>0.32119976703552711</v>
      </c>
    </row>
    <row r="49" spans="1:34" ht="13.5" customHeight="1">
      <c r="A49" s="244" t="s">
        <v>250</v>
      </c>
      <c r="B49" s="218" t="s">
        <v>251</v>
      </c>
      <c r="C49" s="75">
        <f>+'[3]1.1.SZ.TÁBL. BEV - KIAD'!$C49</f>
        <v>105</v>
      </c>
      <c r="D49" s="280">
        <f>+'3.SZ.TÁBL. SEGÍTŐ SZOLGÁLAT'!AA58</f>
        <v>75</v>
      </c>
      <c r="E49" s="91"/>
      <c r="F49" s="841">
        <f t="shared" si="8"/>
        <v>0.7142857142857143</v>
      </c>
      <c r="G49" s="269">
        <f>+'[3]1.1.SZ.TÁBL. BEV - KIAD'!$F49</f>
        <v>60</v>
      </c>
      <c r="H49" s="280">
        <f>+'4.SZ.TÁBL. ÓVODA'!R54</f>
        <v>240</v>
      </c>
      <c r="I49" s="16"/>
      <c r="J49" s="846">
        <f t="shared" si="9"/>
        <v>4</v>
      </c>
      <c r="K49" s="75">
        <f t="shared" si="7"/>
        <v>165</v>
      </c>
      <c r="L49" s="91">
        <f t="shared" si="7"/>
        <v>315</v>
      </c>
      <c r="M49" s="91"/>
      <c r="N49" s="841">
        <f t="shared" si="10"/>
        <v>1.9090909090909092</v>
      </c>
      <c r="O49" s="213"/>
      <c r="P49" s="226"/>
      <c r="Q49" s="229"/>
      <c r="R49" s="853"/>
      <c r="S49" s="75">
        <f t="shared" si="2"/>
        <v>165</v>
      </c>
      <c r="T49" s="91">
        <f t="shared" si="2"/>
        <v>315</v>
      </c>
      <c r="U49" s="226"/>
      <c r="V49" s="853">
        <f>+T49/S49</f>
        <v>1.9090909090909092</v>
      </c>
      <c r="W49" s="2"/>
      <c r="Y49" s="2"/>
      <c r="Z49" s="2"/>
      <c r="AA49" s="2"/>
      <c r="AB49" s="2"/>
      <c r="AD49" s="2"/>
      <c r="AE49" s="2"/>
      <c r="AF49" s="2"/>
      <c r="AG49" s="2"/>
      <c r="AH49" s="2"/>
    </row>
    <row r="50" spans="1:34" s="3" customFormat="1" ht="13.5" customHeight="1">
      <c r="A50" s="245" t="s">
        <v>206</v>
      </c>
      <c r="B50" s="219" t="s">
        <v>164</v>
      </c>
      <c r="C50" s="365">
        <f>SUM(C47:C49)</f>
        <v>655</v>
      </c>
      <c r="D50" s="371">
        <f>SUM(D47:D49)</f>
        <v>625</v>
      </c>
      <c r="E50" s="505"/>
      <c r="F50" s="845">
        <f>+D50/C50</f>
        <v>0.95419847328244278</v>
      </c>
      <c r="G50" s="365">
        <f>SUM(G47:G49)</f>
        <v>2944</v>
      </c>
      <c r="H50" s="371">
        <f>SUM(H47:H49)</f>
        <v>793</v>
      </c>
      <c r="I50" s="507"/>
      <c r="J50" s="845">
        <f t="shared" si="9"/>
        <v>0.26936141304347827</v>
      </c>
      <c r="K50" s="365">
        <f>SUM(K47:K49)</f>
        <v>3599</v>
      </c>
      <c r="L50" s="371">
        <f>SUM(L47:L49)</f>
        <v>1418</v>
      </c>
      <c r="M50" s="505"/>
      <c r="N50" s="845">
        <f>+L50/K50</f>
        <v>0.39399833287024172</v>
      </c>
      <c r="O50" s="365">
        <f t="shared" ref="O50:P50" si="11">SUM(O47:O49)</f>
        <v>0</v>
      </c>
      <c r="P50" s="371">
        <f t="shared" si="11"/>
        <v>0</v>
      </c>
      <c r="Q50" s="510"/>
      <c r="R50" s="851"/>
      <c r="S50" s="504">
        <f>SUM(S47:S49)</f>
        <v>3599</v>
      </c>
      <c r="T50" s="505">
        <f>SUM(T47:T49)</f>
        <v>1418</v>
      </c>
      <c r="U50" s="509"/>
      <c r="V50" s="851">
        <f>+T50/S50</f>
        <v>0.39399833287024172</v>
      </c>
      <c r="W50" s="4"/>
      <c r="X50" s="4"/>
      <c r="Y50" s="4"/>
      <c r="Z50" s="4"/>
      <c r="AA50" s="4"/>
      <c r="AB50" s="4"/>
      <c r="AD50" s="4"/>
      <c r="AE50" s="4"/>
      <c r="AF50" s="4"/>
      <c r="AG50" s="4"/>
      <c r="AH50" s="4"/>
    </row>
    <row r="51" spans="1:34" s="3" customFormat="1" ht="13.5" customHeight="1">
      <c r="A51" s="245" t="s">
        <v>207</v>
      </c>
      <c r="B51" s="219" t="s">
        <v>165</v>
      </c>
      <c r="C51" s="365">
        <f>+C46+C50</f>
        <v>56448</v>
      </c>
      <c r="D51" s="371">
        <f>+D46+D50</f>
        <v>59111</v>
      </c>
      <c r="E51" s="505"/>
      <c r="F51" s="845">
        <f>+D51/C51</f>
        <v>1.0471761621315192</v>
      </c>
      <c r="G51" s="365">
        <f>+G46+G50</f>
        <v>107915</v>
      </c>
      <c r="H51" s="371">
        <f>+H46+H50</f>
        <v>117992</v>
      </c>
      <c r="I51" s="507"/>
      <c r="J51" s="845">
        <f t="shared" si="9"/>
        <v>1.0933790483250707</v>
      </c>
      <c r="K51" s="365">
        <f>+K46+K50</f>
        <v>164363</v>
      </c>
      <c r="L51" s="371">
        <f>+L46+L50</f>
        <v>177103</v>
      </c>
      <c r="M51" s="505"/>
      <c r="N51" s="845">
        <f>+L51/K51</f>
        <v>1.0775113620462027</v>
      </c>
      <c r="O51" s="365">
        <f>+O46+O50</f>
        <v>0</v>
      </c>
      <c r="P51" s="371">
        <f>+P46+P50</f>
        <v>0</v>
      </c>
      <c r="Q51" s="509"/>
      <c r="R51" s="851"/>
      <c r="S51" s="504">
        <f>+S46+S50</f>
        <v>164363</v>
      </c>
      <c r="T51" s="505">
        <f>+T46+T50</f>
        <v>177103</v>
      </c>
      <c r="U51" s="509"/>
      <c r="V51" s="851">
        <f>+T51/S51</f>
        <v>1.0775113620462027</v>
      </c>
      <c r="W51" s="4"/>
      <c r="X51" s="4"/>
      <c r="Y51" s="4"/>
      <c r="Z51" s="4"/>
      <c r="AA51" s="4"/>
      <c r="AB51" s="4"/>
      <c r="AD51" s="4"/>
      <c r="AE51" s="4"/>
      <c r="AF51" s="4"/>
      <c r="AG51" s="4"/>
      <c r="AH51" s="4"/>
    </row>
    <row r="52" spans="1:34" s="3" customFormat="1" ht="13.5" customHeight="1">
      <c r="A52" s="245" t="s">
        <v>208</v>
      </c>
      <c r="B52" s="219" t="s">
        <v>166</v>
      </c>
      <c r="C52" s="365">
        <f>+SUM(C53:C57)</f>
        <v>17149</v>
      </c>
      <c r="D52" s="371">
        <f>+SUM(D53:D57)</f>
        <v>17893</v>
      </c>
      <c r="E52" s="505"/>
      <c r="F52" s="845">
        <f>+D52/C52</f>
        <v>1.0433844539040178</v>
      </c>
      <c r="G52" s="365">
        <f>+SUM(G53:G57)</f>
        <v>30095</v>
      </c>
      <c r="H52" s="371">
        <f>+SUM(H53:H57)</f>
        <v>33784</v>
      </c>
      <c r="I52" s="507"/>
      <c r="J52" s="845">
        <f t="shared" si="9"/>
        <v>1.1225785014121947</v>
      </c>
      <c r="K52" s="365">
        <f>+SUM(K53:K57)</f>
        <v>47244</v>
      </c>
      <c r="L52" s="371">
        <f>+SUM(L53:L57)</f>
        <v>51677</v>
      </c>
      <c r="M52" s="509"/>
      <c r="N52" s="845">
        <f>+L52/K52</f>
        <v>1.0938320209973753</v>
      </c>
      <c r="O52" s="365">
        <f>+SUM(O53:O57)</f>
        <v>0</v>
      </c>
      <c r="P52" s="371">
        <f>+SUM(P53:P57)</f>
        <v>0</v>
      </c>
      <c r="Q52" s="509"/>
      <c r="R52" s="851"/>
      <c r="S52" s="504">
        <f>+SUM(S53:S57)</f>
        <v>47244</v>
      </c>
      <c r="T52" s="505">
        <f>+SUM(T53:T57)</f>
        <v>51677</v>
      </c>
      <c r="U52" s="509"/>
      <c r="V52" s="851">
        <f>+T52/S52</f>
        <v>1.0938320209973753</v>
      </c>
      <c r="X52" s="4"/>
    </row>
    <row r="53" spans="1:34" s="363" customFormat="1" ht="13.5" customHeight="1">
      <c r="A53" s="246" t="s">
        <v>208</v>
      </c>
      <c r="B53" s="230" t="s">
        <v>310</v>
      </c>
      <c r="C53" s="72">
        <f>+'[3]1.1.SZ.TÁBL. BEV - KIAD'!$C53</f>
        <v>14535</v>
      </c>
      <c r="D53" s="388">
        <f>+'3.SZ.TÁBL. SEGÍTŐ SZOLGÁLAT'!AA62</f>
        <v>15323</v>
      </c>
      <c r="E53" s="491"/>
      <c r="F53" s="841">
        <f t="shared" ref="F53:F59" si="12">+D53/C53</f>
        <v>1.0542139662882697</v>
      </c>
      <c r="G53" s="269">
        <f>+'[3]1.1.SZ.TÁBL. BEV - KIAD'!$F53</f>
        <v>28255</v>
      </c>
      <c r="H53" s="388">
        <f>+'4.SZ.TÁBL. ÓVODA'!R58</f>
        <v>30891</v>
      </c>
      <c r="I53" s="492"/>
      <c r="J53" s="841">
        <f t="shared" si="9"/>
        <v>1.0932932224385064</v>
      </c>
      <c r="K53" s="482">
        <f t="shared" ref="K53:L60" si="13">+C53+G53</f>
        <v>42790</v>
      </c>
      <c r="L53" s="491">
        <f t="shared" si="13"/>
        <v>46214</v>
      </c>
      <c r="M53" s="491"/>
      <c r="N53" s="841">
        <f t="shared" ref="N53:N59" si="14">+L53/K53</f>
        <v>1.0800186959569993</v>
      </c>
      <c r="O53" s="493"/>
      <c r="P53" s="494"/>
      <c r="Q53" s="494"/>
      <c r="R53" s="869"/>
      <c r="S53" s="482">
        <f t="shared" si="2"/>
        <v>42790</v>
      </c>
      <c r="T53" s="491">
        <f t="shared" si="2"/>
        <v>46214</v>
      </c>
      <c r="U53" s="494"/>
      <c r="V53" s="852">
        <f t="shared" ref="V53:V59" si="15">+T53/S53</f>
        <v>1.0800186959569993</v>
      </c>
      <c r="X53" s="483"/>
    </row>
    <row r="54" spans="1:34" s="363" customFormat="1" ht="13.5" customHeight="1">
      <c r="A54" s="247" t="s">
        <v>208</v>
      </c>
      <c r="B54" s="208" t="s">
        <v>311</v>
      </c>
      <c r="C54" s="74">
        <f>+'[3]1.1.SZ.TÁBL. BEV - KIAD'!$C54</f>
        <v>1929</v>
      </c>
      <c r="D54" s="344">
        <f>+'3.SZ.TÁBL. SEGÍTŐ SZOLGÁLAT'!AA63</f>
        <v>1929</v>
      </c>
      <c r="E54" s="480"/>
      <c r="F54" s="841">
        <f t="shared" si="12"/>
        <v>1</v>
      </c>
      <c r="G54" s="269">
        <f>+'[3]1.1.SZ.TÁBL. BEV - KIAD'!$F54</f>
        <v>964</v>
      </c>
      <c r="H54" s="344">
        <f>+'4.SZ.TÁBL. ÓVODA'!R59</f>
        <v>1929</v>
      </c>
      <c r="I54" s="495"/>
      <c r="J54" s="842">
        <f t="shared" si="9"/>
        <v>2.0010373443983402</v>
      </c>
      <c r="K54" s="479">
        <f t="shared" si="13"/>
        <v>2893</v>
      </c>
      <c r="L54" s="480">
        <f t="shared" si="13"/>
        <v>3858</v>
      </c>
      <c r="M54" s="480"/>
      <c r="N54" s="841">
        <f t="shared" si="14"/>
        <v>1.3335637746284135</v>
      </c>
      <c r="O54" s="496"/>
      <c r="P54" s="497"/>
      <c r="Q54" s="497"/>
      <c r="R54" s="855"/>
      <c r="S54" s="479">
        <f t="shared" si="2"/>
        <v>2893</v>
      </c>
      <c r="T54" s="480">
        <f t="shared" si="2"/>
        <v>3858</v>
      </c>
      <c r="U54" s="497"/>
      <c r="V54" s="854">
        <f t="shared" si="15"/>
        <v>1.3335637746284135</v>
      </c>
      <c r="X54" s="483"/>
    </row>
    <row r="55" spans="1:34" s="363" customFormat="1" ht="13.5" customHeight="1">
      <c r="A55" s="247" t="s">
        <v>208</v>
      </c>
      <c r="B55" s="208" t="s">
        <v>312</v>
      </c>
      <c r="C55" s="74">
        <f>+'[3]1.1.SZ.TÁBL. BEV - KIAD'!$C55</f>
        <v>329</v>
      </c>
      <c r="D55" s="344">
        <f>+'3.SZ.TÁBL. SEGÍTŐ SZOLGÁLAT'!AA64</f>
        <v>316</v>
      </c>
      <c r="E55" s="480"/>
      <c r="F55" s="841">
        <f t="shared" si="12"/>
        <v>0.96048632218844987</v>
      </c>
      <c r="G55" s="269">
        <f>+'[3]1.1.SZ.TÁBL. BEV - KIAD'!$F55</f>
        <v>413</v>
      </c>
      <c r="H55" s="344">
        <f>+'4.SZ.TÁBL. ÓVODA'!R60</f>
        <v>484</v>
      </c>
      <c r="I55" s="495"/>
      <c r="J55" s="842">
        <f t="shared" si="9"/>
        <v>1.1719128329297821</v>
      </c>
      <c r="K55" s="479">
        <f t="shared" si="13"/>
        <v>742</v>
      </c>
      <c r="L55" s="480">
        <f t="shared" si="13"/>
        <v>800</v>
      </c>
      <c r="M55" s="480"/>
      <c r="N55" s="841">
        <f t="shared" si="14"/>
        <v>1.0781671159029649</v>
      </c>
      <c r="O55" s="496"/>
      <c r="P55" s="497"/>
      <c r="Q55" s="497"/>
      <c r="R55" s="855"/>
      <c r="S55" s="479">
        <f t="shared" si="2"/>
        <v>742</v>
      </c>
      <c r="T55" s="480">
        <f t="shared" si="2"/>
        <v>800</v>
      </c>
      <c r="U55" s="497"/>
      <c r="V55" s="854">
        <f t="shared" si="15"/>
        <v>1.0781671159029649</v>
      </c>
      <c r="X55" s="483"/>
    </row>
    <row r="56" spans="1:34" s="363" customFormat="1" ht="13.5" customHeight="1">
      <c r="A56" s="247" t="s">
        <v>208</v>
      </c>
      <c r="B56" s="208" t="s">
        <v>313</v>
      </c>
      <c r="C56" s="74">
        <f>+'[3]1.1.SZ.TÁBL. BEV - KIAD'!$C56</f>
        <v>0</v>
      </c>
      <c r="D56" s="344">
        <f>+'3.SZ.TÁBL. SEGÍTŐ SZOLGÁLAT'!AA65</f>
        <v>0</v>
      </c>
      <c r="E56" s="480"/>
      <c r="F56" s="841"/>
      <c r="G56" s="269">
        <f>+'[3]1.1.SZ.TÁBL. BEV - KIAD'!$F56</f>
        <v>0</v>
      </c>
      <c r="H56" s="344">
        <f>+'4.SZ.TÁBL. ÓVODA'!R61</f>
        <v>0</v>
      </c>
      <c r="I56" s="495"/>
      <c r="J56" s="842"/>
      <c r="K56" s="479">
        <f t="shared" si="13"/>
        <v>0</v>
      </c>
      <c r="L56" s="480">
        <f t="shared" si="13"/>
        <v>0</v>
      </c>
      <c r="M56" s="480"/>
      <c r="N56" s="841"/>
      <c r="O56" s="496"/>
      <c r="P56" s="497"/>
      <c r="Q56" s="497"/>
      <c r="R56" s="855"/>
      <c r="S56" s="479">
        <f t="shared" si="2"/>
        <v>0</v>
      </c>
      <c r="T56" s="480">
        <f t="shared" si="2"/>
        <v>0</v>
      </c>
      <c r="U56" s="497"/>
      <c r="V56" s="854"/>
      <c r="X56" s="483"/>
    </row>
    <row r="57" spans="1:34" s="363" customFormat="1" ht="13.5" customHeight="1">
      <c r="A57" s="247" t="s">
        <v>208</v>
      </c>
      <c r="B57" s="208" t="s">
        <v>314</v>
      </c>
      <c r="C57" s="74">
        <f>+'[3]1.1.SZ.TÁBL. BEV - KIAD'!$C57</f>
        <v>356</v>
      </c>
      <c r="D57" s="344">
        <f>+'3.SZ.TÁBL. SEGÍTŐ SZOLGÁLAT'!AA66</f>
        <v>325</v>
      </c>
      <c r="E57" s="480"/>
      <c r="F57" s="841">
        <f t="shared" si="12"/>
        <v>0.9129213483146067</v>
      </c>
      <c r="G57" s="269">
        <f>+'[3]1.1.SZ.TÁBL. BEV - KIAD'!$F57</f>
        <v>463</v>
      </c>
      <c r="H57" s="344">
        <f>+'4.SZ.TÁBL. ÓVODA'!R62</f>
        <v>480</v>
      </c>
      <c r="I57" s="495"/>
      <c r="J57" s="842">
        <f t="shared" si="9"/>
        <v>1.0367170626349893</v>
      </c>
      <c r="K57" s="479">
        <f t="shared" si="13"/>
        <v>819</v>
      </c>
      <c r="L57" s="480">
        <f t="shared" si="13"/>
        <v>805</v>
      </c>
      <c r="M57" s="480"/>
      <c r="N57" s="841">
        <f t="shared" si="14"/>
        <v>0.98290598290598286</v>
      </c>
      <c r="O57" s="496"/>
      <c r="P57" s="497"/>
      <c r="Q57" s="497"/>
      <c r="R57" s="855"/>
      <c r="S57" s="479">
        <f t="shared" si="2"/>
        <v>819</v>
      </c>
      <c r="T57" s="480">
        <f t="shared" si="2"/>
        <v>805</v>
      </c>
      <c r="U57" s="497"/>
      <c r="V57" s="854">
        <f t="shared" si="15"/>
        <v>0.98290598290598286</v>
      </c>
      <c r="X57" s="483"/>
    </row>
    <row r="58" spans="1:34" ht="13.5" customHeight="1">
      <c r="A58" s="243" t="s">
        <v>252</v>
      </c>
      <c r="B58" s="204" t="s">
        <v>253</v>
      </c>
      <c r="C58" s="72">
        <f>+'[3]1.1.SZ.TÁBL. BEV - KIAD'!$C58</f>
        <v>38</v>
      </c>
      <c r="D58" s="263">
        <f>+'3.SZ.TÁBL. SEGÍTŐ SZOLGÁLAT'!AA67</f>
        <v>58</v>
      </c>
      <c r="E58" s="90"/>
      <c r="F58" s="841">
        <f t="shared" si="12"/>
        <v>1.5263157894736843</v>
      </c>
      <c r="G58" s="269">
        <f>+'[3]1.1.SZ.TÁBL. BEV - KIAD'!$F58</f>
        <v>914</v>
      </c>
      <c r="H58" s="263">
        <f>+'4.SZ.TÁBL. ÓVODA'!R63</f>
        <v>783</v>
      </c>
      <c r="I58" s="15"/>
      <c r="J58" s="842">
        <f t="shared" si="9"/>
        <v>0.85667396061269152</v>
      </c>
      <c r="K58" s="72">
        <f t="shared" si="13"/>
        <v>952</v>
      </c>
      <c r="L58" s="94">
        <f t="shared" si="13"/>
        <v>841</v>
      </c>
      <c r="M58" s="90"/>
      <c r="N58" s="841">
        <f t="shared" si="14"/>
        <v>0.88340336134453779</v>
      </c>
      <c r="O58" s="6"/>
      <c r="P58" s="184"/>
      <c r="Q58" s="184"/>
      <c r="R58" s="854"/>
      <c r="S58" s="74">
        <f t="shared" si="2"/>
        <v>952</v>
      </c>
      <c r="T58" s="90">
        <f t="shared" si="2"/>
        <v>841</v>
      </c>
      <c r="U58" s="184"/>
      <c r="V58" s="854">
        <f t="shared" si="15"/>
        <v>0.88340336134453779</v>
      </c>
    </row>
    <row r="59" spans="1:34" ht="13.5" customHeight="1">
      <c r="A59" s="243" t="s">
        <v>254</v>
      </c>
      <c r="B59" s="204" t="s">
        <v>255</v>
      </c>
      <c r="C59" s="74">
        <f>+'[3]1.1.SZ.TÁBL. BEV - KIAD'!$C59</f>
        <v>3383</v>
      </c>
      <c r="D59" s="250">
        <f>+'3.SZ.TÁBL. SEGÍTŐ SZOLGÁLAT'!AA68</f>
        <v>4355</v>
      </c>
      <c r="E59" s="90"/>
      <c r="F59" s="841">
        <f t="shared" si="12"/>
        <v>1.2873189476795743</v>
      </c>
      <c r="G59" s="269">
        <f>+'[3]1.1.SZ.TÁBL. BEV - KIAD'!$F59</f>
        <v>971</v>
      </c>
      <c r="H59" s="250">
        <f>+'4.SZ.TÁBL. ÓVODA'!R64</f>
        <v>945</v>
      </c>
      <c r="I59" s="15"/>
      <c r="J59" s="842">
        <f t="shared" si="9"/>
        <v>0.97322348094747679</v>
      </c>
      <c r="K59" s="74">
        <f t="shared" si="13"/>
        <v>4354</v>
      </c>
      <c r="L59" s="90">
        <f t="shared" si="13"/>
        <v>5300</v>
      </c>
      <c r="M59" s="90"/>
      <c r="N59" s="841">
        <f t="shared" si="14"/>
        <v>1.2172714745062012</v>
      </c>
      <c r="O59" s="6"/>
      <c r="P59" s="184"/>
      <c r="Q59" s="184"/>
      <c r="R59" s="854"/>
      <c r="S59" s="74">
        <f t="shared" si="2"/>
        <v>4354</v>
      </c>
      <c r="T59" s="90">
        <f t="shared" si="2"/>
        <v>5300</v>
      </c>
      <c r="U59" s="184"/>
      <c r="V59" s="854">
        <f t="shared" si="15"/>
        <v>1.2172714745062012</v>
      </c>
    </row>
    <row r="60" spans="1:34" ht="13.5" customHeight="1">
      <c r="A60" s="244" t="s">
        <v>256</v>
      </c>
      <c r="B60" s="218" t="s">
        <v>257</v>
      </c>
      <c r="C60" s="75">
        <f>+'[3]1.1.SZ.TÁBL. BEV - KIAD'!$C60</f>
        <v>0</v>
      </c>
      <c r="D60" s="280">
        <f>+'3.SZ.TÁBL. SEGÍTŐ SZOLGÁLAT'!AA69</f>
        <v>0</v>
      </c>
      <c r="E60" s="91"/>
      <c r="F60" s="841"/>
      <c r="G60" s="269">
        <f>+'[3]1.1.SZ.TÁBL. BEV - KIAD'!$F60</f>
        <v>0</v>
      </c>
      <c r="H60" s="280">
        <f>+'4.SZ.TÁBL. ÓVODA'!R65</f>
        <v>0</v>
      </c>
      <c r="I60" s="16"/>
      <c r="J60" s="846"/>
      <c r="K60" s="75">
        <f t="shared" si="13"/>
        <v>0</v>
      </c>
      <c r="L60" s="91">
        <f t="shared" si="13"/>
        <v>0</v>
      </c>
      <c r="M60" s="226"/>
      <c r="N60" s="841"/>
      <c r="O60" s="213"/>
      <c r="P60" s="226"/>
      <c r="Q60" s="226"/>
      <c r="R60" s="853"/>
      <c r="S60" s="75">
        <f t="shared" si="2"/>
        <v>0</v>
      </c>
      <c r="T60" s="91">
        <f t="shared" si="2"/>
        <v>0</v>
      </c>
      <c r="U60" s="226"/>
      <c r="V60" s="853"/>
    </row>
    <row r="61" spans="1:34" s="3" customFormat="1" ht="13.5" customHeight="1">
      <c r="A61" s="245" t="s">
        <v>209</v>
      </c>
      <c r="B61" s="219" t="s">
        <v>167</v>
      </c>
      <c r="C61" s="365">
        <f>SUM(C58:C60)</f>
        <v>3421</v>
      </c>
      <c r="D61" s="371">
        <f>SUM(D58:D60)</f>
        <v>4413</v>
      </c>
      <c r="E61" s="510"/>
      <c r="F61" s="851">
        <f>+D61/C61</f>
        <v>1.2899736919029523</v>
      </c>
      <c r="G61" s="365">
        <f>SUM(G58:G60)</f>
        <v>1885</v>
      </c>
      <c r="H61" s="371">
        <f>SUM(H58:H60)</f>
        <v>1728</v>
      </c>
      <c r="I61" s="511"/>
      <c r="J61" s="845">
        <f t="shared" si="9"/>
        <v>0.91671087533156503</v>
      </c>
      <c r="K61" s="365">
        <f>SUM(K58:K60)</f>
        <v>5306</v>
      </c>
      <c r="L61" s="371">
        <f>SUM(L58:L60)</f>
        <v>6141</v>
      </c>
      <c r="M61" s="512"/>
      <c r="N61" s="851">
        <f>+L61/K61</f>
        <v>1.1573690162080663</v>
      </c>
      <c r="O61" s="365">
        <f>SUM(O58:O60)</f>
        <v>0</v>
      </c>
      <c r="P61" s="371">
        <f>SUM(P58:P60)</f>
        <v>0</v>
      </c>
      <c r="Q61" s="509"/>
      <c r="R61" s="851"/>
      <c r="S61" s="504">
        <f>+SUM(S58:S60)</f>
        <v>5306</v>
      </c>
      <c r="T61" s="505">
        <f>+SUM(T58:T60)</f>
        <v>6141</v>
      </c>
      <c r="U61" s="509"/>
      <c r="V61" s="851">
        <f>+T61/S61</f>
        <v>1.1573690162080663</v>
      </c>
      <c r="X61" s="4"/>
    </row>
    <row r="62" spans="1:34" ht="13.5" customHeight="1">
      <c r="A62" s="242" t="s">
        <v>258</v>
      </c>
      <c r="B62" s="217" t="s">
        <v>259</v>
      </c>
      <c r="C62" s="72">
        <f>+'[3]1.1.SZ.TÁBL. BEV - KIAD'!$C62</f>
        <v>300</v>
      </c>
      <c r="D62" s="263">
        <f>+'3.SZ.TÁBL. SEGÍTŐ SZOLGÁLAT'!AA71</f>
        <v>300</v>
      </c>
      <c r="E62" s="233"/>
      <c r="F62" s="841">
        <f t="shared" ref="F62:F63" si="16">+D62/C62</f>
        <v>1</v>
      </c>
      <c r="G62" s="269">
        <f>+'[3]1.1.SZ.TÁBL. BEV - KIAD'!$F62</f>
        <v>180</v>
      </c>
      <c r="H62" s="263">
        <f>+'4.SZ.TÁBL. ÓVODA'!R67</f>
        <v>180</v>
      </c>
      <c r="I62" s="234"/>
      <c r="J62" s="841">
        <f t="shared" si="9"/>
        <v>1</v>
      </c>
      <c r="K62" s="72">
        <f t="shared" ref="K62:L63" si="17">+C62+G62</f>
        <v>480</v>
      </c>
      <c r="L62" s="94">
        <f t="shared" si="17"/>
        <v>480</v>
      </c>
      <c r="M62" s="235"/>
      <c r="N62" s="841">
        <f t="shared" ref="N62:N63" si="18">+L62/K62</f>
        <v>1</v>
      </c>
      <c r="O62" s="5"/>
      <c r="P62" s="92"/>
      <c r="Q62" s="92"/>
      <c r="R62" s="852"/>
      <c r="S62" s="72">
        <f t="shared" si="2"/>
        <v>480</v>
      </c>
      <c r="T62" s="94">
        <f t="shared" si="2"/>
        <v>480</v>
      </c>
      <c r="U62" s="92"/>
      <c r="V62" s="852">
        <f t="shared" ref="V62:V63" si="19">+T62/S62</f>
        <v>1</v>
      </c>
    </row>
    <row r="63" spans="1:34" ht="13.5" customHeight="1">
      <c r="A63" s="244" t="s">
        <v>260</v>
      </c>
      <c r="B63" s="218" t="s">
        <v>261</v>
      </c>
      <c r="C63" s="75">
        <f>+'[3]1.1.SZ.TÁBL. BEV - KIAD'!$C63</f>
        <v>534</v>
      </c>
      <c r="D63" s="280">
        <f>+'3.SZ.TÁBL. SEGÍTŐ SZOLGÁLAT'!AA72</f>
        <v>727</v>
      </c>
      <c r="E63" s="229"/>
      <c r="F63" s="841">
        <f t="shared" si="16"/>
        <v>1.3614232209737829</v>
      </c>
      <c r="G63" s="269">
        <f>+'[3]1.1.SZ.TÁBL. BEV - KIAD'!$F63</f>
        <v>420</v>
      </c>
      <c r="H63" s="280">
        <f>+'4.SZ.TÁBL. ÓVODA'!R68</f>
        <v>535</v>
      </c>
      <c r="I63" s="231"/>
      <c r="J63" s="846">
        <f t="shared" si="9"/>
        <v>1.2738095238095237</v>
      </c>
      <c r="K63" s="75">
        <f t="shared" si="17"/>
        <v>954</v>
      </c>
      <c r="L63" s="91">
        <f t="shared" si="17"/>
        <v>1262</v>
      </c>
      <c r="M63" s="232"/>
      <c r="N63" s="841">
        <f t="shared" si="18"/>
        <v>1.3228511530398324</v>
      </c>
      <c r="O63" s="213"/>
      <c r="P63" s="226"/>
      <c r="Q63" s="226"/>
      <c r="R63" s="853"/>
      <c r="S63" s="75">
        <f t="shared" si="2"/>
        <v>954</v>
      </c>
      <c r="T63" s="91">
        <f t="shared" si="2"/>
        <v>1262</v>
      </c>
      <c r="U63" s="226"/>
      <c r="V63" s="853">
        <f t="shared" si="19"/>
        <v>1.3228511530398324</v>
      </c>
    </row>
    <row r="64" spans="1:34" s="3" customFormat="1" ht="13.5" customHeight="1">
      <c r="A64" s="245" t="s">
        <v>210</v>
      </c>
      <c r="B64" s="219" t="s">
        <v>168</v>
      </c>
      <c r="C64" s="365">
        <f>SUM(C62:C63)</f>
        <v>834</v>
      </c>
      <c r="D64" s="371">
        <f>SUM(D62:D63)</f>
        <v>1027</v>
      </c>
      <c r="E64" s="510"/>
      <c r="F64" s="851">
        <f>+D64/C64</f>
        <v>1.2314148681055155</v>
      </c>
      <c r="G64" s="365">
        <f>SUM(G62:G63)</f>
        <v>600</v>
      </c>
      <c r="H64" s="371">
        <f>SUM(H62:H63)</f>
        <v>715</v>
      </c>
      <c r="I64" s="511"/>
      <c r="J64" s="845">
        <f t="shared" si="9"/>
        <v>1.1916666666666667</v>
      </c>
      <c r="K64" s="365">
        <f>SUM(K62:K63)</f>
        <v>1434</v>
      </c>
      <c r="L64" s="371">
        <f>SUM(L62:L63)</f>
        <v>1742</v>
      </c>
      <c r="M64" s="512"/>
      <c r="N64" s="851">
        <f>+L64/K64</f>
        <v>1.2147838214783822</v>
      </c>
      <c r="O64" s="365">
        <f>SUM(O62:O63)</f>
        <v>0</v>
      </c>
      <c r="P64" s="371">
        <f>SUM(P62:P63)</f>
        <v>0</v>
      </c>
      <c r="Q64" s="509"/>
      <c r="R64" s="851"/>
      <c r="S64" s="504">
        <f>+SUM(S62:S63)</f>
        <v>1434</v>
      </c>
      <c r="T64" s="505">
        <f>+SUM(T62:T63)</f>
        <v>1742</v>
      </c>
      <c r="U64" s="509"/>
      <c r="V64" s="851">
        <f>+T64/S64</f>
        <v>1.2147838214783822</v>
      </c>
      <c r="X64" s="4"/>
    </row>
    <row r="65" spans="1:24" ht="13.5" customHeight="1">
      <c r="A65" s="242" t="s">
        <v>262</v>
      </c>
      <c r="B65" s="217" t="s">
        <v>263</v>
      </c>
      <c r="C65" s="72">
        <f>+'[3]1.1.SZ.TÁBL. BEV - KIAD'!$C65</f>
        <v>2330</v>
      </c>
      <c r="D65" s="263">
        <f>+'3.SZ.TÁBL. SEGÍTŐ SZOLGÁLAT'!AA74</f>
        <v>2330</v>
      </c>
      <c r="E65" s="233"/>
      <c r="F65" s="841">
        <f t="shared" ref="F65:F73" si="20">+D65/C65</f>
        <v>1</v>
      </c>
      <c r="G65" s="269">
        <f>+'[3]1.1.SZ.TÁBL. BEV - KIAD'!$F65</f>
        <v>3165</v>
      </c>
      <c r="H65" s="263">
        <f>+'4.SZ.TÁBL. ÓVODA'!R70</f>
        <v>3165</v>
      </c>
      <c r="I65" s="234"/>
      <c r="J65" s="841">
        <f t="shared" si="9"/>
        <v>1</v>
      </c>
      <c r="K65" s="72">
        <f t="shared" ref="K65:L73" si="21">+C65+G65</f>
        <v>5495</v>
      </c>
      <c r="L65" s="94">
        <f t="shared" si="21"/>
        <v>5495</v>
      </c>
      <c r="M65" s="235"/>
      <c r="N65" s="841">
        <f t="shared" ref="N65:N73" si="22">+L65/K65</f>
        <v>1</v>
      </c>
      <c r="O65" s="5"/>
      <c r="P65" s="92"/>
      <c r="Q65" s="92"/>
      <c r="R65" s="852"/>
      <c r="S65" s="72">
        <f t="shared" si="2"/>
        <v>5495</v>
      </c>
      <c r="T65" s="94">
        <f t="shared" si="2"/>
        <v>5495</v>
      </c>
      <c r="U65" s="92"/>
      <c r="V65" s="852">
        <f t="shared" ref="V65:V73" si="23">+T65/S65</f>
        <v>1</v>
      </c>
    </row>
    <row r="66" spans="1:24" ht="13.5" customHeight="1">
      <c r="A66" s="243" t="s">
        <v>264</v>
      </c>
      <c r="B66" s="204" t="s">
        <v>3</v>
      </c>
      <c r="C66" s="74">
        <f>+'[3]1.1.SZ.TÁBL. BEV - KIAD'!$C66</f>
        <v>250</v>
      </c>
      <c r="D66" s="250">
        <f>+'3.SZ.TÁBL. SEGÍTŐ SZOLGÁLAT'!AA75</f>
        <v>2420</v>
      </c>
      <c r="E66" s="205"/>
      <c r="F66" s="841">
        <f t="shared" si="20"/>
        <v>9.68</v>
      </c>
      <c r="G66" s="269">
        <f>+'[3]1.1.SZ.TÁBL. BEV - KIAD'!$F66</f>
        <v>6230</v>
      </c>
      <c r="H66" s="250">
        <f>+'4.SZ.TÁBL. ÓVODA'!R71</f>
        <v>3083</v>
      </c>
      <c r="I66" s="206"/>
      <c r="J66" s="842">
        <f t="shared" si="9"/>
        <v>0.49486356340288923</v>
      </c>
      <c r="K66" s="74">
        <f t="shared" si="21"/>
        <v>6480</v>
      </c>
      <c r="L66" s="90">
        <f t="shared" si="21"/>
        <v>5503</v>
      </c>
      <c r="M66" s="207"/>
      <c r="N66" s="841">
        <f t="shared" si="22"/>
        <v>0.84922839506172842</v>
      </c>
      <c r="O66" s="6"/>
      <c r="P66" s="184"/>
      <c r="Q66" s="184"/>
      <c r="R66" s="854"/>
      <c r="S66" s="74">
        <f t="shared" si="2"/>
        <v>6480</v>
      </c>
      <c r="T66" s="90">
        <f t="shared" si="2"/>
        <v>5503</v>
      </c>
      <c r="U66" s="184"/>
      <c r="V66" s="854">
        <f t="shared" si="23"/>
        <v>0.84922839506172842</v>
      </c>
    </row>
    <row r="67" spans="1:24" ht="13.5" customHeight="1">
      <c r="A67" s="243" t="s">
        <v>265</v>
      </c>
      <c r="B67" s="204" t="s">
        <v>266</v>
      </c>
      <c r="C67" s="74">
        <f>+'[3]1.1.SZ.TÁBL. BEV - KIAD'!$C67</f>
        <v>0</v>
      </c>
      <c r="D67" s="250">
        <f>+'3.SZ.TÁBL. SEGÍTŐ SZOLGÁLAT'!AA76</f>
        <v>0</v>
      </c>
      <c r="E67" s="205"/>
      <c r="F67" s="841"/>
      <c r="G67" s="269">
        <f>+'[3]1.1.SZ.TÁBL. BEV - KIAD'!$F67</f>
        <v>0</v>
      </c>
      <c r="H67" s="250">
        <f>+'4.SZ.TÁBL. ÓVODA'!R72</f>
        <v>0</v>
      </c>
      <c r="I67" s="206"/>
      <c r="J67" s="842"/>
      <c r="K67" s="74">
        <f t="shared" si="21"/>
        <v>0</v>
      </c>
      <c r="L67" s="90">
        <f t="shared" si="21"/>
        <v>0</v>
      </c>
      <c r="M67" s="207"/>
      <c r="N67" s="841"/>
      <c r="O67" s="6"/>
      <c r="P67" s="184"/>
      <c r="Q67" s="184"/>
      <c r="R67" s="854"/>
      <c r="S67" s="74">
        <f t="shared" si="2"/>
        <v>0</v>
      </c>
      <c r="T67" s="90">
        <f t="shared" si="2"/>
        <v>0</v>
      </c>
      <c r="U67" s="184"/>
      <c r="V67" s="854"/>
    </row>
    <row r="68" spans="1:24" ht="13.5" customHeight="1">
      <c r="A68" s="243" t="s">
        <v>267</v>
      </c>
      <c r="B68" s="204" t="s">
        <v>268</v>
      </c>
      <c r="C68" s="74">
        <f>+'[3]1.1.SZ.TÁBL. BEV - KIAD'!$C68</f>
        <v>1160</v>
      </c>
      <c r="D68" s="250">
        <f>+'3.SZ.TÁBL. SEGÍTŐ SZOLGÁLAT'!AA77</f>
        <v>1840</v>
      </c>
      <c r="E68" s="205"/>
      <c r="F68" s="841">
        <f t="shared" si="20"/>
        <v>1.5862068965517242</v>
      </c>
      <c r="G68" s="269">
        <f>+'[3]1.1.SZ.TÁBL. BEV - KIAD'!$F68</f>
        <v>993</v>
      </c>
      <c r="H68" s="250">
        <f>+'4.SZ.TÁBL. ÓVODA'!R73</f>
        <v>1150</v>
      </c>
      <c r="I68" s="206"/>
      <c r="J68" s="842">
        <f t="shared" si="9"/>
        <v>1.1581067472306144</v>
      </c>
      <c r="K68" s="74">
        <f t="shared" si="21"/>
        <v>2153</v>
      </c>
      <c r="L68" s="90">
        <f t="shared" si="21"/>
        <v>2990</v>
      </c>
      <c r="M68" s="207"/>
      <c r="N68" s="841">
        <f t="shared" si="22"/>
        <v>1.3887598699489085</v>
      </c>
      <c r="O68" s="6"/>
      <c r="P68" s="184"/>
      <c r="Q68" s="184"/>
      <c r="R68" s="854"/>
      <c r="S68" s="74">
        <f t="shared" si="2"/>
        <v>2153</v>
      </c>
      <c r="T68" s="90">
        <f t="shared" si="2"/>
        <v>2990</v>
      </c>
      <c r="U68" s="184"/>
      <c r="V68" s="854">
        <f t="shared" si="23"/>
        <v>1.3887598699489085</v>
      </c>
    </row>
    <row r="69" spans="1:24" ht="13.5" customHeight="1">
      <c r="A69" s="243" t="s">
        <v>269</v>
      </c>
      <c r="B69" s="204" t="s">
        <v>270</v>
      </c>
      <c r="C69" s="74">
        <f>+'[3]1.1.SZ.TÁBL. BEV - KIAD'!$C69</f>
        <v>0</v>
      </c>
      <c r="D69" s="250">
        <f>+'3.SZ.TÁBL. SEGÍTŐ SZOLGÁLAT'!AA78</f>
        <v>0</v>
      </c>
      <c r="E69" s="205"/>
      <c r="F69" s="841"/>
      <c r="G69" s="269">
        <f>+'[3]1.1.SZ.TÁBL. BEV - KIAD'!$F69</f>
        <v>0</v>
      </c>
      <c r="H69" s="250">
        <f>+'4.SZ.TÁBL. ÓVODA'!R74</f>
        <v>0</v>
      </c>
      <c r="I69" s="206"/>
      <c r="J69" s="842"/>
      <c r="K69" s="74">
        <f t="shared" si="21"/>
        <v>0</v>
      </c>
      <c r="L69" s="90">
        <f t="shared" si="21"/>
        <v>0</v>
      </c>
      <c r="M69" s="207"/>
      <c r="N69" s="841"/>
      <c r="O69" s="6"/>
      <c r="P69" s="184"/>
      <c r="Q69" s="184"/>
      <c r="R69" s="854"/>
      <c r="S69" s="74">
        <f t="shared" si="2"/>
        <v>0</v>
      </c>
      <c r="T69" s="90">
        <f t="shared" si="2"/>
        <v>0</v>
      </c>
      <c r="U69" s="184"/>
      <c r="V69" s="854"/>
    </row>
    <row r="70" spans="1:24" s="363" customFormat="1" ht="13.5" customHeight="1">
      <c r="A70" s="247" t="s">
        <v>269</v>
      </c>
      <c r="B70" s="208" t="s">
        <v>315</v>
      </c>
      <c r="C70" s="74">
        <f>+'[3]1.1.SZ.TÁBL. BEV - KIAD'!$C70</f>
        <v>0</v>
      </c>
      <c r="D70" s="344">
        <f>+'3.SZ.TÁBL. SEGÍTŐ SZOLGÁLAT'!AA79</f>
        <v>0</v>
      </c>
      <c r="E70" s="498"/>
      <c r="F70" s="841"/>
      <c r="G70" s="269">
        <f>+'[3]1.1.SZ.TÁBL. BEV - KIAD'!$F70</f>
        <v>0</v>
      </c>
      <c r="H70" s="344">
        <f>+'4.SZ.TÁBL. ÓVODA'!R75</f>
        <v>0</v>
      </c>
      <c r="I70" s="499"/>
      <c r="J70" s="842"/>
      <c r="K70" s="479">
        <f t="shared" si="21"/>
        <v>0</v>
      </c>
      <c r="L70" s="480">
        <f t="shared" si="21"/>
        <v>0</v>
      </c>
      <c r="M70" s="500"/>
      <c r="N70" s="841"/>
      <c r="O70" s="496"/>
      <c r="P70" s="497"/>
      <c r="Q70" s="497"/>
      <c r="R70" s="855"/>
      <c r="S70" s="479">
        <f t="shared" si="2"/>
        <v>0</v>
      </c>
      <c r="T70" s="480">
        <f t="shared" si="2"/>
        <v>0</v>
      </c>
      <c r="U70" s="497"/>
      <c r="V70" s="854"/>
      <c r="X70" s="483"/>
    </row>
    <row r="71" spans="1:24" s="363" customFormat="1" ht="13.5" customHeight="1">
      <c r="A71" s="247" t="s">
        <v>269</v>
      </c>
      <c r="B71" s="208" t="s">
        <v>316</v>
      </c>
      <c r="C71" s="74">
        <f>+'[3]1.1.SZ.TÁBL. BEV - KIAD'!$C71</f>
        <v>0</v>
      </c>
      <c r="D71" s="344">
        <f>+'3.SZ.TÁBL. SEGÍTŐ SZOLGÁLAT'!AA80</f>
        <v>0</v>
      </c>
      <c r="E71" s="498"/>
      <c r="F71" s="841"/>
      <c r="G71" s="269">
        <f>+'[3]1.1.SZ.TÁBL. BEV - KIAD'!$F71</f>
        <v>0</v>
      </c>
      <c r="H71" s="344">
        <f>+'4.SZ.TÁBL. ÓVODA'!R76</f>
        <v>0</v>
      </c>
      <c r="I71" s="499"/>
      <c r="J71" s="842"/>
      <c r="K71" s="479">
        <f t="shared" si="21"/>
        <v>0</v>
      </c>
      <c r="L71" s="480">
        <f t="shared" si="21"/>
        <v>0</v>
      </c>
      <c r="M71" s="500"/>
      <c r="N71" s="841"/>
      <c r="O71" s="496"/>
      <c r="P71" s="497"/>
      <c r="Q71" s="497"/>
      <c r="R71" s="855"/>
      <c r="S71" s="479">
        <f t="shared" si="2"/>
        <v>0</v>
      </c>
      <c r="T71" s="480">
        <f t="shared" si="2"/>
        <v>0</v>
      </c>
      <c r="U71" s="497"/>
      <c r="V71" s="854"/>
      <c r="X71" s="483"/>
    </row>
    <row r="72" spans="1:24" ht="13.5" customHeight="1">
      <c r="A72" s="243" t="s">
        <v>271</v>
      </c>
      <c r="B72" s="204" t="s">
        <v>272</v>
      </c>
      <c r="C72" s="74">
        <f>+'[3]1.1.SZ.TÁBL. BEV - KIAD'!$C72</f>
        <v>1480</v>
      </c>
      <c r="D72" s="250">
        <f>+'3.SZ.TÁBL. SEGÍTŐ SZOLGÁLAT'!AA81</f>
        <v>1780</v>
      </c>
      <c r="E72" s="205"/>
      <c r="F72" s="841">
        <f t="shared" si="20"/>
        <v>1.2027027027027026</v>
      </c>
      <c r="G72" s="269">
        <f>+'[3]1.1.SZ.TÁBL. BEV - KIAD'!$F72</f>
        <v>1562</v>
      </c>
      <c r="H72" s="250">
        <f>+'4.SZ.TÁBL. ÓVODA'!R77</f>
        <v>2049</v>
      </c>
      <c r="I72" s="206"/>
      <c r="J72" s="842">
        <f t="shared" si="9"/>
        <v>1.3117797695262483</v>
      </c>
      <c r="K72" s="74">
        <f t="shared" si="21"/>
        <v>3042</v>
      </c>
      <c r="L72" s="90">
        <f t="shared" si="21"/>
        <v>3829</v>
      </c>
      <c r="M72" s="207"/>
      <c r="N72" s="841">
        <f t="shared" si="22"/>
        <v>1.2587113740959894</v>
      </c>
      <c r="O72" s="6">
        <f>+'[3]1.1.SZ.TÁBL. BEV - KIAD'!$L$72</f>
        <v>41848</v>
      </c>
      <c r="P72" s="184">
        <f>+(12*3290)+(12*136)+(16*44)</f>
        <v>41816</v>
      </c>
      <c r="Q72" s="184"/>
      <c r="R72" s="854">
        <f>+P72/O72</f>
        <v>0.99923532785318292</v>
      </c>
      <c r="S72" s="74">
        <f t="shared" si="2"/>
        <v>44890</v>
      </c>
      <c r="T72" s="90">
        <f t="shared" si="2"/>
        <v>45645</v>
      </c>
      <c r="U72" s="184"/>
      <c r="V72" s="854">
        <f t="shared" si="23"/>
        <v>1.0168188906215192</v>
      </c>
    </row>
    <row r="73" spans="1:24" ht="29.25" customHeight="1">
      <c r="A73" s="244" t="s">
        <v>273</v>
      </c>
      <c r="B73" s="218" t="s">
        <v>425</v>
      </c>
      <c r="C73" s="75">
        <f>+'[3]1.1.SZ.TÁBL. BEV - KIAD'!$C73</f>
        <v>3818</v>
      </c>
      <c r="D73" s="280">
        <f>+'3.SZ.TÁBL. SEGÍTŐ SZOLGÁLAT'!AA82</f>
        <v>3918</v>
      </c>
      <c r="E73" s="229"/>
      <c r="F73" s="841">
        <f t="shared" si="20"/>
        <v>1.0261917234154008</v>
      </c>
      <c r="G73" s="269">
        <f>+'[3]1.1.SZ.TÁBL. BEV - KIAD'!$F73</f>
        <v>1655</v>
      </c>
      <c r="H73" s="280">
        <f>+'4.SZ.TÁBL. ÓVODA'!R78</f>
        <v>1600</v>
      </c>
      <c r="I73" s="231"/>
      <c r="J73" s="846">
        <f t="shared" si="9"/>
        <v>0.96676737160120851</v>
      </c>
      <c r="K73" s="75">
        <f t="shared" si="21"/>
        <v>5473</v>
      </c>
      <c r="L73" s="91">
        <f t="shared" si="21"/>
        <v>5518</v>
      </c>
      <c r="M73" s="232"/>
      <c r="N73" s="841">
        <f t="shared" si="22"/>
        <v>1.0082221816188561</v>
      </c>
      <c r="O73" s="213">
        <f>+'[3]1.1.SZ.TÁBL. BEV - KIAD'!$L$73</f>
        <v>522</v>
      </c>
      <c r="P73" s="226">
        <f>23+500+25</f>
        <v>548</v>
      </c>
      <c r="Q73" s="226"/>
      <c r="R73" s="853">
        <f>+P73/O73</f>
        <v>1.0498084291187739</v>
      </c>
      <c r="S73" s="75">
        <f t="shared" si="2"/>
        <v>5995</v>
      </c>
      <c r="T73" s="91">
        <f t="shared" si="2"/>
        <v>6066</v>
      </c>
      <c r="U73" s="226"/>
      <c r="V73" s="853">
        <f t="shared" si="23"/>
        <v>1.0118432026688908</v>
      </c>
    </row>
    <row r="74" spans="1:24" s="3" customFormat="1" ht="13.5" customHeight="1">
      <c r="A74" s="245" t="s">
        <v>211</v>
      </c>
      <c r="B74" s="219" t="s">
        <v>169</v>
      </c>
      <c r="C74" s="365">
        <f>+SUM(C65:C69,C72:C73)</f>
        <v>9038</v>
      </c>
      <c r="D74" s="371">
        <f>+SUM(D65:D69,D72:D73)</f>
        <v>12288</v>
      </c>
      <c r="E74" s="510"/>
      <c r="F74" s="851">
        <f>+D74/C74</f>
        <v>1.359592830272184</v>
      </c>
      <c r="G74" s="365">
        <f>+SUM(G65:G69,G72:G73)</f>
        <v>13605</v>
      </c>
      <c r="H74" s="371">
        <f>+SUM(H65:H69,H72:H73)</f>
        <v>11047</v>
      </c>
      <c r="I74" s="511"/>
      <c r="J74" s="845">
        <f t="shared" si="9"/>
        <v>0.81198088937890478</v>
      </c>
      <c r="K74" s="365">
        <f>+SUM(K65:K69,K72:K73)</f>
        <v>22643</v>
      </c>
      <c r="L74" s="371">
        <f>+SUM(L65:L69,L72:L73)</f>
        <v>23335</v>
      </c>
      <c r="M74" s="512"/>
      <c r="N74" s="851">
        <f>+L74/K74</f>
        <v>1.0305613213796758</v>
      </c>
      <c r="O74" s="365">
        <f>+SUM(O65:O69,O72:O73)</f>
        <v>42370</v>
      </c>
      <c r="P74" s="371">
        <f>+SUM(P65:P69,P72:P73)</f>
        <v>42364</v>
      </c>
      <c r="Q74" s="509"/>
      <c r="R74" s="851">
        <f>+P74/O74</f>
        <v>0.99985839037054525</v>
      </c>
      <c r="S74" s="504">
        <f>+SUM(S65:S73)</f>
        <v>65013</v>
      </c>
      <c r="T74" s="505">
        <f>+SUM(T65:T73)</f>
        <v>65699</v>
      </c>
      <c r="U74" s="509"/>
      <c r="V74" s="851">
        <f>+T74/S74</f>
        <v>1.0105517358066849</v>
      </c>
      <c r="X74" s="4"/>
    </row>
    <row r="75" spans="1:24" ht="13.5" customHeight="1">
      <c r="A75" s="242" t="s">
        <v>275</v>
      </c>
      <c r="B75" s="217" t="s">
        <v>276</v>
      </c>
      <c r="C75" s="72">
        <f>+'[3]1.1.SZ.TÁBL. BEV - KIAD'!$C75</f>
        <v>720</v>
      </c>
      <c r="D75" s="263">
        <f>+'3.SZ.TÁBL. SEGÍTŐ SZOLGÁLAT'!AA84</f>
        <v>640</v>
      </c>
      <c r="E75" s="233"/>
      <c r="F75" s="841">
        <f t="shared" ref="F75" si="24">+D75/C75</f>
        <v>0.88888888888888884</v>
      </c>
      <c r="G75" s="269">
        <f>+'[3]1.1.SZ.TÁBL. BEV - KIAD'!$F75</f>
        <v>150</v>
      </c>
      <c r="H75" s="263">
        <f>+'4.SZ.TÁBL. ÓVODA'!R80</f>
        <v>150</v>
      </c>
      <c r="I75" s="234"/>
      <c r="J75" s="841">
        <f t="shared" si="9"/>
        <v>1</v>
      </c>
      <c r="K75" s="72">
        <f t="shared" ref="K75:L76" si="25">+C75+G75</f>
        <v>870</v>
      </c>
      <c r="L75" s="94">
        <f t="shared" si="25"/>
        <v>790</v>
      </c>
      <c r="M75" s="235"/>
      <c r="N75" s="841">
        <f t="shared" ref="N75" si="26">+L75/K75</f>
        <v>0.90804597701149425</v>
      </c>
      <c r="O75" s="5"/>
      <c r="P75" s="92"/>
      <c r="Q75" s="92"/>
      <c r="R75" s="852"/>
      <c r="S75" s="72">
        <f t="shared" si="2"/>
        <v>870</v>
      </c>
      <c r="T75" s="94">
        <f t="shared" si="2"/>
        <v>790</v>
      </c>
      <c r="U75" s="92"/>
      <c r="V75" s="852">
        <f t="shared" ref="V75" si="27">+T75/S75</f>
        <v>0.90804597701149425</v>
      </c>
    </row>
    <row r="76" spans="1:24" ht="13.5" customHeight="1">
      <c r="A76" s="244" t="s">
        <v>277</v>
      </c>
      <c r="B76" s="218" t="s">
        <v>278</v>
      </c>
      <c r="C76" s="75">
        <f>+'[3]1.1.SZ.TÁBL. BEV - KIAD'!$C76</f>
        <v>0</v>
      </c>
      <c r="D76" s="280">
        <f>+'3.SZ.TÁBL. SEGÍTŐ SZOLGÁLAT'!AA85</f>
        <v>0</v>
      </c>
      <c r="E76" s="229"/>
      <c r="F76" s="841"/>
      <c r="G76" s="269">
        <f>+'[3]1.1.SZ.TÁBL. BEV - KIAD'!$F76</f>
        <v>0</v>
      </c>
      <c r="H76" s="280">
        <f>+'4.SZ.TÁBL. ÓVODA'!R81</f>
        <v>0</v>
      </c>
      <c r="I76" s="231"/>
      <c r="J76" s="846"/>
      <c r="K76" s="75">
        <f t="shared" si="25"/>
        <v>0</v>
      </c>
      <c r="L76" s="91">
        <f t="shared" si="25"/>
        <v>0</v>
      </c>
      <c r="M76" s="232"/>
      <c r="N76" s="841"/>
      <c r="O76" s="213"/>
      <c r="P76" s="226"/>
      <c r="Q76" s="226"/>
      <c r="R76" s="853"/>
      <c r="S76" s="75">
        <f t="shared" ref="S76:T106" si="28">+K76+O76</f>
        <v>0</v>
      </c>
      <c r="T76" s="91">
        <f t="shared" si="28"/>
        <v>0</v>
      </c>
      <c r="U76" s="226"/>
      <c r="V76" s="853"/>
    </row>
    <row r="77" spans="1:24" s="3" customFormat="1" ht="13.5" customHeight="1">
      <c r="A77" s="245" t="s">
        <v>212</v>
      </c>
      <c r="B77" s="219" t="s">
        <v>170</v>
      </c>
      <c r="C77" s="365">
        <f>+SUM(C75:C76)</f>
        <v>720</v>
      </c>
      <c r="D77" s="371">
        <f>+SUM(D75:D76)</f>
        <v>640</v>
      </c>
      <c r="E77" s="510"/>
      <c r="F77" s="851">
        <f>+D77/C77</f>
        <v>0.88888888888888884</v>
      </c>
      <c r="G77" s="365">
        <f>+SUM(G75:G76)</f>
        <v>150</v>
      </c>
      <c r="H77" s="371">
        <f>+SUM(H75:H76)</f>
        <v>150</v>
      </c>
      <c r="I77" s="511"/>
      <c r="J77" s="845">
        <f t="shared" si="9"/>
        <v>1</v>
      </c>
      <c r="K77" s="365">
        <f>+SUM(K75:K76)</f>
        <v>870</v>
      </c>
      <c r="L77" s="371">
        <f>+SUM(L75:L76)</f>
        <v>790</v>
      </c>
      <c r="M77" s="512"/>
      <c r="N77" s="851">
        <f>+L77/K77</f>
        <v>0.90804597701149425</v>
      </c>
      <c r="O77" s="365">
        <f>+SUM(O75:O76)</f>
        <v>0</v>
      </c>
      <c r="P77" s="371">
        <f>+SUM(P75:P76)</f>
        <v>0</v>
      </c>
      <c r="Q77" s="509"/>
      <c r="R77" s="851"/>
      <c r="S77" s="504">
        <f>+SUM(S75:S76)</f>
        <v>870</v>
      </c>
      <c r="T77" s="505">
        <f>+SUM(T75:T76)</f>
        <v>790</v>
      </c>
      <c r="U77" s="509"/>
      <c r="V77" s="851">
        <f>+T77/S77</f>
        <v>0.90804597701149425</v>
      </c>
      <c r="X77" s="4"/>
    </row>
    <row r="78" spans="1:24" ht="13.5" customHeight="1">
      <c r="A78" s="242" t="s">
        <v>279</v>
      </c>
      <c r="B78" s="217" t="s">
        <v>280</v>
      </c>
      <c r="C78" s="72">
        <f>+'[3]1.1.SZ.TÁBL. BEV - KIAD'!$C78</f>
        <v>3589</v>
      </c>
      <c r="D78" s="263">
        <f>+'3.SZ.TÁBL. SEGÍTŐ SZOLGÁLAT'!AA87</f>
        <v>4555</v>
      </c>
      <c r="E78" s="233"/>
      <c r="F78" s="841">
        <f t="shared" ref="F78:F82" si="29">+D78/C78</f>
        <v>1.2691557536918361</v>
      </c>
      <c r="G78" s="269">
        <f>+'[3]1.1.SZ.TÁBL. BEV - KIAD'!$F78</f>
        <v>4436</v>
      </c>
      <c r="H78" s="263">
        <f>+'4.SZ.TÁBL. ÓVODA'!R83</f>
        <v>3642</v>
      </c>
      <c r="I78" s="234"/>
      <c r="J78" s="841">
        <f t="shared" si="9"/>
        <v>0.82100991884580699</v>
      </c>
      <c r="K78" s="72">
        <f t="shared" ref="K78:L82" si="30">+C78+G78</f>
        <v>8025</v>
      </c>
      <c r="L78" s="94">
        <f t="shared" si="30"/>
        <v>8197</v>
      </c>
      <c r="M78" s="235"/>
      <c r="N78" s="841">
        <f t="shared" ref="N78:N82" si="31">+L78/K78</f>
        <v>1.0214330218068537</v>
      </c>
      <c r="O78" s="5">
        <f>+'[3]1.1.SZ.TÁBL. BEV - KIAD'!$L$78</f>
        <v>640</v>
      </c>
      <c r="P78" s="92">
        <v>630</v>
      </c>
      <c r="Q78" s="92"/>
      <c r="R78" s="852">
        <f>+P78/O78</f>
        <v>0.984375</v>
      </c>
      <c r="S78" s="72">
        <f t="shared" si="28"/>
        <v>8665</v>
      </c>
      <c r="T78" s="94">
        <f t="shared" si="28"/>
        <v>8827</v>
      </c>
      <c r="U78" s="92"/>
      <c r="V78" s="852">
        <f t="shared" ref="V78:V82" si="32">+T78/S78</f>
        <v>1.0186959030582805</v>
      </c>
    </row>
    <row r="79" spans="1:24" ht="13.5" customHeight="1">
      <c r="A79" s="243" t="s">
        <v>281</v>
      </c>
      <c r="B79" s="204" t="s">
        <v>282</v>
      </c>
      <c r="C79" s="74">
        <f>+'[3]1.1.SZ.TÁBL. BEV - KIAD'!$C79</f>
        <v>0</v>
      </c>
      <c r="D79" s="250">
        <f>+'3.SZ.TÁBL. SEGÍTŐ SZOLGÁLAT'!AA88</f>
        <v>0</v>
      </c>
      <c r="E79" s="205"/>
      <c r="F79" s="841"/>
      <c r="G79" s="269">
        <f>+'[3]1.1.SZ.TÁBL. BEV - KIAD'!$F79</f>
        <v>0</v>
      </c>
      <c r="H79" s="250">
        <f>+'4.SZ.TÁBL. ÓVODA'!R84</f>
        <v>0</v>
      </c>
      <c r="I79" s="206"/>
      <c r="J79" s="842"/>
      <c r="K79" s="74">
        <f t="shared" si="30"/>
        <v>0</v>
      </c>
      <c r="L79" s="90">
        <f t="shared" si="30"/>
        <v>0</v>
      </c>
      <c r="M79" s="207"/>
      <c r="N79" s="841"/>
      <c r="O79" s="6"/>
      <c r="P79" s="184"/>
      <c r="Q79" s="184"/>
      <c r="R79" s="854"/>
      <c r="S79" s="74">
        <f t="shared" si="28"/>
        <v>0</v>
      </c>
      <c r="T79" s="90">
        <f t="shared" si="28"/>
        <v>0</v>
      </c>
      <c r="U79" s="184"/>
      <c r="V79" s="854"/>
    </row>
    <row r="80" spans="1:24" ht="13.5" customHeight="1">
      <c r="A80" s="243" t="s">
        <v>283</v>
      </c>
      <c r="B80" s="204" t="s">
        <v>284</v>
      </c>
      <c r="C80" s="74">
        <f>+'[3]1.1.SZ.TÁBL. BEV - KIAD'!$C80</f>
        <v>0</v>
      </c>
      <c r="D80" s="250">
        <f>+'3.SZ.TÁBL. SEGÍTŐ SZOLGÁLAT'!AA89</f>
        <v>0</v>
      </c>
      <c r="E80" s="205"/>
      <c r="F80" s="841"/>
      <c r="G80" s="269">
        <f>+'[3]1.1.SZ.TÁBL. BEV - KIAD'!$F80</f>
        <v>0</v>
      </c>
      <c r="H80" s="250">
        <f>+'4.SZ.TÁBL. ÓVODA'!R85</f>
        <v>0</v>
      </c>
      <c r="I80" s="206"/>
      <c r="J80" s="842"/>
      <c r="K80" s="74">
        <f t="shared" si="30"/>
        <v>0</v>
      </c>
      <c r="L80" s="90">
        <f t="shared" si="30"/>
        <v>0</v>
      </c>
      <c r="M80" s="207"/>
      <c r="N80" s="841"/>
      <c r="O80" s="6"/>
      <c r="P80" s="184"/>
      <c r="Q80" s="184"/>
      <c r="R80" s="854"/>
      <c r="S80" s="74">
        <f t="shared" si="28"/>
        <v>0</v>
      </c>
      <c r="T80" s="90">
        <f t="shared" si="28"/>
        <v>0</v>
      </c>
      <c r="U80" s="184"/>
      <c r="V80" s="854"/>
    </row>
    <row r="81" spans="1:24" ht="13.5" customHeight="1">
      <c r="A81" s="243" t="s">
        <v>285</v>
      </c>
      <c r="B81" s="204" t="s">
        <v>286</v>
      </c>
      <c r="C81" s="74">
        <f>+'[3]1.1.SZ.TÁBL. BEV - KIAD'!$C81</f>
        <v>0</v>
      </c>
      <c r="D81" s="250">
        <f>+'3.SZ.TÁBL. SEGÍTŐ SZOLGÁLAT'!AA90</f>
        <v>0</v>
      </c>
      <c r="E81" s="205"/>
      <c r="F81" s="841"/>
      <c r="G81" s="269">
        <f>+'[3]1.1.SZ.TÁBL. BEV - KIAD'!$F81</f>
        <v>0</v>
      </c>
      <c r="H81" s="250">
        <f>+'4.SZ.TÁBL. ÓVODA'!R86</f>
        <v>0</v>
      </c>
      <c r="I81" s="206"/>
      <c r="J81" s="842"/>
      <c r="K81" s="74">
        <f t="shared" si="30"/>
        <v>0</v>
      </c>
      <c r="L81" s="90">
        <f t="shared" si="30"/>
        <v>0</v>
      </c>
      <c r="M81" s="207"/>
      <c r="N81" s="841"/>
      <c r="O81" s="6"/>
      <c r="P81" s="184"/>
      <c r="Q81" s="184"/>
      <c r="R81" s="854"/>
      <c r="S81" s="74">
        <f t="shared" si="28"/>
        <v>0</v>
      </c>
      <c r="T81" s="90">
        <f t="shared" si="28"/>
        <v>0</v>
      </c>
      <c r="U81" s="184"/>
      <c r="V81" s="854"/>
    </row>
    <row r="82" spans="1:24" ht="13.5" customHeight="1">
      <c r="A82" s="244" t="s">
        <v>287</v>
      </c>
      <c r="B82" s="218" t="s">
        <v>426</v>
      </c>
      <c r="C82" s="75">
        <f>+'[3]1.1.SZ.TÁBL. BEV - KIAD'!$C82</f>
        <v>445</v>
      </c>
      <c r="D82" s="280">
        <f>+'3.SZ.TÁBL. SEGÍTŐ SZOLGÁLAT'!AA91</f>
        <v>635</v>
      </c>
      <c r="E82" s="229"/>
      <c r="F82" s="841">
        <f t="shared" si="29"/>
        <v>1.4269662921348314</v>
      </c>
      <c r="G82" s="269">
        <f>+'[3]1.1.SZ.TÁBL. BEV - KIAD'!$F82</f>
        <v>0</v>
      </c>
      <c r="H82" s="280">
        <f>+'4.SZ.TÁBL. ÓVODA'!R87</f>
        <v>0</v>
      </c>
      <c r="I82" s="231"/>
      <c r="J82" s="846"/>
      <c r="K82" s="75">
        <f t="shared" si="30"/>
        <v>445</v>
      </c>
      <c r="L82" s="91">
        <f t="shared" si="30"/>
        <v>635</v>
      </c>
      <c r="M82" s="232"/>
      <c r="N82" s="841">
        <f t="shared" si="31"/>
        <v>1.4269662921348314</v>
      </c>
      <c r="O82" s="213"/>
      <c r="P82" s="226">
        <v>24</v>
      </c>
      <c r="Q82" s="226"/>
      <c r="R82" s="853"/>
      <c r="S82" s="75">
        <f t="shared" si="28"/>
        <v>445</v>
      </c>
      <c r="T82" s="91">
        <f t="shared" si="28"/>
        <v>659</v>
      </c>
      <c r="U82" s="226"/>
      <c r="V82" s="853">
        <f t="shared" si="32"/>
        <v>1.4808988764044944</v>
      </c>
    </row>
    <row r="83" spans="1:24" s="3" customFormat="1" ht="13.5" customHeight="1">
      <c r="A83" s="245" t="s">
        <v>213</v>
      </c>
      <c r="B83" s="219" t="s">
        <v>171</v>
      </c>
      <c r="C83" s="365">
        <f>SUM(C78:C82)</f>
        <v>4034</v>
      </c>
      <c r="D83" s="371">
        <f>SUM(D78:D82)</f>
        <v>5190</v>
      </c>
      <c r="E83" s="510"/>
      <c r="F83" s="851">
        <f>+D83/C83</f>
        <v>1.2865642042637579</v>
      </c>
      <c r="G83" s="365">
        <f>SUM(G78:G82)</f>
        <v>4436</v>
      </c>
      <c r="H83" s="371">
        <f>SUM(H78:H82)</f>
        <v>3642</v>
      </c>
      <c r="I83" s="511"/>
      <c r="J83" s="845">
        <f t="shared" si="9"/>
        <v>0.82100991884580699</v>
      </c>
      <c r="K83" s="365">
        <f>SUM(K78:K82)</f>
        <v>8470</v>
      </c>
      <c r="L83" s="371">
        <f>SUM(L78:L82)</f>
        <v>8832</v>
      </c>
      <c r="M83" s="512"/>
      <c r="N83" s="851">
        <f>+L83/K83</f>
        <v>1.0427390791027156</v>
      </c>
      <c r="O83" s="365">
        <f>SUM(O78:O82)</f>
        <v>640</v>
      </c>
      <c r="P83" s="371">
        <f>SUM(P78:P82)</f>
        <v>654</v>
      </c>
      <c r="Q83" s="509"/>
      <c r="R83" s="851">
        <f>+P83/O83</f>
        <v>1.0218750000000001</v>
      </c>
      <c r="S83" s="504">
        <f>+SUM(S78:S82)</f>
        <v>9110</v>
      </c>
      <c r="T83" s="505">
        <f>+SUM(T78:T82)</f>
        <v>9486</v>
      </c>
      <c r="U83" s="509"/>
      <c r="V83" s="851">
        <f>+T83/S83</f>
        <v>1.0412733260153677</v>
      </c>
      <c r="X83" s="4"/>
    </row>
    <row r="84" spans="1:24" s="3" customFormat="1" ht="13.5" customHeight="1">
      <c r="A84" s="245" t="s">
        <v>214</v>
      </c>
      <c r="B84" s="219" t="s">
        <v>172</v>
      </c>
      <c r="C84" s="365">
        <f>+C61+C64+C74+C77+C83</f>
        <v>18047</v>
      </c>
      <c r="D84" s="371">
        <f>+D61+D64+D74+D77+D83</f>
        <v>23558</v>
      </c>
      <c r="E84" s="510"/>
      <c r="F84" s="851">
        <f>+D84/C84</f>
        <v>1.3053693134593007</v>
      </c>
      <c r="G84" s="365">
        <f>+G61+G64+G74+G77+G83</f>
        <v>20676</v>
      </c>
      <c r="H84" s="371">
        <f>+H61+H64+H74+H77+H83</f>
        <v>17282</v>
      </c>
      <c r="I84" s="511"/>
      <c r="J84" s="845">
        <f t="shared" si="9"/>
        <v>0.83584832656219776</v>
      </c>
      <c r="K84" s="365">
        <f>+K61+K64+K74+K77+K83</f>
        <v>38723</v>
      </c>
      <c r="L84" s="371">
        <f>+L61+L64+L74+L77+L83</f>
        <v>40840</v>
      </c>
      <c r="M84" s="512"/>
      <c r="N84" s="851">
        <f>+L84/K84</f>
        <v>1.0546703509542132</v>
      </c>
      <c r="O84" s="365">
        <f>+O61+O64+O74+O77+O83</f>
        <v>43010</v>
      </c>
      <c r="P84" s="371">
        <f>+P61+P64+P74+P77+P83</f>
        <v>43018</v>
      </c>
      <c r="Q84" s="509"/>
      <c r="R84" s="851">
        <f>+P84/O84</f>
        <v>1.0001860032550569</v>
      </c>
      <c r="S84" s="504">
        <f>+S61+S64+S74+S77+S83</f>
        <v>81733</v>
      </c>
      <c r="T84" s="505">
        <f>+T61+T64+T74+T77+T83</f>
        <v>83858</v>
      </c>
      <c r="U84" s="509"/>
      <c r="V84" s="851">
        <f>+T84/S84</f>
        <v>1.0259992903723099</v>
      </c>
      <c r="X84" s="4"/>
    </row>
    <row r="85" spans="1:24" ht="13.5" customHeight="1">
      <c r="A85" s="242" t="s">
        <v>351</v>
      </c>
      <c r="B85" s="236" t="s">
        <v>352</v>
      </c>
      <c r="C85" s="72">
        <f>+'[3]1.1.SZ.TÁBL. BEV - KIAD'!$C85</f>
        <v>0</v>
      </c>
      <c r="D85" s="263">
        <f>+'3.SZ.TÁBL. SEGÍTŐ SZOLGÁLAT'!AA94</f>
        <v>0</v>
      </c>
      <c r="E85" s="233"/>
      <c r="F85" s="852"/>
      <c r="G85" s="269">
        <f>+'[3]1.1.SZ.TÁBL. BEV - KIAD'!$F85</f>
        <v>12274</v>
      </c>
      <c r="H85" s="263">
        <f>+'4.SZ.TÁBL. ÓVODA'!R90</f>
        <v>8107</v>
      </c>
      <c r="I85" s="234"/>
      <c r="J85" s="841">
        <f t="shared" si="9"/>
        <v>0.66050187387974579</v>
      </c>
      <c r="K85" s="72">
        <f t="shared" ref="K85:L91" si="33">+C85+G85</f>
        <v>12274</v>
      </c>
      <c r="L85" s="94">
        <f t="shared" si="33"/>
        <v>8107</v>
      </c>
      <c r="M85" s="235"/>
      <c r="N85" s="852">
        <f>+L85/K85</f>
        <v>0.66050187387974579</v>
      </c>
      <c r="O85" s="5">
        <f>+O86</f>
        <v>6301</v>
      </c>
      <c r="P85" s="92">
        <f>+P86</f>
        <v>6610</v>
      </c>
      <c r="Q85" s="92"/>
      <c r="R85" s="852">
        <f>+P85/O85</f>
        <v>1.0490398349468337</v>
      </c>
      <c r="S85" s="72">
        <f>+S86</f>
        <v>18575</v>
      </c>
      <c r="T85" s="94">
        <f>+T86</f>
        <v>14717</v>
      </c>
      <c r="U85" s="92"/>
      <c r="V85" s="852">
        <f t="shared" ref="V85:V90" si="34">+T85/S85</f>
        <v>0.7923014804845222</v>
      </c>
    </row>
    <row r="86" spans="1:24" s="363" customFormat="1" ht="29.25" customHeight="1">
      <c r="A86" s="248" t="s">
        <v>351</v>
      </c>
      <c r="B86" s="237" t="s">
        <v>427</v>
      </c>
      <c r="C86" s="75">
        <f>+'[3]1.1.SZ.TÁBL. BEV - KIAD'!$C86</f>
        <v>0</v>
      </c>
      <c r="D86" s="367">
        <f>+'3.SZ.TÁBL. SEGÍTŐ SZOLGÁLAT'!AA95</f>
        <v>0</v>
      </c>
      <c r="E86" s="501"/>
      <c r="F86" s="856"/>
      <c r="G86" s="269">
        <f>+'[3]1.1.SZ.TÁBL. BEV - KIAD'!$F86</f>
        <v>12274</v>
      </c>
      <c r="H86" s="367">
        <f>+'4.SZ.TÁBL. ÓVODA'!R91</f>
        <v>8107</v>
      </c>
      <c r="I86" s="502"/>
      <c r="J86" s="842">
        <f t="shared" si="9"/>
        <v>0.66050187387974579</v>
      </c>
      <c r="K86" s="484">
        <f t="shared" si="33"/>
        <v>12274</v>
      </c>
      <c r="L86" s="485">
        <f t="shared" si="33"/>
        <v>8107</v>
      </c>
      <c r="M86" s="503"/>
      <c r="N86" s="856">
        <f>+L86/K86</f>
        <v>0.66050187387974579</v>
      </c>
      <c r="O86" s="489">
        <f>+'[3]1.1.SZ.TÁBL. BEV - KIAD'!$L$86</f>
        <v>6301</v>
      </c>
      <c r="P86" s="490">
        <f>+'2.SZ.TÁBL. BEVÉTELEK'!D48</f>
        <v>6610</v>
      </c>
      <c r="Q86" s="490"/>
      <c r="R86" s="856">
        <f>+P86/O86</f>
        <v>1.0490398349468337</v>
      </c>
      <c r="S86" s="484">
        <f t="shared" si="28"/>
        <v>18575</v>
      </c>
      <c r="T86" s="485">
        <f t="shared" si="28"/>
        <v>14717</v>
      </c>
      <c r="U86" s="490"/>
      <c r="V86" s="853">
        <f t="shared" si="34"/>
        <v>0.7923014804845222</v>
      </c>
      <c r="X86" s="483"/>
    </row>
    <row r="87" spans="1:24" ht="13.5" customHeight="1">
      <c r="A87" s="535" t="s">
        <v>353</v>
      </c>
      <c r="B87" s="536" t="s">
        <v>354</v>
      </c>
      <c r="C87" s="74">
        <f>+'[3]1.1.SZ.TÁBL. BEV - KIAD'!$C87</f>
        <v>0</v>
      </c>
      <c r="D87" s="250">
        <f>+SUM(D88:D91)</f>
        <v>0</v>
      </c>
      <c r="E87" s="205"/>
      <c r="F87" s="854"/>
      <c r="G87" s="269">
        <f>+'[3]1.1.SZ.TÁBL. BEV - KIAD'!$F87</f>
        <v>0</v>
      </c>
      <c r="H87" s="250">
        <f>+SUM(H88:H91)</f>
        <v>0</v>
      </c>
      <c r="I87" s="206"/>
      <c r="J87" s="842"/>
      <c r="K87" s="74">
        <f t="shared" si="33"/>
        <v>0</v>
      </c>
      <c r="L87" s="90">
        <f t="shared" si="33"/>
        <v>0</v>
      </c>
      <c r="M87" s="207"/>
      <c r="N87" s="854"/>
      <c r="O87" s="260">
        <f>+SUM(O88:O91)</f>
        <v>3089</v>
      </c>
      <c r="P87" s="250">
        <f>+SUM(P88:P91)</f>
        <v>2147</v>
      </c>
      <c r="Q87" s="184"/>
      <c r="R87" s="854">
        <f>+P87/O87</f>
        <v>0.69504694075752671</v>
      </c>
      <c r="S87" s="260">
        <f>+SUM(S88:S91)</f>
        <v>3089</v>
      </c>
      <c r="T87" s="250">
        <f>+SUM(T88:T91)</f>
        <v>2147</v>
      </c>
      <c r="U87" s="184"/>
      <c r="V87" s="854">
        <f t="shared" si="34"/>
        <v>0.69504694075752671</v>
      </c>
    </row>
    <row r="88" spans="1:24" s="363" customFormat="1" ht="13.5" customHeight="1">
      <c r="A88" s="537"/>
      <c r="B88" s="538" t="s">
        <v>395</v>
      </c>
      <c r="C88" s="74">
        <f>+'[3]1.1.SZ.TÁBL. BEV - KIAD'!$C88</f>
        <v>0</v>
      </c>
      <c r="D88" s="344"/>
      <c r="E88" s="498"/>
      <c r="F88" s="855"/>
      <c r="G88" s="269">
        <f>+'[3]1.1.SZ.TÁBL. BEV - KIAD'!$F88</f>
        <v>0</v>
      </c>
      <c r="H88" s="344">
        <f>+'4.SZ.TÁBL. ÓVODA'!R93</f>
        <v>0</v>
      </c>
      <c r="I88" s="499"/>
      <c r="J88" s="842"/>
      <c r="K88" s="484">
        <f>+C88+G88</f>
        <v>0</v>
      </c>
      <c r="L88" s="485">
        <f>+D88+H88</f>
        <v>0</v>
      </c>
      <c r="M88" s="500"/>
      <c r="N88" s="855"/>
      <c r="O88" s="496">
        <f>+'[3]1.1.SZ.TÁBL. BEV - KIAD'!$L88</f>
        <v>889</v>
      </c>
      <c r="P88" s="497">
        <f>+'5.SZ.TÁBL. ÓVODAI NORMATÍVA'!N35</f>
        <v>0</v>
      </c>
      <c r="Q88" s="497"/>
      <c r="R88" s="855"/>
      <c r="S88" s="484">
        <f t="shared" si="28"/>
        <v>889</v>
      </c>
      <c r="T88" s="485">
        <f t="shared" si="28"/>
        <v>0</v>
      </c>
      <c r="U88" s="497"/>
      <c r="V88" s="854">
        <f t="shared" si="34"/>
        <v>0</v>
      </c>
      <c r="X88" s="483"/>
    </row>
    <row r="89" spans="1:24" s="363" customFormat="1" ht="13.5" customHeight="1">
      <c r="A89" s="537"/>
      <c r="B89" s="538" t="s">
        <v>396</v>
      </c>
      <c r="C89" s="74">
        <f>+'[3]1.1.SZ.TÁBL. BEV - KIAD'!$C89</f>
        <v>0</v>
      </c>
      <c r="D89" s="344"/>
      <c r="E89" s="498"/>
      <c r="F89" s="855"/>
      <c r="G89" s="269">
        <f>+'[3]1.1.SZ.TÁBL. BEV - KIAD'!$F89</f>
        <v>0</v>
      </c>
      <c r="H89" s="344">
        <f>+'4.SZ.TÁBL. ÓVODA'!R94</f>
        <v>0</v>
      </c>
      <c r="I89" s="499"/>
      <c r="J89" s="842"/>
      <c r="K89" s="484">
        <f t="shared" si="33"/>
        <v>0</v>
      </c>
      <c r="L89" s="485">
        <f t="shared" si="33"/>
        <v>0</v>
      </c>
      <c r="M89" s="500"/>
      <c r="N89" s="855"/>
      <c r="O89" s="496">
        <f>+'[3]1.1.SZ.TÁBL. BEV - KIAD'!$L89</f>
        <v>0</v>
      </c>
      <c r="P89" s="497"/>
      <c r="Q89" s="497"/>
      <c r="R89" s="855"/>
      <c r="S89" s="484">
        <f t="shared" si="28"/>
        <v>0</v>
      </c>
      <c r="T89" s="485">
        <f t="shared" si="28"/>
        <v>0</v>
      </c>
      <c r="U89" s="497"/>
      <c r="V89" s="854"/>
      <c r="X89" s="483"/>
    </row>
    <row r="90" spans="1:24" s="363" customFormat="1" ht="13.5" customHeight="1">
      <c r="A90" s="537"/>
      <c r="B90" s="538" t="s">
        <v>397</v>
      </c>
      <c r="C90" s="74">
        <f>+'[3]1.1.SZ.TÁBL. BEV - KIAD'!$C90</f>
        <v>0</v>
      </c>
      <c r="D90" s="344"/>
      <c r="E90" s="498"/>
      <c r="F90" s="855"/>
      <c r="G90" s="269">
        <f>+'[3]1.1.SZ.TÁBL. BEV - KIAD'!$F90</f>
        <v>0</v>
      </c>
      <c r="H90" s="344"/>
      <c r="I90" s="499"/>
      <c r="J90" s="842"/>
      <c r="K90" s="484">
        <f t="shared" si="33"/>
        <v>0</v>
      </c>
      <c r="L90" s="485">
        <f t="shared" si="33"/>
        <v>0</v>
      </c>
      <c r="M90" s="500"/>
      <c r="N90" s="855"/>
      <c r="O90" s="496">
        <f>+'[3]1.1.SZ.TÁBL. BEV - KIAD'!$L90</f>
        <v>2200</v>
      </c>
      <c r="P90" s="497">
        <f>+'2.SZ.TÁBL. BEVÉTELEK'!D29-P73-P82</f>
        <v>2147</v>
      </c>
      <c r="Q90" s="497"/>
      <c r="R90" s="855">
        <f>+P90/O90</f>
        <v>0.97590909090909095</v>
      </c>
      <c r="S90" s="484">
        <f t="shared" si="28"/>
        <v>2200</v>
      </c>
      <c r="T90" s="485">
        <f t="shared" si="28"/>
        <v>2147</v>
      </c>
      <c r="U90" s="497"/>
      <c r="V90" s="854">
        <f t="shared" si="34"/>
        <v>0.97590909090909095</v>
      </c>
      <c r="X90" s="483"/>
    </row>
    <row r="91" spans="1:24" s="363" customFormat="1" ht="13.5" customHeight="1">
      <c r="A91" s="539"/>
      <c r="B91" s="540" t="s">
        <v>398</v>
      </c>
      <c r="C91" s="839">
        <f>+'[3]1.1.SZ.TÁBL. BEV - KIAD'!$C91</f>
        <v>0</v>
      </c>
      <c r="D91" s="355"/>
      <c r="E91" s="541"/>
      <c r="F91" s="857"/>
      <c r="G91" s="269">
        <f>+'[3]1.1.SZ.TÁBL. BEV - KIAD'!$F91</f>
        <v>0</v>
      </c>
      <c r="H91" s="355"/>
      <c r="I91" s="542"/>
      <c r="J91" s="846"/>
      <c r="K91" s="484">
        <f t="shared" si="33"/>
        <v>0</v>
      </c>
      <c r="L91" s="485">
        <f t="shared" si="33"/>
        <v>0</v>
      </c>
      <c r="M91" s="543"/>
      <c r="N91" s="857"/>
      <c r="O91" s="496">
        <f>+'[3]1.1.SZ.TÁBL. BEV - KIAD'!$L91</f>
        <v>0</v>
      </c>
      <c r="P91" s="524"/>
      <c r="Q91" s="524"/>
      <c r="R91" s="857"/>
      <c r="S91" s="484">
        <f t="shared" si="28"/>
        <v>0</v>
      </c>
      <c r="T91" s="485">
        <f t="shared" si="28"/>
        <v>0</v>
      </c>
      <c r="U91" s="524"/>
      <c r="V91" s="871"/>
      <c r="X91" s="483"/>
    </row>
    <row r="92" spans="1:24" s="3" customFormat="1" ht="13.5" customHeight="1">
      <c r="A92" s="245" t="s">
        <v>215</v>
      </c>
      <c r="B92" s="219" t="s">
        <v>173</v>
      </c>
      <c r="C92" s="365">
        <f>+C85+C87</f>
        <v>0</v>
      </c>
      <c r="D92" s="371">
        <f>+D85+D87</f>
        <v>0</v>
      </c>
      <c r="E92" s="510"/>
      <c r="F92" s="851"/>
      <c r="G92" s="365">
        <f>+G85+G87</f>
        <v>12274</v>
      </c>
      <c r="H92" s="371">
        <f>+H85+H87</f>
        <v>8107</v>
      </c>
      <c r="I92" s="511"/>
      <c r="J92" s="845">
        <f t="shared" si="9"/>
        <v>0.66050187387974579</v>
      </c>
      <c r="K92" s="365">
        <f>+K85+K87</f>
        <v>12274</v>
      </c>
      <c r="L92" s="371">
        <f>+L85+L87</f>
        <v>8107</v>
      </c>
      <c r="M92" s="512"/>
      <c r="N92" s="851">
        <f>+L92/K92</f>
        <v>0.66050187387974579</v>
      </c>
      <c r="O92" s="365">
        <f>+O85+O87</f>
        <v>9390</v>
      </c>
      <c r="P92" s="371">
        <f>+P85+P87</f>
        <v>8757</v>
      </c>
      <c r="Q92" s="509"/>
      <c r="R92" s="851">
        <f>+P92/O92</f>
        <v>0.93258785942492017</v>
      </c>
      <c r="S92" s="504">
        <f>+S85+S87</f>
        <v>21664</v>
      </c>
      <c r="T92" s="505">
        <f>+T85+T87</f>
        <v>16864</v>
      </c>
      <c r="U92" s="509"/>
      <c r="V92" s="851">
        <f>+T92/S92</f>
        <v>0.7784342688330872</v>
      </c>
      <c r="X92" s="4"/>
    </row>
    <row r="93" spans="1:24" ht="13.5" customHeight="1">
      <c r="A93" s="242" t="s">
        <v>288</v>
      </c>
      <c r="B93" s="217" t="s">
        <v>289</v>
      </c>
      <c r="C93" s="72">
        <f>+'[3]1.1.SZ.TÁBL. BEV - KIAD'!$C93</f>
        <v>0</v>
      </c>
      <c r="D93" s="263">
        <f>+'3.SZ.TÁBL. SEGÍTŐ SZOLGÁLAT'!AA98</f>
        <v>0</v>
      </c>
      <c r="E93" s="233"/>
      <c r="F93" s="852"/>
      <c r="G93" s="269">
        <f>+'[3]1.1.SZ.TÁBL. BEV - KIAD'!$F93</f>
        <v>0</v>
      </c>
      <c r="H93" s="263">
        <f>+'4.SZ.TÁBL. ÓVODA'!R96</f>
        <v>0</v>
      </c>
      <c r="I93" s="234"/>
      <c r="J93" s="841"/>
      <c r="K93" s="72">
        <f t="shared" ref="K93:L99" si="35">+C93+G93</f>
        <v>0</v>
      </c>
      <c r="L93" s="94">
        <f t="shared" si="35"/>
        <v>0</v>
      </c>
      <c r="M93" s="235"/>
      <c r="N93" s="852"/>
      <c r="O93" s="5"/>
      <c r="P93" s="92"/>
      <c r="Q93" s="92"/>
      <c r="R93" s="852"/>
      <c r="S93" s="72">
        <f t="shared" si="28"/>
        <v>0</v>
      </c>
      <c r="T93" s="94">
        <f t="shared" si="28"/>
        <v>0</v>
      </c>
      <c r="U93" s="92"/>
      <c r="V93" s="852"/>
    </row>
    <row r="94" spans="1:24" ht="13.5" customHeight="1">
      <c r="A94" s="243" t="s">
        <v>290</v>
      </c>
      <c r="B94" s="204" t="s">
        <v>291</v>
      </c>
      <c r="C94" s="74">
        <f>+'[3]1.1.SZ.TÁBL. BEV - KIAD'!$C94</f>
        <v>0</v>
      </c>
      <c r="D94" s="250">
        <f>+'3.SZ.TÁBL. SEGÍTŐ SZOLGÁLAT'!AA99</f>
        <v>0</v>
      </c>
      <c r="E94" s="205"/>
      <c r="F94" s="854"/>
      <c r="G94" s="269">
        <f>+'[3]1.1.SZ.TÁBL. BEV - KIAD'!$F94</f>
        <v>0</v>
      </c>
      <c r="H94" s="250">
        <f>+'4.SZ.TÁBL. ÓVODA'!R97</f>
        <v>0</v>
      </c>
      <c r="I94" s="206"/>
      <c r="J94" s="842"/>
      <c r="K94" s="74">
        <f t="shared" si="35"/>
        <v>0</v>
      </c>
      <c r="L94" s="90">
        <f t="shared" si="35"/>
        <v>0</v>
      </c>
      <c r="M94" s="207"/>
      <c r="N94" s="854"/>
      <c r="O94" s="6"/>
      <c r="P94" s="184"/>
      <c r="Q94" s="184"/>
      <c r="R94" s="854"/>
      <c r="S94" s="74">
        <f t="shared" si="28"/>
        <v>0</v>
      </c>
      <c r="T94" s="90">
        <f t="shared" si="28"/>
        <v>0</v>
      </c>
      <c r="U94" s="184"/>
      <c r="V94" s="854"/>
    </row>
    <row r="95" spans="1:24" ht="13.5" customHeight="1">
      <c r="A95" s="243" t="s">
        <v>292</v>
      </c>
      <c r="B95" s="204" t="s">
        <v>293</v>
      </c>
      <c r="C95" s="74">
        <f>+'[3]1.1.SZ.TÁBL. BEV - KIAD'!$C95</f>
        <v>0</v>
      </c>
      <c r="D95" s="250">
        <f>+'3.SZ.TÁBL. SEGÍTŐ SZOLGÁLAT'!AA100</f>
        <v>142</v>
      </c>
      <c r="E95" s="205"/>
      <c r="F95" s="854"/>
      <c r="G95" s="269">
        <f>+'[3]1.1.SZ.TÁBL. BEV - KIAD'!$F95</f>
        <v>0</v>
      </c>
      <c r="H95" s="250">
        <f>+'4.SZ.TÁBL. ÓVODA'!R98</f>
        <v>150</v>
      </c>
      <c r="I95" s="206"/>
      <c r="J95" s="842"/>
      <c r="K95" s="74">
        <f t="shared" si="35"/>
        <v>0</v>
      </c>
      <c r="L95" s="90">
        <f t="shared" si="35"/>
        <v>292</v>
      </c>
      <c r="M95" s="207"/>
      <c r="N95" s="854"/>
      <c r="O95" s="6"/>
      <c r="P95" s="184"/>
      <c r="Q95" s="184"/>
      <c r="R95" s="854"/>
      <c r="S95" s="74">
        <f t="shared" si="28"/>
        <v>0</v>
      </c>
      <c r="T95" s="90">
        <f t="shared" si="28"/>
        <v>292</v>
      </c>
      <c r="U95" s="184"/>
      <c r="V95" s="854"/>
    </row>
    <row r="96" spans="1:24" ht="13.5" customHeight="1">
      <c r="A96" s="243" t="s">
        <v>294</v>
      </c>
      <c r="B96" s="204" t="s">
        <v>295</v>
      </c>
      <c r="C96" s="74">
        <f>+'[3]1.1.SZ.TÁBL. BEV - KIAD'!$C96</f>
        <v>0</v>
      </c>
      <c r="D96" s="250">
        <f>+'3.SZ.TÁBL. SEGÍTŐ SZOLGÁLAT'!AA101</f>
        <v>1433</v>
      </c>
      <c r="E96" s="205"/>
      <c r="F96" s="854"/>
      <c r="G96" s="269">
        <f>+'[3]1.1.SZ.TÁBL. BEV - KIAD'!$F96</f>
        <v>350</v>
      </c>
      <c r="H96" s="250">
        <f>+'4.SZ.TÁBL. ÓVODA'!R99</f>
        <v>400</v>
      </c>
      <c r="I96" s="206"/>
      <c r="J96" s="842">
        <f t="shared" si="9"/>
        <v>1.1428571428571428</v>
      </c>
      <c r="K96" s="74">
        <f t="shared" si="35"/>
        <v>350</v>
      </c>
      <c r="L96" s="90">
        <f t="shared" si="35"/>
        <v>1833</v>
      </c>
      <c r="M96" s="207"/>
      <c r="N96" s="854">
        <f>+L96/K96</f>
        <v>5.2371428571428575</v>
      </c>
      <c r="O96" s="6"/>
      <c r="P96" s="184"/>
      <c r="Q96" s="184"/>
      <c r="R96" s="854"/>
      <c r="S96" s="74">
        <f t="shared" si="28"/>
        <v>350</v>
      </c>
      <c r="T96" s="90">
        <f t="shared" si="28"/>
        <v>1833</v>
      </c>
      <c r="U96" s="184"/>
      <c r="V96" s="854">
        <f t="shared" ref="V96:V99" si="36">+T96/S96</f>
        <v>5.2371428571428575</v>
      </c>
    </row>
    <row r="97" spans="1:31" ht="13.5" customHeight="1">
      <c r="A97" s="243" t="s">
        <v>296</v>
      </c>
      <c r="B97" s="204" t="s">
        <v>297</v>
      </c>
      <c r="C97" s="74">
        <f>+'[3]1.1.SZ.TÁBL. BEV - KIAD'!$C97</f>
        <v>0</v>
      </c>
      <c r="D97" s="250">
        <f>+'3.SZ.TÁBL. SEGÍTŐ SZOLGÁLAT'!AA102</f>
        <v>0</v>
      </c>
      <c r="E97" s="205"/>
      <c r="F97" s="854"/>
      <c r="G97" s="269">
        <f>+'[3]1.1.SZ.TÁBL. BEV - KIAD'!$F97</f>
        <v>0</v>
      </c>
      <c r="H97" s="250">
        <f>+'4.SZ.TÁBL. ÓVODA'!R100</f>
        <v>0</v>
      </c>
      <c r="I97" s="206"/>
      <c r="J97" s="842"/>
      <c r="K97" s="74">
        <f t="shared" si="35"/>
        <v>0</v>
      </c>
      <c r="L97" s="90">
        <f t="shared" si="35"/>
        <v>0</v>
      </c>
      <c r="M97" s="207"/>
      <c r="N97" s="854"/>
      <c r="O97" s="6"/>
      <c r="P97" s="184"/>
      <c r="Q97" s="184"/>
      <c r="R97" s="854"/>
      <c r="S97" s="74">
        <f t="shared" si="28"/>
        <v>0</v>
      </c>
      <c r="T97" s="90">
        <f t="shared" si="28"/>
        <v>0</v>
      </c>
      <c r="U97" s="184"/>
      <c r="V97" s="854"/>
    </row>
    <row r="98" spans="1:31" ht="13.5" customHeight="1">
      <c r="A98" s="243" t="s">
        <v>298</v>
      </c>
      <c r="B98" s="204" t="s">
        <v>299</v>
      </c>
      <c r="C98" s="74">
        <f>+'[3]1.1.SZ.TÁBL. BEV - KIAD'!$C98</f>
        <v>0</v>
      </c>
      <c r="D98" s="250">
        <f>+'3.SZ.TÁBL. SEGÍTŐ SZOLGÁLAT'!AA103</f>
        <v>0</v>
      </c>
      <c r="E98" s="205"/>
      <c r="F98" s="854"/>
      <c r="G98" s="269">
        <f>+'[3]1.1.SZ.TÁBL. BEV - KIAD'!$F98</f>
        <v>0</v>
      </c>
      <c r="H98" s="250">
        <f>+'4.SZ.TÁBL. ÓVODA'!R101</f>
        <v>0</v>
      </c>
      <c r="I98" s="206"/>
      <c r="J98" s="842"/>
      <c r="K98" s="74">
        <f t="shared" si="35"/>
        <v>0</v>
      </c>
      <c r="L98" s="90">
        <f t="shared" si="35"/>
        <v>0</v>
      </c>
      <c r="M98" s="207"/>
      <c r="N98" s="854"/>
      <c r="O98" s="6"/>
      <c r="P98" s="184"/>
      <c r="Q98" s="184"/>
      <c r="R98" s="854"/>
      <c r="S98" s="74">
        <f t="shared" si="28"/>
        <v>0</v>
      </c>
      <c r="T98" s="90">
        <f t="shared" si="28"/>
        <v>0</v>
      </c>
      <c r="U98" s="184"/>
      <c r="V98" s="854"/>
    </row>
    <row r="99" spans="1:31" ht="13.5" customHeight="1">
      <c r="A99" s="244" t="s">
        <v>300</v>
      </c>
      <c r="B99" s="218" t="s">
        <v>301</v>
      </c>
      <c r="C99" s="75">
        <f>+'[3]1.1.SZ.TÁBL. BEV - KIAD'!$C99</f>
        <v>0</v>
      </c>
      <c r="D99" s="280">
        <f>+'3.SZ.TÁBL. SEGÍTŐ SZOLGÁLAT'!AA104</f>
        <v>425</v>
      </c>
      <c r="E99" s="229"/>
      <c r="F99" s="853"/>
      <c r="G99" s="269">
        <f>+'[3]1.1.SZ.TÁBL. BEV - KIAD'!$F99</f>
        <v>95</v>
      </c>
      <c r="H99" s="280">
        <f>+'4.SZ.TÁBL. ÓVODA'!R102</f>
        <v>149</v>
      </c>
      <c r="I99" s="231"/>
      <c r="J99" s="846">
        <f t="shared" si="9"/>
        <v>1.5684210526315789</v>
      </c>
      <c r="K99" s="75">
        <f t="shared" si="35"/>
        <v>95</v>
      </c>
      <c r="L99" s="91">
        <f t="shared" si="35"/>
        <v>574</v>
      </c>
      <c r="M99" s="232"/>
      <c r="N99" s="853">
        <f>+L99/K99</f>
        <v>6.0421052631578949</v>
      </c>
      <c r="O99" s="213"/>
      <c r="P99" s="226"/>
      <c r="Q99" s="226"/>
      <c r="R99" s="853"/>
      <c r="S99" s="75">
        <f t="shared" si="28"/>
        <v>95</v>
      </c>
      <c r="T99" s="91">
        <f t="shared" si="28"/>
        <v>574</v>
      </c>
      <c r="U99" s="226"/>
      <c r="V99" s="853">
        <f t="shared" si="36"/>
        <v>6.0421052631578949</v>
      </c>
    </row>
    <row r="100" spans="1:31" s="3" customFormat="1" ht="13.5" customHeight="1">
      <c r="A100" s="245" t="s">
        <v>216</v>
      </c>
      <c r="B100" s="219" t="s">
        <v>128</v>
      </c>
      <c r="C100" s="365">
        <f>SUM(C93:C99)</f>
        <v>0</v>
      </c>
      <c r="D100" s="371">
        <f>SUM(D93:D99)</f>
        <v>2000</v>
      </c>
      <c r="E100" s="510"/>
      <c r="F100" s="851"/>
      <c r="G100" s="365">
        <f>SUM(G93:G99)</f>
        <v>445</v>
      </c>
      <c r="H100" s="371">
        <f>SUM(H93:H99)</f>
        <v>699</v>
      </c>
      <c r="I100" s="511"/>
      <c r="J100" s="845">
        <f t="shared" si="9"/>
        <v>1.5707865168539326</v>
      </c>
      <c r="K100" s="365">
        <f>SUM(K93:K99)</f>
        <v>445</v>
      </c>
      <c r="L100" s="371">
        <f>SUM(L93:L99)</f>
        <v>2699</v>
      </c>
      <c r="M100" s="512"/>
      <c r="N100" s="851">
        <f>+L100/K100</f>
        <v>6.0651685393258425</v>
      </c>
      <c r="O100" s="365">
        <f>SUM(O93:O99)</f>
        <v>0</v>
      </c>
      <c r="P100" s="371">
        <f>SUM(P93:P99)</f>
        <v>0</v>
      </c>
      <c r="Q100" s="509"/>
      <c r="R100" s="851"/>
      <c r="S100" s="504">
        <f>+SUM(S93:S99)</f>
        <v>445</v>
      </c>
      <c r="T100" s="505">
        <f>+SUM(T93:T99)</f>
        <v>2699</v>
      </c>
      <c r="U100" s="509"/>
      <c r="V100" s="851">
        <f>+T100/S100</f>
        <v>6.0651685393258425</v>
      </c>
      <c r="X100" s="4"/>
    </row>
    <row r="101" spans="1:31" ht="13.5" customHeight="1">
      <c r="A101" s="242" t="s">
        <v>302</v>
      </c>
      <c r="B101" s="217" t="s">
        <v>303</v>
      </c>
      <c r="C101" s="72">
        <f>+'[3]1.1.SZ.TÁBL. BEV - KIAD'!$C101</f>
        <v>0</v>
      </c>
      <c r="D101" s="263">
        <f>+'3.SZ.TÁBL. SEGÍTŐ SZOLGÁLAT'!AA106</f>
        <v>0</v>
      </c>
      <c r="E101" s="233"/>
      <c r="F101" s="852"/>
      <c r="G101" s="269">
        <f>+'[3]1.1.SZ.TÁBL. BEV - KIAD'!$F101</f>
        <v>0</v>
      </c>
      <c r="H101" s="263">
        <f>+'4.SZ.TÁBL. ÓVODA'!R104</f>
        <v>0</v>
      </c>
      <c r="I101" s="234"/>
      <c r="J101" s="841"/>
      <c r="K101" s="72">
        <f t="shared" ref="K101:L104" si="37">+C101+G101</f>
        <v>0</v>
      </c>
      <c r="L101" s="94">
        <f t="shared" si="37"/>
        <v>0</v>
      </c>
      <c r="M101" s="235"/>
      <c r="N101" s="852"/>
      <c r="O101" s="5"/>
      <c r="P101" s="92"/>
      <c r="Q101" s="92"/>
      <c r="R101" s="852"/>
      <c r="S101" s="72">
        <f t="shared" si="28"/>
        <v>0</v>
      </c>
      <c r="T101" s="94">
        <f t="shared" si="28"/>
        <v>0</v>
      </c>
      <c r="U101" s="92"/>
      <c r="V101" s="852"/>
    </row>
    <row r="102" spans="1:31" ht="13.5" customHeight="1">
      <c r="A102" s="243" t="s">
        <v>304</v>
      </c>
      <c r="B102" s="204" t="s">
        <v>305</v>
      </c>
      <c r="C102" s="74">
        <f>+'[3]1.1.SZ.TÁBL. BEV - KIAD'!$C102</f>
        <v>0</v>
      </c>
      <c r="D102" s="250">
        <f>+'3.SZ.TÁBL. SEGÍTŐ SZOLGÁLAT'!AA107</f>
        <v>0</v>
      </c>
      <c r="E102" s="205"/>
      <c r="F102" s="854"/>
      <c r="G102" s="269">
        <f>+'[3]1.1.SZ.TÁBL. BEV - KIAD'!$F102</f>
        <v>0</v>
      </c>
      <c r="H102" s="250">
        <f>+'4.SZ.TÁBL. ÓVODA'!R105</f>
        <v>0</v>
      </c>
      <c r="I102" s="206"/>
      <c r="J102" s="842"/>
      <c r="K102" s="74">
        <f t="shared" si="37"/>
        <v>0</v>
      </c>
      <c r="L102" s="90">
        <f t="shared" si="37"/>
        <v>0</v>
      </c>
      <c r="M102" s="207"/>
      <c r="N102" s="854"/>
      <c r="O102" s="6"/>
      <c r="P102" s="184"/>
      <c r="Q102" s="184"/>
      <c r="R102" s="854"/>
      <c r="S102" s="74">
        <f t="shared" si="28"/>
        <v>0</v>
      </c>
      <c r="T102" s="90">
        <f t="shared" si="28"/>
        <v>0</v>
      </c>
      <c r="U102" s="184"/>
      <c r="V102" s="854"/>
    </row>
    <row r="103" spans="1:31" ht="13.5" customHeight="1">
      <c r="A103" s="243" t="s">
        <v>306</v>
      </c>
      <c r="B103" s="204" t="s">
        <v>307</v>
      </c>
      <c r="C103" s="74">
        <f>+'[3]1.1.SZ.TÁBL. BEV - KIAD'!$C103</f>
        <v>0</v>
      </c>
      <c r="D103" s="250">
        <f>+'3.SZ.TÁBL. SEGÍTŐ SZOLGÁLAT'!AA108</f>
        <v>0</v>
      </c>
      <c r="E103" s="205"/>
      <c r="F103" s="854"/>
      <c r="G103" s="269">
        <f>+'[3]1.1.SZ.TÁBL. BEV - KIAD'!$F103</f>
        <v>0</v>
      </c>
      <c r="H103" s="250">
        <f>+'4.SZ.TÁBL. ÓVODA'!R106</f>
        <v>0</v>
      </c>
      <c r="I103" s="206"/>
      <c r="J103" s="842"/>
      <c r="K103" s="74">
        <f t="shared" si="37"/>
        <v>0</v>
      </c>
      <c r="L103" s="90">
        <f t="shared" si="37"/>
        <v>0</v>
      </c>
      <c r="M103" s="207"/>
      <c r="N103" s="854"/>
      <c r="O103" s="6"/>
      <c r="P103" s="184"/>
      <c r="Q103" s="184"/>
      <c r="R103" s="854"/>
      <c r="S103" s="74">
        <f t="shared" si="28"/>
        <v>0</v>
      </c>
      <c r="T103" s="90">
        <f t="shared" si="28"/>
        <v>0</v>
      </c>
      <c r="U103" s="184"/>
      <c r="V103" s="854"/>
    </row>
    <row r="104" spans="1:31" ht="13.5" customHeight="1">
      <c r="A104" s="244" t="s">
        <v>308</v>
      </c>
      <c r="B104" s="218" t="s">
        <v>309</v>
      </c>
      <c r="C104" s="75">
        <f>+'[3]1.1.SZ.TÁBL. BEV - KIAD'!$C104</f>
        <v>0</v>
      </c>
      <c r="D104" s="280">
        <f>+'3.SZ.TÁBL. SEGÍTŐ SZOLGÁLAT'!AA109</f>
        <v>0</v>
      </c>
      <c r="E104" s="229"/>
      <c r="F104" s="853"/>
      <c r="G104" s="269">
        <f>+'[3]1.1.SZ.TÁBL. BEV - KIAD'!$F104</f>
        <v>0</v>
      </c>
      <c r="H104" s="280">
        <f>+'4.SZ.TÁBL. ÓVODA'!R107</f>
        <v>0</v>
      </c>
      <c r="I104" s="231"/>
      <c r="J104" s="846"/>
      <c r="K104" s="75">
        <f t="shared" si="37"/>
        <v>0</v>
      </c>
      <c r="L104" s="91">
        <f t="shared" si="37"/>
        <v>0</v>
      </c>
      <c r="M104" s="232"/>
      <c r="N104" s="853"/>
      <c r="O104" s="213"/>
      <c r="P104" s="226"/>
      <c r="Q104" s="226"/>
      <c r="R104" s="853"/>
      <c r="S104" s="75">
        <f t="shared" si="28"/>
        <v>0</v>
      </c>
      <c r="T104" s="91">
        <f t="shared" si="28"/>
        <v>0</v>
      </c>
      <c r="U104" s="226"/>
      <c r="V104" s="853"/>
    </row>
    <row r="105" spans="1:31" s="3" customFormat="1" ht="13.5" customHeight="1">
      <c r="A105" s="245" t="s">
        <v>217</v>
      </c>
      <c r="B105" s="219" t="s">
        <v>174</v>
      </c>
      <c r="C105" s="365">
        <f>SUM(C101:C104)</f>
        <v>0</v>
      </c>
      <c r="D105" s="371">
        <f>SUM(D101:D104)</f>
        <v>0</v>
      </c>
      <c r="E105" s="510"/>
      <c r="F105" s="851"/>
      <c r="G105" s="365">
        <f>SUM(G101:G104)</f>
        <v>0</v>
      </c>
      <c r="H105" s="371">
        <f>SUM(H101:H104)</f>
        <v>0</v>
      </c>
      <c r="I105" s="511"/>
      <c r="J105" s="864"/>
      <c r="K105" s="365">
        <f>SUM(K101:K104)</f>
        <v>0</v>
      </c>
      <c r="L105" s="371">
        <f>SUM(L101:L104)</f>
        <v>0</v>
      </c>
      <c r="M105" s="512"/>
      <c r="N105" s="851"/>
      <c r="O105" s="365">
        <f>SUM(O101:O104)</f>
        <v>0</v>
      </c>
      <c r="P105" s="371">
        <f>SUM(P101:P104)</f>
        <v>0</v>
      </c>
      <c r="Q105" s="509"/>
      <c r="R105" s="851"/>
      <c r="S105" s="504">
        <f>+SUM(S101:S104)</f>
        <v>0</v>
      </c>
      <c r="T105" s="505">
        <f>+SUM(T101:T104)</f>
        <v>0</v>
      </c>
      <c r="U105" s="509"/>
      <c r="V105" s="851"/>
      <c r="X105" s="4"/>
    </row>
    <row r="106" spans="1:31" s="3" customFormat="1" ht="13.5" customHeight="1">
      <c r="A106" s="245" t="s">
        <v>218</v>
      </c>
      <c r="B106" s="219" t="s">
        <v>175</v>
      </c>
      <c r="C106" s="365">
        <f>+'[3]1.1.SZ.TÁBL. BEV - KIAD'!$C$106</f>
        <v>0</v>
      </c>
      <c r="D106" s="371">
        <f>+'3.SZ.TÁBL. SEGÍTŐ SZOLGÁLAT'!AA111</f>
        <v>0</v>
      </c>
      <c r="E106" s="510"/>
      <c r="F106" s="851"/>
      <c r="G106" s="269">
        <f>+'[3]1.1.SZ.TÁBL. BEV - KIAD'!$F106</f>
        <v>0</v>
      </c>
      <c r="H106" s="371">
        <f>+'4.SZ.TÁBL. ÓVODA'!R109</f>
        <v>0</v>
      </c>
      <c r="I106" s="511"/>
      <c r="J106" s="864"/>
      <c r="K106" s="504">
        <f>+C106+G106</f>
        <v>0</v>
      </c>
      <c r="L106" s="505">
        <f>+D106+H106</f>
        <v>0</v>
      </c>
      <c r="M106" s="512"/>
      <c r="N106" s="851"/>
      <c r="O106" s="508"/>
      <c r="P106" s="509"/>
      <c r="Q106" s="509"/>
      <c r="R106" s="851"/>
      <c r="S106" s="504">
        <f t="shared" si="28"/>
        <v>0</v>
      </c>
      <c r="T106" s="505">
        <f t="shared" si="28"/>
        <v>0</v>
      </c>
      <c r="U106" s="509"/>
      <c r="V106" s="851"/>
      <c r="X106" s="4"/>
    </row>
    <row r="107" spans="1:31" s="3" customFormat="1" ht="13.5" customHeight="1">
      <c r="A107" s="249" t="s">
        <v>219</v>
      </c>
      <c r="B107" s="219" t="s">
        <v>176</v>
      </c>
      <c r="C107" s="365">
        <f>+C51+C52+C84+C92+C100+C105+C106</f>
        <v>91644</v>
      </c>
      <c r="D107" s="371">
        <f>+D51+D52+D84+D92+D100+D105+D106</f>
        <v>102562</v>
      </c>
      <c r="E107" s="510"/>
      <c r="F107" s="851">
        <f>+D107/C107</f>
        <v>1.1191349133603945</v>
      </c>
      <c r="G107" s="365">
        <f>+G51+G52+G84+G92+G100+G105+G106</f>
        <v>171405</v>
      </c>
      <c r="H107" s="371">
        <f>+H51+H52+H84+H92+H100+H105+H106</f>
        <v>177864</v>
      </c>
      <c r="I107" s="511"/>
      <c r="J107" s="845">
        <f t="shared" si="9"/>
        <v>1.0376826813686881</v>
      </c>
      <c r="K107" s="365">
        <f>+K51+K52+K84+K92+K100+K105+K106</f>
        <v>263049</v>
      </c>
      <c r="L107" s="371">
        <f>+L51+L52+L84+L92+L100+L105+L106</f>
        <v>280426</v>
      </c>
      <c r="M107" s="512"/>
      <c r="N107" s="851">
        <f>+L107/K107</f>
        <v>1.0660599356013518</v>
      </c>
      <c r="O107" s="365">
        <f>+O51+O52+O84+O92+O100+O105+O106</f>
        <v>52400</v>
      </c>
      <c r="P107" s="371">
        <f>+P51+P52+P84+P92+P100+P105+P106</f>
        <v>51775</v>
      </c>
      <c r="Q107" s="509"/>
      <c r="R107" s="851">
        <f>+P107/O107</f>
        <v>0.98807251908396942</v>
      </c>
      <c r="S107" s="504">
        <f>+S51+S52+S84+S92+S100+S105+S106</f>
        <v>315449</v>
      </c>
      <c r="T107" s="505">
        <f>+T51+T52+T84+T92+T100+T105+T106</f>
        <v>332201</v>
      </c>
      <c r="U107" s="509"/>
      <c r="V107" s="851">
        <f>+T107/S107</f>
        <v>1.0531052563171859</v>
      </c>
      <c r="X107" s="4"/>
    </row>
    <row r="108" spans="1:31" s="3" customFormat="1" ht="13.5" customHeight="1" thickBot="1">
      <c r="A108" s="553" t="s">
        <v>404</v>
      </c>
      <c r="B108" s="554" t="s">
        <v>177</v>
      </c>
      <c r="C108" s="555">
        <f>+'[3]1.1.SZ.TÁBL. BEV - KIAD'!$C$108</f>
        <v>0</v>
      </c>
      <c r="D108" s="835">
        <f>+'3.SZ.TÁBL. SEGÍTŐ SZOLGÁLAT'!AA113</f>
        <v>0</v>
      </c>
      <c r="E108" s="556"/>
      <c r="F108" s="858"/>
      <c r="G108" s="863">
        <f>+'[3]1.1.SZ.TÁBL. BEV - KIAD'!$F108</f>
        <v>0</v>
      </c>
      <c r="H108" s="835">
        <f>+'4.SZ.TÁBL. ÓVODA'!R111</f>
        <v>0</v>
      </c>
      <c r="I108" s="557"/>
      <c r="J108" s="865"/>
      <c r="K108" s="558">
        <f>+C108+G108</f>
        <v>0</v>
      </c>
      <c r="L108" s="837">
        <f>+D108+H108</f>
        <v>0</v>
      </c>
      <c r="M108" s="559"/>
      <c r="N108" s="858"/>
      <c r="O108" s="560">
        <f>+K29</f>
        <v>250704</v>
      </c>
      <c r="P108" s="561">
        <f>+L29</f>
        <v>271406</v>
      </c>
      <c r="Q108" s="561"/>
      <c r="R108" s="858">
        <f>+P108/O108</f>
        <v>1.0825754674835664</v>
      </c>
      <c r="S108" s="562"/>
      <c r="T108" s="838"/>
      <c r="U108" s="557"/>
      <c r="V108" s="858"/>
      <c r="W108" s="4"/>
    </row>
    <row r="109" spans="1:31" s="3" customFormat="1" ht="13.5" customHeight="1" thickBot="1">
      <c r="A109" s="903" t="s">
        <v>337</v>
      </c>
      <c r="B109" s="904"/>
      <c r="C109" s="381">
        <f>+SUM(C107:C108)</f>
        <v>91644</v>
      </c>
      <c r="D109" s="382">
        <f>+SUM(D107:D108)</f>
        <v>102562</v>
      </c>
      <c r="E109" s="238"/>
      <c r="F109" s="859">
        <f>+D109/C109</f>
        <v>1.1191349133603945</v>
      </c>
      <c r="G109" s="381">
        <f>+SUM(G107:G108)</f>
        <v>171405</v>
      </c>
      <c r="H109" s="382">
        <f>+SUM(H107:H108)</f>
        <v>177864</v>
      </c>
      <c r="I109" s="239"/>
      <c r="J109" s="850">
        <f>+H109/G109</f>
        <v>1.0376826813686881</v>
      </c>
      <c r="K109" s="381">
        <f>+SUM(K107:K108)</f>
        <v>263049</v>
      </c>
      <c r="L109" s="382">
        <f>+SUM(L107:L108)</f>
        <v>280426</v>
      </c>
      <c r="M109" s="240"/>
      <c r="N109" s="859">
        <f>+L109/K109</f>
        <v>1.0660599356013518</v>
      </c>
      <c r="O109" s="381">
        <f>+SUM(O107:O108)</f>
        <v>303104</v>
      </c>
      <c r="P109" s="382">
        <f>+SUM(P107:P108)</f>
        <v>323181</v>
      </c>
      <c r="Q109" s="241"/>
      <c r="R109" s="859">
        <f>+P109/O109</f>
        <v>1.0662379909206081</v>
      </c>
      <c r="S109" s="10">
        <f>+S107+S108</f>
        <v>315449</v>
      </c>
      <c r="T109" s="241">
        <f>+T107+T108</f>
        <v>332201</v>
      </c>
      <c r="U109" s="241"/>
      <c r="V109" s="859">
        <f>+T109/S109</f>
        <v>1.0531052563171859</v>
      </c>
      <c r="X109" s="4"/>
    </row>
    <row r="110" spans="1:31" s="3" customFormat="1" ht="13.5" customHeight="1" thickBot="1">
      <c r="B110" s="513"/>
      <c r="C110" s="513"/>
      <c r="D110" s="514"/>
      <c r="E110" s="514"/>
      <c r="F110" s="860"/>
      <c r="G110" s="514"/>
      <c r="H110" s="514"/>
      <c r="I110" s="513"/>
      <c r="J110" s="860"/>
      <c r="K110" s="513"/>
      <c r="L110" s="514"/>
      <c r="M110" s="515"/>
      <c r="N110" s="515"/>
      <c r="O110" s="515"/>
      <c r="P110" s="516"/>
      <c r="Q110" s="516"/>
      <c r="R110" s="860"/>
      <c r="S110" s="516"/>
      <c r="T110" s="516"/>
      <c r="U110" s="516"/>
      <c r="V110" s="860"/>
      <c r="X110" s="4"/>
    </row>
    <row r="111" spans="1:31" s="407" customFormat="1" ht="13.5" customHeight="1" thickBot="1">
      <c r="A111" s="899" t="s">
        <v>355</v>
      </c>
      <c r="B111" s="900"/>
      <c r="C111" s="820"/>
      <c r="D111" s="382">
        <f>+D31-D109</f>
        <v>0</v>
      </c>
      <c r="E111" s="382"/>
      <c r="F111" s="861"/>
      <c r="G111" s="836"/>
      <c r="H111" s="412">
        <f>+H31-H109</f>
        <v>0</v>
      </c>
      <c r="I111" s="382"/>
      <c r="J111" s="861"/>
      <c r="K111" s="836"/>
      <c r="L111" s="412">
        <f>+L31-L109</f>
        <v>0</v>
      </c>
      <c r="M111" s="382"/>
      <c r="N111" s="413"/>
      <c r="O111" s="836"/>
      <c r="P111" s="412">
        <f>+P31-P109</f>
        <v>0</v>
      </c>
      <c r="Q111" s="382"/>
      <c r="R111" s="861"/>
      <c r="S111" s="836"/>
      <c r="T111" s="412">
        <f>+T31-T109</f>
        <v>0</v>
      </c>
      <c r="U111" s="382"/>
      <c r="V111" s="870"/>
      <c r="W111" s="522"/>
      <c r="X111" s="523"/>
      <c r="Y111" s="523"/>
      <c r="Z111" s="523"/>
      <c r="AA111" s="523"/>
      <c r="AB111" s="523"/>
      <c r="AC111" s="523"/>
      <c r="AD111" s="523"/>
      <c r="AE111" s="523"/>
    </row>
    <row r="112" spans="1:31" ht="13.5" customHeight="1"/>
    <row r="113" ht="13.5" customHeight="1"/>
  </sheetData>
  <mergeCells count="10">
    <mergeCell ref="A111:B111"/>
    <mergeCell ref="A31:B31"/>
    <mergeCell ref="A109:B109"/>
    <mergeCell ref="A1:A2"/>
    <mergeCell ref="B1:B2"/>
    <mergeCell ref="C1:F1"/>
    <mergeCell ref="G1:J1"/>
    <mergeCell ref="K1:N1"/>
    <mergeCell ref="O1:R1"/>
    <mergeCell ref="S1:V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7" orientation="landscape" r:id="rId1"/>
  <headerFooter alignWithMargins="0">
    <oddHeader>&amp;L&amp;"Times New Roman,Félkövér"&amp;13Szent László Völgye TKT&amp;C&amp;"Times New Roman,Félkövér"&amp;14
&amp;16 2016. ÉVI KÖLTSÉGVETÉS&amp;14
&amp;R1/1. sz. táblázat
TÁRSULÁS ÉS INTÉZMÉNYEK
 BEVÉTELEK - KIADÁSOK
Adatok: eFt</oddHeader>
    <oddFooter>&amp;L&amp;F&amp;R&amp;P</oddFooter>
  </headerFooter>
  <rowBreaks count="1" manualBreakCount="1">
    <brk id="51" max="1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Q90"/>
  <sheetViews>
    <sheetView workbookViewId="0">
      <selection activeCell="D70" sqref="D70"/>
    </sheetView>
  </sheetViews>
  <sheetFormatPr defaultColWidth="8.85546875" defaultRowHeight="12.95" customHeight="1"/>
  <cols>
    <col min="1" max="1" width="6.5703125" style="11" customWidth="1"/>
    <col min="2" max="2" width="54.5703125" style="1" customWidth="1"/>
    <col min="3" max="6" width="10.42578125" style="66" customWidth="1"/>
    <col min="7" max="7" width="7.7109375" style="701" customWidth="1"/>
    <col min="8" max="8" width="10.42578125" style="66" customWidth="1"/>
    <col min="9" max="9" width="11.7109375" style="22" customWidth="1"/>
    <col min="10" max="10" width="10.42578125" style="24" customWidth="1"/>
    <col min="11" max="11" width="24.85546875" style="24" customWidth="1"/>
    <col min="12" max="12" width="10.140625" style="24" customWidth="1"/>
    <col min="13" max="13" width="8.85546875" style="24"/>
    <col min="14" max="14" width="9.28515625" style="24" customWidth="1"/>
    <col min="15" max="16384" width="8.85546875" style="24"/>
  </cols>
  <sheetData>
    <row r="1" spans="1:15" ht="12.75" customHeight="1">
      <c r="A1" s="918" t="s">
        <v>179</v>
      </c>
      <c r="B1" s="920" t="s">
        <v>204</v>
      </c>
      <c r="C1" s="911" t="s">
        <v>431</v>
      </c>
      <c r="D1" s="911" t="s">
        <v>444</v>
      </c>
      <c r="E1" s="909" t="s">
        <v>445</v>
      </c>
      <c r="F1" s="916" t="s">
        <v>447</v>
      </c>
      <c r="G1" s="914" t="s">
        <v>424</v>
      </c>
      <c r="H1" s="518"/>
    </row>
    <row r="2" spans="1:15" ht="31.5" customHeight="1">
      <c r="A2" s="919"/>
      <c r="B2" s="921"/>
      <c r="C2" s="912"/>
      <c r="D2" s="912"/>
      <c r="E2" s="910"/>
      <c r="F2" s="917"/>
      <c r="G2" s="915"/>
      <c r="H2" s="518"/>
    </row>
    <row r="3" spans="1:15" s="65" customFormat="1" ht="14.25" customHeight="1">
      <c r="A3" s="200" t="s">
        <v>181</v>
      </c>
      <c r="B3" s="201" t="s">
        <v>141</v>
      </c>
      <c r="C3" s="426">
        <f>+C4+C64</f>
        <v>303104</v>
      </c>
      <c r="D3" s="426">
        <f>+D4+D64</f>
        <v>321181</v>
      </c>
      <c r="E3" s="194"/>
      <c r="F3" s="688"/>
      <c r="G3" s="702"/>
      <c r="H3" s="66"/>
      <c r="I3" s="67"/>
      <c r="J3" s="450"/>
      <c r="K3" s="24"/>
      <c r="L3" s="24"/>
      <c r="N3" s="24"/>
      <c r="O3" s="24"/>
    </row>
    <row r="4" spans="1:15" s="65" customFormat="1" ht="14.25" customHeight="1">
      <c r="A4" s="202"/>
      <c r="B4" s="478" t="s">
        <v>389</v>
      </c>
      <c r="C4" s="427">
        <f>+'[3]2.SZ.TÁBL. BEVÉTELEK'!$D$4</f>
        <v>29220</v>
      </c>
      <c r="D4" s="427">
        <f>+J4</f>
        <v>29220</v>
      </c>
      <c r="E4" s="196"/>
      <c r="F4" s="689"/>
      <c r="G4" s="703">
        <f>+D4/C4</f>
        <v>1</v>
      </c>
      <c r="H4" s="67"/>
      <c r="I4" s="67"/>
      <c r="J4" s="732">
        <f>12*2435</f>
        <v>29220</v>
      </c>
      <c r="K4" s="24"/>
      <c r="L4" s="24"/>
      <c r="N4" s="24"/>
      <c r="O4" s="24"/>
    </row>
    <row r="5" spans="1:15" s="65" customFormat="1" ht="14.25" customHeight="1">
      <c r="A5" s="211"/>
      <c r="B5" s="453" t="s">
        <v>390</v>
      </c>
      <c r="C5" s="433"/>
      <c r="D5" s="433"/>
      <c r="E5" s="434"/>
      <c r="F5" s="690"/>
      <c r="G5" s="704"/>
      <c r="H5" s="67"/>
      <c r="I5" s="67"/>
      <c r="J5" s="450"/>
      <c r="K5" s="24"/>
      <c r="L5" s="913" t="s">
        <v>472</v>
      </c>
      <c r="N5" s="24"/>
      <c r="O5" s="24"/>
    </row>
    <row r="6" spans="1:15" s="65" customFormat="1" ht="14.25" customHeight="1">
      <c r="A6" s="211"/>
      <c r="B6" s="452" t="s">
        <v>379</v>
      </c>
      <c r="C6" s="428">
        <f>SUM(C7:C13)</f>
        <v>10260</v>
      </c>
      <c r="D6" s="428">
        <f>SUM(D7:D13)</f>
        <v>10260</v>
      </c>
      <c r="E6" s="429"/>
      <c r="F6" s="691"/>
      <c r="G6" s="705">
        <f>+D6/C6</f>
        <v>1</v>
      </c>
      <c r="H6" s="67"/>
      <c r="I6" s="22" t="s">
        <v>367</v>
      </c>
      <c r="J6" s="24">
        <f>(3290*12)-D4</f>
        <v>10260</v>
      </c>
      <c r="K6" s="24"/>
      <c r="L6" s="913"/>
      <c r="N6" s="24"/>
      <c r="O6" s="24"/>
    </row>
    <row r="7" spans="1:15" s="432" customFormat="1" ht="14.25" customHeight="1">
      <c r="A7" s="211"/>
      <c r="B7" s="454" t="s">
        <v>358</v>
      </c>
      <c r="C7" s="428">
        <f>+'[3]2.SZ.TÁBL. BEVÉTELEK'!$D7</f>
        <v>1140</v>
      </c>
      <c r="D7" s="428">
        <f>+O7</f>
        <v>1147</v>
      </c>
      <c r="E7" s="429"/>
      <c r="F7" s="691"/>
      <c r="G7" s="705">
        <f>+D7/C7</f>
        <v>1.0061403508771929</v>
      </c>
      <c r="H7" s="67"/>
      <c r="I7" s="431"/>
      <c r="J7" s="450"/>
      <c r="K7" s="451" t="s">
        <v>358</v>
      </c>
      <c r="L7" s="465">
        <v>2759</v>
      </c>
      <c r="M7" s="467">
        <f>+L7/L14</f>
        <v>0.11181357649442755</v>
      </c>
      <c r="N7" s="24">
        <f>+$J$6*M7</f>
        <v>1147.2072948328266</v>
      </c>
      <c r="O7" s="71">
        <v>1147</v>
      </c>
    </row>
    <row r="8" spans="1:15" ht="14.25" customHeight="1">
      <c r="A8" s="211"/>
      <c r="B8" s="454" t="s">
        <v>359</v>
      </c>
      <c r="C8" s="428">
        <f>+'[3]2.SZ.TÁBL. BEVÉTELEK'!$D8</f>
        <v>3548</v>
      </c>
      <c r="D8" s="428">
        <f t="shared" ref="D8:D13" si="0">+O8</f>
        <v>3543</v>
      </c>
      <c r="E8" s="429"/>
      <c r="F8" s="691"/>
      <c r="G8" s="705">
        <f t="shared" ref="G8:G66" si="1">+D8/C8</f>
        <v>0.99859075535512964</v>
      </c>
      <c r="H8" s="67"/>
      <c r="J8" s="450"/>
      <c r="K8" s="451" t="s">
        <v>359</v>
      </c>
      <c r="L8" s="465">
        <v>8522</v>
      </c>
      <c r="M8" s="467">
        <f>+L8/L14</f>
        <v>0.3453698074974671</v>
      </c>
      <c r="N8" s="24">
        <f>+$J$6*M8</f>
        <v>3543.4942249240125</v>
      </c>
      <c r="O8" s="24">
        <v>3543</v>
      </c>
    </row>
    <row r="9" spans="1:15" ht="14.25" customHeight="1">
      <c r="A9" s="211"/>
      <c r="B9" s="454" t="s">
        <v>365</v>
      </c>
      <c r="C9" s="428">
        <f>+'[3]2.SZ.TÁBL. BEVÉTELEK'!$D9</f>
        <v>518</v>
      </c>
      <c r="D9" s="428">
        <f t="shared" si="0"/>
        <v>522</v>
      </c>
      <c r="E9" s="429"/>
      <c r="F9" s="691"/>
      <c r="G9" s="705">
        <f t="shared" si="1"/>
        <v>1.0077220077220077</v>
      </c>
      <c r="H9" s="67"/>
      <c r="J9" s="450"/>
      <c r="K9" s="451" t="s">
        <v>365</v>
      </c>
      <c r="L9" s="465">
        <v>1255</v>
      </c>
      <c r="M9" s="467">
        <f>+L9/L14</f>
        <v>5.0861195542046607E-2</v>
      </c>
      <c r="N9" s="24">
        <f t="shared" ref="N9:N13" si="2">+$J$6*M9</f>
        <v>521.83586626139822</v>
      </c>
      <c r="O9" s="24">
        <v>522</v>
      </c>
    </row>
    <row r="10" spans="1:15" ht="14.25" customHeight="1">
      <c r="A10" s="211"/>
      <c r="B10" s="454" t="s">
        <v>360</v>
      </c>
      <c r="C10" s="428">
        <f>+'[3]2.SZ.TÁBL. BEVÉTELEK'!$D10</f>
        <v>447</v>
      </c>
      <c r="D10" s="428">
        <f t="shared" si="0"/>
        <v>449</v>
      </c>
      <c r="E10" s="429"/>
      <c r="F10" s="691"/>
      <c r="G10" s="705">
        <f t="shared" si="1"/>
        <v>1.0044742729306488</v>
      </c>
      <c r="H10" s="67"/>
      <c r="J10" s="450"/>
      <c r="K10" s="451" t="s">
        <v>360</v>
      </c>
      <c r="L10" s="465">
        <v>1080</v>
      </c>
      <c r="M10" s="467">
        <f>+L10/L14</f>
        <v>4.376899696048632E-2</v>
      </c>
      <c r="N10" s="24">
        <f t="shared" si="2"/>
        <v>449.06990881458967</v>
      </c>
      <c r="O10" s="24">
        <v>449</v>
      </c>
    </row>
    <row r="11" spans="1:15" ht="14.25" customHeight="1">
      <c r="A11" s="211"/>
      <c r="B11" s="454" t="s">
        <v>361</v>
      </c>
      <c r="C11" s="428">
        <f>+'[3]2.SZ.TÁBL. BEVÉTELEK'!$D11</f>
        <v>2354</v>
      </c>
      <c r="D11" s="428">
        <f t="shared" si="0"/>
        <v>2343</v>
      </c>
      <c r="E11" s="429"/>
      <c r="F11" s="691"/>
      <c r="G11" s="705">
        <f t="shared" si="1"/>
        <v>0.99532710280373837</v>
      </c>
      <c r="H11" s="67"/>
      <c r="J11" s="450"/>
      <c r="K11" s="451" t="s">
        <v>361</v>
      </c>
      <c r="L11" s="465">
        <v>5635</v>
      </c>
      <c r="M11" s="467">
        <f>+L11/L14</f>
        <v>0.22836879432624113</v>
      </c>
      <c r="N11" s="24">
        <f t="shared" si="2"/>
        <v>2343.0638297872342</v>
      </c>
      <c r="O11" s="24">
        <v>2343</v>
      </c>
    </row>
    <row r="12" spans="1:15" ht="14.25" customHeight="1">
      <c r="A12" s="211"/>
      <c r="B12" s="454" t="s">
        <v>362</v>
      </c>
      <c r="C12" s="428">
        <f>+'[3]2.SZ.TÁBL. BEVÉTELEK'!$D12</f>
        <v>1411</v>
      </c>
      <c r="D12" s="428">
        <f t="shared" si="0"/>
        <v>1402</v>
      </c>
      <c r="E12" s="429"/>
      <c r="F12" s="691"/>
      <c r="G12" s="705">
        <f t="shared" si="1"/>
        <v>0.9936215450035436</v>
      </c>
      <c r="H12" s="67"/>
      <c r="J12" s="450"/>
      <c r="K12" s="451" t="s">
        <v>362</v>
      </c>
      <c r="L12" s="465">
        <v>3371</v>
      </c>
      <c r="M12" s="467">
        <f>+L12/L14</f>
        <v>0.13661600810536981</v>
      </c>
      <c r="N12" s="24">
        <f t="shared" si="2"/>
        <v>1401.6802431610943</v>
      </c>
      <c r="O12" s="24">
        <v>1402</v>
      </c>
    </row>
    <row r="13" spans="1:15" ht="14.25" customHeight="1">
      <c r="A13" s="211"/>
      <c r="B13" s="454" t="s">
        <v>363</v>
      </c>
      <c r="C13" s="428">
        <f>+'[3]2.SZ.TÁBL. BEVÉTELEK'!$D13</f>
        <v>842</v>
      </c>
      <c r="D13" s="428">
        <f t="shared" si="0"/>
        <v>854</v>
      </c>
      <c r="E13" s="429"/>
      <c r="F13" s="691"/>
      <c r="G13" s="705">
        <f t="shared" si="1"/>
        <v>1.0142517814726841</v>
      </c>
      <c r="H13" s="67"/>
      <c r="J13" s="450"/>
      <c r="K13" s="451" t="s">
        <v>363</v>
      </c>
      <c r="L13" s="465">
        <v>2053</v>
      </c>
      <c r="M13" s="467">
        <f>+L13/L14</f>
        <v>8.3201621073961493E-2</v>
      </c>
      <c r="N13" s="24">
        <f t="shared" si="2"/>
        <v>853.64863221884491</v>
      </c>
      <c r="O13" s="24">
        <v>854</v>
      </c>
    </row>
    <row r="14" spans="1:15" s="65" customFormat="1" ht="14.25" customHeight="1">
      <c r="A14" s="211"/>
      <c r="B14" s="278"/>
      <c r="C14" s="433"/>
      <c r="D14" s="433"/>
      <c r="E14" s="434"/>
      <c r="F14" s="690"/>
      <c r="G14" s="704"/>
      <c r="H14" s="67"/>
      <c r="I14" s="67"/>
      <c r="J14" s="450"/>
      <c r="L14" s="466">
        <f>SUM(L7:L13)</f>
        <v>24675</v>
      </c>
      <c r="M14" s="468"/>
      <c r="N14" s="469">
        <f>SUM(N7:N13)</f>
        <v>10260</v>
      </c>
      <c r="O14" s="24">
        <f>SUM(O7:O13)</f>
        <v>10260</v>
      </c>
    </row>
    <row r="15" spans="1:15" ht="14.25" customHeight="1">
      <c r="A15" s="214"/>
      <c r="B15" s="452" t="s">
        <v>364</v>
      </c>
      <c r="C15" s="428">
        <f>+SUM(C16:C18)</f>
        <v>6343</v>
      </c>
      <c r="D15" s="428">
        <f>+SUM(D16:D18)</f>
        <v>18377</v>
      </c>
      <c r="E15" s="429"/>
      <c r="F15" s="691"/>
      <c r="G15" s="705">
        <f t="shared" si="1"/>
        <v>2.8972095223080561</v>
      </c>
      <c r="H15" s="22"/>
      <c r="J15" s="450"/>
    </row>
    <row r="16" spans="1:15" ht="14.25" customHeight="1">
      <c r="A16" s="214"/>
      <c r="B16" s="454" t="s">
        <v>358</v>
      </c>
      <c r="C16" s="428">
        <f>+'[3]2.SZ.TÁBL. BEVÉTELEK'!$D16</f>
        <v>3309</v>
      </c>
      <c r="D16" s="428">
        <f>+'4.SZ.TÁBL. ÓVODA'!R32</f>
        <v>8172</v>
      </c>
      <c r="E16" s="429"/>
      <c r="F16" s="691"/>
      <c r="G16" s="705">
        <f t="shared" si="1"/>
        <v>2.4696282864913872</v>
      </c>
      <c r="H16" s="22"/>
      <c r="J16" s="450"/>
    </row>
    <row r="17" spans="1:15" ht="14.25" customHeight="1">
      <c r="A17" s="214"/>
      <c r="B17" s="454" t="s">
        <v>365</v>
      </c>
      <c r="C17" s="428">
        <f>+'[3]2.SZ.TÁBL. BEVÉTELEK'!$D17</f>
        <v>1004</v>
      </c>
      <c r="D17" s="428">
        <f>+'4.SZ.TÁBL. ÓVODA'!R33</f>
        <v>5530</v>
      </c>
      <c r="E17" s="429"/>
      <c r="F17" s="691"/>
      <c r="G17" s="705">
        <f t="shared" si="1"/>
        <v>5.5079681274900398</v>
      </c>
      <c r="H17" s="22"/>
    </row>
    <row r="18" spans="1:15" ht="14.25" customHeight="1">
      <c r="A18" s="214"/>
      <c r="B18" s="454" t="s">
        <v>363</v>
      </c>
      <c r="C18" s="428">
        <f>+'[3]2.SZ.TÁBL. BEVÉTELEK'!$D18</f>
        <v>2030</v>
      </c>
      <c r="D18" s="428">
        <f>+'4.SZ.TÁBL. ÓVODA'!R34</f>
        <v>4675</v>
      </c>
      <c r="E18" s="429"/>
      <c r="F18" s="691"/>
      <c r="G18" s="705">
        <f t="shared" si="1"/>
        <v>2.3029556650246303</v>
      </c>
      <c r="H18" s="22"/>
    </row>
    <row r="19" spans="1:15" ht="14.25" customHeight="1">
      <c r="A19" s="214"/>
      <c r="B19" s="464"/>
      <c r="C19" s="428"/>
      <c r="D19" s="428"/>
      <c r="E19" s="429"/>
      <c r="F19" s="691"/>
      <c r="G19" s="705"/>
      <c r="H19" s="22"/>
    </row>
    <row r="20" spans="1:15" ht="14.25" customHeight="1">
      <c r="A20" s="214"/>
      <c r="B20" s="452" t="s">
        <v>366</v>
      </c>
      <c r="C20" s="428">
        <f>+SUM(C21:C27)</f>
        <v>21447</v>
      </c>
      <c r="D20" s="428">
        <f>+SUM(D21:D27)</f>
        <v>30960</v>
      </c>
      <c r="E20" s="429"/>
      <c r="F20" s="691"/>
      <c r="G20" s="705">
        <f t="shared" si="1"/>
        <v>1.4435585396558959</v>
      </c>
      <c r="H20" s="22"/>
    </row>
    <row r="21" spans="1:15" ht="14.25" customHeight="1">
      <c r="A21" s="214"/>
      <c r="B21" s="454" t="s">
        <v>358</v>
      </c>
      <c r="C21" s="428">
        <f>+'[3]2.SZ.TÁBL. BEVÉTELEK'!$D21</f>
        <v>4572</v>
      </c>
      <c r="D21" s="428">
        <f>+'3.SZ.TÁBL. SEGÍTŐ SZOLGÁLAT'!AA32</f>
        <v>6918</v>
      </c>
      <c r="E21" s="429"/>
      <c r="F21" s="691"/>
      <c r="G21" s="705">
        <f t="shared" si="1"/>
        <v>1.5131233595800524</v>
      </c>
      <c r="H21" s="22"/>
    </row>
    <row r="22" spans="1:15" ht="14.25" customHeight="1">
      <c r="A22" s="214"/>
      <c r="B22" s="454" t="s">
        <v>365</v>
      </c>
      <c r="C22" s="428">
        <f>+'[3]2.SZ.TÁBL. BEVÉTELEK'!$D22</f>
        <v>1172</v>
      </c>
      <c r="D22" s="428">
        <f>+'3.SZ.TÁBL. SEGÍTŐ SZOLGÁLAT'!AA33</f>
        <v>1841</v>
      </c>
      <c r="E22" s="429"/>
      <c r="F22" s="691"/>
      <c r="G22" s="705">
        <f t="shared" si="1"/>
        <v>1.5708191126279865</v>
      </c>
      <c r="H22" s="22"/>
    </row>
    <row r="23" spans="1:15" ht="14.25" customHeight="1">
      <c r="A23" s="214"/>
      <c r="B23" s="454" t="s">
        <v>360</v>
      </c>
      <c r="C23" s="428">
        <f>+'[3]2.SZ.TÁBL. BEVÉTELEK'!$D23</f>
        <v>1271</v>
      </c>
      <c r="D23" s="428">
        <f>+'3.SZ.TÁBL. SEGÍTŐ SZOLGÁLAT'!AA34</f>
        <v>1634</v>
      </c>
      <c r="E23" s="429"/>
      <c r="F23" s="691"/>
      <c r="G23" s="705">
        <f t="shared" si="1"/>
        <v>1.2856018882769473</v>
      </c>
      <c r="H23" s="22"/>
      <c r="K23" s="463"/>
      <c r="L23" s="463"/>
    </row>
    <row r="24" spans="1:15" ht="14.25" customHeight="1">
      <c r="A24" s="214"/>
      <c r="B24" s="454" t="s">
        <v>361</v>
      </c>
      <c r="C24" s="428">
        <f>+'[3]2.SZ.TÁBL. BEVÉTELEK'!$D24</f>
        <v>7149</v>
      </c>
      <c r="D24" s="428">
        <f>+'3.SZ.TÁBL. SEGÍTŐ SZOLGÁLAT'!AA35</f>
        <v>9306</v>
      </c>
      <c r="E24" s="429"/>
      <c r="F24" s="691"/>
      <c r="G24" s="705">
        <f t="shared" si="1"/>
        <v>1.3017205203524969</v>
      </c>
      <c r="H24" s="22"/>
      <c r="J24" s="463"/>
      <c r="M24" s="463"/>
    </row>
    <row r="25" spans="1:15" ht="14.25" customHeight="1">
      <c r="A25" s="214"/>
      <c r="B25" s="454" t="s">
        <v>362</v>
      </c>
      <c r="C25" s="428">
        <f>+'[3]2.SZ.TÁBL. BEVÉTELEK'!$D25</f>
        <v>3455</v>
      </c>
      <c r="D25" s="428">
        <f>+'3.SZ.TÁBL. SEGÍTŐ SZOLGÁLAT'!AA36</f>
        <v>4994</v>
      </c>
      <c r="E25" s="429"/>
      <c r="F25" s="691"/>
      <c r="G25" s="705">
        <f t="shared" si="1"/>
        <v>1.4454413892908828</v>
      </c>
      <c r="H25" s="22"/>
    </row>
    <row r="26" spans="1:15" s="463" customFormat="1" ht="14.25" customHeight="1">
      <c r="A26" s="214"/>
      <c r="B26" s="454" t="s">
        <v>363</v>
      </c>
      <c r="C26" s="428">
        <f>+'[3]2.SZ.TÁBL. BEVÉTELEK'!$D26</f>
        <v>1907</v>
      </c>
      <c r="D26" s="428">
        <f>+'3.SZ.TÁBL. SEGÍTŐ SZOLGÁLAT'!AA37</f>
        <v>3011</v>
      </c>
      <c r="E26" s="429"/>
      <c r="F26" s="691"/>
      <c r="G26" s="705">
        <f t="shared" si="1"/>
        <v>1.5789197692711066</v>
      </c>
      <c r="H26" s="22"/>
      <c r="I26" s="23"/>
      <c r="J26" s="24"/>
      <c r="K26" s="24"/>
      <c r="L26" s="24"/>
      <c r="M26" s="24"/>
      <c r="N26" s="24"/>
      <c r="O26" s="24"/>
    </row>
    <row r="27" spans="1:15" s="463" customFormat="1" ht="14.25" customHeight="1">
      <c r="A27" s="214"/>
      <c r="B27" s="455" t="s">
        <v>343</v>
      </c>
      <c r="C27" s="428">
        <f>+'[3]2.SZ.TÁBL. BEVÉTELEK'!$D27</f>
        <v>1921</v>
      </c>
      <c r="D27" s="428">
        <f>+'3.SZ.TÁBL. SEGÍTŐ SZOLGÁLAT'!AA38</f>
        <v>3256</v>
      </c>
      <c r="E27" s="429"/>
      <c r="F27" s="691"/>
      <c r="G27" s="705">
        <f t="shared" si="1"/>
        <v>1.6949505465903176</v>
      </c>
      <c r="H27" s="22"/>
      <c r="I27" s="23"/>
      <c r="J27" s="24"/>
      <c r="K27" s="24"/>
      <c r="L27" s="24"/>
      <c r="M27" s="24"/>
      <c r="N27" s="24"/>
      <c r="O27" s="24"/>
    </row>
    <row r="28" spans="1:15" s="449" customFormat="1" ht="14.25" customHeight="1">
      <c r="A28" s="211"/>
      <c r="B28" s="455"/>
      <c r="C28" s="433"/>
      <c r="D28" s="433"/>
      <c r="E28" s="434"/>
      <c r="F28" s="690"/>
      <c r="G28" s="705"/>
      <c r="H28" s="67"/>
      <c r="I28" s="23"/>
      <c r="J28" s="24"/>
      <c r="K28" s="24"/>
      <c r="L28" s="913" t="s">
        <v>472</v>
      </c>
      <c r="M28" s="24"/>
      <c r="N28" s="24"/>
      <c r="O28" s="24"/>
    </row>
    <row r="29" spans="1:15" s="449" customFormat="1" ht="14.25" customHeight="1">
      <c r="A29" s="211"/>
      <c r="B29" s="452" t="s">
        <v>378</v>
      </c>
      <c r="C29" s="428">
        <f>SUM(C30:C37)</f>
        <v>2722</v>
      </c>
      <c r="D29" s="428">
        <f>SUM(D30:D37)</f>
        <v>2719</v>
      </c>
      <c r="E29" s="434"/>
      <c r="F29" s="690"/>
      <c r="G29" s="705">
        <f t="shared" si="1"/>
        <v>0.99889786921381341</v>
      </c>
      <c r="H29" s="67"/>
      <c r="I29" s="448"/>
      <c r="J29" s="24"/>
      <c r="K29" s="24"/>
      <c r="L29" s="913"/>
      <c r="M29" s="24"/>
      <c r="N29" s="24"/>
      <c r="O29" s="24"/>
    </row>
    <row r="30" spans="1:15" s="449" customFormat="1" ht="14.25" customHeight="1">
      <c r="A30" s="211"/>
      <c r="B30" s="454" t="s">
        <v>358</v>
      </c>
      <c r="C30" s="428">
        <f>+'[3]2.SZ.TÁBL. BEVÉTELEK'!$D30</f>
        <v>274</v>
      </c>
      <c r="D30" s="428">
        <f>+N30</f>
        <v>276</v>
      </c>
      <c r="E30" s="434"/>
      <c r="F30" s="690"/>
      <c r="G30" s="705">
        <f t="shared" si="1"/>
        <v>1.0072992700729928</v>
      </c>
      <c r="H30" s="67"/>
      <c r="I30" s="22" t="s">
        <v>368</v>
      </c>
      <c r="J30" s="24">
        <v>100</v>
      </c>
      <c r="K30" s="24" t="s">
        <v>4</v>
      </c>
      <c r="L30" s="465">
        <v>2759</v>
      </c>
      <c r="M30" s="22">
        <f>+$J$30*L30</f>
        <v>275900</v>
      </c>
      <c r="N30" s="24">
        <v>276</v>
      </c>
      <c r="O30" s="24"/>
    </row>
    <row r="31" spans="1:15" s="449" customFormat="1" ht="14.25" customHeight="1">
      <c r="A31" s="211"/>
      <c r="B31" s="454" t="s">
        <v>359</v>
      </c>
      <c r="C31" s="428">
        <f>+'[3]2.SZ.TÁBL. BEVÉTELEK'!$D31</f>
        <v>854</v>
      </c>
      <c r="D31" s="428">
        <f t="shared" ref="D31:D37" si="3">+N31</f>
        <v>852</v>
      </c>
      <c r="E31" s="434"/>
      <c r="F31" s="690"/>
      <c r="G31" s="705">
        <f t="shared" si="1"/>
        <v>0.99765807962529274</v>
      </c>
      <c r="H31" s="67"/>
      <c r="I31" s="22"/>
      <c r="J31" s="24"/>
      <c r="K31" s="24" t="s">
        <v>5</v>
      </c>
      <c r="L31" s="465">
        <v>8522</v>
      </c>
      <c r="M31" s="22">
        <f t="shared" ref="M31:M37" si="4">+$J$30*L31</f>
        <v>852200</v>
      </c>
      <c r="N31" s="24">
        <v>852</v>
      </c>
      <c r="O31" s="24"/>
    </row>
    <row r="32" spans="1:15" s="449" customFormat="1" ht="14.25" customHeight="1">
      <c r="A32" s="211"/>
      <c r="B32" s="454" t="s">
        <v>365</v>
      </c>
      <c r="C32" s="428">
        <f>+'[3]2.SZ.TÁBL. BEVÉTELEK'!$D32</f>
        <v>125</v>
      </c>
      <c r="D32" s="428">
        <f t="shared" si="3"/>
        <v>126</v>
      </c>
      <c r="E32" s="434"/>
      <c r="F32" s="690"/>
      <c r="G32" s="705">
        <f t="shared" si="1"/>
        <v>1.008</v>
      </c>
      <c r="H32" s="67"/>
      <c r="I32" s="22"/>
      <c r="J32" s="24"/>
      <c r="K32" s="24" t="s">
        <v>6</v>
      </c>
      <c r="L32" s="465">
        <v>1255</v>
      </c>
      <c r="M32" s="22">
        <f t="shared" si="4"/>
        <v>125500</v>
      </c>
      <c r="N32" s="24">
        <v>126</v>
      </c>
      <c r="O32" s="24"/>
    </row>
    <row r="33" spans="1:17" s="449" customFormat="1" ht="14.25" customHeight="1">
      <c r="A33" s="211"/>
      <c r="B33" s="454" t="s">
        <v>360</v>
      </c>
      <c r="C33" s="428">
        <f>+'[3]2.SZ.TÁBL. BEVÉTELEK'!$D33</f>
        <v>107</v>
      </c>
      <c r="D33" s="428">
        <f t="shared" si="3"/>
        <v>108</v>
      </c>
      <c r="E33" s="434"/>
      <c r="F33" s="690"/>
      <c r="G33" s="705">
        <f t="shared" si="1"/>
        <v>1.0093457943925233</v>
      </c>
      <c r="H33" s="67"/>
      <c r="I33" s="22"/>
      <c r="J33" s="24"/>
      <c r="K33" s="24" t="s">
        <v>7</v>
      </c>
      <c r="L33" s="465">
        <v>1080</v>
      </c>
      <c r="M33" s="22">
        <f t="shared" si="4"/>
        <v>108000</v>
      </c>
      <c r="N33" s="24">
        <v>108</v>
      </c>
      <c r="O33" s="24"/>
    </row>
    <row r="34" spans="1:17" s="449" customFormat="1" ht="14.25" customHeight="1">
      <c r="A34" s="211"/>
      <c r="B34" s="454" t="s">
        <v>361</v>
      </c>
      <c r="C34" s="428">
        <f>+'[3]2.SZ.TÁBL. BEVÉTELEK'!$D34</f>
        <v>567</v>
      </c>
      <c r="D34" s="428">
        <f t="shared" si="3"/>
        <v>564</v>
      </c>
      <c r="E34" s="434"/>
      <c r="F34" s="690"/>
      <c r="G34" s="705">
        <f t="shared" si="1"/>
        <v>0.99470899470899465</v>
      </c>
      <c r="H34" s="67"/>
      <c r="I34" s="22"/>
      <c r="J34" s="24"/>
      <c r="K34" s="24" t="s">
        <v>8</v>
      </c>
      <c r="L34" s="465">
        <v>5635</v>
      </c>
      <c r="M34" s="22">
        <f t="shared" si="4"/>
        <v>563500</v>
      </c>
      <c r="N34" s="24">
        <v>564</v>
      </c>
      <c r="O34" s="24"/>
    </row>
    <row r="35" spans="1:17" s="449" customFormat="1" ht="14.25" customHeight="1">
      <c r="A35" s="211"/>
      <c r="B35" s="454" t="s">
        <v>362</v>
      </c>
      <c r="C35" s="428">
        <f>+'[3]2.SZ.TÁBL. BEVÉTELEK'!$D35</f>
        <v>340</v>
      </c>
      <c r="D35" s="428">
        <f t="shared" si="3"/>
        <v>337</v>
      </c>
      <c r="E35" s="434"/>
      <c r="F35" s="690"/>
      <c r="G35" s="705">
        <f t="shared" si="1"/>
        <v>0.99117647058823533</v>
      </c>
      <c r="H35" s="67"/>
      <c r="I35" s="22"/>
      <c r="J35" s="24"/>
      <c r="K35" s="24" t="s">
        <v>9</v>
      </c>
      <c r="L35" s="465">
        <v>3371</v>
      </c>
      <c r="M35" s="22">
        <f t="shared" si="4"/>
        <v>337100</v>
      </c>
      <c r="N35" s="24">
        <v>337</v>
      </c>
      <c r="O35" s="24"/>
    </row>
    <row r="36" spans="1:17" s="449" customFormat="1" ht="14.25" customHeight="1">
      <c r="A36" s="211"/>
      <c r="B36" s="454" t="s">
        <v>363</v>
      </c>
      <c r="C36" s="428">
        <f>+'[3]2.SZ.TÁBL. BEVÉTELEK'!$D36</f>
        <v>203</v>
      </c>
      <c r="D36" s="428">
        <f t="shared" si="3"/>
        <v>205</v>
      </c>
      <c r="E36" s="434"/>
      <c r="F36" s="690"/>
      <c r="G36" s="705">
        <f t="shared" si="1"/>
        <v>1.0098522167487685</v>
      </c>
      <c r="H36" s="67"/>
      <c r="I36" s="22"/>
      <c r="J36" s="24"/>
      <c r="K36" s="24" t="s">
        <v>10</v>
      </c>
      <c r="L36" s="465">
        <v>2053</v>
      </c>
      <c r="M36" s="22">
        <f t="shared" si="4"/>
        <v>205300</v>
      </c>
      <c r="N36" s="24">
        <v>205</v>
      </c>
      <c r="O36" s="24"/>
    </row>
    <row r="37" spans="1:17" s="449" customFormat="1" ht="14.25" customHeight="1">
      <c r="A37" s="211"/>
      <c r="B37" s="455" t="s">
        <v>343</v>
      </c>
      <c r="C37" s="428">
        <f>+'[3]2.SZ.TÁBL. BEVÉTELEK'!$D37</f>
        <v>252</v>
      </c>
      <c r="D37" s="428">
        <f t="shared" si="3"/>
        <v>251</v>
      </c>
      <c r="E37" s="434"/>
      <c r="F37" s="690"/>
      <c r="G37" s="705">
        <f t="shared" si="1"/>
        <v>0.99603174603174605</v>
      </c>
      <c r="H37" s="67"/>
      <c r="I37" s="448"/>
      <c r="J37" s="24"/>
      <c r="K37" s="71" t="s">
        <v>343</v>
      </c>
      <c r="L37" s="422">
        <v>2513</v>
      </c>
      <c r="M37" s="22">
        <f t="shared" si="4"/>
        <v>251300</v>
      </c>
      <c r="N37" s="422">
        <v>251</v>
      </c>
      <c r="O37" s="24"/>
    </row>
    <row r="38" spans="1:17" s="449" customFormat="1" ht="14.25" customHeight="1">
      <c r="A38" s="211"/>
      <c r="B38" s="455"/>
      <c r="C38" s="433"/>
      <c r="D38" s="433"/>
      <c r="E38" s="434"/>
      <c r="F38" s="690"/>
      <c r="G38" s="705"/>
      <c r="H38" s="67"/>
      <c r="I38" s="448"/>
      <c r="J38" s="24"/>
      <c r="K38" s="24"/>
      <c r="L38" s="466">
        <f>SUM(L30:L37)</f>
        <v>27188</v>
      </c>
      <c r="M38" s="22">
        <f>SUM(M30:M37)</f>
        <v>2718800</v>
      </c>
      <c r="N38" s="22">
        <f>SUM(N30:N37)</f>
        <v>2719</v>
      </c>
      <c r="O38" s="24"/>
    </row>
    <row r="39" spans="1:17" s="449" customFormat="1" ht="14.25" customHeight="1">
      <c r="A39" s="211"/>
      <c r="B39" s="452" t="s">
        <v>383</v>
      </c>
      <c r="C39" s="428">
        <f>+SUM(C40:C46)</f>
        <v>3008</v>
      </c>
      <c r="D39" s="428">
        <f>+SUM(D40:D46)</f>
        <v>2966</v>
      </c>
      <c r="E39" s="434"/>
      <c r="F39" s="690"/>
      <c r="G39" s="705">
        <f t="shared" si="1"/>
        <v>0.98603723404255317</v>
      </c>
      <c r="H39" s="67"/>
      <c r="I39" s="448"/>
      <c r="J39" s="24"/>
      <c r="K39" s="24"/>
      <c r="L39" s="466"/>
      <c r="M39" s="22"/>
      <c r="N39" s="22"/>
      <c r="O39" s="24"/>
    </row>
    <row r="40" spans="1:17" s="449" customFormat="1" ht="14.25" customHeight="1">
      <c r="A40" s="211"/>
      <c r="B40" s="454" t="s">
        <v>358</v>
      </c>
      <c r="C40" s="428">
        <f>+'[3]2.SZ.TÁBL. BEVÉTELEK'!$D40</f>
        <v>248</v>
      </c>
      <c r="D40" s="428">
        <f>+N41</f>
        <v>342</v>
      </c>
      <c r="E40" s="434"/>
      <c r="F40" s="690"/>
      <c r="G40" s="705">
        <f t="shared" si="1"/>
        <v>1.3790322580645162</v>
      </c>
      <c r="H40" s="67"/>
      <c r="I40" s="22" t="s">
        <v>386</v>
      </c>
      <c r="J40" s="24" t="s">
        <v>388</v>
      </c>
      <c r="K40" s="24"/>
      <c r="L40" s="466" t="s">
        <v>387</v>
      </c>
      <c r="M40" s="22"/>
      <c r="N40" s="22"/>
      <c r="O40" s="24"/>
    </row>
    <row r="41" spans="1:17" s="449" customFormat="1" ht="14.25" customHeight="1">
      <c r="A41" s="211"/>
      <c r="B41" s="454" t="s">
        <v>365</v>
      </c>
      <c r="C41" s="428">
        <f>+'[3]2.SZ.TÁBL. BEVÉTELEK'!$D41</f>
        <v>335</v>
      </c>
      <c r="D41" s="428">
        <f t="shared" ref="D41:D46" si="5">+N42</f>
        <v>244</v>
      </c>
      <c r="E41" s="434"/>
      <c r="F41" s="690"/>
      <c r="G41" s="705">
        <f t="shared" si="1"/>
        <v>0.72835820895522385</v>
      </c>
      <c r="H41" s="67"/>
      <c r="I41" s="22"/>
      <c r="J41" s="24">
        <v>9777</v>
      </c>
      <c r="K41" s="24" t="s">
        <v>4</v>
      </c>
      <c r="L41" s="466">
        <v>35</v>
      </c>
      <c r="M41" s="22">
        <f>+J41*L41</f>
        <v>342195</v>
      </c>
      <c r="N41" s="22">
        <v>342</v>
      </c>
      <c r="O41" s="24"/>
      <c r="P41" s="24" t="s">
        <v>438</v>
      </c>
      <c r="Q41" s="24">
        <v>2073000</v>
      </c>
    </row>
    <row r="42" spans="1:17" s="449" customFormat="1" ht="14.25" customHeight="1">
      <c r="A42" s="211"/>
      <c r="B42" s="454" t="s">
        <v>360</v>
      </c>
      <c r="C42" s="428">
        <f>+'[3]2.SZ.TÁBL. BEVÉTELEK'!$D42</f>
        <v>385</v>
      </c>
      <c r="D42" s="428">
        <f t="shared" si="5"/>
        <v>215</v>
      </c>
      <c r="E42" s="434"/>
      <c r="F42" s="690"/>
      <c r="G42" s="705">
        <f t="shared" si="1"/>
        <v>0.55844155844155841</v>
      </c>
      <c r="H42" s="67"/>
      <c r="I42" s="22"/>
      <c r="J42" s="24"/>
      <c r="K42" s="24" t="s">
        <v>6</v>
      </c>
      <c r="L42" s="466">
        <v>25</v>
      </c>
      <c r="M42" s="22">
        <f>+J41*L42</f>
        <v>244425</v>
      </c>
      <c r="N42" s="22">
        <v>244</v>
      </c>
      <c r="O42" s="24"/>
      <c r="P42" s="24" t="s">
        <v>439</v>
      </c>
      <c r="Q42" s="24">
        <f>+L41+L42+L43+L45+L46+L47</f>
        <v>212</v>
      </c>
    </row>
    <row r="43" spans="1:17" s="449" customFormat="1" ht="14.25" customHeight="1">
      <c r="A43" s="211"/>
      <c r="B43" s="454" t="s">
        <v>361</v>
      </c>
      <c r="C43" s="428">
        <f>+'[3]2.SZ.TÁBL. BEVÉTELEK'!$D43</f>
        <v>935</v>
      </c>
      <c r="D43" s="428">
        <f t="shared" si="5"/>
        <v>894</v>
      </c>
      <c r="E43" s="434"/>
      <c r="F43" s="690"/>
      <c r="G43" s="705">
        <f t="shared" si="1"/>
        <v>0.95614973262032088</v>
      </c>
      <c r="H43" s="67"/>
      <c r="I43" s="22"/>
      <c r="J43" s="24"/>
      <c r="K43" s="24" t="s">
        <v>7</v>
      </c>
      <c r="L43" s="466">
        <v>22</v>
      </c>
      <c r="M43" s="22">
        <f>+J41*L43</f>
        <v>215094</v>
      </c>
      <c r="N43" s="22">
        <v>215</v>
      </c>
      <c r="O43" s="24"/>
      <c r="P43" s="24" t="s">
        <v>440</v>
      </c>
      <c r="Q43" s="24">
        <f>+Q41/Q42</f>
        <v>9778.3018867924529</v>
      </c>
    </row>
    <row r="44" spans="1:17" s="449" customFormat="1" ht="14.25" customHeight="1">
      <c r="A44" s="211"/>
      <c r="B44" s="454" t="s">
        <v>362</v>
      </c>
      <c r="C44" s="428">
        <f>+'[3]2.SZ.TÁBL. BEVÉTELEK'!$D44</f>
        <v>447</v>
      </c>
      <c r="D44" s="428">
        <f t="shared" si="5"/>
        <v>391</v>
      </c>
      <c r="E44" s="434"/>
      <c r="F44" s="690"/>
      <c r="G44" s="705">
        <f t="shared" si="1"/>
        <v>0.87472035794183445</v>
      </c>
      <c r="H44" s="67"/>
      <c r="I44" s="22"/>
      <c r="J44" s="24">
        <v>20320</v>
      </c>
      <c r="K44" s="24" t="s">
        <v>8</v>
      </c>
      <c r="L44" s="466">
        <v>44</v>
      </c>
      <c r="M44" s="22">
        <f>+J44*L44</f>
        <v>894080</v>
      </c>
      <c r="N44" s="22">
        <v>894</v>
      </c>
      <c r="O44" s="24"/>
    </row>
    <row r="45" spans="1:17" s="449" customFormat="1" ht="14.25" customHeight="1">
      <c r="A45" s="211"/>
      <c r="B45" s="454" t="s">
        <v>363</v>
      </c>
      <c r="C45" s="428">
        <f>+'[3]2.SZ.TÁBL. BEVÉTELEK'!$D45</f>
        <v>273</v>
      </c>
      <c r="D45" s="428">
        <f t="shared" si="5"/>
        <v>440</v>
      </c>
      <c r="E45" s="434"/>
      <c r="F45" s="690"/>
      <c r="G45" s="705">
        <f t="shared" si="1"/>
        <v>1.6117216117216118</v>
      </c>
      <c r="H45" s="67"/>
      <c r="I45" s="22"/>
      <c r="J45" s="24"/>
      <c r="K45" s="24" t="s">
        <v>9</v>
      </c>
      <c r="L45" s="466">
        <v>40</v>
      </c>
      <c r="M45" s="22">
        <f>+J41*L45</f>
        <v>391080</v>
      </c>
      <c r="N45" s="22">
        <v>391</v>
      </c>
      <c r="O45" s="24"/>
    </row>
    <row r="46" spans="1:17" s="449" customFormat="1" ht="14.25" customHeight="1">
      <c r="A46" s="211"/>
      <c r="B46" s="455" t="s">
        <v>343</v>
      </c>
      <c r="C46" s="428">
        <f>+'[3]2.SZ.TÁBL. BEVÉTELEK'!$D46</f>
        <v>385</v>
      </c>
      <c r="D46" s="428">
        <f t="shared" si="5"/>
        <v>440</v>
      </c>
      <c r="E46" s="434"/>
      <c r="F46" s="690"/>
      <c r="G46" s="705">
        <f t="shared" si="1"/>
        <v>1.1428571428571428</v>
      </c>
      <c r="H46" s="67"/>
      <c r="I46" s="22"/>
      <c r="J46" s="24"/>
      <c r="K46" s="24" t="s">
        <v>10</v>
      </c>
      <c r="L46" s="466">
        <v>45</v>
      </c>
      <c r="M46" s="22">
        <f>+J41*L46</f>
        <v>439965</v>
      </c>
      <c r="N46" s="22">
        <v>440</v>
      </c>
      <c r="O46" s="24"/>
    </row>
    <row r="47" spans="1:17" s="449" customFormat="1" ht="14.25" customHeight="1">
      <c r="A47" s="211"/>
      <c r="B47" s="517"/>
      <c r="C47" s="433"/>
      <c r="D47" s="433"/>
      <c r="E47" s="434"/>
      <c r="F47" s="690"/>
      <c r="G47" s="705"/>
      <c r="H47" s="67"/>
      <c r="I47" s="22"/>
      <c r="J47" s="24"/>
      <c r="K47" s="71" t="s">
        <v>343</v>
      </c>
      <c r="L47" s="466">
        <v>45</v>
      </c>
      <c r="M47" s="22">
        <f>+J41*L47</f>
        <v>439965</v>
      </c>
      <c r="N47" s="22">
        <v>440</v>
      </c>
      <c r="O47" s="24"/>
    </row>
    <row r="48" spans="1:17" s="449" customFormat="1" ht="14.25" customHeight="1">
      <c r="A48" s="211"/>
      <c r="B48" s="452" t="s">
        <v>384</v>
      </c>
      <c r="C48" s="428">
        <f>+SUM(C49:C55)</f>
        <v>6301</v>
      </c>
      <c r="D48" s="428">
        <f>+SUM(D49:D55)</f>
        <v>6610</v>
      </c>
      <c r="E48" s="434"/>
      <c r="F48" s="690"/>
      <c r="G48" s="705">
        <f t="shared" si="1"/>
        <v>1.0490398349468337</v>
      </c>
      <c r="H48" s="67"/>
      <c r="I48" s="22"/>
      <c r="J48" s="24"/>
      <c r="K48" s="71"/>
      <c r="L48" s="466"/>
      <c r="M48" s="22">
        <f>SUM(M41:M47)</f>
        <v>2966804</v>
      </c>
      <c r="N48" s="22">
        <f>SUM(N41:N47)</f>
        <v>2966</v>
      </c>
      <c r="O48" s="24"/>
    </row>
    <row r="49" spans="1:16" s="449" customFormat="1" ht="14.25" customHeight="1">
      <c r="A49" s="211"/>
      <c r="B49" s="454" t="s">
        <v>358</v>
      </c>
      <c r="C49" s="428">
        <f>+'[3]2.SZ.TÁBL. BEVÉTELEK'!$D49</f>
        <v>1890</v>
      </c>
      <c r="D49" s="428">
        <f>+N51+O57+O66</f>
        <v>1980</v>
      </c>
      <c r="E49" s="434"/>
      <c r="F49" s="690"/>
      <c r="G49" s="705">
        <f t="shared" si="1"/>
        <v>1.0476190476190477</v>
      </c>
      <c r="H49" s="67"/>
      <c r="I49" s="22"/>
      <c r="J49" s="24"/>
      <c r="K49" s="24"/>
      <c r="L49" s="466"/>
      <c r="M49" s="22"/>
      <c r="N49" s="22"/>
      <c r="O49" s="24"/>
      <c r="P49" s="24"/>
    </row>
    <row r="50" spans="1:16" s="449" customFormat="1" ht="14.25" customHeight="1">
      <c r="A50" s="211"/>
      <c r="B50" s="454" t="s">
        <v>359</v>
      </c>
      <c r="C50" s="428">
        <f>+'[3]2.SZ.TÁBL. BEVÉTELEK'!$D50</f>
        <v>412</v>
      </c>
      <c r="D50" s="428">
        <f>+O67</f>
        <v>411</v>
      </c>
      <c r="E50" s="434"/>
      <c r="F50" s="690"/>
      <c r="G50" s="705">
        <f t="shared" si="1"/>
        <v>0.99757281553398058</v>
      </c>
      <c r="H50" s="67"/>
      <c r="I50" s="22" t="s">
        <v>369</v>
      </c>
      <c r="J50" s="24"/>
      <c r="K50" s="24" t="s">
        <v>370</v>
      </c>
      <c r="L50" s="24" t="s">
        <v>371</v>
      </c>
      <c r="M50" s="22">
        <v>177864</v>
      </c>
      <c r="N50" s="24"/>
      <c r="O50" s="24"/>
      <c r="P50" s="24"/>
    </row>
    <row r="51" spans="1:16" ht="12.75">
      <c r="A51" s="211"/>
      <c r="B51" s="454" t="s">
        <v>365</v>
      </c>
      <c r="C51" s="428">
        <f>+'[3]2.SZ.TÁBL. BEVÉTELEK'!$D51</f>
        <v>921</v>
      </c>
      <c r="D51" s="428">
        <f>+N52+O58+O68</f>
        <v>964</v>
      </c>
      <c r="E51" s="434"/>
      <c r="F51" s="690"/>
      <c r="G51" s="705">
        <f t="shared" si="1"/>
        <v>1.0466883821932682</v>
      </c>
      <c r="H51" s="67"/>
      <c r="K51" s="24" t="s">
        <v>4</v>
      </c>
      <c r="L51" s="470">
        <v>0.4</v>
      </c>
      <c r="M51" s="98">
        <f>+$M$50*L51*0.02</f>
        <v>1422.912</v>
      </c>
      <c r="N51" s="24">
        <v>1423</v>
      </c>
    </row>
    <row r="52" spans="1:16" ht="12.95" customHeight="1">
      <c r="A52" s="211"/>
      <c r="B52" s="454" t="s">
        <v>360</v>
      </c>
      <c r="C52" s="428">
        <f>+'[3]2.SZ.TÁBL. BEVÉTELEK'!$D52</f>
        <v>203</v>
      </c>
      <c r="D52" s="428">
        <f>+O59+O69</f>
        <v>219</v>
      </c>
      <c r="E52" s="434"/>
      <c r="F52" s="690"/>
      <c r="G52" s="705">
        <f t="shared" si="1"/>
        <v>1.0788177339901477</v>
      </c>
      <c r="H52" s="67"/>
      <c r="K52" s="24" t="s">
        <v>6</v>
      </c>
      <c r="L52" s="470">
        <v>0.2</v>
      </c>
      <c r="M52" s="98">
        <f>+$M$50*L52*0.02</f>
        <v>711.45600000000002</v>
      </c>
      <c r="N52" s="24">
        <v>711</v>
      </c>
    </row>
    <row r="53" spans="1:16" ht="12.95" customHeight="1">
      <c r="A53" s="211"/>
      <c r="B53" s="454" t="s">
        <v>362</v>
      </c>
      <c r="C53" s="428">
        <f>+'[3]2.SZ.TÁBL. BEVÉTELEK'!$D53</f>
        <v>643</v>
      </c>
      <c r="D53" s="428">
        <f>+O60+O70</f>
        <v>690</v>
      </c>
      <c r="E53" s="434"/>
      <c r="F53" s="690"/>
      <c r="G53" s="705">
        <f t="shared" si="1"/>
        <v>1.0730948678071539</v>
      </c>
      <c r="H53" s="67"/>
      <c r="K53" s="24" t="s">
        <v>10</v>
      </c>
      <c r="L53" s="470">
        <v>0.4</v>
      </c>
      <c r="M53" s="98">
        <f>+$M$50*L53*0.02</f>
        <v>1422.912</v>
      </c>
      <c r="N53" s="24">
        <v>1423</v>
      </c>
    </row>
    <row r="54" spans="1:16" ht="12.95" customHeight="1">
      <c r="A54" s="211"/>
      <c r="B54" s="454" t="s">
        <v>363</v>
      </c>
      <c r="C54" s="428">
        <f>+'[3]2.SZ.TÁBL. BEVÉTELEK'!$D54</f>
        <v>1755</v>
      </c>
      <c r="D54" s="428">
        <f>+N53+O61+O71</f>
        <v>1834</v>
      </c>
      <c r="E54" s="434"/>
      <c r="F54" s="690"/>
      <c r="G54" s="705">
        <f t="shared" si="1"/>
        <v>1.045014245014245</v>
      </c>
      <c r="H54" s="67"/>
      <c r="L54" s="470">
        <f>SUM(L51:L53)</f>
        <v>1</v>
      </c>
      <c r="M54" s="98">
        <f>SUM(M51:M53)</f>
        <v>3557.2799999999997</v>
      </c>
      <c r="N54" s="24">
        <f>SUM(N51:N53)</f>
        <v>3557</v>
      </c>
    </row>
    <row r="55" spans="1:16" ht="12.95" customHeight="1">
      <c r="A55" s="211"/>
      <c r="B55" s="455" t="s">
        <v>343</v>
      </c>
      <c r="C55" s="428">
        <f>+'[3]2.SZ.TÁBL. BEVÉTELEK'!$D55</f>
        <v>477</v>
      </c>
      <c r="D55" s="428">
        <f>+O62+O72</f>
        <v>512</v>
      </c>
      <c r="E55" s="434"/>
      <c r="F55" s="690"/>
      <c r="G55" s="705">
        <f t="shared" si="1"/>
        <v>1.0733752620545074</v>
      </c>
      <c r="H55" s="67"/>
      <c r="M55" s="22"/>
    </row>
    <row r="56" spans="1:16" ht="12.95" customHeight="1">
      <c r="A56" s="211"/>
      <c r="B56" s="455"/>
      <c r="C56" s="433"/>
      <c r="D56" s="433"/>
      <c r="E56" s="434"/>
      <c r="F56" s="690"/>
      <c r="G56" s="705"/>
      <c r="H56" s="67"/>
      <c r="K56" s="24" t="s">
        <v>372</v>
      </c>
      <c r="L56" s="24" t="s">
        <v>371</v>
      </c>
      <c r="M56" s="22">
        <v>100867</v>
      </c>
    </row>
    <row r="57" spans="1:16" ht="12.95" customHeight="1">
      <c r="A57" s="211"/>
      <c r="B57" s="452" t="s">
        <v>403</v>
      </c>
      <c r="C57" s="428">
        <f>+C58</f>
        <v>0</v>
      </c>
      <c r="D57" s="428">
        <f>+D58</f>
        <v>0</v>
      </c>
      <c r="E57" s="434"/>
      <c r="F57" s="690"/>
      <c r="G57" s="705"/>
      <c r="H57" s="67"/>
      <c r="K57" s="24" t="s">
        <v>373</v>
      </c>
      <c r="L57" s="465">
        <v>2744</v>
      </c>
      <c r="M57" s="467">
        <f>+L57/$L$63</f>
        <v>0.21093089399646398</v>
      </c>
      <c r="N57" s="98">
        <f t="shared" ref="N57:N62" si="6">+$M$56*M57*0.02</f>
        <v>425.51932969482669</v>
      </c>
      <c r="O57" s="466">
        <v>425</v>
      </c>
    </row>
    <row r="58" spans="1:16" ht="12.95" customHeight="1">
      <c r="A58" s="211"/>
      <c r="B58" s="455" t="s">
        <v>8</v>
      </c>
      <c r="C58" s="428">
        <f>+'[3]2.SZ.TÁBL. BEVÉTELEK'!$D58</f>
        <v>0</v>
      </c>
      <c r="D58" s="428">
        <v>0</v>
      </c>
      <c r="E58" s="434"/>
      <c r="F58" s="690"/>
      <c r="G58" s="705"/>
      <c r="H58" s="67"/>
      <c r="K58" s="471" t="s">
        <v>365</v>
      </c>
      <c r="L58" s="465">
        <v>1246</v>
      </c>
      <c r="M58" s="467">
        <f t="shared" ref="M58:M59" si="7">+L58/$L$63</f>
        <v>9.5779844722884158E-2</v>
      </c>
      <c r="N58" s="98">
        <f t="shared" si="6"/>
        <v>193.22051195326313</v>
      </c>
      <c r="O58" s="472">
        <v>193</v>
      </c>
    </row>
    <row r="59" spans="1:16" ht="12.95" customHeight="1">
      <c r="A59" s="211"/>
      <c r="B59" s="455"/>
      <c r="C59" s="433"/>
      <c r="D59" s="433"/>
      <c r="E59" s="434"/>
      <c r="F59" s="690"/>
      <c r="G59" s="705"/>
      <c r="H59" s="67"/>
      <c r="K59" s="471" t="s">
        <v>374</v>
      </c>
      <c r="L59" s="465">
        <v>1075</v>
      </c>
      <c r="M59" s="467">
        <f t="shared" si="7"/>
        <v>8.2635098777769242E-2</v>
      </c>
      <c r="N59" s="98">
        <f t="shared" si="6"/>
        <v>166.703090168345</v>
      </c>
      <c r="O59" s="466">
        <v>167</v>
      </c>
    </row>
    <row r="60" spans="1:16" ht="12.95" customHeight="1">
      <c r="A60" s="211"/>
      <c r="B60" s="452" t="s">
        <v>385</v>
      </c>
      <c r="C60" s="428">
        <f>+SUM(C61:C62)</f>
        <v>223803</v>
      </c>
      <c r="D60" s="428">
        <f>+SUM(D61:D62)</f>
        <v>220069</v>
      </c>
      <c r="E60" s="434"/>
      <c r="F60" s="690"/>
      <c r="G60" s="705">
        <f t="shared" si="1"/>
        <v>0.98331568388270041</v>
      </c>
      <c r="H60" s="67"/>
      <c r="K60" s="471" t="s">
        <v>375</v>
      </c>
      <c r="L60" s="465">
        <v>3398</v>
      </c>
      <c r="M60" s="467">
        <f>+L60/$L$63</f>
        <v>0.26120378199707894</v>
      </c>
      <c r="N60" s="98">
        <f t="shared" si="6"/>
        <v>526.93683757398719</v>
      </c>
      <c r="O60" s="466">
        <v>527</v>
      </c>
    </row>
    <row r="61" spans="1:16" ht="12.95" customHeight="1">
      <c r="A61" s="211"/>
      <c r="B61" s="455" t="s">
        <v>380</v>
      </c>
      <c r="C61" s="428">
        <f>+'[3]2.SZ.TÁBL. BEVÉTELEK'!$D61</f>
        <v>162497</v>
      </c>
      <c r="D61" s="428">
        <f>+'5.SZ.TÁBL. ÓVODAI NORMATÍVA'!M45</f>
        <v>159487</v>
      </c>
      <c r="E61" s="434"/>
      <c r="F61" s="690"/>
      <c r="G61" s="705">
        <f t="shared" si="1"/>
        <v>0.98147658110611269</v>
      </c>
      <c r="H61" s="67"/>
      <c r="K61" s="471" t="s">
        <v>376</v>
      </c>
      <c r="L61" s="465">
        <v>2027</v>
      </c>
      <c r="M61" s="467">
        <f>+L61/$L$63</f>
        <v>0.1558152048581751</v>
      </c>
      <c r="N61" s="98">
        <f t="shared" si="6"/>
        <v>314.33224536859097</v>
      </c>
      <c r="O61" s="466">
        <v>314</v>
      </c>
    </row>
    <row r="62" spans="1:16" ht="12.95" customHeight="1">
      <c r="A62" s="211"/>
      <c r="B62" s="455" t="s">
        <v>381</v>
      </c>
      <c r="C62" s="428">
        <f>+'[3]2.SZ.TÁBL. BEVÉTELEK'!$D62</f>
        <v>61306</v>
      </c>
      <c r="D62" s="428">
        <f>+'6.SZ.TÁBL. SZOCIÁLIS NORMATÍVA'!D11</f>
        <v>60582</v>
      </c>
      <c r="E62" s="434"/>
      <c r="F62" s="690"/>
      <c r="G62" s="705">
        <f t="shared" si="1"/>
        <v>0.98819038919518476</v>
      </c>
      <c r="H62" s="67"/>
      <c r="K62" s="471" t="s">
        <v>343</v>
      </c>
      <c r="L62" s="422">
        <v>2519</v>
      </c>
      <c r="M62" s="467">
        <f>+L62/$L$63</f>
        <v>0.19363517564762855</v>
      </c>
      <c r="N62" s="98">
        <f t="shared" si="6"/>
        <v>390.62798524098696</v>
      </c>
      <c r="O62" s="466">
        <v>391</v>
      </c>
    </row>
    <row r="63" spans="1:16" ht="12.95" customHeight="1">
      <c r="A63" s="211"/>
      <c r="B63" s="455"/>
      <c r="C63" s="433"/>
      <c r="D63" s="433"/>
      <c r="E63" s="434"/>
      <c r="F63" s="690"/>
      <c r="G63" s="705"/>
      <c r="H63" s="67"/>
      <c r="K63" s="473"/>
      <c r="L63" s="422">
        <f>SUM(L57:L62)</f>
        <v>13009</v>
      </c>
      <c r="M63" s="470">
        <f>SUM(M57:M62)</f>
        <v>1</v>
      </c>
      <c r="N63" s="98">
        <f>SUM(N57:N62)</f>
        <v>2017.3400000000001</v>
      </c>
      <c r="O63" s="466">
        <f>SUM(O57:O62)</f>
        <v>2017</v>
      </c>
    </row>
    <row r="64" spans="1:16" ht="12.95" customHeight="1">
      <c r="A64" s="211"/>
      <c r="B64" s="477" t="s">
        <v>382</v>
      </c>
      <c r="C64" s="428">
        <f>+C6+C15+C20+C29+C39+C48+C57+C60</f>
        <v>273884</v>
      </c>
      <c r="D64" s="428">
        <f>+D6+D15+D20+D29+D39+D48+D57+D60</f>
        <v>291961</v>
      </c>
      <c r="E64" s="434"/>
      <c r="F64" s="690"/>
      <c r="G64" s="705">
        <f t="shared" si="1"/>
        <v>1.0660023951745994</v>
      </c>
      <c r="H64" s="67"/>
    </row>
    <row r="65" spans="1:15" ht="12.95" customHeight="1">
      <c r="A65" s="211"/>
      <c r="B65" s="278"/>
      <c r="C65" s="433"/>
      <c r="D65" s="433"/>
      <c r="E65" s="434"/>
      <c r="F65" s="690"/>
      <c r="G65" s="705"/>
      <c r="H65" s="67"/>
      <c r="K65" s="24" t="s">
        <v>377</v>
      </c>
      <c r="L65" s="24" t="s">
        <v>371</v>
      </c>
      <c r="M65" s="24">
        <v>51779</v>
      </c>
    </row>
    <row r="66" spans="1:15" ht="12.95" customHeight="1">
      <c r="A66" s="190" t="s">
        <v>182</v>
      </c>
      <c r="B66" s="288" t="s">
        <v>144</v>
      </c>
      <c r="C66" s="436">
        <f>+C4+C64</f>
        <v>303104</v>
      </c>
      <c r="D66" s="436">
        <f>+D4+D64</f>
        <v>321181</v>
      </c>
      <c r="E66" s="437"/>
      <c r="F66" s="692"/>
      <c r="G66" s="708">
        <f t="shared" si="1"/>
        <v>1.0596395956503379</v>
      </c>
      <c r="H66" s="431"/>
      <c r="K66" s="24" t="s">
        <v>4</v>
      </c>
      <c r="L66" s="465">
        <v>2744</v>
      </c>
      <c r="M66" s="467">
        <f>+L66/$L$73</f>
        <v>0.12732587814950583</v>
      </c>
      <c r="N66" s="98">
        <f t="shared" ref="N66:N72" si="8">+$M$65*M66*0.02</f>
        <v>131.85613289406524</v>
      </c>
      <c r="O66" s="24">
        <v>132</v>
      </c>
    </row>
    <row r="67" spans="1:15" ht="12.95" customHeight="1">
      <c r="A67" s="212" t="s">
        <v>183</v>
      </c>
      <c r="B67" s="261" t="s">
        <v>178</v>
      </c>
      <c r="C67" s="425"/>
      <c r="D67" s="425"/>
      <c r="E67" s="435"/>
      <c r="F67" s="693"/>
      <c r="G67" s="706"/>
      <c r="H67" s="22"/>
      <c r="I67" s="474"/>
      <c r="J67" s="475"/>
      <c r="K67" s="24" t="s">
        <v>5</v>
      </c>
      <c r="L67" s="465">
        <v>8542</v>
      </c>
      <c r="M67" s="467">
        <f t="shared" ref="M67:M72" si="9">+L67/$L$73</f>
        <v>0.39636211776715696</v>
      </c>
      <c r="N67" s="98">
        <f t="shared" si="8"/>
        <v>410.46468191731242</v>
      </c>
      <c r="O67" s="466">
        <v>411</v>
      </c>
    </row>
    <row r="68" spans="1:15" ht="12.95" customHeight="1">
      <c r="A68" s="200" t="s">
        <v>184</v>
      </c>
      <c r="B68" s="201" t="s">
        <v>145</v>
      </c>
      <c r="C68" s="426">
        <f>+C69</f>
        <v>0</v>
      </c>
      <c r="D68" s="426">
        <f>+D69</f>
        <v>2000</v>
      </c>
      <c r="E68" s="40"/>
      <c r="F68" s="131"/>
      <c r="G68" s="707"/>
      <c r="H68" s="22"/>
      <c r="I68" s="476"/>
      <c r="K68" s="24" t="s">
        <v>6</v>
      </c>
      <c r="L68" s="465">
        <v>1246</v>
      </c>
      <c r="M68" s="467">
        <f t="shared" si="9"/>
        <v>5.7816342629112338E-2</v>
      </c>
      <c r="N68" s="98">
        <f t="shared" si="8"/>
        <v>59.873448099856162</v>
      </c>
      <c r="O68" s="466">
        <v>60</v>
      </c>
    </row>
    <row r="69" spans="1:15" ht="12.95" customHeight="1">
      <c r="A69" s="211"/>
      <c r="B69" s="278" t="s">
        <v>143</v>
      </c>
      <c r="C69" s="428"/>
      <c r="D69" s="428">
        <v>2000</v>
      </c>
      <c r="E69" s="429"/>
      <c r="F69" s="691"/>
      <c r="G69" s="705"/>
      <c r="H69" s="22"/>
      <c r="I69" s="476"/>
      <c r="J69" s="65"/>
      <c r="K69" s="24" t="s">
        <v>7</v>
      </c>
      <c r="L69" s="465">
        <v>1075</v>
      </c>
      <c r="M69" s="467">
        <f t="shared" si="9"/>
        <v>4.9881676024314418E-2</v>
      </c>
      <c r="N69" s="98">
        <f t="shared" si="8"/>
        <v>51.656466057259522</v>
      </c>
      <c r="O69" s="466">
        <v>52</v>
      </c>
    </row>
    <row r="70" spans="1:15" ht="12.95" customHeight="1">
      <c r="A70" s="190" t="s">
        <v>185</v>
      </c>
      <c r="B70" s="288" t="s">
        <v>146</v>
      </c>
      <c r="C70" s="438">
        <f>+C67+C68</f>
        <v>0</v>
      </c>
      <c r="D70" s="438">
        <f>+D67+D68</f>
        <v>2000</v>
      </c>
      <c r="E70" s="439"/>
      <c r="F70" s="694"/>
      <c r="G70" s="711"/>
      <c r="H70" s="23"/>
      <c r="I70" s="476"/>
      <c r="J70" s="65"/>
      <c r="K70" s="24" t="s">
        <v>9</v>
      </c>
      <c r="L70" s="465">
        <v>3398</v>
      </c>
      <c r="M70" s="467">
        <f t="shared" si="9"/>
        <v>0.15767249779592593</v>
      </c>
      <c r="N70" s="98">
        <f t="shared" si="8"/>
        <v>163.282485267505</v>
      </c>
      <c r="O70" s="466">
        <v>163</v>
      </c>
    </row>
    <row r="71" spans="1:15" ht="12.95" customHeight="1">
      <c r="A71" s="212" t="s">
        <v>186</v>
      </c>
      <c r="B71" s="261" t="s">
        <v>147</v>
      </c>
      <c r="C71" s="425"/>
      <c r="D71" s="425"/>
      <c r="E71" s="435"/>
      <c r="F71" s="693"/>
      <c r="G71" s="706"/>
      <c r="H71" s="22"/>
      <c r="I71" s="476"/>
      <c r="K71" s="24" t="s">
        <v>10</v>
      </c>
      <c r="L71" s="465">
        <v>2027</v>
      </c>
      <c r="M71" s="467">
        <f t="shared" si="9"/>
        <v>9.4055960280265416E-2</v>
      </c>
      <c r="N71" s="98">
        <f t="shared" si="8"/>
        <v>97.402471347037263</v>
      </c>
      <c r="O71" s="466">
        <v>97</v>
      </c>
    </row>
    <row r="72" spans="1:15" ht="12.95" customHeight="1">
      <c r="A72" s="200" t="s">
        <v>187</v>
      </c>
      <c r="B72" s="201" t="s">
        <v>148</v>
      </c>
      <c r="C72" s="428">
        <f>+'[3]2.SZ.TÁBL. BEVÉTELEK'!$D72</f>
        <v>2100</v>
      </c>
      <c r="D72" s="426">
        <f>+'3.SZ.TÁBL. SEGÍTŐ SZOLGÁLAT'!AA13</f>
        <v>1925</v>
      </c>
      <c r="E72" s="40"/>
      <c r="F72" s="131"/>
      <c r="G72" s="707">
        <f t="shared" ref="G72:G90" si="10">+D72/C72</f>
        <v>0.91666666666666663</v>
      </c>
      <c r="H72" s="22"/>
      <c r="I72" s="476"/>
      <c r="K72" s="471" t="s">
        <v>343</v>
      </c>
      <c r="L72" s="422">
        <v>2519</v>
      </c>
      <c r="M72" s="467">
        <f t="shared" si="9"/>
        <v>0.11688552735371908</v>
      </c>
      <c r="N72" s="98">
        <f t="shared" si="8"/>
        <v>121.04431441696441</v>
      </c>
      <c r="O72" s="466">
        <v>121</v>
      </c>
    </row>
    <row r="73" spans="1:15" ht="12.95" customHeight="1">
      <c r="A73" s="200" t="s">
        <v>188</v>
      </c>
      <c r="B73" s="201" t="s">
        <v>149</v>
      </c>
      <c r="C73" s="426"/>
      <c r="D73" s="426"/>
      <c r="E73" s="40"/>
      <c r="F73" s="131"/>
      <c r="G73" s="707"/>
      <c r="H73" s="22"/>
      <c r="I73" s="476"/>
      <c r="J73" s="473"/>
      <c r="L73" s="24">
        <f>SUM(L66:L72)</f>
        <v>21551</v>
      </c>
      <c r="M73" s="467">
        <f>SUM(M66:M72)</f>
        <v>1</v>
      </c>
      <c r="N73" s="98">
        <f>SUM(N66:N72)</f>
        <v>1035.58</v>
      </c>
      <c r="O73" s="466">
        <f>SUM(O66:O72)</f>
        <v>1036</v>
      </c>
    </row>
    <row r="74" spans="1:15" ht="12.95" customHeight="1">
      <c r="A74" s="200" t="s">
        <v>189</v>
      </c>
      <c r="B74" s="201" t="s">
        <v>150</v>
      </c>
      <c r="C74" s="428"/>
      <c r="D74" s="426"/>
      <c r="E74" s="40"/>
      <c r="F74" s="131"/>
      <c r="G74" s="707"/>
      <c r="H74" s="22"/>
      <c r="I74" s="476"/>
    </row>
    <row r="75" spans="1:15" ht="12.95" customHeight="1">
      <c r="A75" s="200" t="s">
        <v>190</v>
      </c>
      <c r="B75" s="201" t="s">
        <v>151</v>
      </c>
      <c r="C75" s="428">
        <f>+'[3]2.SZ.TÁBL. BEVÉTELEK'!$D75</f>
        <v>10245</v>
      </c>
      <c r="D75" s="426">
        <f>+'3.SZ.TÁBL. SEGÍTŐ SZOLGÁLAT'!AA16+'4.SZ.TÁBL. ÓVODA'!R16</f>
        <v>7095</v>
      </c>
      <c r="E75" s="195"/>
      <c r="F75" s="695"/>
      <c r="G75" s="707">
        <f t="shared" si="10"/>
        <v>0.69253294289897516</v>
      </c>
      <c r="H75" s="519"/>
      <c r="I75" s="476"/>
    </row>
    <row r="76" spans="1:15" ht="12.95" customHeight="1">
      <c r="A76" s="200" t="s">
        <v>191</v>
      </c>
      <c r="B76" s="201" t="s">
        <v>152</v>
      </c>
      <c r="C76" s="427"/>
      <c r="D76" s="427"/>
      <c r="E76" s="196"/>
      <c r="F76" s="689"/>
      <c r="G76" s="707"/>
      <c r="H76" s="67"/>
    </row>
    <row r="77" spans="1:15" ht="12.95" customHeight="1">
      <c r="A77" s="200" t="s">
        <v>192</v>
      </c>
      <c r="B77" s="201" t="s">
        <v>153</v>
      </c>
      <c r="C77" s="426"/>
      <c r="D77" s="426"/>
      <c r="E77" s="40"/>
      <c r="F77" s="131"/>
      <c r="G77" s="707"/>
      <c r="H77" s="22"/>
    </row>
    <row r="78" spans="1:15" ht="12.95" customHeight="1">
      <c r="A78" s="200" t="s">
        <v>193</v>
      </c>
      <c r="B78" s="201" t="s">
        <v>154</v>
      </c>
      <c r="C78" s="426"/>
      <c r="D78" s="426"/>
      <c r="E78" s="40"/>
      <c r="F78" s="131"/>
      <c r="G78" s="707"/>
      <c r="H78" s="22"/>
    </row>
    <row r="79" spans="1:15" ht="12.95" customHeight="1">
      <c r="A79" s="214" t="s">
        <v>194</v>
      </c>
      <c r="B79" s="290" t="s">
        <v>155</v>
      </c>
      <c r="C79" s="428"/>
      <c r="D79" s="428"/>
      <c r="E79" s="429"/>
      <c r="F79" s="691"/>
      <c r="G79" s="705"/>
      <c r="H79" s="22"/>
    </row>
    <row r="80" spans="1:15" ht="12.95" customHeight="1">
      <c r="A80" s="190" t="s">
        <v>195</v>
      </c>
      <c r="B80" s="288" t="s">
        <v>156</v>
      </c>
      <c r="C80" s="438">
        <f>SUM(C71:C79)</f>
        <v>12345</v>
      </c>
      <c r="D80" s="438">
        <f>SUM(D71:D79)</f>
        <v>9020</v>
      </c>
      <c r="E80" s="439"/>
      <c r="F80" s="694"/>
      <c r="G80" s="708">
        <f t="shared" si="10"/>
        <v>0.7306601863102471</v>
      </c>
      <c r="H80" s="23"/>
    </row>
    <row r="81" spans="1:8" ht="12.95" customHeight="1">
      <c r="A81" s="190" t="s">
        <v>196</v>
      </c>
      <c r="B81" s="288" t="s">
        <v>157</v>
      </c>
      <c r="C81" s="438"/>
      <c r="D81" s="438"/>
      <c r="E81" s="439"/>
      <c r="F81" s="694"/>
      <c r="G81" s="711"/>
      <c r="H81" s="23"/>
    </row>
    <row r="82" spans="1:8" ht="12.95" customHeight="1">
      <c r="A82" s="215" t="s">
        <v>197</v>
      </c>
      <c r="B82" s="291" t="s">
        <v>158</v>
      </c>
      <c r="C82" s="440"/>
      <c r="D82" s="440"/>
      <c r="E82" s="441"/>
      <c r="F82" s="696"/>
      <c r="G82" s="709"/>
      <c r="H82" s="22"/>
    </row>
    <row r="83" spans="1:8" ht="12.95" customHeight="1">
      <c r="A83" s="190" t="s">
        <v>198</v>
      </c>
      <c r="B83" s="288" t="s">
        <v>319</v>
      </c>
      <c r="C83" s="438">
        <f>+C82</f>
        <v>0</v>
      </c>
      <c r="D83" s="438">
        <f>+D82</f>
        <v>0</v>
      </c>
      <c r="E83" s="439"/>
      <c r="F83" s="694"/>
      <c r="G83" s="711"/>
      <c r="H83" s="23"/>
    </row>
    <row r="84" spans="1:8" ht="12.95" customHeight="1">
      <c r="A84" s="215" t="s">
        <v>199</v>
      </c>
      <c r="B84" s="291" t="s">
        <v>159</v>
      </c>
      <c r="C84" s="440"/>
      <c r="D84" s="440"/>
      <c r="E84" s="441"/>
      <c r="F84" s="696"/>
      <c r="G84" s="709"/>
      <c r="H84" s="22"/>
    </row>
    <row r="85" spans="1:8" ht="12.95" customHeight="1">
      <c r="A85" s="190" t="s">
        <v>200</v>
      </c>
      <c r="B85" s="288" t="s">
        <v>320</v>
      </c>
      <c r="C85" s="438">
        <f>+C84</f>
        <v>0</v>
      </c>
      <c r="D85" s="438">
        <f>+D84</f>
        <v>0</v>
      </c>
      <c r="E85" s="443"/>
      <c r="F85" s="697"/>
      <c r="G85" s="711"/>
      <c r="H85" s="520"/>
    </row>
    <row r="86" spans="1:8" ht="12.95" customHeight="1">
      <c r="A86" s="190" t="s">
        <v>201</v>
      </c>
      <c r="B86" s="288" t="s">
        <v>160</v>
      </c>
      <c r="C86" s="438">
        <f>+C66+C70+C80+C81+C83+C85</f>
        <v>315449</v>
      </c>
      <c r="D86" s="438">
        <f>+D66+D70+D80+D81+D83+D85</f>
        <v>332201</v>
      </c>
      <c r="E86" s="444"/>
      <c r="F86" s="698"/>
      <c r="G86" s="708">
        <f t="shared" si="10"/>
        <v>1.0531052563171859</v>
      </c>
      <c r="H86" s="521"/>
    </row>
    <row r="87" spans="1:8" ht="12.95" customHeight="1">
      <c r="A87" s="301" t="s">
        <v>202</v>
      </c>
      <c r="B87" s="288" t="s">
        <v>161</v>
      </c>
      <c r="C87" s="438"/>
      <c r="D87" s="438"/>
      <c r="E87" s="439"/>
      <c r="F87" s="694"/>
      <c r="G87" s="711"/>
      <c r="H87" s="23"/>
    </row>
    <row r="88" spans="1:8" ht="12.95" customHeight="1">
      <c r="A88" s="301" t="s">
        <v>317</v>
      </c>
      <c r="B88" s="288" t="s">
        <v>318</v>
      </c>
      <c r="C88" s="438"/>
      <c r="D88" s="438"/>
      <c r="E88" s="439"/>
      <c r="F88" s="694"/>
      <c r="G88" s="711"/>
      <c r="H88" s="23"/>
    </row>
    <row r="89" spans="1:8" ht="12.95" customHeight="1" thickBot="1">
      <c r="A89" s="359" t="s">
        <v>203</v>
      </c>
      <c r="B89" s="442" t="s">
        <v>162</v>
      </c>
      <c r="C89" s="445">
        <f>+SUM(C87:C88)</f>
        <v>0</v>
      </c>
      <c r="D89" s="445">
        <f>+SUM(D87:D88)</f>
        <v>0</v>
      </c>
      <c r="E89" s="446"/>
      <c r="F89" s="699"/>
      <c r="G89" s="712"/>
      <c r="H89" s="23"/>
    </row>
    <row r="90" spans="1:8" ht="12.95" customHeight="1" thickBot="1">
      <c r="A90" s="899" t="s">
        <v>0</v>
      </c>
      <c r="B90" s="900"/>
      <c r="C90" s="447">
        <f>+C86+C89</f>
        <v>315449</v>
      </c>
      <c r="D90" s="447">
        <f>+D86+D89</f>
        <v>332201</v>
      </c>
      <c r="E90" s="44"/>
      <c r="F90" s="700"/>
      <c r="G90" s="710">
        <f t="shared" si="10"/>
        <v>1.0531052563171859</v>
      </c>
      <c r="H90" s="23"/>
    </row>
  </sheetData>
  <mergeCells count="10">
    <mergeCell ref="A90:B90"/>
    <mergeCell ref="E1:E2"/>
    <mergeCell ref="D1:D2"/>
    <mergeCell ref="C1:C2"/>
    <mergeCell ref="L5:L6"/>
    <mergeCell ref="L28:L29"/>
    <mergeCell ref="G1:G2"/>
    <mergeCell ref="F1:F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89" orientation="portrait" r:id="rId1"/>
  <headerFooter alignWithMargins="0">
    <oddHeader>&amp;L&amp;"Times New Roman,Félkövér"&amp;13Szent László Völgye TKT&amp;C&amp;"Times New Roman,Félkövér"&amp;14
&amp;16 2016. ÉVI KÖLTSÉGVETÉS&amp;14
&amp;R2. sz. táblázat
BEVÉTELEK
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</sheetPr>
  <dimension ref="A1:AC160"/>
  <sheetViews>
    <sheetView zoomScaleSheetLayoutView="50" workbookViewId="0">
      <pane xSplit="2" ySplit="2" topLeftCell="C3" activePane="bottomRight" state="frozen"/>
      <selection activeCell="C21" sqref="C21"/>
      <selection pane="topRight" activeCell="C21" sqref="C21"/>
      <selection pane="bottomLeft" activeCell="C21" sqref="C21"/>
      <selection pane="bottomRight" activeCell="F104" sqref="F104"/>
    </sheetView>
  </sheetViews>
  <sheetFormatPr defaultColWidth="8.85546875" defaultRowHeight="15" customHeight="1"/>
  <cols>
    <col min="1" max="1" width="8.85546875" style="8"/>
    <col min="2" max="2" width="56" style="68" customWidth="1"/>
    <col min="3" max="13" width="10.42578125" style="69" customWidth="1"/>
    <col min="14" max="14" width="10.42578125" style="70" customWidth="1"/>
    <col min="15" max="19" width="10.42578125" style="69" customWidth="1"/>
    <col min="20" max="20" width="10.42578125" style="70" customWidth="1"/>
    <col min="21" max="22" width="10.42578125" style="69" customWidth="1"/>
    <col min="23" max="23" width="10.42578125" style="70" customWidth="1"/>
    <col min="24" max="25" width="10.42578125" style="69" customWidth="1"/>
    <col min="26" max="26" width="10.42578125" style="70" customWidth="1"/>
    <col min="27" max="29" width="10.42578125" style="69" customWidth="1"/>
    <col min="30" max="31" width="11.5703125" style="8" bestFit="1" customWidth="1"/>
    <col min="32" max="16384" width="8.85546875" style="8"/>
  </cols>
  <sheetData>
    <row r="1" spans="1:29" s="9" customFormat="1" ht="30" customHeight="1">
      <c r="A1" s="918" t="s">
        <v>179</v>
      </c>
      <c r="B1" s="935" t="s">
        <v>204</v>
      </c>
      <c r="C1" s="933" t="s">
        <v>11</v>
      </c>
      <c r="D1" s="924"/>
      <c r="E1" s="925"/>
      <c r="F1" s="937" t="s">
        <v>448</v>
      </c>
      <c r="G1" s="897"/>
      <c r="H1" s="938"/>
      <c r="I1" s="923" t="s">
        <v>12</v>
      </c>
      <c r="J1" s="924"/>
      <c r="K1" s="925"/>
      <c r="L1" s="933" t="s">
        <v>449</v>
      </c>
      <c r="M1" s="924"/>
      <c r="N1" s="934"/>
      <c r="O1" s="923" t="s">
        <v>13</v>
      </c>
      <c r="P1" s="924"/>
      <c r="Q1" s="925"/>
      <c r="R1" s="928" t="s">
        <v>21</v>
      </c>
      <c r="S1" s="929"/>
      <c r="T1" s="930"/>
      <c r="U1" s="928" t="s">
        <v>73</v>
      </c>
      <c r="V1" s="929"/>
      <c r="W1" s="930"/>
      <c r="X1" s="931" t="s">
        <v>450</v>
      </c>
      <c r="Y1" s="929"/>
      <c r="Z1" s="932"/>
      <c r="AA1" s="926" t="s">
        <v>14</v>
      </c>
      <c r="AB1" s="924"/>
      <c r="AC1" s="927"/>
    </row>
    <row r="2" spans="1:29" s="13" customFormat="1" ht="29.25" customHeight="1">
      <c r="A2" s="919"/>
      <c r="B2" s="936"/>
      <c r="C2" s="271" t="s">
        <v>117</v>
      </c>
      <c r="D2" s="272" t="s">
        <v>118</v>
      </c>
      <c r="E2" s="273" t="s">
        <v>139</v>
      </c>
      <c r="F2" s="274" t="s">
        <v>117</v>
      </c>
      <c r="G2" s="272" t="s">
        <v>118</v>
      </c>
      <c r="H2" s="275" t="s">
        <v>139</v>
      </c>
      <c r="I2" s="271" t="s">
        <v>117</v>
      </c>
      <c r="J2" s="272" t="s">
        <v>118</v>
      </c>
      <c r="K2" s="273" t="s">
        <v>139</v>
      </c>
      <c r="L2" s="274" t="s">
        <v>117</v>
      </c>
      <c r="M2" s="272" t="s">
        <v>118</v>
      </c>
      <c r="N2" s="275" t="s">
        <v>139</v>
      </c>
      <c r="O2" s="271" t="s">
        <v>117</v>
      </c>
      <c r="P2" s="272" t="s">
        <v>118</v>
      </c>
      <c r="Q2" s="273" t="s">
        <v>139</v>
      </c>
      <c r="R2" s="274" t="s">
        <v>117</v>
      </c>
      <c r="S2" s="272" t="s">
        <v>118</v>
      </c>
      <c r="T2" s="275" t="s">
        <v>139</v>
      </c>
      <c r="U2" s="274" t="s">
        <v>117</v>
      </c>
      <c r="V2" s="272" t="s">
        <v>118</v>
      </c>
      <c r="W2" s="275" t="s">
        <v>139</v>
      </c>
      <c r="X2" s="271" t="s">
        <v>117</v>
      </c>
      <c r="Y2" s="272" t="s">
        <v>118</v>
      </c>
      <c r="Z2" s="273" t="s">
        <v>139</v>
      </c>
      <c r="AA2" s="276" t="s">
        <v>117</v>
      </c>
      <c r="AB2" s="272" t="s">
        <v>118</v>
      </c>
      <c r="AC2" s="277" t="s">
        <v>139</v>
      </c>
    </row>
    <row r="3" spans="1:29" ht="13.5" customHeight="1">
      <c r="A3" s="212" t="s">
        <v>180</v>
      </c>
      <c r="B3" s="261" t="s">
        <v>140</v>
      </c>
      <c r="C3" s="262"/>
      <c r="D3" s="263"/>
      <c r="E3" s="264"/>
      <c r="F3" s="265"/>
      <c r="G3" s="263"/>
      <c r="H3" s="266"/>
      <c r="I3" s="262"/>
      <c r="J3" s="263"/>
      <c r="K3" s="264"/>
      <c r="L3" s="265"/>
      <c r="M3" s="263"/>
      <c r="N3" s="267"/>
      <c r="O3" s="262"/>
      <c r="P3" s="263"/>
      <c r="Q3" s="264"/>
      <c r="R3" s="265"/>
      <c r="S3" s="263"/>
      <c r="T3" s="267"/>
      <c r="U3" s="265"/>
      <c r="V3" s="263"/>
      <c r="W3" s="267"/>
      <c r="X3" s="262"/>
      <c r="Y3" s="263"/>
      <c r="Z3" s="268"/>
      <c r="AA3" s="269"/>
      <c r="AB3" s="263"/>
      <c r="AC3" s="270"/>
    </row>
    <row r="4" spans="1:29" ht="13.5" customHeight="1">
      <c r="A4" s="200" t="s">
        <v>181</v>
      </c>
      <c r="B4" s="201" t="s">
        <v>141</v>
      </c>
      <c r="C4" s="252"/>
      <c r="D4" s="250"/>
      <c r="E4" s="255"/>
      <c r="F4" s="256"/>
      <c r="G4" s="250"/>
      <c r="H4" s="257"/>
      <c r="I4" s="252"/>
      <c r="J4" s="250"/>
      <c r="K4" s="255"/>
      <c r="L4" s="256"/>
      <c r="M4" s="250"/>
      <c r="N4" s="258"/>
      <c r="O4" s="252"/>
      <c r="P4" s="250"/>
      <c r="Q4" s="255"/>
      <c r="R4" s="256"/>
      <c r="S4" s="250"/>
      <c r="T4" s="258"/>
      <c r="U4" s="256"/>
      <c r="V4" s="250"/>
      <c r="W4" s="258"/>
      <c r="X4" s="252"/>
      <c r="Y4" s="250"/>
      <c r="Z4" s="259"/>
      <c r="AA4" s="260"/>
      <c r="AB4" s="250"/>
      <c r="AC4" s="251"/>
    </row>
    <row r="5" spans="1:29" ht="13.5" customHeight="1">
      <c r="A5" s="202"/>
      <c r="B5" s="526" t="s">
        <v>142</v>
      </c>
      <c r="C5" s="252"/>
      <c r="D5" s="250"/>
      <c r="E5" s="255"/>
      <c r="F5" s="256"/>
      <c r="G5" s="250"/>
      <c r="H5" s="257"/>
      <c r="I5" s="252"/>
      <c r="J5" s="250"/>
      <c r="K5" s="255"/>
      <c r="L5" s="256"/>
      <c r="M5" s="250"/>
      <c r="N5" s="258"/>
      <c r="O5" s="252"/>
      <c r="P5" s="250"/>
      <c r="Q5" s="255"/>
      <c r="R5" s="256"/>
      <c r="S5" s="250"/>
      <c r="T5" s="258"/>
      <c r="U5" s="256"/>
      <c r="V5" s="250"/>
      <c r="W5" s="258"/>
      <c r="X5" s="252"/>
      <c r="Y5" s="250"/>
      <c r="Z5" s="259"/>
      <c r="AA5" s="260"/>
      <c r="AB5" s="250"/>
      <c r="AC5" s="251"/>
    </row>
    <row r="6" spans="1:29" ht="13.5" customHeight="1">
      <c r="A6" s="211"/>
      <c r="B6" s="527" t="s">
        <v>143</v>
      </c>
      <c r="C6" s="279"/>
      <c r="D6" s="280"/>
      <c r="E6" s="281"/>
      <c r="F6" s="282"/>
      <c r="G6" s="280"/>
      <c r="H6" s="283"/>
      <c r="I6" s="279"/>
      <c r="J6" s="280"/>
      <c r="K6" s="281"/>
      <c r="L6" s="282"/>
      <c r="M6" s="280"/>
      <c r="N6" s="284"/>
      <c r="O6" s="279"/>
      <c r="P6" s="280"/>
      <c r="Q6" s="281"/>
      <c r="R6" s="282"/>
      <c r="S6" s="280"/>
      <c r="T6" s="284"/>
      <c r="U6" s="282"/>
      <c r="V6" s="280"/>
      <c r="W6" s="284"/>
      <c r="X6" s="279"/>
      <c r="Y6" s="280"/>
      <c r="Z6" s="285"/>
      <c r="AA6" s="286"/>
      <c r="AB6" s="280"/>
      <c r="AC6" s="287"/>
    </row>
    <row r="7" spans="1:29" s="407" customFormat="1" ht="13.5" customHeight="1">
      <c r="A7" s="190" t="s">
        <v>182</v>
      </c>
      <c r="B7" s="288" t="s">
        <v>144</v>
      </c>
      <c r="C7" s="373">
        <f>SUM(C3:C4)</f>
        <v>0</v>
      </c>
      <c r="D7" s="371"/>
      <c r="E7" s="374"/>
      <c r="F7" s="403">
        <f>SUM(F3:F4)</f>
        <v>0</v>
      </c>
      <c r="G7" s="371"/>
      <c r="H7" s="404"/>
      <c r="I7" s="373">
        <f>SUM(I3:I4)</f>
        <v>0</v>
      </c>
      <c r="J7" s="371"/>
      <c r="K7" s="374"/>
      <c r="L7" s="403">
        <f>SUM(L3:L4)</f>
        <v>0</v>
      </c>
      <c r="M7" s="371"/>
      <c r="N7" s="405"/>
      <c r="O7" s="373">
        <f>SUM(O3:O4)</f>
        <v>0</v>
      </c>
      <c r="P7" s="371"/>
      <c r="Q7" s="374"/>
      <c r="R7" s="403">
        <f>SUM(R3:R4)</f>
        <v>0</v>
      </c>
      <c r="S7" s="371"/>
      <c r="T7" s="405"/>
      <c r="U7" s="403">
        <f>SUM(U3:U4)</f>
        <v>0</v>
      </c>
      <c r="V7" s="371"/>
      <c r="W7" s="405"/>
      <c r="X7" s="373">
        <f>SUM(X3:X4)</f>
        <v>0</v>
      </c>
      <c r="Y7" s="371"/>
      <c r="Z7" s="406"/>
      <c r="AA7" s="365">
        <f>SUM(AA3:AA4)</f>
        <v>0</v>
      </c>
      <c r="AB7" s="371"/>
      <c r="AC7" s="372"/>
    </row>
    <row r="8" spans="1:29" ht="13.5" customHeight="1">
      <c r="A8" s="212" t="s">
        <v>183</v>
      </c>
      <c r="B8" s="261" t="s">
        <v>178</v>
      </c>
      <c r="C8" s="262"/>
      <c r="D8" s="263"/>
      <c r="E8" s="264"/>
      <c r="F8" s="265"/>
      <c r="G8" s="263"/>
      <c r="H8" s="266"/>
      <c r="I8" s="262"/>
      <c r="J8" s="263"/>
      <c r="K8" s="264"/>
      <c r="L8" s="265"/>
      <c r="M8" s="263"/>
      <c r="N8" s="267"/>
      <c r="O8" s="262"/>
      <c r="P8" s="263"/>
      <c r="Q8" s="264"/>
      <c r="R8" s="265"/>
      <c r="S8" s="263"/>
      <c r="T8" s="267"/>
      <c r="U8" s="265"/>
      <c r="V8" s="263"/>
      <c r="W8" s="267"/>
      <c r="X8" s="262"/>
      <c r="Y8" s="263"/>
      <c r="Z8" s="268"/>
      <c r="AA8" s="269"/>
      <c r="AB8" s="263"/>
      <c r="AC8" s="270"/>
    </row>
    <row r="9" spans="1:29" ht="13.5" customHeight="1">
      <c r="A9" s="200" t="s">
        <v>184</v>
      </c>
      <c r="B9" s="201" t="s">
        <v>145</v>
      </c>
      <c r="C9" s="252"/>
      <c r="D9" s="250"/>
      <c r="E9" s="255"/>
      <c r="F9" s="256"/>
      <c r="G9" s="250"/>
      <c r="H9" s="257"/>
      <c r="I9" s="252"/>
      <c r="J9" s="250"/>
      <c r="K9" s="255"/>
      <c r="L9" s="256"/>
      <c r="M9" s="250"/>
      <c r="N9" s="258"/>
      <c r="O9" s="252"/>
      <c r="P9" s="250"/>
      <c r="Q9" s="255"/>
      <c r="R9" s="256"/>
      <c r="S9" s="250"/>
      <c r="T9" s="258"/>
      <c r="U9" s="256"/>
      <c r="V9" s="250"/>
      <c r="W9" s="258"/>
      <c r="X9" s="252"/>
      <c r="Y9" s="250"/>
      <c r="Z9" s="259"/>
      <c r="AA9" s="260"/>
      <c r="AB9" s="250"/>
      <c r="AC9" s="251"/>
    </row>
    <row r="10" spans="1:29" ht="13.5" customHeight="1">
      <c r="A10" s="211"/>
      <c r="B10" s="527" t="s">
        <v>143</v>
      </c>
      <c r="C10" s="279"/>
      <c r="D10" s="280"/>
      <c r="E10" s="281"/>
      <c r="F10" s="282"/>
      <c r="G10" s="280"/>
      <c r="H10" s="283"/>
      <c r="I10" s="279"/>
      <c r="J10" s="280"/>
      <c r="K10" s="281"/>
      <c r="L10" s="282"/>
      <c r="M10" s="280"/>
      <c r="N10" s="284"/>
      <c r="O10" s="279"/>
      <c r="P10" s="280"/>
      <c r="Q10" s="281"/>
      <c r="R10" s="282"/>
      <c r="S10" s="280"/>
      <c r="T10" s="284"/>
      <c r="U10" s="282"/>
      <c r="V10" s="280"/>
      <c r="W10" s="284"/>
      <c r="X10" s="279"/>
      <c r="Y10" s="280"/>
      <c r="Z10" s="285"/>
      <c r="AA10" s="286"/>
      <c r="AB10" s="280"/>
      <c r="AC10" s="287"/>
    </row>
    <row r="11" spans="1:29" s="407" customFormat="1" ht="13.5" customHeight="1">
      <c r="A11" s="190" t="s">
        <v>185</v>
      </c>
      <c r="B11" s="288" t="s">
        <v>146</v>
      </c>
      <c r="C11" s="373">
        <f>SUM(C8:C9)</f>
        <v>0</v>
      </c>
      <c r="D11" s="371"/>
      <c r="E11" s="374"/>
      <c r="F11" s="403">
        <f>SUM(F8:F9)</f>
        <v>0</v>
      </c>
      <c r="G11" s="371"/>
      <c r="H11" s="404"/>
      <c r="I11" s="373">
        <f>SUM(I8:I9)</f>
        <v>0</v>
      </c>
      <c r="J11" s="371"/>
      <c r="K11" s="374"/>
      <c r="L11" s="403">
        <f>SUM(L8:L9)</f>
        <v>0</v>
      </c>
      <c r="M11" s="371"/>
      <c r="N11" s="405"/>
      <c r="O11" s="373">
        <f>SUM(O8:O9)</f>
        <v>0</v>
      </c>
      <c r="P11" s="371"/>
      <c r="Q11" s="374"/>
      <c r="R11" s="403">
        <f>SUM(R8:R9)</f>
        <v>0</v>
      </c>
      <c r="S11" s="371"/>
      <c r="T11" s="405"/>
      <c r="U11" s="403">
        <f>SUM(U8:U9)</f>
        <v>0</v>
      </c>
      <c r="V11" s="371"/>
      <c r="W11" s="405"/>
      <c r="X11" s="373">
        <f>SUM(X8:X9)</f>
        <v>0</v>
      </c>
      <c r="Y11" s="371"/>
      <c r="Z11" s="406"/>
      <c r="AA11" s="365">
        <f>SUM(AA8:AA9)</f>
        <v>0</v>
      </c>
      <c r="AB11" s="371"/>
      <c r="AC11" s="372"/>
    </row>
    <row r="12" spans="1:29" ht="13.5" customHeight="1">
      <c r="A12" s="212" t="s">
        <v>186</v>
      </c>
      <c r="B12" s="261" t="s">
        <v>147</v>
      </c>
      <c r="C12" s="262"/>
      <c r="D12" s="263"/>
      <c r="E12" s="264"/>
      <c r="F12" s="265"/>
      <c r="G12" s="263"/>
      <c r="H12" s="266"/>
      <c r="I12" s="262"/>
      <c r="J12" s="263"/>
      <c r="K12" s="264"/>
      <c r="L12" s="265"/>
      <c r="M12" s="263"/>
      <c r="N12" s="267"/>
      <c r="O12" s="262"/>
      <c r="P12" s="263"/>
      <c r="Q12" s="264"/>
      <c r="R12" s="265"/>
      <c r="S12" s="263"/>
      <c r="T12" s="267"/>
      <c r="U12" s="265"/>
      <c r="V12" s="263"/>
      <c r="W12" s="267"/>
      <c r="X12" s="262"/>
      <c r="Y12" s="263"/>
      <c r="Z12" s="268"/>
      <c r="AA12" s="269">
        <f>+C12+F12+I12+L12+O12+R12+U12+X12</f>
        <v>0</v>
      </c>
      <c r="AB12" s="263"/>
      <c r="AC12" s="270"/>
    </row>
    <row r="13" spans="1:29" ht="13.5" customHeight="1">
      <c r="A13" s="200" t="s">
        <v>187</v>
      </c>
      <c r="B13" s="201" t="s">
        <v>148</v>
      </c>
      <c r="C13" s="252">
        <v>600</v>
      </c>
      <c r="D13" s="250"/>
      <c r="E13" s="255"/>
      <c r="F13" s="256"/>
      <c r="G13" s="250"/>
      <c r="H13" s="257"/>
      <c r="I13" s="252">
        <v>360</v>
      </c>
      <c r="J13" s="250"/>
      <c r="K13" s="255"/>
      <c r="L13" s="256"/>
      <c r="M13" s="250"/>
      <c r="N13" s="258"/>
      <c r="O13" s="252">
        <f>120+345</f>
        <v>465</v>
      </c>
      <c r="P13" s="250"/>
      <c r="Q13" s="255"/>
      <c r="R13" s="256">
        <v>500</v>
      </c>
      <c r="S13" s="250"/>
      <c r="T13" s="258"/>
      <c r="U13" s="256"/>
      <c r="V13" s="250"/>
      <c r="W13" s="258"/>
      <c r="X13" s="252"/>
      <c r="Y13" s="250"/>
      <c r="Z13" s="259"/>
      <c r="AA13" s="269">
        <f t="shared" ref="AA13:AA20" si="0">+C13+F13+I13+L13+O13+R13+U13+X13</f>
        <v>1925</v>
      </c>
      <c r="AB13" s="250"/>
      <c r="AC13" s="251"/>
    </row>
    <row r="14" spans="1:29" ht="13.5" customHeight="1">
      <c r="A14" s="200" t="s">
        <v>188</v>
      </c>
      <c r="B14" s="201" t="s">
        <v>149</v>
      </c>
      <c r="C14" s="252"/>
      <c r="D14" s="250"/>
      <c r="E14" s="255"/>
      <c r="F14" s="256"/>
      <c r="G14" s="250"/>
      <c r="H14" s="257"/>
      <c r="I14" s="252"/>
      <c r="J14" s="250"/>
      <c r="K14" s="255"/>
      <c r="L14" s="256"/>
      <c r="M14" s="250"/>
      <c r="N14" s="258"/>
      <c r="O14" s="252"/>
      <c r="P14" s="250"/>
      <c r="Q14" s="255"/>
      <c r="R14" s="256"/>
      <c r="S14" s="250"/>
      <c r="T14" s="258"/>
      <c r="U14" s="256"/>
      <c r="V14" s="250"/>
      <c r="W14" s="258"/>
      <c r="X14" s="252"/>
      <c r="Y14" s="250"/>
      <c r="Z14" s="259"/>
      <c r="AA14" s="269">
        <f t="shared" si="0"/>
        <v>0</v>
      </c>
      <c r="AB14" s="250"/>
      <c r="AC14" s="251"/>
    </row>
    <row r="15" spans="1:29" ht="13.5" customHeight="1">
      <c r="A15" s="200" t="s">
        <v>189</v>
      </c>
      <c r="B15" s="201" t="s">
        <v>150</v>
      </c>
      <c r="C15" s="252"/>
      <c r="D15" s="250"/>
      <c r="E15" s="255"/>
      <c r="F15" s="256"/>
      <c r="G15" s="250"/>
      <c r="H15" s="257"/>
      <c r="I15" s="252"/>
      <c r="J15" s="250"/>
      <c r="K15" s="255"/>
      <c r="L15" s="256"/>
      <c r="M15" s="250"/>
      <c r="N15" s="258"/>
      <c r="O15" s="252"/>
      <c r="P15" s="250"/>
      <c r="Q15" s="255"/>
      <c r="R15" s="256"/>
      <c r="S15" s="250"/>
      <c r="T15" s="258"/>
      <c r="U15" s="256"/>
      <c r="V15" s="250"/>
      <c r="W15" s="258"/>
      <c r="X15" s="252"/>
      <c r="Y15" s="250"/>
      <c r="Z15" s="259"/>
      <c r="AA15" s="269">
        <f t="shared" si="0"/>
        <v>0</v>
      </c>
      <c r="AB15" s="250"/>
      <c r="AC15" s="251"/>
    </row>
    <row r="16" spans="1:29" ht="13.5" customHeight="1">
      <c r="A16" s="200" t="s">
        <v>190</v>
      </c>
      <c r="B16" s="201" t="s">
        <v>151</v>
      </c>
      <c r="C16" s="252">
        <v>200</v>
      </c>
      <c r="D16" s="250"/>
      <c r="E16" s="255"/>
      <c r="F16" s="256"/>
      <c r="G16" s="250"/>
      <c r="H16" s="257"/>
      <c r="I16" s="252">
        <v>1800</v>
      </c>
      <c r="J16" s="250"/>
      <c r="K16" s="255"/>
      <c r="L16" s="256"/>
      <c r="M16" s="250"/>
      <c r="N16" s="258"/>
      <c r="O16" s="252">
        <v>1155</v>
      </c>
      <c r="P16" s="250"/>
      <c r="Q16" s="255"/>
      <c r="R16" s="256"/>
      <c r="S16" s="250"/>
      <c r="T16" s="258"/>
      <c r="U16" s="256">
        <v>2673</v>
      </c>
      <c r="V16" s="250"/>
      <c r="W16" s="258"/>
      <c r="X16" s="252">
        <v>1267</v>
      </c>
      <c r="Y16" s="250"/>
      <c r="Z16" s="259"/>
      <c r="AA16" s="269">
        <f t="shared" si="0"/>
        <v>7095</v>
      </c>
      <c r="AB16" s="250"/>
      <c r="AC16" s="251"/>
    </row>
    <row r="17" spans="1:29" ht="13.5" customHeight="1">
      <c r="A17" s="200" t="s">
        <v>191</v>
      </c>
      <c r="B17" s="201" t="s">
        <v>152</v>
      </c>
      <c r="C17" s="252"/>
      <c r="D17" s="250"/>
      <c r="E17" s="255"/>
      <c r="F17" s="256"/>
      <c r="G17" s="250"/>
      <c r="H17" s="257"/>
      <c r="I17" s="252"/>
      <c r="J17" s="250"/>
      <c r="K17" s="255"/>
      <c r="L17" s="256"/>
      <c r="M17" s="250"/>
      <c r="N17" s="258"/>
      <c r="O17" s="252"/>
      <c r="P17" s="250"/>
      <c r="Q17" s="255"/>
      <c r="R17" s="256"/>
      <c r="S17" s="250"/>
      <c r="T17" s="258"/>
      <c r="U17" s="256"/>
      <c r="V17" s="250"/>
      <c r="W17" s="258"/>
      <c r="X17" s="252"/>
      <c r="Y17" s="250"/>
      <c r="Z17" s="259"/>
      <c r="AA17" s="269">
        <f t="shared" si="0"/>
        <v>0</v>
      </c>
      <c r="AB17" s="250"/>
      <c r="AC17" s="251"/>
    </row>
    <row r="18" spans="1:29" ht="13.5" customHeight="1">
      <c r="A18" s="200" t="s">
        <v>192</v>
      </c>
      <c r="B18" s="201" t="s">
        <v>153</v>
      </c>
      <c r="C18" s="252"/>
      <c r="D18" s="250"/>
      <c r="E18" s="255"/>
      <c r="F18" s="256"/>
      <c r="G18" s="250"/>
      <c r="H18" s="257"/>
      <c r="I18" s="252"/>
      <c r="J18" s="250"/>
      <c r="K18" s="255"/>
      <c r="L18" s="256"/>
      <c r="M18" s="250"/>
      <c r="N18" s="258"/>
      <c r="O18" s="252"/>
      <c r="P18" s="250"/>
      <c r="Q18" s="255"/>
      <c r="R18" s="256"/>
      <c r="S18" s="250"/>
      <c r="T18" s="258"/>
      <c r="U18" s="256"/>
      <c r="V18" s="250"/>
      <c r="W18" s="258"/>
      <c r="X18" s="252"/>
      <c r="Y18" s="250"/>
      <c r="Z18" s="259"/>
      <c r="AA18" s="269">
        <f t="shared" si="0"/>
        <v>0</v>
      </c>
      <c r="AB18" s="250"/>
      <c r="AC18" s="251"/>
    </row>
    <row r="19" spans="1:29" ht="13.5" customHeight="1">
      <c r="A19" s="200" t="s">
        <v>193</v>
      </c>
      <c r="B19" s="201" t="s">
        <v>154</v>
      </c>
      <c r="C19" s="252"/>
      <c r="D19" s="250"/>
      <c r="E19" s="255"/>
      <c r="F19" s="256"/>
      <c r="G19" s="250"/>
      <c r="H19" s="257"/>
      <c r="I19" s="252"/>
      <c r="J19" s="250"/>
      <c r="K19" s="255"/>
      <c r="L19" s="256"/>
      <c r="M19" s="250"/>
      <c r="N19" s="258"/>
      <c r="O19" s="252"/>
      <c r="P19" s="250"/>
      <c r="Q19" s="255"/>
      <c r="R19" s="256"/>
      <c r="S19" s="250"/>
      <c r="T19" s="258"/>
      <c r="U19" s="256"/>
      <c r="V19" s="250"/>
      <c r="W19" s="258"/>
      <c r="X19" s="252"/>
      <c r="Y19" s="250"/>
      <c r="Z19" s="259"/>
      <c r="AA19" s="269">
        <f t="shared" si="0"/>
        <v>0</v>
      </c>
      <c r="AB19" s="250"/>
      <c r="AC19" s="251"/>
    </row>
    <row r="20" spans="1:29" ht="13.5" customHeight="1">
      <c r="A20" s="214" t="s">
        <v>194</v>
      </c>
      <c r="B20" s="290" t="s">
        <v>155</v>
      </c>
      <c r="C20" s="279"/>
      <c r="D20" s="280"/>
      <c r="E20" s="281"/>
      <c r="F20" s="282"/>
      <c r="G20" s="280"/>
      <c r="H20" s="283"/>
      <c r="I20" s="279"/>
      <c r="J20" s="280"/>
      <c r="K20" s="281"/>
      <c r="L20" s="282"/>
      <c r="M20" s="280"/>
      <c r="N20" s="284"/>
      <c r="O20" s="279"/>
      <c r="P20" s="280"/>
      <c r="Q20" s="281"/>
      <c r="R20" s="282"/>
      <c r="S20" s="280"/>
      <c r="T20" s="284"/>
      <c r="U20" s="282"/>
      <c r="V20" s="280"/>
      <c r="W20" s="284"/>
      <c r="X20" s="279"/>
      <c r="Y20" s="280"/>
      <c r="Z20" s="285"/>
      <c r="AA20" s="269">
        <f t="shared" si="0"/>
        <v>0</v>
      </c>
      <c r="AB20" s="280"/>
      <c r="AC20" s="287"/>
    </row>
    <row r="21" spans="1:29" s="407" customFormat="1" ht="13.5" customHeight="1">
      <c r="A21" s="190" t="s">
        <v>195</v>
      </c>
      <c r="B21" s="288" t="s">
        <v>156</v>
      </c>
      <c r="C21" s="373">
        <f>SUM(C12:C20)</f>
        <v>800</v>
      </c>
      <c r="D21" s="371"/>
      <c r="E21" s="374"/>
      <c r="F21" s="403">
        <f>SUM(F12:F20)</f>
        <v>0</v>
      </c>
      <c r="G21" s="371"/>
      <c r="H21" s="404"/>
      <c r="I21" s="373">
        <f>SUM(I12:I20)</f>
        <v>2160</v>
      </c>
      <c r="J21" s="371"/>
      <c r="K21" s="374"/>
      <c r="L21" s="403">
        <f>SUM(L12:L20)</f>
        <v>0</v>
      </c>
      <c r="M21" s="371"/>
      <c r="N21" s="405"/>
      <c r="O21" s="373">
        <f>SUM(O12:O20)</f>
        <v>1620</v>
      </c>
      <c r="P21" s="371"/>
      <c r="Q21" s="374"/>
      <c r="R21" s="403">
        <f>SUM(R12:R20)</f>
        <v>500</v>
      </c>
      <c r="S21" s="371"/>
      <c r="T21" s="405"/>
      <c r="U21" s="403">
        <f>SUM(U12:U20)</f>
        <v>2673</v>
      </c>
      <c r="V21" s="371"/>
      <c r="W21" s="405"/>
      <c r="X21" s="373">
        <f>SUM(X12:X20)</f>
        <v>1267</v>
      </c>
      <c r="Y21" s="371"/>
      <c r="Z21" s="406"/>
      <c r="AA21" s="365">
        <f>SUM(AA12:AA20)</f>
        <v>9020</v>
      </c>
      <c r="AB21" s="371"/>
      <c r="AC21" s="372"/>
    </row>
    <row r="22" spans="1:29" s="407" customFormat="1" ht="13.5" customHeight="1">
      <c r="A22" s="190" t="s">
        <v>196</v>
      </c>
      <c r="B22" s="288" t="s">
        <v>157</v>
      </c>
      <c r="C22" s="373"/>
      <c r="D22" s="371"/>
      <c r="E22" s="374"/>
      <c r="F22" s="403"/>
      <c r="G22" s="371"/>
      <c r="H22" s="404"/>
      <c r="I22" s="373"/>
      <c r="J22" s="371"/>
      <c r="K22" s="374"/>
      <c r="L22" s="403"/>
      <c r="M22" s="371"/>
      <c r="N22" s="405"/>
      <c r="O22" s="373"/>
      <c r="P22" s="371"/>
      <c r="Q22" s="374"/>
      <c r="R22" s="403"/>
      <c r="S22" s="371"/>
      <c r="T22" s="405"/>
      <c r="U22" s="403"/>
      <c r="V22" s="371"/>
      <c r="W22" s="405"/>
      <c r="X22" s="373"/>
      <c r="Y22" s="371"/>
      <c r="Z22" s="406"/>
      <c r="AA22" s="365"/>
      <c r="AB22" s="371"/>
      <c r="AC22" s="372"/>
    </row>
    <row r="23" spans="1:29" ht="13.5" customHeight="1">
      <c r="A23" s="215" t="s">
        <v>197</v>
      </c>
      <c r="B23" s="291" t="s">
        <v>158</v>
      </c>
      <c r="C23" s="292"/>
      <c r="D23" s="293"/>
      <c r="E23" s="294"/>
      <c r="F23" s="295"/>
      <c r="G23" s="293"/>
      <c r="H23" s="296"/>
      <c r="I23" s="292"/>
      <c r="J23" s="293"/>
      <c r="K23" s="294"/>
      <c r="L23" s="295"/>
      <c r="M23" s="293"/>
      <c r="N23" s="297"/>
      <c r="O23" s="292"/>
      <c r="P23" s="293"/>
      <c r="Q23" s="294"/>
      <c r="R23" s="295"/>
      <c r="S23" s="293"/>
      <c r="T23" s="297"/>
      <c r="U23" s="295"/>
      <c r="V23" s="293"/>
      <c r="W23" s="297"/>
      <c r="X23" s="292"/>
      <c r="Y23" s="293"/>
      <c r="Z23" s="298"/>
      <c r="AA23" s="299"/>
      <c r="AB23" s="293"/>
      <c r="AC23" s="300"/>
    </row>
    <row r="24" spans="1:29" s="407" customFormat="1" ht="13.5" customHeight="1">
      <c r="A24" s="190" t="s">
        <v>198</v>
      </c>
      <c r="B24" s="288" t="s">
        <v>319</v>
      </c>
      <c r="C24" s="373">
        <f>+C23</f>
        <v>0</v>
      </c>
      <c r="D24" s="371"/>
      <c r="E24" s="374"/>
      <c r="F24" s="403">
        <f>+F23</f>
        <v>0</v>
      </c>
      <c r="G24" s="371"/>
      <c r="H24" s="404"/>
      <c r="I24" s="373">
        <f>+I23</f>
        <v>0</v>
      </c>
      <c r="J24" s="371"/>
      <c r="K24" s="374"/>
      <c r="L24" s="403">
        <f>+L23</f>
        <v>0</v>
      </c>
      <c r="M24" s="371"/>
      <c r="N24" s="405"/>
      <c r="O24" s="373">
        <f>+O23</f>
        <v>0</v>
      </c>
      <c r="P24" s="371"/>
      <c r="Q24" s="374"/>
      <c r="R24" s="403">
        <f>+R23</f>
        <v>0</v>
      </c>
      <c r="S24" s="371"/>
      <c r="T24" s="405"/>
      <c r="U24" s="403">
        <f>+U23</f>
        <v>0</v>
      </c>
      <c r="V24" s="371"/>
      <c r="W24" s="405"/>
      <c r="X24" s="373">
        <f>+X23</f>
        <v>0</v>
      </c>
      <c r="Y24" s="371"/>
      <c r="Z24" s="406"/>
      <c r="AA24" s="365">
        <f>+AA23</f>
        <v>0</v>
      </c>
      <c r="AB24" s="371"/>
      <c r="AC24" s="372"/>
    </row>
    <row r="25" spans="1:29" ht="13.5" customHeight="1">
      <c r="A25" s="215" t="s">
        <v>199</v>
      </c>
      <c r="B25" s="291" t="s">
        <v>159</v>
      </c>
      <c r="C25" s="292"/>
      <c r="D25" s="293"/>
      <c r="E25" s="294"/>
      <c r="F25" s="295"/>
      <c r="G25" s="293"/>
      <c r="H25" s="296"/>
      <c r="I25" s="292"/>
      <c r="J25" s="293"/>
      <c r="K25" s="294"/>
      <c r="L25" s="295"/>
      <c r="M25" s="293"/>
      <c r="N25" s="297"/>
      <c r="O25" s="292"/>
      <c r="P25" s="293"/>
      <c r="Q25" s="294"/>
      <c r="R25" s="295"/>
      <c r="S25" s="293"/>
      <c r="T25" s="297"/>
      <c r="U25" s="295"/>
      <c r="V25" s="293"/>
      <c r="W25" s="297"/>
      <c r="X25" s="292"/>
      <c r="Y25" s="293"/>
      <c r="Z25" s="298"/>
      <c r="AA25" s="299"/>
      <c r="AB25" s="293"/>
      <c r="AC25" s="300"/>
    </row>
    <row r="26" spans="1:29" s="407" customFormat="1" ht="13.5" customHeight="1">
      <c r="A26" s="190" t="s">
        <v>200</v>
      </c>
      <c r="B26" s="288" t="s">
        <v>320</v>
      </c>
      <c r="C26" s="373">
        <f>+C25</f>
        <v>0</v>
      </c>
      <c r="D26" s="371"/>
      <c r="E26" s="374"/>
      <c r="F26" s="403">
        <f>+F25</f>
        <v>0</v>
      </c>
      <c r="G26" s="371"/>
      <c r="H26" s="404"/>
      <c r="I26" s="373">
        <f>+I25</f>
        <v>0</v>
      </c>
      <c r="J26" s="371"/>
      <c r="K26" s="374"/>
      <c r="L26" s="403">
        <f>+L25</f>
        <v>0</v>
      </c>
      <c r="M26" s="371"/>
      <c r="N26" s="405"/>
      <c r="O26" s="373">
        <f>+O25</f>
        <v>0</v>
      </c>
      <c r="P26" s="371"/>
      <c r="Q26" s="374"/>
      <c r="R26" s="403">
        <f>+R25</f>
        <v>0</v>
      </c>
      <c r="S26" s="371"/>
      <c r="T26" s="405"/>
      <c r="U26" s="403">
        <f>+U25</f>
        <v>0</v>
      </c>
      <c r="V26" s="371"/>
      <c r="W26" s="405"/>
      <c r="X26" s="373">
        <f>+X25</f>
        <v>0</v>
      </c>
      <c r="Y26" s="371"/>
      <c r="Z26" s="406"/>
      <c r="AA26" s="365">
        <f>+AA25</f>
        <v>0</v>
      </c>
      <c r="AB26" s="371"/>
      <c r="AC26" s="372"/>
    </row>
    <row r="27" spans="1:29" s="407" customFormat="1" ht="13.5" customHeight="1">
      <c r="A27" s="190" t="s">
        <v>201</v>
      </c>
      <c r="B27" s="288" t="s">
        <v>160</v>
      </c>
      <c r="C27" s="373">
        <f>+C7+C11+C21+C22+C24+C26</f>
        <v>800</v>
      </c>
      <c r="D27" s="371"/>
      <c r="E27" s="374"/>
      <c r="F27" s="403">
        <f>+F7+F11+F21+F22+F24+F26</f>
        <v>0</v>
      </c>
      <c r="G27" s="371"/>
      <c r="H27" s="404"/>
      <c r="I27" s="373">
        <f>+I7+I11+I21+I22+I24+I26</f>
        <v>2160</v>
      </c>
      <c r="J27" s="371"/>
      <c r="K27" s="374"/>
      <c r="L27" s="403">
        <f>+L7+L11+L21+L22+L24+L26</f>
        <v>0</v>
      </c>
      <c r="M27" s="371"/>
      <c r="N27" s="405"/>
      <c r="O27" s="373">
        <f>+O7+O11+O21+O22+O24+O26</f>
        <v>1620</v>
      </c>
      <c r="P27" s="371"/>
      <c r="Q27" s="374"/>
      <c r="R27" s="403">
        <f>+R7+R11+R21+R22+R24+R26</f>
        <v>500</v>
      </c>
      <c r="S27" s="371"/>
      <c r="T27" s="405"/>
      <c r="U27" s="403">
        <f>+U7+U11+U21+U22+U24+U26</f>
        <v>2673</v>
      </c>
      <c r="V27" s="371"/>
      <c r="W27" s="405"/>
      <c r="X27" s="373">
        <f>+X7+X11+X21+X22+X24+X26</f>
        <v>1267</v>
      </c>
      <c r="Y27" s="371"/>
      <c r="Z27" s="406"/>
      <c r="AA27" s="365">
        <f>+AA7+AA11+AA21+AA22+AA24+AA26</f>
        <v>9020</v>
      </c>
      <c r="AB27" s="371"/>
      <c r="AC27" s="372"/>
    </row>
    <row r="28" spans="1:29" s="407" customFormat="1" ht="13.5" customHeight="1">
      <c r="A28" s="301" t="s">
        <v>202</v>
      </c>
      <c r="B28" s="288" t="s">
        <v>161</v>
      </c>
      <c r="C28" s="373"/>
      <c r="D28" s="371"/>
      <c r="E28" s="374"/>
      <c r="F28" s="403"/>
      <c r="G28" s="371"/>
      <c r="H28" s="404"/>
      <c r="I28" s="373"/>
      <c r="J28" s="371"/>
      <c r="K28" s="374"/>
      <c r="L28" s="403"/>
      <c r="M28" s="371"/>
      <c r="N28" s="405"/>
      <c r="O28" s="373"/>
      <c r="P28" s="371"/>
      <c r="Q28" s="374"/>
      <c r="R28" s="403"/>
      <c r="S28" s="371"/>
      <c r="T28" s="405"/>
      <c r="U28" s="403"/>
      <c r="V28" s="371"/>
      <c r="W28" s="405"/>
      <c r="X28" s="373"/>
      <c r="Y28" s="371"/>
      <c r="Z28" s="406"/>
      <c r="AA28" s="365"/>
      <c r="AB28" s="371"/>
      <c r="AC28" s="372"/>
    </row>
    <row r="29" spans="1:29" s="407" customFormat="1" ht="13.5" customHeight="1">
      <c r="A29" s="301" t="s">
        <v>317</v>
      </c>
      <c r="B29" s="288" t="s">
        <v>318</v>
      </c>
      <c r="C29" s="373">
        <f>+SUM(C30:C31)</f>
        <v>1641</v>
      </c>
      <c r="D29" s="371"/>
      <c r="E29" s="374"/>
      <c r="F29" s="403">
        <f>+SUM(F30:F31)</f>
        <v>19471</v>
      </c>
      <c r="G29" s="371"/>
      <c r="H29" s="404"/>
      <c r="I29" s="373">
        <f>+SUM(I30:I31)</f>
        <v>30363</v>
      </c>
      <c r="J29" s="371"/>
      <c r="K29" s="374"/>
      <c r="L29" s="403">
        <f>+SUM(L30:L31)</f>
        <v>21610</v>
      </c>
      <c r="M29" s="371"/>
      <c r="N29" s="405"/>
      <c r="O29" s="373">
        <f>+SUM(O30:O31)</f>
        <v>11702</v>
      </c>
      <c r="P29" s="371"/>
      <c r="Q29" s="374"/>
      <c r="R29" s="403">
        <f>+SUM(R30:R31)</f>
        <v>5321</v>
      </c>
      <c r="S29" s="371"/>
      <c r="T29" s="405"/>
      <c r="U29" s="403">
        <f>+SUM(U30:U31)</f>
        <v>1743</v>
      </c>
      <c r="V29" s="371"/>
      <c r="W29" s="405"/>
      <c r="X29" s="373">
        <f>+SUM(X30:X31)</f>
        <v>1691</v>
      </c>
      <c r="Y29" s="371"/>
      <c r="Z29" s="406"/>
      <c r="AA29" s="365">
        <f>+SUM(AA30:AA31)</f>
        <v>93542</v>
      </c>
      <c r="AB29" s="371"/>
      <c r="AC29" s="372"/>
    </row>
    <row r="30" spans="1:29" ht="13.5" customHeight="1">
      <c r="A30" s="340"/>
      <c r="B30" s="528" t="s">
        <v>341</v>
      </c>
      <c r="C30" s="330">
        <f>+'6.SZ.TÁBL. SZOCIÁLIS NORMATÍVA'!D7</f>
        <v>1145</v>
      </c>
      <c r="D30" s="331"/>
      <c r="E30" s="332"/>
      <c r="F30" s="333">
        <f>+'6.SZ.TÁBL. SZOCIÁLIS NORMATÍVA'!D4+'6.SZ.TÁBL. SZOCIÁLIS NORMATÍVA'!D13</f>
        <v>11900</v>
      </c>
      <c r="G30" s="331"/>
      <c r="H30" s="334"/>
      <c r="I30" s="330">
        <f>+'6.SZ.TÁBL. SZOCIÁLIS NORMATÍVA'!D6</f>
        <v>20358</v>
      </c>
      <c r="J30" s="331"/>
      <c r="K30" s="332"/>
      <c r="L30" s="333">
        <f>+'6.SZ.TÁBL. SZOCIÁLIS NORMATÍVA'!D3</f>
        <v>15000</v>
      </c>
      <c r="M30" s="331"/>
      <c r="N30" s="335"/>
      <c r="O30" s="330">
        <f>+'6.SZ.TÁBL. SZOCIÁLIS NORMATÍVA'!D10</f>
        <v>8940</v>
      </c>
      <c r="P30" s="331"/>
      <c r="Q30" s="332"/>
      <c r="R30" s="333">
        <f>+'6.SZ.TÁBL. SZOCIÁLIS NORMATÍVA'!D8</f>
        <v>2500</v>
      </c>
      <c r="S30" s="331"/>
      <c r="T30" s="335"/>
      <c r="U30" s="333">
        <f>+'6.SZ.TÁBL. SZOCIÁLIS NORMATÍVA'!D9</f>
        <v>1743</v>
      </c>
      <c r="V30" s="331"/>
      <c r="W30" s="335"/>
      <c r="X30" s="330">
        <f>+'6.SZ.TÁBL. SZOCIÁLIS NORMATÍVA'!D5</f>
        <v>996</v>
      </c>
      <c r="Y30" s="331"/>
      <c r="Z30" s="336"/>
      <c r="AA30" s="337">
        <f>+C30+F30+I30+L30+O30+R30+U30+X30</f>
        <v>62582</v>
      </c>
      <c r="AB30" s="331"/>
      <c r="AC30" s="338"/>
    </row>
    <row r="31" spans="1:29" ht="13.5" customHeight="1">
      <c r="A31" s="341"/>
      <c r="B31" s="201" t="s">
        <v>342</v>
      </c>
      <c r="C31" s="252">
        <f>+SUM(C32:C38)</f>
        <v>496</v>
      </c>
      <c r="D31" s="250"/>
      <c r="E31" s="255"/>
      <c r="F31" s="256">
        <f>+SUM(F32:F38)</f>
        <v>7571</v>
      </c>
      <c r="G31" s="250"/>
      <c r="H31" s="257"/>
      <c r="I31" s="252">
        <f>+SUM(I32:I38)</f>
        <v>10005</v>
      </c>
      <c r="J31" s="250"/>
      <c r="K31" s="255"/>
      <c r="L31" s="256">
        <f>+SUM(L32:L38)</f>
        <v>6610</v>
      </c>
      <c r="M31" s="250"/>
      <c r="N31" s="258"/>
      <c r="O31" s="252">
        <f>+SUM(O32:O38)</f>
        <v>2762</v>
      </c>
      <c r="P31" s="250"/>
      <c r="Q31" s="255"/>
      <c r="R31" s="256">
        <f>+SUM(R32:R38)</f>
        <v>2821</v>
      </c>
      <c r="S31" s="250"/>
      <c r="T31" s="258"/>
      <c r="U31" s="256">
        <f>+SUM(U32:U38)</f>
        <v>0</v>
      </c>
      <c r="V31" s="250"/>
      <c r="W31" s="258"/>
      <c r="X31" s="252">
        <f>+SUM(X32:X38)</f>
        <v>695</v>
      </c>
      <c r="Y31" s="250"/>
      <c r="Z31" s="259"/>
      <c r="AA31" s="260">
        <f>+SUM(AA32:AA38)</f>
        <v>30960</v>
      </c>
      <c r="AB31" s="250"/>
      <c r="AC31" s="251"/>
    </row>
    <row r="32" spans="1:29" s="352" customFormat="1" ht="13.5" customHeight="1">
      <c r="A32" s="342"/>
      <c r="B32" s="526" t="s">
        <v>4</v>
      </c>
      <c r="C32" s="343">
        <f>+F125</f>
        <v>50</v>
      </c>
      <c r="D32" s="344"/>
      <c r="E32" s="345"/>
      <c r="F32" s="346">
        <f>+G135</f>
        <v>1119</v>
      </c>
      <c r="G32" s="344"/>
      <c r="H32" s="347"/>
      <c r="I32" s="343">
        <f>+J135</f>
        <v>1479</v>
      </c>
      <c r="J32" s="344"/>
      <c r="K32" s="345"/>
      <c r="L32" s="346">
        <f>+M135</f>
        <v>977</v>
      </c>
      <c r="M32" s="344"/>
      <c r="N32" s="348"/>
      <c r="O32" s="343">
        <f>+P135</f>
        <v>472</v>
      </c>
      <c r="P32" s="344"/>
      <c r="Q32" s="345"/>
      <c r="R32" s="346">
        <f>+R135</f>
        <v>2821</v>
      </c>
      <c r="S32" s="344"/>
      <c r="T32" s="348"/>
      <c r="U32" s="346"/>
      <c r="V32" s="344"/>
      <c r="W32" s="348"/>
      <c r="X32" s="343"/>
      <c r="Y32" s="344"/>
      <c r="Z32" s="349"/>
      <c r="AA32" s="269">
        <f t="shared" ref="AA32:AA38" si="1">+C32+F32+I32+L32+O32+R32+U32+X32</f>
        <v>6918</v>
      </c>
      <c r="AB32" s="344"/>
      <c r="AC32" s="351"/>
    </row>
    <row r="33" spans="1:29" s="352" customFormat="1" ht="13.5" customHeight="1">
      <c r="A33" s="342"/>
      <c r="B33" s="526" t="s">
        <v>6</v>
      </c>
      <c r="C33" s="343">
        <f t="shared" ref="C33:C38" si="2">+F126</f>
        <v>0</v>
      </c>
      <c r="D33" s="344"/>
      <c r="E33" s="345"/>
      <c r="F33" s="346">
        <f t="shared" ref="F33:F38" si="3">+G136</f>
        <v>509</v>
      </c>
      <c r="G33" s="344"/>
      <c r="H33" s="347"/>
      <c r="I33" s="343">
        <f t="shared" ref="I33:I38" si="4">+J136</f>
        <v>673</v>
      </c>
      <c r="J33" s="344"/>
      <c r="K33" s="345"/>
      <c r="L33" s="346">
        <f t="shared" ref="L33:L38" si="5">+M136</f>
        <v>444</v>
      </c>
      <c r="M33" s="344"/>
      <c r="N33" s="348"/>
      <c r="O33" s="343">
        <f t="shared" ref="O33:O38" si="6">+P136</f>
        <v>215</v>
      </c>
      <c r="P33" s="344"/>
      <c r="Q33" s="345"/>
      <c r="R33" s="346"/>
      <c r="S33" s="344"/>
      <c r="T33" s="348"/>
      <c r="U33" s="346"/>
      <c r="V33" s="344"/>
      <c r="W33" s="348"/>
      <c r="X33" s="343"/>
      <c r="Y33" s="344"/>
      <c r="Z33" s="349"/>
      <c r="AA33" s="269">
        <f t="shared" si="1"/>
        <v>1841</v>
      </c>
      <c r="AB33" s="344"/>
      <c r="AC33" s="351"/>
    </row>
    <row r="34" spans="1:29" s="352" customFormat="1" ht="13.5" customHeight="1">
      <c r="A34" s="342"/>
      <c r="B34" s="526" t="s">
        <v>7</v>
      </c>
      <c r="C34" s="343">
        <f t="shared" si="2"/>
        <v>50</v>
      </c>
      <c r="D34" s="344"/>
      <c r="E34" s="345"/>
      <c r="F34" s="346">
        <f t="shared" si="3"/>
        <v>438</v>
      </c>
      <c r="G34" s="344"/>
      <c r="H34" s="347"/>
      <c r="I34" s="343">
        <f t="shared" si="4"/>
        <v>579</v>
      </c>
      <c r="J34" s="344"/>
      <c r="K34" s="345"/>
      <c r="L34" s="346">
        <f t="shared" si="5"/>
        <v>382</v>
      </c>
      <c r="M34" s="344"/>
      <c r="N34" s="348"/>
      <c r="O34" s="343">
        <f t="shared" si="6"/>
        <v>185</v>
      </c>
      <c r="P34" s="344"/>
      <c r="Q34" s="345"/>
      <c r="R34" s="346"/>
      <c r="S34" s="344"/>
      <c r="T34" s="348"/>
      <c r="U34" s="346"/>
      <c r="V34" s="344"/>
      <c r="W34" s="348"/>
      <c r="X34" s="343"/>
      <c r="Y34" s="344"/>
      <c r="Z34" s="349"/>
      <c r="AA34" s="269">
        <f t="shared" si="1"/>
        <v>1634</v>
      </c>
      <c r="AB34" s="344"/>
      <c r="AC34" s="351"/>
    </row>
    <row r="35" spans="1:29" s="352" customFormat="1" ht="13.5" customHeight="1">
      <c r="A35" s="342"/>
      <c r="B35" s="526" t="s">
        <v>8</v>
      </c>
      <c r="C35" s="343">
        <f t="shared" si="2"/>
        <v>346</v>
      </c>
      <c r="D35" s="344"/>
      <c r="E35" s="345"/>
      <c r="F35" s="346">
        <f t="shared" si="3"/>
        <v>2286</v>
      </c>
      <c r="G35" s="344"/>
      <c r="H35" s="347"/>
      <c r="I35" s="343">
        <f t="shared" si="4"/>
        <v>3020</v>
      </c>
      <c r="J35" s="344"/>
      <c r="K35" s="345"/>
      <c r="L35" s="346">
        <f t="shared" si="5"/>
        <v>1996</v>
      </c>
      <c r="M35" s="344"/>
      <c r="N35" s="348"/>
      <c r="O35" s="343">
        <f t="shared" si="6"/>
        <v>963</v>
      </c>
      <c r="P35" s="344"/>
      <c r="Q35" s="345"/>
      <c r="R35" s="346"/>
      <c r="S35" s="344"/>
      <c r="T35" s="348"/>
      <c r="U35" s="346"/>
      <c r="V35" s="344"/>
      <c r="W35" s="348"/>
      <c r="X35" s="343">
        <f>+X128</f>
        <v>695</v>
      </c>
      <c r="Y35" s="344"/>
      <c r="Z35" s="349"/>
      <c r="AA35" s="269">
        <f t="shared" si="1"/>
        <v>9306</v>
      </c>
      <c r="AB35" s="344"/>
      <c r="AC35" s="351"/>
    </row>
    <row r="36" spans="1:29" s="352" customFormat="1" ht="13.5" customHeight="1">
      <c r="A36" s="342"/>
      <c r="B36" s="526" t="s">
        <v>9</v>
      </c>
      <c r="C36" s="343">
        <f t="shared" si="2"/>
        <v>50</v>
      </c>
      <c r="D36" s="344"/>
      <c r="E36" s="345"/>
      <c r="F36" s="346">
        <f t="shared" si="3"/>
        <v>1367</v>
      </c>
      <c r="G36" s="344"/>
      <c r="H36" s="347"/>
      <c r="I36" s="343">
        <f t="shared" si="4"/>
        <v>1807</v>
      </c>
      <c r="J36" s="344"/>
      <c r="K36" s="345"/>
      <c r="L36" s="346">
        <f t="shared" si="5"/>
        <v>1194</v>
      </c>
      <c r="M36" s="344"/>
      <c r="N36" s="348"/>
      <c r="O36" s="343">
        <f t="shared" si="6"/>
        <v>576</v>
      </c>
      <c r="P36" s="344"/>
      <c r="Q36" s="345"/>
      <c r="R36" s="346"/>
      <c r="S36" s="344"/>
      <c r="T36" s="348"/>
      <c r="U36" s="346"/>
      <c r="V36" s="344"/>
      <c r="W36" s="348"/>
      <c r="X36" s="343"/>
      <c r="Y36" s="344"/>
      <c r="Z36" s="349"/>
      <c r="AA36" s="269">
        <f t="shared" si="1"/>
        <v>4994</v>
      </c>
      <c r="AB36" s="344"/>
      <c r="AC36" s="351"/>
    </row>
    <row r="37" spans="1:29" s="352" customFormat="1" ht="13.5" customHeight="1">
      <c r="A37" s="342"/>
      <c r="B37" s="526" t="s">
        <v>10</v>
      </c>
      <c r="C37" s="343">
        <f t="shared" si="2"/>
        <v>0</v>
      </c>
      <c r="D37" s="344"/>
      <c r="E37" s="345"/>
      <c r="F37" s="346">
        <f t="shared" si="3"/>
        <v>833</v>
      </c>
      <c r="G37" s="344"/>
      <c r="H37" s="347"/>
      <c r="I37" s="343">
        <f t="shared" si="4"/>
        <v>1100</v>
      </c>
      <c r="J37" s="344"/>
      <c r="K37" s="345"/>
      <c r="L37" s="346">
        <f t="shared" si="5"/>
        <v>727</v>
      </c>
      <c r="M37" s="344"/>
      <c r="N37" s="348"/>
      <c r="O37" s="343">
        <f t="shared" si="6"/>
        <v>351</v>
      </c>
      <c r="P37" s="344"/>
      <c r="Q37" s="345"/>
      <c r="R37" s="346"/>
      <c r="S37" s="344"/>
      <c r="T37" s="348"/>
      <c r="U37" s="346"/>
      <c r="V37" s="344"/>
      <c r="W37" s="348"/>
      <c r="X37" s="343"/>
      <c r="Y37" s="344"/>
      <c r="Z37" s="349"/>
      <c r="AA37" s="269">
        <f t="shared" si="1"/>
        <v>3011</v>
      </c>
      <c r="AB37" s="344"/>
      <c r="AC37" s="351"/>
    </row>
    <row r="38" spans="1:29" s="352" customFormat="1" ht="13.5" customHeight="1">
      <c r="A38" s="810"/>
      <c r="B38" s="527" t="s">
        <v>343</v>
      </c>
      <c r="C38" s="811">
        <f t="shared" si="2"/>
        <v>0</v>
      </c>
      <c r="D38" s="367"/>
      <c r="E38" s="369"/>
      <c r="F38" s="812">
        <f t="shared" si="3"/>
        <v>1019</v>
      </c>
      <c r="G38" s="367"/>
      <c r="H38" s="813"/>
      <c r="I38" s="812">
        <f t="shared" si="4"/>
        <v>1347</v>
      </c>
      <c r="J38" s="367"/>
      <c r="K38" s="369"/>
      <c r="L38" s="812">
        <f t="shared" si="5"/>
        <v>890</v>
      </c>
      <c r="M38" s="367"/>
      <c r="N38" s="814"/>
      <c r="O38" s="811">
        <f t="shared" si="6"/>
        <v>0</v>
      </c>
      <c r="P38" s="367"/>
      <c r="Q38" s="369"/>
      <c r="R38" s="812"/>
      <c r="S38" s="367"/>
      <c r="T38" s="814"/>
      <c r="U38" s="812"/>
      <c r="V38" s="367"/>
      <c r="W38" s="814"/>
      <c r="X38" s="811"/>
      <c r="Y38" s="367"/>
      <c r="Z38" s="815"/>
      <c r="AA38" s="299">
        <f t="shared" si="1"/>
        <v>3256</v>
      </c>
      <c r="AB38" s="367"/>
      <c r="AC38" s="368"/>
    </row>
    <row r="39" spans="1:29" s="407" customFormat="1" ht="13.5" customHeight="1" thickBot="1">
      <c r="A39" s="359" t="s">
        <v>203</v>
      </c>
      <c r="B39" s="339" t="s">
        <v>162</v>
      </c>
      <c r="C39" s="424">
        <f>SUM(C28:C29)</f>
        <v>1641</v>
      </c>
      <c r="D39" s="377"/>
      <c r="E39" s="379"/>
      <c r="F39" s="424">
        <f>SUM(F28:F29)</f>
        <v>19471</v>
      </c>
      <c r="G39" s="377"/>
      <c r="H39" s="816"/>
      <c r="I39" s="817">
        <f>SUM(I28:I29)</f>
        <v>30363</v>
      </c>
      <c r="J39" s="377"/>
      <c r="K39" s="379"/>
      <c r="L39" s="424">
        <f>SUM(L28:L29)</f>
        <v>21610</v>
      </c>
      <c r="M39" s="377"/>
      <c r="N39" s="818"/>
      <c r="O39" s="817">
        <f>SUM(O28:O29)</f>
        <v>11702</v>
      </c>
      <c r="P39" s="377"/>
      <c r="Q39" s="379"/>
      <c r="R39" s="424">
        <f>SUM(R28:R29)</f>
        <v>5321</v>
      </c>
      <c r="S39" s="377"/>
      <c r="T39" s="818"/>
      <c r="U39" s="424">
        <f>SUM(U28:U29)</f>
        <v>1743</v>
      </c>
      <c r="V39" s="377"/>
      <c r="W39" s="818"/>
      <c r="X39" s="817">
        <f>SUM(X28:X29)</f>
        <v>1691</v>
      </c>
      <c r="Y39" s="377"/>
      <c r="Z39" s="819"/>
      <c r="AA39" s="376">
        <f>SUM(AA28:AA29)</f>
        <v>93542</v>
      </c>
      <c r="AB39" s="377"/>
      <c r="AC39" s="378"/>
    </row>
    <row r="40" spans="1:29" s="407" customFormat="1" ht="13.5" customHeight="1" thickBot="1">
      <c r="A40" s="899" t="s">
        <v>0</v>
      </c>
      <c r="B40" s="900"/>
      <c r="C40" s="384">
        <f>+C27+C39</f>
        <v>2441</v>
      </c>
      <c r="D40" s="382"/>
      <c r="E40" s="385"/>
      <c r="F40" s="412">
        <f>+F27+F39</f>
        <v>19471</v>
      </c>
      <c r="G40" s="382"/>
      <c r="H40" s="413"/>
      <c r="I40" s="384">
        <f>+I27+I39</f>
        <v>32523</v>
      </c>
      <c r="J40" s="382"/>
      <c r="K40" s="385"/>
      <c r="L40" s="412">
        <f>+L27+L39</f>
        <v>21610</v>
      </c>
      <c r="M40" s="382"/>
      <c r="N40" s="414"/>
      <c r="O40" s="384">
        <f>+O27+O39</f>
        <v>13322</v>
      </c>
      <c r="P40" s="382"/>
      <c r="Q40" s="385"/>
      <c r="R40" s="412">
        <f>+R27+R39</f>
        <v>5821</v>
      </c>
      <c r="S40" s="382"/>
      <c r="T40" s="414"/>
      <c r="U40" s="412">
        <f>+U27+U39</f>
        <v>4416</v>
      </c>
      <c r="V40" s="382"/>
      <c r="W40" s="414"/>
      <c r="X40" s="384">
        <f>+X27+X39</f>
        <v>2958</v>
      </c>
      <c r="Y40" s="382"/>
      <c r="Z40" s="415"/>
      <c r="AA40" s="381">
        <f>+AA27+AA39</f>
        <v>102562</v>
      </c>
      <c r="AB40" s="382"/>
      <c r="AC40" s="383"/>
    </row>
    <row r="41" spans="1:29" ht="13.5" customHeight="1">
      <c r="A41" s="242" t="s">
        <v>221</v>
      </c>
      <c r="B41" s="302" t="s">
        <v>222</v>
      </c>
      <c r="C41" s="262">
        <f>+'[4]Segítő Szolgálat'!$B17</f>
        <v>767</v>
      </c>
      <c r="D41" s="263"/>
      <c r="E41" s="264"/>
      <c r="F41" s="416">
        <f>+'[4]Segítő Szolgálat'!$C17</f>
        <v>9020</v>
      </c>
      <c r="G41" s="263"/>
      <c r="H41" s="266"/>
      <c r="I41" s="416">
        <f>+'[4]Segítő Szolgálat'!$D17</f>
        <v>21203</v>
      </c>
      <c r="J41" s="263"/>
      <c r="K41" s="264"/>
      <c r="L41" s="416">
        <f>+'[4]Segítő Szolgálat'!$E17</f>
        <v>12609</v>
      </c>
      <c r="M41" s="263"/>
      <c r="N41" s="267"/>
      <c r="O41" s="416">
        <f>+'[4]Segítő Szolgálat'!$F17</f>
        <v>6591</v>
      </c>
      <c r="P41" s="263"/>
      <c r="Q41" s="264"/>
      <c r="R41" s="416">
        <f>+'[4]Segítő Szolgálat'!$G17</f>
        <v>1781</v>
      </c>
      <c r="S41" s="263"/>
      <c r="T41" s="267"/>
      <c r="U41" s="416">
        <f>+'[4]Segítő Szolgálat'!$H17</f>
        <v>2974</v>
      </c>
      <c r="V41" s="263"/>
      <c r="W41" s="267"/>
      <c r="X41" s="762">
        <f>+'[4]Segítő Szolgálat'!$I17</f>
        <v>0</v>
      </c>
      <c r="Y41" s="263"/>
      <c r="Z41" s="268"/>
      <c r="AA41" s="269">
        <f t="shared" ref="AA41:AA54" si="7">+C41+F41+I41+L41+O41+R41+U41+X41</f>
        <v>54945</v>
      </c>
      <c r="AB41" s="263"/>
      <c r="AC41" s="270"/>
    </row>
    <row r="42" spans="1:29" ht="13.5" customHeight="1">
      <c r="A42" s="243" t="s">
        <v>223</v>
      </c>
      <c r="B42" s="253" t="s">
        <v>224</v>
      </c>
      <c r="C42" s="262">
        <f>+'[4]Segítő Szolgálat'!$B18</f>
        <v>0</v>
      </c>
      <c r="D42" s="250"/>
      <c r="E42" s="255"/>
      <c r="F42" s="265">
        <f>+'[4]Segítő Szolgálat'!$C18</f>
        <v>0</v>
      </c>
      <c r="G42" s="250"/>
      <c r="H42" s="257"/>
      <c r="I42" s="265">
        <f>+'[4]Segítő Szolgálat'!$D18</f>
        <v>0</v>
      </c>
      <c r="J42" s="250"/>
      <c r="K42" s="255"/>
      <c r="L42" s="265">
        <f>+'[4]Segítő Szolgálat'!$E18</f>
        <v>0</v>
      </c>
      <c r="M42" s="250"/>
      <c r="N42" s="258"/>
      <c r="O42" s="265">
        <f>+'[4]Segítő Szolgálat'!$F18</f>
        <v>0</v>
      </c>
      <c r="P42" s="250"/>
      <c r="Q42" s="255"/>
      <c r="R42" s="265">
        <f>+'[4]Segítő Szolgálat'!$G18</f>
        <v>0</v>
      </c>
      <c r="S42" s="250"/>
      <c r="T42" s="258"/>
      <c r="U42" s="265">
        <f>+'[4]Segítő Szolgálat'!$H18</f>
        <v>0</v>
      </c>
      <c r="V42" s="250"/>
      <c r="W42" s="258"/>
      <c r="X42" s="262">
        <f>+'[4]Segítő Szolgálat'!$I18</f>
        <v>0</v>
      </c>
      <c r="Y42" s="250"/>
      <c r="Z42" s="259"/>
      <c r="AA42" s="269">
        <f t="shared" si="7"/>
        <v>0</v>
      </c>
      <c r="AB42" s="250"/>
      <c r="AC42" s="251"/>
    </row>
    <row r="43" spans="1:29" ht="13.5" customHeight="1">
      <c r="A43" s="243" t="s">
        <v>225</v>
      </c>
      <c r="B43" s="253" t="s">
        <v>226</v>
      </c>
      <c r="C43" s="262">
        <f>+'[4]Segítő Szolgálat'!$B19</f>
        <v>0</v>
      </c>
      <c r="D43" s="250"/>
      <c r="E43" s="255"/>
      <c r="F43" s="265">
        <f>+'[4]Segítő Szolgálat'!$C19</f>
        <v>0</v>
      </c>
      <c r="G43" s="250"/>
      <c r="H43" s="257"/>
      <c r="I43" s="265">
        <f>+'[4]Segítő Szolgálat'!$D19</f>
        <v>0</v>
      </c>
      <c r="J43" s="250"/>
      <c r="K43" s="255"/>
      <c r="L43" s="265">
        <f>+'[4]Segítő Szolgálat'!$E19</f>
        <v>0</v>
      </c>
      <c r="M43" s="250"/>
      <c r="N43" s="258"/>
      <c r="O43" s="265">
        <f>+'[4]Segítő Szolgálat'!$F19</f>
        <v>0</v>
      </c>
      <c r="P43" s="250"/>
      <c r="Q43" s="255"/>
      <c r="R43" s="265">
        <f>+'[4]Segítő Szolgálat'!$G19</f>
        <v>0</v>
      </c>
      <c r="S43" s="250"/>
      <c r="T43" s="258"/>
      <c r="U43" s="265">
        <f>+'[4]Segítő Szolgálat'!$H19</f>
        <v>0</v>
      </c>
      <c r="V43" s="250"/>
      <c r="W43" s="258"/>
      <c r="X43" s="262">
        <f>+'[4]Segítő Szolgálat'!$I19</f>
        <v>0</v>
      </c>
      <c r="Y43" s="250"/>
      <c r="Z43" s="259"/>
      <c r="AA43" s="269">
        <f t="shared" si="7"/>
        <v>0</v>
      </c>
      <c r="AB43" s="250"/>
      <c r="AC43" s="251"/>
    </row>
    <row r="44" spans="1:29" ht="13.5" customHeight="1">
      <c r="A44" s="243" t="s">
        <v>227</v>
      </c>
      <c r="B44" s="253" t="s">
        <v>228</v>
      </c>
      <c r="C44" s="262">
        <f>+'[4]Segítő Szolgálat'!$B20</f>
        <v>0</v>
      </c>
      <c r="D44" s="250"/>
      <c r="E44" s="255"/>
      <c r="F44" s="265">
        <f>+'[4]Segítő Szolgálat'!$C20</f>
        <v>537</v>
      </c>
      <c r="G44" s="250"/>
      <c r="H44" s="257"/>
      <c r="I44" s="265">
        <f>+'[4]Segítő Szolgálat'!$D20</f>
        <v>100</v>
      </c>
      <c r="J44" s="250"/>
      <c r="K44" s="255"/>
      <c r="L44" s="265">
        <f>+'[4]Segítő Szolgálat'!$E20</f>
        <v>0</v>
      </c>
      <c r="M44" s="250"/>
      <c r="N44" s="258"/>
      <c r="O44" s="265">
        <f>+'[4]Segítő Szolgálat'!$F20</f>
        <v>50</v>
      </c>
      <c r="P44" s="250"/>
      <c r="Q44" s="255"/>
      <c r="R44" s="265">
        <f>+'[4]Segítő Szolgálat'!$G20</f>
        <v>0</v>
      </c>
      <c r="S44" s="250"/>
      <c r="T44" s="258"/>
      <c r="U44" s="265">
        <f>+'[4]Segítő Szolgálat'!$H20</f>
        <v>25</v>
      </c>
      <c r="V44" s="250"/>
      <c r="W44" s="258"/>
      <c r="X44" s="262">
        <f>+'[4]Segítő Szolgálat'!$I20</f>
        <v>0</v>
      </c>
      <c r="Y44" s="250"/>
      <c r="Z44" s="259"/>
      <c r="AA44" s="269">
        <f t="shared" si="7"/>
        <v>712</v>
      </c>
      <c r="AB44" s="250"/>
      <c r="AC44" s="251"/>
    </row>
    <row r="45" spans="1:29" ht="13.5" customHeight="1">
      <c r="A45" s="243" t="s">
        <v>229</v>
      </c>
      <c r="B45" s="253" t="s">
        <v>230</v>
      </c>
      <c r="C45" s="262">
        <f>+'[4]Segítő Szolgálat'!$B21</f>
        <v>0</v>
      </c>
      <c r="D45" s="250"/>
      <c r="E45" s="255"/>
      <c r="F45" s="265">
        <f>+'[4]Segítő Szolgálat'!$C21</f>
        <v>0</v>
      </c>
      <c r="G45" s="250"/>
      <c r="H45" s="257"/>
      <c r="I45" s="265">
        <f>+'[4]Segítő Szolgálat'!$D21</f>
        <v>0</v>
      </c>
      <c r="J45" s="250"/>
      <c r="K45" s="255"/>
      <c r="L45" s="265">
        <f>+'[4]Segítő Szolgálat'!$E21</f>
        <v>0</v>
      </c>
      <c r="M45" s="250"/>
      <c r="N45" s="258"/>
      <c r="O45" s="265">
        <f>+'[4]Segítő Szolgálat'!$F21</f>
        <v>0</v>
      </c>
      <c r="P45" s="250"/>
      <c r="Q45" s="255"/>
      <c r="R45" s="265">
        <f>+'[4]Segítő Szolgálat'!$G21</f>
        <v>0</v>
      </c>
      <c r="S45" s="250"/>
      <c r="T45" s="258"/>
      <c r="U45" s="265">
        <f>+'[4]Segítő Szolgálat'!$H21</f>
        <v>0</v>
      </c>
      <c r="V45" s="250"/>
      <c r="W45" s="258"/>
      <c r="X45" s="262">
        <f>+'[4]Segítő Szolgálat'!$I21</f>
        <v>0</v>
      </c>
      <c r="Y45" s="250"/>
      <c r="Z45" s="259"/>
      <c r="AA45" s="269">
        <f t="shared" si="7"/>
        <v>0</v>
      </c>
      <c r="AB45" s="250"/>
      <c r="AC45" s="251"/>
    </row>
    <row r="46" spans="1:29" ht="13.5" customHeight="1">
      <c r="A46" s="243" t="s">
        <v>231</v>
      </c>
      <c r="B46" s="253" t="s">
        <v>1</v>
      </c>
      <c r="C46" s="262">
        <f>+'[4]Segítő Szolgálat'!$B22</f>
        <v>0</v>
      </c>
      <c r="D46" s="250"/>
      <c r="E46" s="255"/>
      <c r="F46" s="265">
        <f>+'[4]Segítő Szolgálat'!$C22</f>
        <v>0</v>
      </c>
      <c r="G46" s="250"/>
      <c r="H46" s="257"/>
      <c r="I46" s="265">
        <f>+'[4]Segítő Szolgálat'!$D22</f>
        <v>0</v>
      </c>
      <c r="J46" s="250"/>
      <c r="K46" s="255"/>
      <c r="L46" s="265">
        <f>+'[4]Segítő Szolgálat'!$E22</f>
        <v>545</v>
      </c>
      <c r="M46" s="250"/>
      <c r="N46" s="258"/>
      <c r="O46" s="265">
        <f>+'[4]Segítő Szolgálat'!$F22</f>
        <v>0</v>
      </c>
      <c r="P46" s="250"/>
      <c r="Q46" s="255"/>
      <c r="R46" s="265">
        <f>+'[4]Segítő Szolgálat'!$G22</f>
        <v>0</v>
      </c>
      <c r="S46" s="250"/>
      <c r="T46" s="258"/>
      <c r="U46" s="265">
        <f>+'[4]Segítő Szolgálat'!$H22</f>
        <v>0</v>
      </c>
      <c r="V46" s="250"/>
      <c r="W46" s="258"/>
      <c r="X46" s="262">
        <f>+'[4]Segítő Szolgálat'!$I22</f>
        <v>0</v>
      </c>
      <c r="Y46" s="250"/>
      <c r="Z46" s="259"/>
      <c r="AA46" s="269">
        <f t="shared" si="7"/>
        <v>545</v>
      </c>
      <c r="AB46" s="250"/>
      <c r="AC46" s="251"/>
    </row>
    <row r="47" spans="1:29" ht="13.5" customHeight="1">
      <c r="A47" s="243" t="s">
        <v>232</v>
      </c>
      <c r="B47" s="253" t="s">
        <v>233</v>
      </c>
      <c r="C47" s="262">
        <f>+'[4]Segítő Szolgálat'!$B23</f>
        <v>30</v>
      </c>
      <c r="D47" s="250"/>
      <c r="E47" s="255"/>
      <c r="F47" s="265">
        <f>+'[4]Segítő Szolgálat'!$C23</f>
        <v>240</v>
      </c>
      <c r="G47" s="250"/>
      <c r="H47" s="257"/>
      <c r="I47" s="265">
        <f>+'[4]Segítő Szolgálat'!$D23</f>
        <v>780</v>
      </c>
      <c r="J47" s="250"/>
      <c r="K47" s="255"/>
      <c r="L47" s="265">
        <f>+'[4]Segítő Szolgálat'!$E23</f>
        <v>340</v>
      </c>
      <c r="M47" s="250"/>
      <c r="N47" s="258"/>
      <c r="O47" s="265">
        <f>+'[4]Segítő Szolgálat'!$F23</f>
        <v>210</v>
      </c>
      <c r="P47" s="250"/>
      <c r="Q47" s="255"/>
      <c r="R47" s="265">
        <f>+'[4]Segítő Szolgálat'!$G23</f>
        <v>60</v>
      </c>
      <c r="S47" s="250"/>
      <c r="T47" s="258"/>
      <c r="U47" s="265">
        <f>+'[4]Segítő Szolgálat'!$H23</f>
        <v>90</v>
      </c>
      <c r="V47" s="250"/>
      <c r="W47" s="258"/>
      <c r="X47" s="262">
        <f>+'[4]Segítő Szolgálat'!$I23</f>
        <v>0</v>
      </c>
      <c r="Y47" s="250"/>
      <c r="Z47" s="259"/>
      <c r="AA47" s="269">
        <f t="shared" si="7"/>
        <v>1750</v>
      </c>
      <c r="AB47" s="250"/>
      <c r="AC47" s="251"/>
    </row>
    <row r="48" spans="1:29" ht="13.5" customHeight="1">
      <c r="A48" s="243" t="s">
        <v>234</v>
      </c>
      <c r="B48" s="253" t="s">
        <v>235</v>
      </c>
      <c r="C48" s="262">
        <f>+'[4]Segítő Szolgálat'!$B24</f>
        <v>0</v>
      </c>
      <c r="D48" s="250"/>
      <c r="E48" s="255"/>
      <c r="F48" s="265">
        <f>+'[4]Segítő Szolgálat'!$C24</f>
        <v>0</v>
      </c>
      <c r="G48" s="250"/>
      <c r="H48" s="257"/>
      <c r="I48" s="265">
        <f>+'[4]Segítő Szolgálat'!$D24</f>
        <v>0</v>
      </c>
      <c r="J48" s="250"/>
      <c r="K48" s="255"/>
      <c r="L48" s="265">
        <f>+'[4]Segítő Szolgálat'!$E24</f>
        <v>0</v>
      </c>
      <c r="M48" s="250"/>
      <c r="N48" s="258"/>
      <c r="O48" s="265">
        <f>+'[4]Segítő Szolgálat'!$F24</f>
        <v>0</v>
      </c>
      <c r="P48" s="250"/>
      <c r="Q48" s="255"/>
      <c r="R48" s="265">
        <f>+'[4]Segítő Szolgálat'!$G24</f>
        <v>0</v>
      </c>
      <c r="S48" s="250"/>
      <c r="T48" s="258"/>
      <c r="U48" s="265">
        <f>+'[4]Segítő Szolgálat'!$H24</f>
        <v>0</v>
      </c>
      <c r="V48" s="250"/>
      <c r="W48" s="258"/>
      <c r="X48" s="262">
        <f>+'[4]Segítő Szolgálat'!$I24</f>
        <v>0</v>
      </c>
      <c r="Y48" s="250"/>
      <c r="Z48" s="259"/>
      <c r="AA48" s="269">
        <f t="shared" si="7"/>
        <v>0</v>
      </c>
      <c r="AB48" s="250"/>
      <c r="AC48" s="251"/>
    </row>
    <row r="49" spans="1:29" ht="13.5" customHeight="1">
      <c r="A49" s="243" t="s">
        <v>236</v>
      </c>
      <c r="B49" s="253" t="s">
        <v>2</v>
      </c>
      <c r="C49" s="262">
        <f>+'[4]Segítő Szolgálat'!$B25</f>
        <v>0</v>
      </c>
      <c r="D49" s="250"/>
      <c r="E49" s="255"/>
      <c r="F49" s="265">
        <f>+'[4]Segítő Szolgálat'!$C25</f>
        <v>94</v>
      </c>
      <c r="G49" s="250"/>
      <c r="H49" s="257"/>
      <c r="I49" s="265">
        <f>+'[4]Segítő Szolgálat'!$D25</f>
        <v>47</v>
      </c>
      <c r="J49" s="250"/>
      <c r="K49" s="255"/>
      <c r="L49" s="265">
        <f>+'[4]Segítő Szolgálat'!$E25</f>
        <v>152</v>
      </c>
      <c r="M49" s="250"/>
      <c r="N49" s="258"/>
      <c r="O49" s="265">
        <f>+'[4]Segítő Szolgálat'!$F25</f>
        <v>235</v>
      </c>
      <c r="P49" s="250"/>
      <c r="Q49" s="255"/>
      <c r="R49" s="265">
        <f>+'[4]Segítő Szolgálat'!$G25</f>
        <v>0</v>
      </c>
      <c r="S49" s="250"/>
      <c r="T49" s="258"/>
      <c r="U49" s="265">
        <f>+'[4]Segítő Szolgálat'!$H25</f>
        <v>6</v>
      </c>
      <c r="V49" s="250"/>
      <c r="W49" s="258"/>
      <c r="X49" s="262">
        <f>+'[4]Segítő Szolgálat'!$I25</f>
        <v>0</v>
      </c>
      <c r="Y49" s="250"/>
      <c r="Z49" s="259"/>
      <c r="AA49" s="269">
        <f t="shared" si="7"/>
        <v>534</v>
      </c>
      <c r="AB49" s="250"/>
      <c r="AC49" s="251"/>
    </row>
    <row r="50" spans="1:29" ht="13.5" customHeight="1">
      <c r="A50" s="243" t="s">
        <v>237</v>
      </c>
      <c r="B50" s="253" t="s">
        <v>238</v>
      </c>
      <c r="C50" s="262">
        <f>+'[4]Segítő Szolgálat'!$B26</f>
        <v>0</v>
      </c>
      <c r="D50" s="250"/>
      <c r="E50" s="255"/>
      <c r="F50" s="265">
        <f>+'[4]Segítő Szolgálat'!$C26</f>
        <v>0</v>
      </c>
      <c r="G50" s="250"/>
      <c r="H50" s="257"/>
      <c r="I50" s="265">
        <f>+'[4]Segítő Szolgálat'!$D26</f>
        <v>0</v>
      </c>
      <c r="J50" s="250"/>
      <c r="K50" s="255"/>
      <c r="L50" s="265">
        <f>+'[4]Segítő Szolgálat'!$E26</f>
        <v>0</v>
      </c>
      <c r="M50" s="250"/>
      <c r="N50" s="258"/>
      <c r="O50" s="265">
        <f>+'[4]Segítő Szolgálat'!$F26</f>
        <v>0</v>
      </c>
      <c r="P50" s="250"/>
      <c r="Q50" s="255"/>
      <c r="R50" s="265">
        <f>+'[4]Segítő Szolgálat'!$G26</f>
        <v>0</v>
      </c>
      <c r="S50" s="250"/>
      <c r="T50" s="258"/>
      <c r="U50" s="265">
        <f>+'[4]Segítő Szolgálat'!$H26</f>
        <v>0</v>
      </c>
      <c r="V50" s="250"/>
      <c r="W50" s="258"/>
      <c r="X50" s="262">
        <f>+'[4]Segítő Szolgálat'!$I26</f>
        <v>0</v>
      </c>
      <c r="Y50" s="250"/>
      <c r="Z50" s="259"/>
      <c r="AA50" s="269">
        <f t="shared" si="7"/>
        <v>0</v>
      </c>
      <c r="AB50" s="250"/>
      <c r="AC50" s="251"/>
    </row>
    <row r="51" spans="1:29" ht="13.5" customHeight="1">
      <c r="A51" s="243" t="s">
        <v>239</v>
      </c>
      <c r="B51" s="253" t="s">
        <v>240</v>
      </c>
      <c r="C51" s="262">
        <f>+'[4]Segítő Szolgálat'!$B27</f>
        <v>0</v>
      </c>
      <c r="D51" s="250"/>
      <c r="E51" s="255"/>
      <c r="F51" s="265">
        <f>+'[4]Segítő Szolgálat'!$C27</f>
        <v>0</v>
      </c>
      <c r="G51" s="250"/>
      <c r="H51" s="257"/>
      <c r="I51" s="265">
        <f>+'[4]Segítő Szolgálat'!$D27</f>
        <v>0</v>
      </c>
      <c r="J51" s="250"/>
      <c r="K51" s="255"/>
      <c r="L51" s="265">
        <f>+'[4]Segítő Szolgálat'!$E27</f>
        <v>0</v>
      </c>
      <c r="M51" s="250"/>
      <c r="N51" s="258"/>
      <c r="O51" s="265">
        <f>+'[4]Segítő Szolgálat'!$F27</f>
        <v>0</v>
      </c>
      <c r="P51" s="250"/>
      <c r="Q51" s="255"/>
      <c r="R51" s="265">
        <f>+'[4]Segítő Szolgálat'!$G27</f>
        <v>0</v>
      </c>
      <c r="S51" s="250"/>
      <c r="T51" s="258"/>
      <c r="U51" s="265">
        <f>+'[4]Segítő Szolgálat'!$H27</f>
        <v>0</v>
      </c>
      <c r="V51" s="250"/>
      <c r="W51" s="258"/>
      <c r="X51" s="262">
        <f>+'[4]Segítő Szolgálat'!$I27</f>
        <v>0</v>
      </c>
      <c r="Y51" s="250"/>
      <c r="Z51" s="259"/>
      <c r="AA51" s="269">
        <f t="shared" si="7"/>
        <v>0</v>
      </c>
      <c r="AB51" s="250"/>
      <c r="AC51" s="251"/>
    </row>
    <row r="52" spans="1:29" ht="13.5" customHeight="1">
      <c r="A52" s="243" t="s">
        <v>241</v>
      </c>
      <c r="B52" s="253" t="s">
        <v>242</v>
      </c>
      <c r="C52" s="262">
        <f>+'[4]Segítő Szolgálat'!$B28</f>
        <v>0</v>
      </c>
      <c r="D52" s="250"/>
      <c r="E52" s="255"/>
      <c r="F52" s="265">
        <f>+'[4]Segítő Szolgálat'!$C28</f>
        <v>0</v>
      </c>
      <c r="G52" s="250"/>
      <c r="H52" s="257"/>
      <c r="I52" s="265">
        <f>+'[4]Segítő Szolgálat'!$D28</f>
        <v>0</v>
      </c>
      <c r="J52" s="250"/>
      <c r="K52" s="255"/>
      <c r="L52" s="265">
        <f>+'[4]Segítő Szolgálat'!$E28</f>
        <v>0</v>
      </c>
      <c r="M52" s="250"/>
      <c r="N52" s="258"/>
      <c r="O52" s="265">
        <f>+'[4]Segítő Szolgálat'!$F28</f>
        <v>0</v>
      </c>
      <c r="P52" s="250"/>
      <c r="Q52" s="255"/>
      <c r="R52" s="265">
        <f>+'[4]Segítő Szolgálat'!$G28</f>
        <v>0</v>
      </c>
      <c r="S52" s="250"/>
      <c r="T52" s="258"/>
      <c r="U52" s="265">
        <f>+'[4]Segítő Szolgálat'!$H28</f>
        <v>0</v>
      </c>
      <c r="V52" s="250"/>
      <c r="W52" s="258"/>
      <c r="X52" s="262">
        <f>+'[4]Segítő Szolgálat'!$I28</f>
        <v>0</v>
      </c>
      <c r="Y52" s="250"/>
      <c r="Z52" s="259"/>
      <c r="AA52" s="269">
        <f t="shared" si="7"/>
        <v>0</v>
      </c>
      <c r="AB52" s="250"/>
      <c r="AC52" s="251"/>
    </row>
    <row r="53" spans="1:29" ht="13.5" customHeight="1">
      <c r="A53" s="243" t="s">
        <v>243</v>
      </c>
      <c r="B53" s="253" t="s">
        <v>244</v>
      </c>
      <c r="C53" s="262">
        <f>+'[4]Segítő Szolgálat'!$B29</f>
        <v>0</v>
      </c>
      <c r="D53" s="250"/>
      <c r="E53" s="255"/>
      <c r="F53" s="265">
        <f>+'[4]Segítő Szolgálat'!$C29</f>
        <v>0</v>
      </c>
      <c r="G53" s="250"/>
      <c r="H53" s="257"/>
      <c r="I53" s="265">
        <f>+'[4]Segítő Szolgálat'!$D29</f>
        <v>0</v>
      </c>
      <c r="J53" s="250"/>
      <c r="K53" s="255"/>
      <c r="L53" s="265">
        <f>+'[4]Segítő Szolgálat'!$E29</f>
        <v>0</v>
      </c>
      <c r="M53" s="250"/>
      <c r="N53" s="258"/>
      <c r="O53" s="265">
        <f>+'[4]Segítő Szolgálat'!$F29</f>
        <v>0</v>
      </c>
      <c r="P53" s="250"/>
      <c r="Q53" s="255"/>
      <c r="R53" s="265">
        <f>+'[4]Segítő Szolgálat'!$G29</f>
        <v>0</v>
      </c>
      <c r="S53" s="250"/>
      <c r="T53" s="258"/>
      <c r="U53" s="265">
        <f>+'[4]Segítő Szolgálat'!$H29</f>
        <v>0</v>
      </c>
      <c r="V53" s="250"/>
      <c r="W53" s="258"/>
      <c r="X53" s="262">
        <f>+'[4]Segítő Szolgálat'!$I29</f>
        <v>0</v>
      </c>
      <c r="Y53" s="250"/>
      <c r="Z53" s="259"/>
      <c r="AA53" s="269">
        <f t="shared" si="7"/>
        <v>0</v>
      </c>
      <c r="AB53" s="250"/>
      <c r="AC53" s="251"/>
    </row>
    <row r="54" spans="1:29" ht="13.5" customHeight="1">
      <c r="A54" s="244" t="s">
        <v>243</v>
      </c>
      <c r="B54" s="303" t="s">
        <v>245</v>
      </c>
      <c r="C54" s="262">
        <f>+'[4]Segítő Szolgálat'!$B30</f>
        <v>0</v>
      </c>
      <c r="D54" s="280"/>
      <c r="E54" s="281"/>
      <c r="F54" s="265">
        <f>+'[4]Segítő Szolgálat'!$C30</f>
        <v>0</v>
      </c>
      <c r="G54" s="280"/>
      <c r="H54" s="283"/>
      <c r="I54" s="265">
        <f>+'[4]Segítő Szolgálat'!$D30</f>
        <v>0</v>
      </c>
      <c r="J54" s="280"/>
      <c r="K54" s="281"/>
      <c r="L54" s="265">
        <f>+'[4]Segítő Szolgálat'!$E30</f>
        <v>0</v>
      </c>
      <c r="M54" s="280"/>
      <c r="N54" s="284"/>
      <c r="O54" s="265">
        <f>+'[4]Segítő Szolgálat'!$F30</f>
        <v>0</v>
      </c>
      <c r="P54" s="280"/>
      <c r="Q54" s="281"/>
      <c r="R54" s="265">
        <f>+'[4]Segítő Szolgálat'!$G30</f>
        <v>0</v>
      </c>
      <c r="S54" s="280"/>
      <c r="T54" s="284"/>
      <c r="U54" s="265">
        <f>+'[4]Segítő Szolgálat'!$H30</f>
        <v>0</v>
      </c>
      <c r="V54" s="280"/>
      <c r="W54" s="284"/>
      <c r="X54" s="262">
        <f>+'[4]Segítő Szolgálat'!$I30</f>
        <v>0</v>
      </c>
      <c r="Y54" s="280"/>
      <c r="Z54" s="285"/>
      <c r="AA54" s="269">
        <f t="shared" si="7"/>
        <v>0</v>
      </c>
      <c r="AB54" s="280"/>
      <c r="AC54" s="287"/>
    </row>
    <row r="55" spans="1:29" s="407" customFormat="1" ht="13.5" customHeight="1">
      <c r="A55" s="245" t="s">
        <v>205</v>
      </c>
      <c r="B55" s="304" t="s">
        <v>163</v>
      </c>
      <c r="C55" s="373">
        <f>+SUM(C41:C53)</f>
        <v>797</v>
      </c>
      <c r="D55" s="371"/>
      <c r="E55" s="374"/>
      <c r="F55" s="403">
        <f>+SUM(F41:F53)</f>
        <v>9891</v>
      </c>
      <c r="G55" s="371"/>
      <c r="H55" s="404"/>
      <c r="I55" s="403">
        <f>+SUM(I41:I53)</f>
        <v>22130</v>
      </c>
      <c r="J55" s="371"/>
      <c r="K55" s="374"/>
      <c r="L55" s="403">
        <f>+SUM(L41:L53)</f>
        <v>13646</v>
      </c>
      <c r="M55" s="371"/>
      <c r="N55" s="405"/>
      <c r="O55" s="403">
        <f>+SUM(O41:O53)</f>
        <v>7086</v>
      </c>
      <c r="P55" s="371"/>
      <c r="Q55" s="374"/>
      <c r="R55" s="403">
        <f>+SUM(R41:R53)</f>
        <v>1841</v>
      </c>
      <c r="S55" s="371"/>
      <c r="T55" s="405"/>
      <c r="U55" s="403">
        <f>+SUM(U41:U53)</f>
        <v>3095</v>
      </c>
      <c r="V55" s="371"/>
      <c r="W55" s="405"/>
      <c r="X55" s="373">
        <f>+SUM(X41:X53)</f>
        <v>0</v>
      </c>
      <c r="Y55" s="371"/>
      <c r="Z55" s="406"/>
      <c r="AA55" s="365">
        <f>+SUM(AA41:AA53)</f>
        <v>58486</v>
      </c>
      <c r="AB55" s="371"/>
      <c r="AC55" s="372"/>
    </row>
    <row r="56" spans="1:29" ht="13.5" customHeight="1">
      <c r="A56" s="242" t="s">
        <v>246</v>
      </c>
      <c r="B56" s="302" t="s">
        <v>247</v>
      </c>
      <c r="C56" s="262">
        <f>+'[4]Segítő Szolgálat'!$B32</f>
        <v>0</v>
      </c>
      <c r="D56" s="263"/>
      <c r="E56" s="264"/>
      <c r="F56" s="265">
        <f>+'[4]Segítő Szolgálat'!$C32</f>
        <v>0</v>
      </c>
      <c r="G56" s="263"/>
      <c r="H56" s="266"/>
      <c r="I56" s="265">
        <f>+'[4]Segítő Szolgálat'!$D32</f>
        <v>0</v>
      </c>
      <c r="J56" s="263"/>
      <c r="K56" s="264"/>
      <c r="L56" s="265">
        <f>+'[4]Segítő Szolgálat'!$E32</f>
        <v>0</v>
      </c>
      <c r="M56" s="263"/>
      <c r="N56" s="267"/>
      <c r="O56" s="265">
        <f>+'[4]Segítő Szolgálat'!$F32</f>
        <v>0</v>
      </c>
      <c r="P56" s="263"/>
      <c r="Q56" s="264"/>
      <c r="R56" s="265">
        <f>+'[4]Segítő Szolgálat'!$G32</f>
        <v>0</v>
      </c>
      <c r="S56" s="263"/>
      <c r="T56" s="267"/>
      <c r="U56" s="265">
        <f>+'[4]Segítő Szolgálat'!$H32</f>
        <v>0</v>
      </c>
      <c r="V56" s="263"/>
      <c r="W56" s="267"/>
      <c r="X56" s="262">
        <f>+'[4]Segítő Szolgálat'!$I32</f>
        <v>0</v>
      </c>
      <c r="Y56" s="263"/>
      <c r="Z56" s="268"/>
      <c r="AA56" s="269">
        <f t="shared" ref="AA56:AA58" si="8">+C56+F56+I56+L56+O56+R56+U56+X56</f>
        <v>0</v>
      </c>
      <c r="AB56" s="263"/>
      <c r="AC56" s="270"/>
    </row>
    <row r="57" spans="1:29" ht="13.5" customHeight="1">
      <c r="A57" s="243" t="s">
        <v>248</v>
      </c>
      <c r="B57" s="253" t="s">
        <v>249</v>
      </c>
      <c r="C57" s="262">
        <f>+'[4]Segítő Szolgálat'!$B33</f>
        <v>0</v>
      </c>
      <c r="D57" s="250"/>
      <c r="E57" s="255"/>
      <c r="F57" s="265">
        <f>+'[4]Segítő Szolgálat'!$C33</f>
        <v>150</v>
      </c>
      <c r="G57" s="250"/>
      <c r="H57" s="257"/>
      <c r="I57" s="265">
        <f>+'[4]Segítő Szolgálat'!$D33</f>
        <v>100</v>
      </c>
      <c r="J57" s="250"/>
      <c r="K57" s="255"/>
      <c r="L57" s="265">
        <f>+'[4]Segítő Szolgálat'!$E33</f>
        <v>150</v>
      </c>
      <c r="M57" s="250"/>
      <c r="N57" s="258"/>
      <c r="O57" s="265">
        <f>+'[4]Segítő Szolgálat'!$F33</f>
        <v>0</v>
      </c>
      <c r="P57" s="250"/>
      <c r="Q57" s="255"/>
      <c r="R57" s="265">
        <f>+'[4]Segítő Szolgálat'!$G33</f>
        <v>150</v>
      </c>
      <c r="S57" s="250"/>
      <c r="T57" s="258"/>
      <c r="U57" s="265">
        <f>+'[4]Segítő Szolgálat'!$H33</f>
        <v>0</v>
      </c>
      <c r="V57" s="250"/>
      <c r="W57" s="258"/>
      <c r="X57" s="262">
        <f>+'[4]Segítő Szolgálat'!$I33</f>
        <v>0</v>
      </c>
      <c r="Y57" s="250"/>
      <c r="Z57" s="259"/>
      <c r="AA57" s="269">
        <f t="shared" si="8"/>
        <v>550</v>
      </c>
      <c r="AB57" s="250"/>
      <c r="AC57" s="251"/>
    </row>
    <row r="58" spans="1:29" ht="13.5" customHeight="1">
      <c r="A58" s="244" t="s">
        <v>250</v>
      </c>
      <c r="B58" s="303" t="s">
        <v>251</v>
      </c>
      <c r="C58" s="262">
        <f>+'[4]Segítő Szolgálat'!$B34</f>
        <v>0</v>
      </c>
      <c r="D58" s="280"/>
      <c r="E58" s="281"/>
      <c r="F58" s="265">
        <f>+'[4]Segítő Szolgálat'!$C34</f>
        <v>25</v>
      </c>
      <c r="G58" s="280"/>
      <c r="H58" s="283"/>
      <c r="I58" s="265">
        <f>+'[4]Segítő Szolgálat'!$D34</f>
        <v>15</v>
      </c>
      <c r="J58" s="280"/>
      <c r="K58" s="281"/>
      <c r="L58" s="265">
        <f>+'[4]Segítő Szolgálat'!$E34</f>
        <v>25</v>
      </c>
      <c r="M58" s="280"/>
      <c r="N58" s="284"/>
      <c r="O58" s="265">
        <f>+'[4]Segítő Szolgálat'!$F34</f>
        <v>10</v>
      </c>
      <c r="P58" s="280"/>
      <c r="Q58" s="281"/>
      <c r="R58" s="265">
        <f>+'[4]Segítő Szolgálat'!$G34</f>
        <v>0</v>
      </c>
      <c r="S58" s="280"/>
      <c r="T58" s="284"/>
      <c r="U58" s="265">
        <f>+'[4]Segítő Szolgálat'!$H34</f>
        <v>0</v>
      </c>
      <c r="V58" s="280"/>
      <c r="W58" s="284"/>
      <c r="X58" s="262">
        <f>+'[4]Segítő Szolgálat'!$I34</f>
        <v>0</v>
      </c>
      <c r="Y58" s="280"/>
      <c r="Z58" s="285"/>
      <c r="AA58" s="269">
        <f t="shared" si="8"/>
        <v>75</v>
      </c>
      <c r="AB58" s="280"/>
      <c r="AC58" s="287"/>
    </row>
    <row r="59" spans="1:29" s="407" customFormat="1" ht="13.5" customHeight="1">
      <c r="A59" s="245" t="s">
        <v>206</v>
      </c>
      <c r="B59" s="304" t="s">
        <v>164</v>
      </c>
      <c r="C59" s="373">
        <f>SUM(C56:C58)</f>
        <v>0</v>
      </c>
      <c r="D59" s="371"/>
      <c r="E59" s="374"/>
      <c r="F59" s="403">
        <f>SUM(F56:F58)</f>
        <v>175</v>
      </c>
      <c r="G59" s="371"/>
      <c r="H59" s="404"/>
      <c r="I59" s="403">
        <f>SUM(I56:I58)</f>
        <v>115</v>
      </c>
      <c r="J59" s="371"/>
      <c r="K59" s="374"/>
      <c r="L59" s="403">
        <f>SUM(L56:L58)</f>
        <v>175</v>
      </c>
      <c r="M59" s="371"/>
      <c r="N59" s="405"/>
      <c r="O59" s="403">
        <f>SUM(O56:O58)</f>
        <v>10</v>
      </c>
      <c r="P59" s="371"/>
      <c r="Q59" s="374"/>
      <c r="R59" s="403">
        <f>SUM(R56:R58)</f>
        <v>150</v>
      </c>
      <c r="S59" s="371"/>
      <c r="T59" s="405"/>
      <c r="U59" s="403">
        <f>SUM(U56:U58)</f>
        <v>0</v>
      </c>
      <c r="V59" s="371"/>
      <c r="W59" s="405"/>
      <c r="X59" s="373">
        <f>SUM(X56:X58)</f>
        <v>0</v>
      </c>
      <c r="Y59" s="371"/>
      <c r="Z59" s="406"/>
      <c r="AA59" s="365">
        <f>SUM(AA56:AA58)</f>
        <v>625</v>
      </c>
      <c r="AB59" s="371"/>
      <c r="AC59" s="372"/>
    </row>
    <row r="60" spans="1:29" s="407" customFormat="1" ht="13.5" customHeight="1">
      <c r="A60" s="245" t="s">
        <v>207</v>
      </c>
      <c r="B60" s="304" t="s">
        <v>165</v>
      </c>
      <c r="C60" s="373">
        <f>+C55+C59</f>
        <v>797</v>
      </c>
      <c r="D60" s="371"/>
      <c r="E60" s="374"/>
      <c r="F60" s="403">
        <f>+F55+F59</f>
        <v>10066</v>
      </c>
      <c r="G60" s="371"/>
      <c r="H60" s="404"/>
      <c r="I60" s="403">
        <f>+I55+I59</f>
        <v>22245</v>
      </c>
      <c r="J60" s="371"/>
      <c r="K60" s="374"/>
      <c r="L60" s="403">
        <f>+L55+L59</f>
        <v>13821</v>
      </c>
      <c r="M60" s="371"/>
      <c r="N60" s="405"/>
      <c r="O60" s="403">
        <f>+O55+O59</f>
        <v>7096</v>
      </c>
      <c r="P60" s="371"/>
      <c r="Q60" s="374"/>
      <c r="R60" s="403">
        <f>+R55+R59</f>
        <v>1991</v>
      </c>
      <c r="S60" s="371"/>
      <c r="T60" s="405"/>
      <c r="U60" s="403">
        <f>+U55+U59</f>
        <v>3095</v>
      </c>
      <c r="V60" s="371"/>
      <c r="W60" s="405"/>
      <c r="X60" s="373">
        <f>+X55+X59</f>
        <v>0</v>
      </c>
      <c r="Y60" s="371"/>
      <c r="Z60" s="406"/>
      <c r="AA60" s="365">
        <f>+AA55+AA59</f>
        <v>59111</v>
      </c>
      <c r="AB60" s="371"/>
      <c r="AC60" s="372"/>
    </row>
    <row r="61" spans="1:29" s="407" customFormat="1" ht="13.5" customHeight="1">
      <c r="A61" s="245" t="s">
        <v>208</v>
      </c>
      <c r="B61" s="304" t="s">
        <v>166</v>
      </c>
      <c r="C61" s="403">
        <f>+SUM(C62:C66)</f>
        <v>249</v>
      </c>
      <c r="D61" s="371"/>
      <c r="E61" s="374"/>
      <c r="F61" s="403">
        <f>+SUM(F62:F66)</f>
        <v>2969</v>
      </c>
      <c r="G61" s="371"/>
      <c r="H61" s="404"/>
      <c r="I61" s="403">
        <f>+SUM(I62:I66)</f>
        <v>6973</v>
      </c>
      <c r="J61" s="371"/>
      <c r="K61" s="374"/>
      <c r="L61" s="403">
        <f>+SUM(L62:L66)</f>
        <v>4070</v>
      </c>
      <c r="M61" s="371"/>
      <c r="N61" s="405"/>
      <c r="O61" s="403">
        <f>+SUM(O62:O66)</f>
        <v>2091</v>
      </c>
      <c r="P61" s="371"/>
      <c r="Q61" s="374"/>
      <c r="R61" s="403">
        <f>+SUM(R62:R66)</f>
        <v>605</v>
      </c>
      <c r="S61" s="371"/>
      <c r="T61" s="405"/>
      <c r="U61" s="403">
        <f>+SUM(U62:U66)</f>
        <v>936</v>
      </c>
      <c r="V61" s="371"/>
      <c r="W61" s="405"/>
      <c r="X61" s="373">
        <f>+SUM(X62:X66)</f>
        <v>0</v>
      </c>
      <c r="Y61" s="371"/>
      <c r="Z61" s="406"/>
      <c r="AA61" s="365">
        <f>+SUM(AA62:AA66)</f>
        <v>17893</v>
      </c>
      <c r="AB61" s="371"/>
      <c r="AC61" s="372"/>
    </row>
    <row r="62" spans="1:29" ht="13.5" customHeight="1">
      <c r="A62" s="246" t="s">
        <v>208</v>
      </c>
      <c r="B62" s="305" t="s">
        <v>310</v>
      </c>
      <c r="C62" s="262">
        <f>+'[4]Segítő Szolgálat'!$B38</f>
        <v>207</v>
      </c>
      <c r="D62" s="263"/>
      <c r="E62" s="264"/>
      <c r="F62" s="265">
        <f>+'[4]Segítő Szolgálat'!$C38</f>
        <v>2621</v>
      </c>
      <c r="G62" s="263"/>
      <c r="H62" s="266"/>
      <c r="I62" s="265">
        <f>+'[4]Segítő Szolgálat'!$D38</f>
        <v>5779</v>
      </c>
      <c r="J62" s="263"/>
      <c r="K62" s="264"/>
      <c r="L62" s="265">
        <f>+'[4]Segítő Szolgálat'!$E38</f>
        <v>3592</v>
      </c>
      <c r="M62" s="263"/>
      <c r="N62" s="267"/>
      <c r="O62" s="265">
        <f>+'[4]Segítő Szolgálat'!$F38</f>
        <v>1793</v>
      </c>
      <c r="P62" s="263"/>
      <c r="Q62" s="264"/>
      <c r="R62" s="265">
        <f>+'[4]Segítő Szolgálat'!$G38</f>
        <v>521</v>
      </c>
      <c r="S62" s="263"/>
      <c r="T62" s="267"/>
      <c r="U62" s="265">
        <f>+'[4]Segítő Szolgálat'!$H38</f>
        <v>810</v>
      </c>
      <c r="V62" s="263"/>
      <c r="W62" s="267"/>
      <c r="X62" s="262">
        <f>+'[4]Segítő Szolgálat'!$I38</f>
        <v>0</v>
      </c>
      <c r="Y62" s="263"/>
      <c r="Z62" s="268"/>
      <c r="AA62" s="269">
        <f t="shared" ref="AA62:AA69" si="9">+C62+F62+I62+L62+O62+R62+U62+X62</f>
        <v>15323</v>
      </c>
      <c r="AB62" s="263"/>
      <c r="AC62" s="270"/>
    </row>
    <row r="63" spans="1:29" ht="13.5" customHeight="1">
      <c r="A63" s="247" t="s">
        <v>208</v>
      </c>
      <c r="B63" s="254" t="s">
        <v>311</v>
      </c>
      <c r="C63" s="252">
        <f>+'[4]Segítő Szolgálat'!$B39</f>
        <v>32</v>
      </c>
      <c r="D63" s="250"/>
      <c r="E63" s="255"/>
      <c r="F63" s="256">
        <f>+'[4]Segítő Szolgálat'!$C39</f>
        <v>253</v>
      </c>
      <c r="G63" s="250"/>
      <c r="H63" s="257"/>
      <c r="I63" s="256">
        <f>+'[4]Segítő Szolgálat'!$D39</f>
        <v>917</v>
      </c>
      <c r="J63" s="250"/>
      <c r="K63" s="255"/>
      <c r="L63" s="256">
        <f>+'[4]Segítő Szolgálat'!$E39</f>
        <v>348</v>
      </c>
      <c r="M63" s="250"/>
      <c r="N63" s="258"/>
      <c r="O63" s="256">
        <f>+'[4]Segítő Szolgálat'!$F39</f>
        <v>221</v>
      </c>
      <c r="P63" s="250"/>
      <c r="Q63" s="255"/>
      <c r="R63" s="256">
        <f>+'[4]Segítő Szolgálat'!$G39</f>
        <v>63</v>
      </c>
      <c r="S63" s="250"/>
      <c r="T63" s="258"/>
      <c r="U63" s="256">
        <f>+'[4]Segítő Szolgálat'!$H39</f>
        <v>95</v>
      </c>
      <c r="V63" s="250"/>
      <c r="W63" s="258"/>
      <c r="X63" s="252">
        <f>+'[4]Segítő Szolgálat'!$I39</f>
        <v>0</v>
      </c>
      <c r="Y63" s="250"/>
      <c r="Z63" s="259"/>
      <c r="AA63" s="269">
        <f t="shared" si="9"/>
        <v>1929</v>
      </c>
      <c r="AB63" s="250"/>
      <c r="AC63" s="251"/>
    </row>
    <row r="64" spans="1:29" ht="13.5" customHeight="1">
      <c r="A64" s="247" t="s">
        <v>208</v>
      </c>
      <c r="B64" s="254" t="s">
        <v>312</v>
      </c>
      <c r="C64" s="252">
        <f>+'[4]Segítő Szolgálat'!$B40</f>
        <v>5</v>
      </c>
      <c r="D64" s="250"/>
      <c r="E64" s="255"/>
      <c r="F64" s="256">
        <f>+'[4]Segítő Szolgálat'!$C40</f>
        <v>48</v>
      </c>
      <c r="G64" s="250"/>
      <c r="H64" s="257"/>
      <c r="I64" s="256">
        <f>+'[4]Segítő Szolgálat'!$D40</f>
        <v>135</v>
      </c>
      <c r="J64" s="250"/>
      <c r="K64" s="255"/>
      <c r="L64" s="256">
        <f>+'[4]Segítő Szolgálat'!$E40</f>
        <v>65</v>
      </c>
      <c r="M64" s="250"/>
      <c r="N64" s="258"/>
      <c r="O64" s="256">
        <f>+'[4]Segítő Szolgálat'!$F40</f>
        <v>38</v>
      </c>
      <c r="P64" s="250"/>
      <c r="Q64" s="255"/>
      <c r="R64" s="256">
        <f>+'[4]Segítő Szolgálat'!$G40</f>
        <v>10</v>
      </c>
      <c r="S64" s="250"/>
      <c r="T64" s="258"/>
      <c r="U64" s="256">
        <f>+'[4]Segítő Szolgálat'!$H40</f>
        <v>15</v>
      </c>
      <c r="V64" s="250"/>
      <c r="W64" s="258"/>
      <c r="X64" s="252">
        <f>+'[4]Segítő Szolgálat'!$I40</f>
        <v>0</v>
      </c>
      <c r="Y64" s="250"/>
      <c r="Z64" s="259"/>
      <c r="AA64" s="269">
        <f t="shared" si="9"/>
        <v>316</v>
      </c>
      <c r="AB64" s="250"/>
      <c r="AC64" s="251"/>
    </row>
    <row r="65" spans="1:29" ht="13.5" customHeight="1">
      <c r="A65" s="247" t="s">
        <v>208</v>
      </c>
      <c r="B65" s="254" t="s">
        <v>313</v>
      </c>
      <c r="C65" s="252">
        <f>+'[4]Segítő Szolgálat'!$B41</f>
        <v>0</v>
      </c>
      <c r="D65" s="250"/>
      <c r="E65" s="255"/>
      <c r="F65" s="256">
        <f>+'[4]Segítő Szolgálat'!$C41</f>
        <v>0</v>
      </c>
      <c r="G65" s="250"/>
      <c r="H65" s="257"/>
      <c r="I65" s="256">
        <f>+'[4]Segítő Szolgálat'!$D41</f>
        <v>0</v>
      </c>
      <c r="J65" s="250"/>
      <c r="K65" s="255"/>
      <c r="L65" s="256">
        <f>+'[4]Segítő Szolgálat'!$E41</f>
        <v>0</v>
      </c>
      <c r="M65" s="250"/>
      <c r="N65" s="258"/>
      <c r="O65" s="256">
        <f>+'[4]Segítő Szolgálat'!$F41</f>
        <v>0</v>
      </c>
      <c r="P65" s="250"/>
      <c r="Q65" s="255"/>
      <c r="R65" s="256">
        <f>+'[4]Segítő Szolgálat'!$G41</f>
        <v>0</v>
      </c>
      <c r="S65" s="250"/>
      <c r="T65" s="258"/>
      <c r="U65" s="256">
        <f>+'[4]Segítő Szolgálat'!$H41</f>
        <v>0</v>
      </c>
      <c r="V65" s="250"/>
      <c r="W65" s="258"/>
      <c r="X65" s="252">
        <f>+'[4]Segítő Szolgálat'!$I41</f>
        <v>0</v>
      </c>
      <c r="Y65" s="250"/>
      <c r="Z65" s="259"/>
      <c r="AA65" s="269">
        <f t="shared" si="9"/>
        <v>0</v>
      </c>
      <c r="AB65" s="250"/>
      <c r="AC65" s="251"/>
    </row>
    <row r="66" spans="1:29" ht="13.5" customHeight="1">
      <c r="A66" s="247" t="s">
        <v>208</v>
      </c>
      <c r="B66" s="254" t="s">
        <v>314</v>
      </c>
      <c r="C66" s="252">
        <f>+'[4]Segítő Szolgálat'!$B42</f>
        <v>5</v>
      </c>
      <c r="D66" s="250"/>
      <c r="E66" s="255"/>
      <c r="F66" s="256">
        <f>+'[4]Segítő Szolgálat'!$C42</f>
        <v>47</v>
      </c>
      <c r="G66" s="250"/>
      <c r="H66" s="257"/>
      <c r="I66" s="256">
        <f>+'[4]Segítő Szolgálat'!$D42</f>
        <v>142</v>
      </c>
      <c r="J66" s="250"/>
      <c r="K66" s="255"/>
      <c r="L66" s="256">
        <f>+'[4]Segítő Szolgálat'!$E42</f>
        <v>65</v>
      </c>
      <c r="M66" s="250"/>
      <c r="N66" s="258"/>
      <c r="O66" s="256">
        <f>+'[4]Segítő Szolgálat'!$F42</f>
        <v>39</v>
      </c>
      <c r="P66" s="250"/>
      <c r="Q66" s="255"/>
      <c r="R66" s="256">
        <f>+'[4]Segítő Szolgálat'!$G42</f>
        <v>11</v>
      </c>
      <c r="S66" s="250"/>
      <c r="T66" s="258"/>
      <c r="U66" s="256">
        <f>+'[4]Segítő Szolgálat'!$H42</f>
        <v>16</v>
      </c>
      <c r="V66" s="250"/>
      <c r="W66" s="258"/>
      <c r="X66" s="252">
        <f>+'[4]Segítő Szolgálat'!$I42</f>
        <v>0</v>
      </c>
      <c r="Y66" s="250"/>
      <c r="Z66" s="259"/>
      <c r="AA66" s="269">
        <f t="shared" si="9"/>
        <v>325</v>
      </c>
      <c r="AB66" s="250"/>
      <c r="AC66" s="251"/>
    </row>
    <row r="67" spans="1:29" ht="13.5" customHeight="1">
      <c r="A67" s="242" t="s">
        <v>252</v>
      </c>
      <c r="B67" s="302" t="s">
        <v>253</v>
      </c>
      <c r="C67" s="262">
        <f>+[5]Sheet!$E$10</f>
        <v>10</v>
      </c>
      <c r="D67" s="263"/>
      <c r="E67" s="264"/>
      <c r="F67" s="256">
        <f>+[5]Sheet!$K$10</f>
        <v>10</v>
      </c>
      <c r="G67" s="263"/>
      <c r="H67" s="266"/>
      <c r="I67" s="256">
        <f>+[5]Sheet!$I$10</f>
        <v>0</v>
      </c>
      <c r="J67" s="263"/>
      <c r="K67" s="264"/>
      <c r="L67" s="256">
        <f>+[5]Sheet!$G$10</f>
        <v>8</v>
      </c>
      <c r="M67" s="263"/>
      <c r="N67" s="267"/>
      <c r="O67" s="256"/>
      <c r="P67" s="263"/>
      <c r="Q67" s="264"/>
      <c r="R67" s="256"/>
      <c r="S67" s="263"/>
      <c r="T67" s="267"/>
      <c r="U67" s="256">
        <f>+[5]Sheet!$Q$10</f>
        <v>30</v>
      </c>
      <c r="V67" s="263"/>
      <c r="W67" s="267"/>
      <c r="X67" s="252"/>
      <c r="Y67" s="263"/>
      <c r="Z67" s="268"/>
      <c r="AA67" s="269">
        <f t="shared" si="9"/>
        <v>58</v>
      </c>
      <c r="AB67" s="263"/>
      <c r="AC67" s="270"/>
    </row>
    <row r="68" spans="1:29" ht="15.75" customHeight="1">
      <c r="A68" s="243" t="s">
        <v>254</v>
      </c>
      <c r="B68" s="253" t="s">
        <v>429</v>
      </c>
      <c r="C68" s="252">
        <f>+[5]Sheet!$E$17</f>
        <v>228</v>
      </c>
      <c r="D68" s="250"/>
      <c r="E68" s="255"/>
      <c r="F68" s="256">
        <f>+[5]Sheet!$K$17</f>
        <v>420</v>
      </c>
      <c r="G68" s="250"/>
      <c r="H68" s="257"/>
      <c r="I68" s="256">
        <f>+[5]Sheet!$I$17</f>
        <v>870</v>
      </c>
      <c r="J68" s="250"/>
      <c r="K68" s="255"/>
      <c r="L68" s="256">
        <f>+[5]Sheet!$G$17</f>
        <v>225</v>
      </c>
      <c r="M68" s="250"/>
      <c r="N68" s="258"/>
      <c r="O68" s="256">
        <f>+[5]Sheet!$M$17</f>
        <v>1280</v>
      </c>
      <c r="P68" s="250"/>
      <c r="Q68" s="255"/>
      <c r="R68" s="256">
        <f>+[5]Sheet!$O$17</f>
        <v>1252</v>
      </c>
      <c r="S68" s="250"/>
      <c r="T68" s="258"/>
      <c r="U68" s="256">
        <f>+[5]Sheet!$Q$17</f>
        <v>75</v>
      </c>
      <c r="V68" s="250"/>
      <c r="W68" s="258"/>
      <c r="X68" s="252">
        <f>+[5]Sheet!$R$17</f>
        <v>5</v>
      </c>
      <c r="Y68" s="250"/>
      <c r="Z68" s="259"/>
      <c r="AA68" s="269">
        <f t="shared" si="9"/>
        <v>4355</v>
      </c>
      <c r="AB68" s="250"/>
      <c r="AC68" s="251"/>
    </row>
    <row r="69" spans="1:29" ht="13.5" customHeight="1">
      <c r="A69" s="244" t="s">
        <v>256</v>
      </c>
      <c r="B69" s="303" t="s">
        <v>257</v>
      </c>
      <c r="C69" s="279"/>
      <c r="D69" s="280"/>
      <c r="E69" s="281"/>
      <c r="F69" s="282"/>
      <c r="G69" s="280"/>
      <c r="H69" s="283"/>
      <c r="I69" s="279"/>
      <c r="J69" s="280"/>
      <c r="K69" s="281"/>
      <c r="L69" s="282"/>
      <c r="M69" s="280"/>
      <c r="N69" s="284"/>
      <c r="O69" s="279"/>
      <c r="P69" s="280"/>
      <c r="Q69" s="281"/>
      <c r="R69" s="282"/>
      <c r="S69" s="280"/>
      <c r="T69" s="284"/>
      <c r="U69" s="282"/>
      <c r="V69" s="280"/>
      <c r="W69" s="284"/>
      <c r="X69" s="279"/>
      <c r="Y69" s="280"/>
      <c r="Z69" s="285"/>
      <c r="AA69" s="269">
        <f t="shared" si="9"/>
        <v>0</v>
      </c>
      <c r="AB69" s="280"/>
      <c r="AC69" s="287"/>
    </row>
    <row r="70" spans="1:29" s="407" customFormat="1" ht="13.5" customHeight="1">
      <c r="A70" s="245" t="s">
        <v>209</v>
      </c>
      <c r="B70" s="304" t="s">
        <v>167</v>
      </c>
      <c r="C70" s="373">
        <f>SUM(C67:C69)</f>
        <v>238</v>
      </c>
      <c r="D70" s="371"/>
      <c r="E70" s="374"/>
      <c r="F70" s="403">
        <f>SUM(F67:F69)</f>
        <v>430</v>
      </c>
      <c r="G70" s="371"/>
      <c r="H70" s="404"/>
      <c r="I70" s="373">
        <f>SUM(I67:I69)</f>
        <v>870</v>
      </c>
      <c r="J70" s="371"/>
      <c r="K70" s="374"/>
      <c r="L70" s="403">
        <f>SUM(L67:L69)</f>
        <v>233</v>
      </c>
      <c r="M70" s="371"/>
      <c r="N70" s="405"/>
      <c r="O70" s="373">
        <f>SUM(O67:O69)</f>
        <v>1280</v>
      </c>
      <c r="P70" s="371"/>
      <c r="Q70" s="374"/>
      <c r="R70" s="403">
        <f>SUM(R67:R69)</f>
        <v>1252</v>
      </c>
      <c r="S70" s="371"/>
      <c r="T70" s="405"/>
      <c r="U70" s="403">
        <f>SUM(U67:U69)</f>
        <v>105</v>
      </c>
      <c r="V70" s="371"/>
      <c r="W70" s="405"/>
      <c r="X70" s="373">
        <f>SUM(X67:X69)</f>
        <v>5</v>
      </c>
      <c r="Y70" s="371"/>
      <c r="Z70" s="406"/>
      <c r="AA70" s="365">
        <f>SUM(AA67:AA69)</f>
        <v>4413</v>
      </c>
      <c r="AB70" s="371"/>
      <c r="AC70" s="372"/>
    </row>
    <row r="71" spans="1:29" ht="13.5" customHeight="1">
      <c r="A71" s="242" t="s">
        <v>258</v>
      </c>
      <c r="B71" s="302" t="s">
        <v>259</v>
      </c>
      <c r="C71" s="262"/>
      <c r="D71" s="263"/>
      <c r="E71" s="264"/>
      <c r="F71" s="333"/>
      <c r="G71" s="263"/>
      <c r="H71" s="266"/>
      <c r="I71" s="262"/>
      <c r="J71" s="263"/>
      <c r="K71" s="264"/>
      <c r="L71" s="333">
        <f>+[5]Sheet!$G$26</f>
        <v>300</v>
      </c>
      <c r="M71" s="263"/>
      <c r="N71" s="267"/>
      <c r="O71" s="333"/>
      <c r="P71" s="263"/>
      <c r="Q71" s="264"/>
      <c r="R71" s="333"/>
      <c r="S71" s="263"/>
      <c r="T71" s="267"/>
      <c r="U71" s="333"/>
      <c r="V71" s="263"/>
      <c r="W71" s="267"/>
      <c r="X71" s="330"/>
      <c r="Y71" s="263"/>
      <c r="Z71" s="268"/>
      <c r="AA71" s="269">
        <f t="shared" ref="AA71:AA72" si="10">+C71+F71+I71+L71+O71+R71+U71+X71</f>
        <v>300</v>
      </c>
      <c r="AB71" s="263"/>
      <c r="AC71" s="270"/>
    </row>
    <row r="72" spans="1:29" ht="13.5" customHeight="1">
      <c r="A72" s="244" t="s">
        <v>260</v>
      </c>
      <c r="B72" s="303" t="s">
        <v>261</v>
      </c>
      <c r="C72" s="279">
        <f>+[5]Sheet!$E$29</f>
        <v>25</v>
      </c>
      <c r="D72" s="280"/>
      <c r="E72" s="281"/>
      <c r="F72" s="326">
        <f>+[5]Sheet!$K$29</f>
        <v>267</v>
      </c>
      <c r="G72" s="280"/>
      <c r="H72" s="283"/>
      <c r="I72" s="279">
        <f>+[5]Sheet!$I$29</f>
        <v>87</v>
      </c>
      <c r="J72" s="280"/>
      <c r="K72" s="281"/>
      <c r="L72" s="326">
        <f>+[5]Sheet!$G$29</f>
        <v>175</v>
      </c>
      <c r="M72" s="280"/>
      <c r="N72" s="284"/>
      <c r="O72" s="326">
        <f>+[5]Sheet!$M$29</f>
        <v>87</v>
      </c>
      <c r="P72" s="280"/>
      <c r="Q72" s="281"/>
      <c r="R72" s="326">
        <f>+[5]Sheet!$O$29</f>
        <v>12</v>
      </c>
      <c r="S72" s="280"/>
      <c r="T72" s="284"/>
      <c r="U72" s="326">
        <f>+[5]Sheet!$Q$29</f>
        <v>50</v>
      </c>
      <c r="V72" s="280"/>
      <c r="W72" s="284"/>
      <c r="X72" s="324">
        <f>+[5]Sheet!$R$29</f>
        <v>24</v>
      </c>
      <c r="Y72" s="280"/>
      <c r="Z72" s="285"/>
      <c r="AA72" s="269">
        <f t="shared" si="10"/>
        <v>727</v>
      </c>
      <c r="AB72" s="280"/>
      <c r="AC72" s="287"/>
    </row>
    <row r="73" spans="1:29" s="407" customFormat="1" ht="13.5" customHeight="1">
      <c r="A73" s="245" t="s">
        <v>210</v>
      </c>
      <c r="B73" s="304" t="s">
        <v>168</v>
      </c>
      <c r="C73" s="373">
        <f>SUM(C71:C72)</f>
        <v>25</v>
      </c>
      <c r="D73" s="371"/>
      <c r="E73" s="374"/>
      <c r="F73" s="403">
        <f>SUM(F71:F72)</f>
        <v>267</v>
      </c>
      <c r="G73" s="371"/>
      <c r="H73" s="404"/>
      <c r="I73" s="373">
        <f>SUM(I71:I72)</f>
        <v>87</v>
      </c>
      <c r="J73" s="371"/>
      <c r="K73" s="374"/>
      <c r="L73" s="403">
        <f>SUM(L71:L72)</f>
        <v>475</v>
      </c>
      <c r="M73" s="371"/>
      <c r="N73" s="405"/>
      <c r="O73" s="373">
        <f>SUM(O71:O72)</f>
        <v>87</v>
      </c>
      <c r="P73" s="371"/>
      <c r="Q73" s="374"/>
      <c r="R73" s="403">
        <f>SUM(R71:R72)</f>
        <v>12</v>
      </c>
      <c r="S73" s="371"/>
      <c r="T73" s="405"/>
      <c r="U73" s="403">
        <f>SUM(U71:U72)</f>
        <v>50</v>
      </c>
      <c r="V73" s="371"/>
      <c r="W73" s="405"/>
      <c r="X73" s="373">
        <f>SUM(X71:X72)</f>
        <v>24</v>
      </c>
      <c r="Y73" s="371"/>
      <c r="Z73" s="406"/>
      <c r="AA73" s="365">
        <f>SUM(AA71:AA72)</f>
        <v>1027</v>
      </c>
      <c r="AB73" s="371"/>
      <c r="AC73" s="372"/>
    </row>
    <row r="74" spans="1:29" ht="13.5" customHeight="1">
      <c r="A74" s="242" t="s">
        <v>262</v>
      </c>
      <c r="B74" s="302" t="s">
        <v>263</v>
      </c>
      <c r="C74" s="333">
        <f>+[5]Sheet!$E$33</f>
        <v>268</v>
      </c>
      <c r="D74" s="263"/>
      <c r="E74" s="264"/>
      <c r="F74" s="333">
        <f>+[5]Sheet!$K$33</f>
        <v>430</v>
      </c>
      <c r="G74" s="263"/>
      <c r="H74" s="266"/>
      <c r="I74" s="333">
        <f>+[5]Sheet!$I$33</f>
        <v>563</v>
      </c>
      <c r="J74" s="263"/>
      <c r="K74" s="264"/>
      <c r="L74" s="333">
        <f>+[5]Sheet!$G$33</f>
        <v>430</v>
      </c>
      <c r="M74" s="263"/>
      <c r="N74" s="267"/>
      <c r="O74" s="262">
        <f>+[5]Sheet!$M$33</f>
        <v>563</v>
      </c>
      <c r="P74" s="263"/>
      <c r="Q74" s="264"/>
      <c r="R74" s="333"/>
      <c r="S74" s="263"/>
      <c r="T74" s="267"/>
      <c r="U74" s="265">
        <f>+[5]Sheet!$Q$33</f>
        <v>76</v>
      </c>
      <c r="V74" s="263"/>
      <c r="W74" s="267"/>
      <c r="X74" s="262"/>
      <c r="Y74" s="263"/>
      <c r="Z74" s="268"/>
      <c r="AA74" s="269">
        <f t="shared" ref="AA74:AA77" si="11">+C74+F74+I74+L74+O74+R74+U74+X74</f>
        <v>2330</v>
      </c>
      <c r="AB74" s="263"/>
      <c r="AC74" s="270"/>
    </row>
    <row r="75" spans="1:29" ht="13.5" customHeight="1">
      <c r="A75" s="243" t="s">
        <v>264</v>
      </c>
      <c r="B75" s="253" t="s">
        <v>3</v>
      </c>
      <c r="C75" s="256">
        <f>+[5]Sheet!$E$35</f>
        <v>120</v>
      </c>
      <c r="D75" s="250"/>
      <c r="E75" s="255"/>
      <c r="F75" s="256"/>
      <c r="G75" s="250"/>
      <c r="H75" s="257"/>
      <c r="I75" s="256"/>
      <c r="J75" s="250"/>
      <c r="K75" s="255"/>
      <c r="L75" s="256"/>
      <c r="M75" s="250"/>
      <c r="N75" s="258"/>
      <c r="O75" s="252"/>
      <c r="P75" s="250"/>
      <c r="Q75" s="255"/>
      <c r="R75" s="256"/>
      <c r="S75" s="250"/>
      <c r="T75" s="258"/>
      <c r="U75" s="256"/>
      <c r="V75" s="250"/>
      <c r="W75" s="258"/>
      <c r="X75" s="252">
        <f>+[5]Sheet!$R$35</f>
        <v>2300</v>
      </c>
      <c r="Y75" s="250"/>
      <c r="Z75" s="259"/>
      <c r="AA75" s="269">
        <f t="shared" si="11"/>
        <v>2420</v>
      </c>
      <c r="AB75" s="250"/>
      <c r="AC75" s="251"/>
    </row>
    <row r="76" spans="1:29" ht="13.5" customHeight="1">
      <c r="A76" s="243" t="s">
        <v>265</v>
      </c>
      <c r="B76" s="253" t="s">
        <v>266</v>
      </c>
      <c r="C76" s="256"/>
      <c r="D76" s="250"/>
      <c r="E76" s="255"/>
      <c r="F76" s="256"/>
      <c r="G76" s="250"/>
      <c r="H76" s="257"/>
      <c r="I76" s="256"/>
      <c r="J76" s="250"/>
      <c r="K76" s="255"/>
      <c r="L76" s="256"/>
      <c r="M76" s="250"/>
      <c r="N76" s="258"/>
      <c r="O76" s="252"/>
      <c r="P76" s="250"/>
      <c r="Q76" s="255"/>
      <c r="R76" s="256"/>
      <c r="S76" s="250"/>
      <c r="T76" s="258"/>
      <c r="U76" s="256"/>
      <c r="V76" s="250"/>
      <c r="W76" s="258"/>
      <c r="X76" s="252"/>
      <c r="Y76" s="250"/>
      <c r="Z76" s="259"/>
      <c r="AA76" s="269">
        <f t="shared" si="11"/>
        <v>0</v>
      </c>
      <c r="AB76" s="250"/>
      <c r="AC76" s="251"/>
    </row>
    <row r="77" spans="1:29" ht="13.5" customHeight="1">
      <c r="A77" s="243" t="s">
        <v>267</v>
      </c>
      <c r="B77" s="253" t="s">
        <v>268</v>
      </c>
      <c r="C77" s="256">
        <f>+[5]Sheet!$E$39</f>
        <v>40</v>
      </c>
      <c r="D77" s="250"/>
      <c r="E77" s="255"/>
      <c r="F77" s="256">
        <f>+[5]Sheet!$K$39</f>
        <v>200</v>
      </c>
      <c r="G77" s="250"/>
      <c r="H77" s="257"/>
      <c r="I77" s="256">
        <f>+[5]Sheet!$I$39</f>
        <v>200</v>
      </c>
      <c r="J77" s="250"/>
      <c r="K77" s="255"/>
      <c r="L77" s="256"/>
      <c r="M77" s="250"/>
      <c r="N77" s="258"/>
      <c r="O77" s="252">
        <f>+[5]Sheet!$M$39</f>
        <v>400</v>
      </c>
      <c r="P77" s="250"/>
      <c r="Q77" s="255"/>
      <c r="R77" s="256">
        <f>+[5]Sheet!$O$39</f>
        <v>1000</v>
      </c>
      <c r="S77" s="250"/>
      <c r="T77" s="258"/>
      <c r="U77" s="256"/>
      <c r="V77" s="250"/>
      <c r="W77" s="258"/>
      <c r="X77" s="252"/>
      <c r="Y77" s="250"/>
      <c r="Z77" s="259"/>
      <c r="AA77" s="269">
        <f t="shared" si="11"/>
        <v>1840</v>
      </c>
      <c r="AB77" s="250"/>
      <c r="AC77" s="251"/>
    </row>
    <row r="78" spans="1:29" ht="13.5" customHeight="1">
      <c r="A78" s="243" t="s">
        <v>269</v>
      </c>
      <c r="B78" s="253" t="s">
        <v>270</v>
      </c>
      <c r="C78" s="256"/>
      <c r="D78" s="250"/>
      <c r="E78" s="255"/>
      <c r="F78" s="256"/>
      <c r="G78" s="250"/>
      <c r="H78" s="257"/>
      <c r="I78" s="256"/>
      <c r="J78" s="250"/>
      <c r="K78" s="255"/>
      <c r="L78" s="256"/>
      <c r="M78" s="250"/>
      <c r="N78" s="258"/>
      <c r="O78" s="252"/>
      <c r="P78" s="250"/>
      <c r="Q78" s="255"/>
      <c r="R78" s="256"/>
      <c r="S78" s="250"/>
      <c r="T78" s="258"/>
      <c r="U78" s="256"/>
      <c r="V78" s="250"/>
      <c r="W78" s="258"/>
      <c r="X78" s="252"/>
      <c r="Y78" s="250"/>
      <c r="Z78" s="259"/>
      <c r="AA78" s="260">
        <f>+SUM(AA79:AA80)</f>
        <v>0</v>
      </c>
      <c r="AB78" s="250"/>
      <c r="AC78" s="251"/>
    </row>
    <row r="79" spans="1:29" ht="13.5" customHeight="1">
      <c r="A79" s="247" t="s">
        <v>269</v>
      </c>
      <c r="B79" s="254" t="s">
        <v>315</v>
      </c>
      <c r="C79" s="256"/>
      <c r="D79" s="250"/>
      <c r="E79" s="255"/>
      <c r="F79" s="256"/>
      <c r="G79" s="250"/>
      <c r="H79" s="257"/>
      <c r="I79" s="256"/>
      <c r="J79" s="250"/>
      <c r="K79" s="255"/>
      <c r="L79" s="256"/>
      <c r="M79" s="250"/>
      <c r="N79" s="258"/>
      <c r="O79" s="252"/>
      <c r="P79" s="250"/>
      <c r="Q79" s="255"/>
      <c r="R79" s="256"/>
      <c r="S79" s="250"/>
      <c r="T79" s="258"/>
      <c r="U79" s="256"/>
      <c r="V79" s="250"/>
      <c r="W79" s="258"/>
      <c r="X79" s="252"/>
      <c r="Y79" s="250"/>
      <c r="Z79" s="259"/>
      <c r="AA79" s="269">
        <f t="shared" ref="AA79:AA82" si="12">+C79+F79+I79+L79+O79+R79+U79+X79</f>
        <v>0</v>
      </c>
      <c r="AB79" s="250"/>
      <c r="AC79" s="251"/>
    </row>
    <row r="80" spans="1:29" ht="13.5" customHeight="1">
      <c r="A80" s="247" t="s">
        <v>269</v>
      </c>
      <c r="B80" s="254" t="s">
        <v>316</v>
      </c>
      <c r="C80" s="256"/>
      <c r="D80" s="250"/>
      <c r="E80" s="255"/>
      <c r="F80" s="256"/>
      <c r="G80" s="250"/>
      <c r="H80" s="257"/>
      <c r="I80" s="256"/>
      <c r="J80" s="250"/>
      <c r="K80" s="255"/>
      <c r="L80" s="256"/>
      <c r="M80" s="250"/>
      <c r="N80" s="258"/>
      <c r="O80" s="252"/>
      <c r="P80" s="250"/>
      <c r="Q80" s="255"/>
      <c r="R80" s="256"/>
      <c r="S80" s="250"/>
      <c r="T80" s="258"/>
      <c r="U80" s="256"/>
      <c r="V80" s="250"/>
      <c r="W80" s="258"/>
      <c r="X80" s="252"/>
      <c r="Y80" s="250"/>
      <c r="Z80" s="259"/>
      <c r="AA80" s="269">
        <f t="shared" si="12"/>
        <v>0</v>
      </c>
      <c r="AB80" s="250"/>
      <c r="AC80" s="251"/>
    </row>
    <row r="81" spans="1:29" ht="13.5" customHeight="1">
      <c r="A81" s="243" t="s">
        <v>271</v>
      </c>
      <c r="B81" s="253" t="s">
        <v>272</v>
      </c>
      <c r="C81" s="256"/>
      <c r="D81" s="250"/>
      <c r="E81" s="255"/>
      <c r="F81" s="256">
        <f>+[5]Sheet!$K$41</f>
        <v>800</v>
      </c>
      <c r="G81" s="250"/>
      <c r="H81" s="257"/>
      <c r="I81" s="256"/>
      <c r="J81" s="250"/>
      <c r="K81" s="255"/>
      <c r="L81" s="256">
        <f>+[5]Sheet!$G$41</f>
        <v>980</v>
      </c>
      <c r="M81" s="250"/>
      <c r="N81" s="258"/>
      <c r="O81" s="252"/>
      <c r="P81" s="250"/>
      <c r="Q81" s="255"/>
      <c r="R81" s="256"/>
      <c r="S81" s="250"/>
      <c r="T81" s="258"/>
      <c r="U81" s="256"/>
      <c r="V81" s="250"/>
      <c r="W81" s="258"/>
      <c r="X81" s="252"/>
      <c r="Y81" s="250"/>
      <c r="Z81" s="259"/>
      <c r="AA81" s="269">
        <f t="shared" si="12"/>
        <v>1780</v>
      </c>
      <c r="AB81" s="250"/>
      <c r="AC81" s="251"/>
    </row>
    <row r="82" spans="1:29" ht="13.5" customHeight="1">
      <c r="A82" s="244" t="s">
        <v>273</v>
      </c>
      <c r="B82" s="303" t="s">
        <v>428</v>
      </c>
      <c r="C82" s="326">
        <f>+[5]Sheet!$E$51</f>
        <v>380</v>
      </c>
      <c r="D82" s="280"/>
      <c r="E82" s="281"/>
      <c r="F82" s="326">
        <f>+[5]Sheet!$K$51</f>
        <v>1320</v>
      </c>
      <c r="G82" s="280"/>
      <c r="H82" s="283"/>
      <c r="I82" s="326">
        <f>+[5]Sheet!$I$51</f>
        <v>780</v>
      </c>
      <c r="J82" s="280"/>
      <c r="K82" s="281"/>
      <c r="L82" s="326">
        <f>+[5]Sheet!$G$51</f>
        <v>625</v>
      </c>
      <c r="M82" s="280"/>
      <c r="N82" s="284"/>
      <c r="O82" s="279">
        <f>+[5]Sheet!$M$51</f>
        <v>713</v>
      </c>
      <c r="P82" s="280"/>
      <c r="Q82" s="281"/>
      <c r="R82" s="326">
        <f>+[5]Sheet!$O$51</f>
        <v>30</v>
      </c>
      <c r="S82" s="280"/>
      <c r="T82" s="284"/>
      <c r="U82" s="282">
        <f>+[5]Sheet!$Q$51</f>
        <v>70</v>
      </c>
      <c r="V82" s="280"/>
      <c r="W82" s="284"/>
      <c r="X82" s="279"/>
      <c r="Y82" s="280"/>
      <c r="Z82" s="285"/>
      <c r="AA82" s="269">
        <f t="shared" si="12"/>
        <v>3918</v>
      </c>
      <c r="AB82" s="280"/>
      <c r="AC82" s="287"/>
    </row>
    <row r="83" spans="1:29" s="407" customFormat="1" ht="13.5" customHeight="1">
      <c r="A83" s="245" t="s">
        <v>211</v>
      </c>
      <c r="B83" s="304" t="s">
        <v>169</v>
      </c>
      <c r="C83" s="373">
        <f>+SUM(C74:C78,C81:C82)</f>
        <v>808</v>
      </c>
      <c r="D83" s="371"/>
      <c r="E83" s="374"/>
      <c r="F83" s="403">
        <f>+SUM(F74:F78,F81:F82)</f>
        <v>2750</v>
      </c>
      <c r="G83" s="371"/>
      <c r="H83" s="404"/>
      <c r="I83" s="373">
        <f>+SUM(I74:I78,I81:I82)</f>
        <v>1543</v>
      </c>
      <c r="J83" s="371"/>
      <c r="K83" s="374"/>
      <c r="L83" s="403">
        <f>+SUM(L74:L78,L81:L82)</f>
        <v>2035</v>
      </c>
      <c r="M83" s="371"/>
      <c r="N83" s="405"/>
      <c r="O83" s="373">
        <f>+SUM(O74:O78,O81:O82)</f>
        <v>1676</v>
      </c>
      <c r="P83" s="371"/>
      <c r="Q83" s="374"/>
      <c r="R83" s="403">
        <f>+SUM(R74:R78,R81:R82)</f>
        <v>1030</v>
      </c>
      <c r="S83" s="371"/>
      <c r="T83" s="405"/>
      <c r="U83" s="403">
        <f>+SUM(U74:U78,U81:U82)</f>
        <v>146</v>
      </c>
      <c r="V83" s="371"/>
      <c r="W83" s="405"/>
      <c r="X83" s="373">
        <f>+SUM(X74:X78,X81:X82)</f>
        <v>2300</v>
      </c>
      <c r="Y83" s="371"/>
      <c r="Z83" s="406"/>
      <c r="AA83" s="365">
        <f>+SUM(AA74:AA78,AA81:AA82)</f>
        <v>12288</v>
      </c>
      <c r="AB83" s="371"/>
      <c r="AC83" s="372"/>
    </row>
    <row r="84" spans="1:29" ht="13.5" customHeight="1">
      <c r="A84" s="242" t="s">
        <v>275</v>
      </c>
      <c r="B84" s="302" t="s">
        <v>276</v>
      </c>
      <c r="C84" s="262">
        <f>+[5]Sheet!$E$52</f>
        <v>15</v>
      </c>
      <c r="D84" s="263"/>
      <c r="E84" s="264"/>
      <c r="F84" s="265">
        <f>+[5]Sheet!$K$52</f>
        <v>200</v>
      </c>
      <c r="G84" s="263"/>
      <c r="H84" s="266"/>
      <c r="I84" s="262">
        <f>+[5]Sheet!$I$52</f>
        <v>60</v>
      </c>
      <c r="J84" s="263"/>
      <c r="K84" s="264"/>
      <c r="L84" s="265">
        <f>+[5]Sheet!$G$52</f>
        <v>280</v>
      </c>
      <c r="M84" s="263"/>
      <c r="N84" s="267"/>
      <c r="O84" s="262">
        <f>+[5]Sheet!$M$52</f>
        <v>70</v>
      </c>
      <c r="P84" s="263"/>
      <c r="Q84" s="264"/>
      <c r="R84" s="265"/>
      <c r="S84" s="263"/>
      <c r="T84" s="267"/>
      <c r="U84" s="265">
        <f>+[5]Sheet!$Q$52</f>
        <v>15</v>
      </c>
      <c r="V84" s="263"/>
      <c r="W84" s="267"/>
      <c r="X84" s="262"/>
      <c r="Y84" s="263"/>
      <c r="Z84" s="268"/>
      <c r="AA84" s="269">
        <f t="shared" ref="AA84:AA85" si="13">+C84+F84+I84+L84+O84+R84+U84+X84</f>
        <v>640</v>
      </c>
      <c r="AB84" s="263"/>
      <c r="AC84" s="270"/>
    </row>
    <row r="85" spans="1:29" ht="13.5" customHeight="1">
      <c r="A85" s="244" t="s">
        <v>277</v>
      </c>
      <c r="B85" s="303" t="s">
        <v>278</v>
      </c>
      <c r="C85" s="279"/>
      <c r="D85" s="280"/>
      <c r="E85" s="281"/>
      <c r="F85" s="282"/>
      <c r="G85" s="280"/>
      <c r="H85" s="283"/>
      <c r="I85" s="279"/>
      <c r="J85" s="280"/>
      <c r="K85" s="281"/>
      <c r="L85" s="282"/>
      <c r="M85" s="280"/>
      <c r="N85" s="284"/>
      <c r="O85" s="279"/>
      <c r="P85" s="280"/>
      <c r="Q85" s="281"/>
      <c r="R85" s="282"/>
      <c r="S85" s="280"/>
      <c r="T85" s="284"/>
      <c r="U85" s="282"/>
      <c r="V85" s="280"/>
      <c r="W85" s="284"/>
      <c r="X85" s="279"/>
      <c r="Y85" s="280"/>
      <c r="Z85" s="285"/>
      <c r="AA85" s="269">
        <f t="shared" si="13"/>
        <v>0</v>
      </c>
      <c r="AB85" s="280"/>
      <c r="AC85" s="287"/>
    </row>
    <row r="86" spans="1:29" s="407" customFormat="1" ht="13.5" customHeight="1">
      <c r="A86" s="245" t="s">
        <v>212</v>
      </c>
      <c r="B86" s="304" t="s">
        <v>170</v>
      </c>
      <c r="C86" s="373">
        <f>+SUM(C84:C85)</f>
        <v>15</v>
      </c>
      <c r="D86" s="371"/>
      <c r="E86" s="374"/>
      <c r="F86" s="403">
        <f>+SUM(F84:F85)</f>
        <v>200</v>
      </c>
      <c r="G86" s="371"/>
      <c r="H86" s="404"/>
      <c r="I86" s="373">
        <f>+SUM(I84:I85)</f>
        <v>60</v>
      </c>
      <c r="J86" s="371"/>
      <c r="K86" s="374"/>
      <c r="L86" s="403">
        <f>+SUM(L84:L85)</f>
        <v>280</v>
      </c>
      <c r="M86" s="371"/>
      <c r="N86" s="405"/>
      <c r="O86" s="373">
        <f>+SUM(O84:O85)</f>
        <v>70</v>
      </c>
      <c r="P86" s="371"/>
      <c r="Q86" s="374"/>
      <c r="R86" s="403">
        <f>+SUM(R84:R85)</f>
        <v>0</v>
      </c>
      <c r="S86" s="371"/>
      <c r="T86" s="405"/>
      <c r="U86" s="403">
        <f>+SUM(U84:U85)</f>
        <v>15</v>
      </c>
      <c r="V86" s="371"/>
      <c r="W86" s="405"/>
      <c r="X86" s="373">
        <f>+SUM(X84:X85)</f>
        <v>0</v>
      </c>
      <c r="Y86" s="371"/>
      <c r="Z86" s="406"/>
      <c r="AA86" s="365">
        <f>+SUM(AA84:AA85)</f>
        <v>640</v>
      </c>
      <c r="AB86" s="371"/>
      <c r="AC86" s="372"/>
    </row>
    <row r="87" spans="1:29" ht="13.5" customHeight="1">
      <c r="A87" s="242" t="s">
        <v>279</v>
      </c>
      <c r="B87" s="302" t="s">
        <v>280</v>
      </c>
      <c r="C87" s="262">
        <f>+[5]Sheet!$E$55</f>
        <v>289</v>
      </c>
      <c r="D87" s="263"/>
      <c r="E87" s="264"/>
      <c r="F87" s="265">
        <f>+[5]Sheet!$K$55</f>
        <v>764</v>
      </c>
      <c r="G87" s="263"/>
      <c r="H87" s="266"/>
      <c r="I87" s="262">
        <f>+[5]Sheet!$I$55</f>
        <v>675</v>
      </c>
      <c r="J87" s="263"/>
      <c r="K87" s="264"/>
      <c r="L87" s="265">
        <f>+[5]Sheet!$G$55</f>
        <v>696</v>
      </c>
      <c r="M87" s="263"/>
      <c r="N87" s="267"/>
      <c r="O87" s="262">
        <f>+[5]Sheet!$M$55</f>
        <v>822</v>
      </c>
      <c r="P87" s="263"/>
      <c r="Q87" s="264"/>
      <c r="R87" s="265">
        <f>+[5]Sheet!$O$55</f>
        <v>611</v>
      </c>
      <c r="S87" s="263"/>
      <c r="T87" s="267"/>
      <c r="U87" s="265">
        <f>+[5]Sheet!$Q$55</f>
        <v>69</v>
      </c>
      <c r="V87" s="263"/>
      <c r="W87" s="267"/>
      <c r="X87" s="262">
        <f>+[5]Sheet!$R$55</f>
        <v>629</v>
      </c>
      <c r="Y87" s="263"/>
      <c r="Z87" s="268"/>
      <c r="AA87" s="269">
        <f t="shared" ref="AA87:AA91" si="14">+C87+F87+I87+L87+O87+R87+U87+X87</f>
        <v>4555</v>
      </c>
      <c r="AB87" s="263"/>
      <c r="AC87" s="270"/>
    </row>
    <row r="88" spans="1:29" ht="13.5" customHeight="1">
      <c r="A88" s="243" t="s">
        <v>281</v>
      </c>
      <c r="B88" s="253" t="s">
        <v>282</v>
      </c>
      <c r="C88" s="252"/>
      <c r="D88" s="250"/>
      <c r="E88" s="255"/>
      <c r="F88" s="256"/>
      <c r="G88" s="250"/>
      <c r="H88" s="257"/>
      <c r="I88" s="252"/>
      <c r="J88" s="250"/>
      <c r="K88" s="255"/>
      <c r="L88" s="256"/>
      <c r="M88" s="250"/>
      <c r="N88" s="258"/>
      <c r="O88" s="252"/>
      <c r="P88" s="250"/>
      <c r="Q88" s="255"/>
      <c r="R88" s="256"/>
      <c r="S88" s="250"/>
      <c r="T88" s="258"/>
      <c r="U88" s="256"/>
      <c r="V88" s="250"/>
      <c r="W88" s="258"/>
      <c r="X88" s="252"/>
      <c r="Y88" s="250"/>
      <c r="Z88" s="259"/>
      <c r="AA88" s="269">
        <f t="shared" si="14"/>
        <v>0</v>
      </c>
      <c r="AB88" s="250"/>
      <c r="AC88" s="251"/>
    </row>
    <row r="89" spans="1:29" ht="13.5" customHeight="1">
      <c r="A89" s="243" t="s">
        <v>283</v>
      </c>
      <c r="B89" s="253" t="s">
        <v>284</v>
      </c>
      <c r="C89" s="252"/>
      <c r="D89" s="250"/>
      <c r="E89" s="255"/>
      <c r="F89" s="256"/>
      <c r="G89" s="250"/>
      <c r="H89" s="257"/>
      <c r="I89" s="252"/>
      <c r="J89" s="250"/>
      <c r="K89" s="255"/>
      <c r="L89" s="256"/>
      <c r="M89" s="250"/>
      <c r="N89" s="258"/>
      <c r="O89" s="252"/>
      <c r="P89" s="250"/>
      <c r="Q89" s="255"/>
      <c r="R89" s="256"/>
      <c r="S89" s="250"/>
      <c r="T89" s="258"/>
      <c r="U89" s="256"/>
      <c r="V89" s="250"/>
      <c r="W89" s="258"/>
      <c r="X89" s="252"/>
      <c r="Y89" s="250"/>
      <c r="Z89" s="259"/>
      <c r="AA89" s="269">
        <f t="shared" si="14"/>
        <v>0</v>
      </c>
      <c r="AB89" s="250"/>
      <c r="AC89" s="251"/>
    </row>
    <row r="90" spans="1:29" ht="13.5" customHeight="1">
      <c r="A90" s="243" t="s">
        <v>285</v>
      </c>
      <c r="B90" s="253" t="s">
        <v>286</v>
      </c>
      <c r="C90" s="252"/>
      <c r="D90" s="250"/>
      <c r="E90" s="255"/>
      <c r="F90" s="256"/>
      <c r="G90" s="250"/>
      <c r="H90" s="257"/>
      <c r="I90" s="252"/>
      <c r="J90" s="250"/>
      <c r="K90" s="255"/>
      <c r="L90" s="256"/>
      <c r="M90" s="250"/>
      <c r="N90" s="258"/>
      <c r="O90" s="252"/>
      <c r="P90" s="250"/>
      <c r="Q90" s="255"/>
      <c r="R90" s="256"/>
      <c r="S90" s="250"/>
      <c r="T90" s="258"/>
      <c r="U90" s="256"/>
      <c r="V90" s="250"/>
      <c r="W90" s="258"/>
      <c r="X90" s="252"/>
      <c r="Y90" s="250"/>
      <c r="Z90" s="259"/>
      <c r="AA90" s="269">
        <f t="shared" si="14"/>
        <v>0</v>
      </c>
      <c r="AB90" s="250"/>
      <c r="AC90" s="251"/>
    </row>
    <row r="91" spans="1:29" ht="13.5" customHeight="1">
      <c r="A91" s="244" t="s">
        <v>287</v>
      </c>
      <c r="B91" s="303" t="s">
        <v>469</v>
      </c>
      <c r="C91" s="279">
        <f>+[5]Sheet!$E$60</f>
        <v>20</v>
      </c>
      <c r="D91" s="280"/>
      <c r="E91" s="281"/>
      <c r="F91" s="282">
        <f>+[5]Sheet!$K$60</f>
        <v>25</v>
      </c>
      <c r="G91" s="280"/>
      <c r="H91" s="283"/>
      <c r="I91" s="279">
        <f>+[5]Sheet!$I$60</f>
        <v>70</v>
      </c>
      <c r="J91" s="280"/>
      <c r="K91" s="281"/>
      <c r="L91" s="282"/>
      <c r="M91" s="280"/>
      <c r="N91" s="284"/>
      <c r="O91" s="279">
        <f>+[5]Sheet!$M$60</f>
        <v>200</v>
      </c>
      <c r="P91" s="280"/>
      <c r="Q91" s="281"/>
      <c r="R91" s="282">
        <f>+[5]Sheet!$O$60</f>
        <v>320</v>
      </c>
      <c r="S91" s="280"/>
      <c r="T91" s="284"/>
      <c r="U91" s="282"/>
      <c r="V91" s="280"/>
      <c r="W91" s="284"/>
      <c r="X91" s="279"/>
      <c r="Y91" s="280"/>
      <c r="Z91" s="285"/>
      <c r="AA91" s="269">
        <f t="shared" si="14"/>
        <v>635</v>
      </c>
      <c r="AB91" s="280"/>
      <c r="AC91" s="287"/>
    </row>
    <row r="92" spans="1:29" s="407" customFormat="1" ht="13.5" customHeight="1">
      <c r="A92" s="245" t="s">
        <v>213</v>
      </c>
      <c r="B92" s="304" t="s">
        <v>171</v>
      </c>
      <c r="C92" s="373">
        <f>SUM(C87:C91)</f>
        <v>309</v>
      </c>
      <c r="D92" s="371"/>
      <c r="E92" s="374"/>
      <c r="F92" s="403">
        <f>SUM(F87:F91)</f>
        <v>789</v>
      </c>
      <c r="G92" s="371"/>
      <c r="H92" s="404"/>
      <c r="I92" s="373">
        <f>SUM(I87:I91)</f>
        <v>745</v>
      </c>
      <c r="J92" s="371"/>
      <c r="K92" s="374"/>
      <c r="L92" s="403">
        <f>SUM(L87:L91)</f>
        <v>696</v>
      </c>
      <c r="M92" s="371"/>
      <c r="N92" s="405"/>
      <c r="O92" s="373">
        <f>SUM(O87:O91)</f>
        <v>1022</v>
      </c>
      <c r="P92" s="371"/>
      <c r="Q92" s="374"/>
      <c r="R92" s="403">
        <f>SUM(R87:R91)</f>
        <v>931</v>
      </c>
      <c r="S92" s="371"/>
      <c r="T92" s="405"/>
      <c r="U92" s="403">
        <f>SUM(U87:U91)</f>
        <v>69</v>
      </c>
      <c r="V92" s="371"/>
      <c r="W92" s="405"/>
      <c r="X92" s="373">
        <f>SUM(X87:X91)</f>
        <v>629</v>
      </c>
      <c r="Y92" s="371"/>
      <c r="Z92" s="406"/>
      <c r="AA92" s="365">
        <f>SUM(AA87:AA91)</f>
        <v>5190</v>
      </c>
      <c r="AB92" s="371"/>
      <c r="AC92" s="372"/>
    </row>
    <row r="93" spans="1:29" s="407" customFormat="1" ht="13.5" customHeight="1">
      <c r="A93" s="245" t="s">
        <v>214</v>
      </c>
      <c r="B93" s="304" t="s">
        <v>172</v>
      </c>
      <c r="C93" s="373">
        <f>+C70+C73+C83+C86+C92</f>
        <v>1395</v>
      </c>
      <c r="D93" s="371"/>
      <c r="E93" s="374"/>
      <c r="F93" s="403">
        <f>+F70+F73+F83+F86+F92</f>
        <v>4436</v>
      </c>
      <c r="G93" s="371"/>
      <c r="H93" s="404"/>
      <c r="I93" s="373">
        <f>+I70+I73+I83+I86+I92</f>
        <v>3305</v>
      </c>
      <c r="J93" s="371"/>
      <c r="K93" s="374"/>
      <c r="L93" s="403">
        <f>+L70+L73+L83+L86+L92</f>
        <v>3719</v>
      </c>
      <c r="M93" s="371"/>
      <c r="N93" s="405"/>
      <c r="O93" s="373">
        <f>+O70+O73+O83+O86+O92</f>
        <v>4135</v>
      </c>
      <c r="P93" s="371"/>
      <c r="Q93" s="374"/>
      <c r="R93" s="403">
        <f>+R70+R73+R83+R86+R92</f>
        <v>3225</v>
      </c>
      <c r="S93" s="371"/>
      <c r="T93" s="405"/>
      <c r="U93" s="403">
        <f>+U70+U73+U83+U86+U92</f>
        <v>385</v>
      </c>
      <c r="V93" s="371"/>
      <c r="W93" s="405"/>
      <c r="X93" s="373">
        <f>+X70+X73+X83+X86+X92</f>
        <v>2958</v>
      </c>
      <c r="Y93" s="371"/>
      <c r="Z93" s="406"/>
      <c r="AA93" s="365">
        <f>+AA70+AA73+AA83+AA86+AA92</f>
        <v>23558</v>
      </c>
      <c r="AB93" s="371"/>
      <c r="AC93" s="372"/>
    </row>
    <row r="94" spans="1:29" ht="13.5" customHeight="1">
      <c r="A94" s="242" t="s">
        <v>351</v>
      </c>
      <c r="B94" s="400" t="s">
        <v>352</v>
      </c>
      <c r="C94" s="262">
        <f>+C95</f>
        <v>0</v>
      </c>
      <c r="D94" s="263"/>
      <c r="E94" s="264"/>
      <c r="F94" s="265">
        <f>+F95</f>
        <v>0</v>
      </c>
      <c r="G94" s="263"/>
      <c r="H94" s="266"/>
      <c r="I94" s="262">
        <f>+I95</f>
        <v>0</v>
      </c>
      <c r="J94" s="263"/>
      <c r="K94" s="264"/>
      <c r="L94" s="265">
        <f>+L95</f>
        <v>0</v>
      </c>
      <c r="M94" s="263"/>
      <c r="N94" s="267"/>
      <c r="O94" s="262">
        <f>+O95</f>
        <v>0</v>
      </c>
      <c r="P94" s="263"/>
      <c r="Q94" s="264"/>
      <c r="R94" s="265">
        <f>+R95</f>
        <v>0</v>
      </c>
      <c r="S94" s="263"/>
      <c r="T94" s="267"/>
      <c r="U94" s="265">
        <f>+U95</f>
        <v>0</v>
      </c>
      <c r="V94" s="263"/>
      <c r="W94" s="267"/>
      <c r="X94" s="262"/>
      <c r="Y94" s="263"/>
      <c r="Z94" s="268"/>
      <c r="AA94" s="269">
        <f t="shared" ref="AA94:AA96" si="15">+C94+F94+I94+L94+O94+R94+U94+X94</f>
        <v>0</v>
      </c>
      <c r="AB94" s="263"/>
      <c r="AC94" s="270"/>
    </row>
    <row r="95" spans="1:29" ht="13.5" customHeight="1">
      <c r="A95" s="248" t="s">
        <v>351</v>
      </c>
      <c r="B95" s="306" t="s">
        <v>143</v>
      </c>
      <c r="C95" s="279"/>
      <c r="D95" s="280"/>
      <c r="E95" s="281"/>
      <c r="F95" s="282"/>
      <c r="G95" s="280"/>
      <c r="H95" s="283"/>
      <c r="I95" s="279"/>
      <c r="J95" s="280"/>
      <c r="K95" s="281"/>
      <c r="L95" s="282"/>
      <c r="M95" s="280"/>
      <c r="N95" s="284"/>
      <c r="O95" s="279"/>
      <c r="P95" s="280"/>
      <c r="Q95" s="281"/>
      <c r="R95" s="282"/>
      <c r="S95" s="280"/>
      <c r="T95" s="284"/>
      <c r="U95" s="282"/>
      <c r="V95" s="280"/>
      <c r="W95" s="284"/>
      <c r="X95" s="279"/>
      <c r="Y95" s="280"/>
      <c r="Z95" s="285"/>
      <c r="AA95" s="269">
        <f t="shared" si="15"/>
        <v>0</v>
      </c>
      <c r="AB95" s="280"/>
      <c r="AC95" s="287"/>
    </row>
    <row r="96" spans="1:29" ht="13.5" customHeight="1">
      <c r="A96" s="399" t="s">
        <v>353</v>
      </c>
      <c r="B96" s="401" t="s">
        <v>354</v>
      </c>
      <c r="C96" s="324"/>
      <c r="D96" s="322"/>
      <c r="E96" s="325"/>
      <c r="F96" s="326"/>
      <c r="G96" s="322"/>
      <c r="H96" s="327"/>
      <c r="I96" s="324"/>
      <c r="J96" s="322"/>
      <c r="K96" s="325"/>
      <c r="L96" s="326"/>
      <c r="M96" s="322"/>
      <c r="N96" s="328"/>
      <c r="O96" s="324"/>
      <c r="P96" s="322"/>
      <c r="Q96" s="325"/>
      <c r="R96" s="326"/>
      <c r="S96" s="322"/>
      <c r="T96" s="328"/>
      <c r="U96" s="326"/>
      <c r="V96" s="322"/>
      <c r="W96" s="328"/>
      <c r="X96" s="324"/>
      <c r="Y96" s="322"/>
      <c r="Z96" s="329"/>
      <c r="AA96" s="269">
        <f t="shared" si="15"/>
        <v>0</v>
      </c>
      <c r="AB96" s="322"/>
      <c r="AC96" s="323"/>
    </row>
    <row r="97" spans="1:29" s="407" customFormat="1" ht="13.5" customHeight="1">
      <c r="A97" s="245" t="s">
        <v>215</v>
      </c>
      <c r="B97" s="304" t="s">
        <v>173</v>
      </c>
      <c r="C97" s="373">
        <f>+C94+C96</f>
        <v>0</v>
      </c>
      <c r="D97" s="371"/>
      <c r="E97" s="374"/>
      <c r="F97" s="403">
        <f>+F94+F96</f>
        <v>0</v>
      </c>
      <c r="G97" s="371"/>
      <c r="H97" s="404"/>
      <c r="I97" s="373">
        <f>+I94+I96</f>
        <v>0</v>
      </c>
      <c r="J97" s="371"/>
      <c r="K97" s="374"/>
      <c r="L97" s="403">
        <f>+L94+L96</f>
        <v>0</v>
      </c>
      <c r="M97" s="371"/>
      <c r="N97" s="405"/>
      <c r="O97" s="373">
        <f>+O94+O96</f>
        <v>0</v>
      </c>
      <c r="P97" s="371"/>
      <c r="Q97" s="374"/>
      <c r="R97" s="403">
        <f>+R94+R96</f>
        <v>0</v>
      </c>
      <c r="S97" s="371"/>
      <c r="T97" s="405"/>
      <c r="U97" s="403">
        <f>+U94+U96</f>
        <v>0</v>
      </c>
      <c r="V97" s="371"/>
      <c r="W97" s="405"/>
      <c r="X97" s="373">
        <f>+X94+X96</f>
        <v>0</v>
      </c>
      <c r="Y97" s="371"/>
      <c r="Z97" s="406"/>
      <c r="AA97" s="365">
        <f>+AA94+AA96</f>
        <v>0</v>
      </c>
      <c r="AB97" s="371"/>
      <c r="AC97" s="372"/>
    </row>
    <row r="98" spans="1:29" ht="13.5" customHeight="1">
      <c r="A98" s="242" t="s">
        <v>288</v>
      </c>
      <c r="B98" s="302" t="s">
        <v>289</v>
      </c>
      <c r="C98" s="262"/>
      <c r="D98" s="263"/>
      <c r="E98" s="264"/>
      <c r="F98" s="265"/>
      <c r="G98" s="263"/>
      <c r="H98" s="266"/>
      <c r="I98" s="262"/>
      <c r="J98" s="263"/>
      <c r="K98" s="264"/>
      <c r="L98" s="265"/>
      <c r="M98" s="263"/>
      <c r="N98" s="267"/>
      <c r="O98" s="262"/>
      <c r="P98" s="263"/>
      <c r="Q98" s="264"/>
      <c r="R98" s="265"/>
      <c r="S98" s="263"/>
      <c r="T98" s="267"/>
      <c r="U98" s="265"/>
      <c r="V98" s="263"/>
      <c r="W98" s="267"/>
      <c r="X98" s="262"/>
      <c r="Y98" s="263"/>
      <c r="Z98" s="268"/>
      <c r="AA98" s="269">
        <f t="shared" ref="AA98:AA104" si="16">+C98+F98+I98+L98+O98+R98+U98+X98</f>
        <v>0</v>
      </c>
      <c r="AB98" s="263"/>
      <c r="AC98" s="270"/>
    </row>
    <row r="99" spans="1:29" ht="13.5" customHeight="1">
      <c r="A99" s="243" t="s">
        <v>290</v>
      </c>
      <c r="B99" s="253" t="s">
        <v>291</v>
      </c>
      <c r="C99" s="252"/>
      <c r="D99" s="250"/>
      <c r="E99" s="255"/>
      <c r="F99" s="256"/>
      <c r="G99" s="250"/>
      <c r="H99" s="257"/>
      <c r="I99" s="252"/>
      <c r="J99" s="250"/>
      <c r="K99" s="255"/>
      <c r="L99" s="256"/>
      <c r="M99" s="250"/>
      <c r="N99" s="258"/>
      <c r="O99" s="252"/>
      <c r="P99" s="250"/>
      <c r="Q99" s="255"/>
      <c r="R99" s="256"/>
      <c r="S99" s="250"/>
      <c r="T99" s="258"/>
      <c r="U99" s="256"/>
      <c r="V99" s="250"/>
      <c r="W99" s="258"/>
      <c r="X99" s="252"/>
      <c r="Y99" s="250"/>
      <c r="Z99" s="259"/>
      <c r="AA99" s="269">
        <f t="shared" si="16"/>
        <v>0</v>
      </c>
      <c r="AB99" s="250"/>
      <c r="AC99" s="251"/>
    </row>
    <row r="100" spans="1:29" ht="13.5" customHeight="1">
      <c r="A100" s="243" t="s">
        <v>292</v>
      </c>
      <c r="B100" s="253" t="s">
        <v>293</v>
      </c>
      <c r="C100" s="252"/>
      <c r="D100" s="250"/>
      <c r="E100" s="255"/>
      <c r="F100" s="256">
        <v>142</v>
      </c>
      <c r="G100" s="250"/>
      <c r="H100" s="257"/>
      <c r="I100" s="252"/>
      <c r="J100" s="250"/>
      <c r="K100" s="255"/>
      <c r="L100" s="256"/>
      <c r="M100" s="250"/>
      <c r="N100" s="258"/>
      <c r="O100" s="252"/>
      <c r="P100" s="250"/>
      <c r="Q100" s="255"/>
      <c r="R100" s="256"/>
      <c r="S100" s="250"/>
      <c r="T100" s="258"/>
      <c r="U100" s="256"/>
      <c r="V100" s="250"/>
      <c r="W100" s="258"/>
      <c r="X100" s="252"/>
      <c r="Y100" s="250"/>
      <c r="Z100" s="259"/>
      <c r="AA100" s="269">
        <f t="shared" si="16"/>
        <v>142</v>
      </c>
      <c r="AB100" s="250"/>
      <c r="AC100" s="251"/>
    </row>
    <row r="101" spans="1:29" ht="13.5" customHeight="1">
      <c r="A101" s="243" t="s">
        <v>294</v>
      </c>
      <c r="B101" s="253" t="s">
        <v>295</v>
      </c>
      <c r="C101" s="252"/>
      <c r="D101" s="250"/>
      <c r="E101" s="255"/>
      <c r="F101" s="256">
        <f>8+1425</f>
        <v>1433</v>
      </c>
      <c r="G101" s="250"/>
      <c r="H101" s="257"/>
      <c r="I101" s="252"/>
      <c r="J101" s="250"/>
      <c r="K101" s="255"/>
      <c r="L101" s="256"/>
      <c r="M101" s="250"/>
      <c r="N101" s="258"/>
      <c r="O101" s="252"/>
      <c r="P101" s="250"/>
      <c r="Q101" s="255"/>
      <c r="R101" s="256"/>
      <c r="S101" s="250"/>
      <c r="T101" s="258"/>
      <c r="U101" s="256"/>
      <c r="V101" s="250"/>
      <c r="W101" s="258"/>
      <c r="X101" s="252"/>
      <c r="Y101" s="250"/>
      <c r="Z101" s="259"/>
      <c r="AA101" s="269">
        <f t="shared" si="16"/>
        <v>1433</v>
      </c>
      <c r="AB101" s="250"/>
      <c r="AC101" s="251"/>
    </row>
    <row r="102" spans="1:29" ht="13.5" customHeight="1">
      <c r="A102" s="243" t="s">
        <v>296</v>
      </c>
      <c r="B102" s="253" t="s">
        <v>297</v>
      </c>
      <c r="C102" s="252"/>
      <c r="D102" s="250"/>
      <c r="E102" s="255"/>
      <c r="F102" s="256"/>
      <c r="G102" s="250"/>
      <c r="H102" s="257"/>
      <c r="I102" s="252"/>
      <c r="J102" s="250"/>
      <c r="K102" s="255"/>
      <c r="L102" s="256"/>
      <c r="M102" s="250"/>
      <c r="N102" s="258"/>
      <c r="O102" s="252"/>
      <c r="P102" s="250"/>
      <c r="Q102" s="255"/>
      <c r="R102" s="256"/>
      <c r="S102" s="250"/>
      <c r="T102" s="258"/>
      <c r="U102" s="256"/>
      <c r="V102" s="250"/>
      <c r="W102" s="258"/>
      <c r="X102" s="252"/>
      <c r="Y102" s="250"/>
      <c r="Z102" s="259"/>
      <c r="AA102" s="269">
        <f t="shared" si="16"/>
        <v>0</v>
      </c>
      <c r="AB102" s="250"/>
      <c r="AC102" s="251"/>
    </row>
    <row r="103" spans="1:29" ht="13.5" customHeight="1">
      <c r="A103" s="243" t="s">
        <v>298</v>
      </c>
      <c r="B103" s="253" t="s">
        <v>299</v>
      </c>
      <c r="C103" s="252"/>
      <c r="D103" s="250"/>
      <c r="E103" s="255"/>
      <c r="F103" s="256"/>
      <c r="G103" s="250"/>
      <c r="H103" s="257"/>
      <c r="I103" s="252"/>
      <c r="J103" s="250"/>
      <c r="K103" s="255"/>
      <c r="L103" s="256"/>
      <c r="M103" s="250"/>
      <c r="N103" s="258"/>
      <c r="O103" s="252"/>
      <c r="P103" s="250"/>
      <c r="Q103" s="255"/>
      <c r="R103" s="256"/>
      <c r="S103" s="250"/>
      <c r="T103" s="258"/>
      <c r="U103" s="256"/>
      <c r="V103" s="250"/>
      <c r="W103" s="258"/>
      <c r="X103" s="252"/>
      <c r="Y103" s="250"/>
      <c r="Z103" s="259"/>
      <c r="AA103" s="269">
        <f t="shared" si="16"/>
        <v>0</v>
      </c>
      <c r="AB103" s="250"/>
      <c r="AC103" s="251"/>
    </row>
    <row r="104" spans="1:29" ht="13.5" customHeight="1">
      <c r="A104" s="244" t="s">
        <v>300</v>
      </c>
      <c r="B104" s="303" t="s">
        <v>301</v>
      </c>
      <c r="C104" s="279"/>
      <c r="D104" s="280"/>
      <c r="E104" s="281"/>
      <c r="F104" s="282">
        <v>425</v>
      </c>
      <c r="G104" s="280"/>
      <c r="H104" s="283"/>
      <c r="I104" s="279"/>
      <c r="J104" s="280"/>
      <c r="K104" s="281"/>
      <c r="L104" s="282"/>
      <c r="M104" s="280"/>
      <c r="N104" s="284"/>
      <c r="O104" s="279"/>
      <c r="P104" s="280"/>
      <c r="Q104" s="281"/>
      <c r="R104" s="282"/>
      <c r="S104" s="280"/>
      <c r="T104" s="284"/>
      <c r="U104" s="282"/>
      <c r="V104" s="280"/>
      <c r="W104" s="284"/>
      <c r="X104" s="279"/>
      <c r="Y104" s="280"/>
      <c r="Z104" s="285"/>
      <c r="AA104" s="269">
        <f t="shared" si="16"/>
        <v>425</v>
      </c>
      <c r="AB104" s="280"/>
      <c r="AC104" s="287"/>
    </row>
    <row r="105" spans="1:29" s="407" customFormat="1" ht="13.5" customHeight="1">
      <c r="A105" s="245" t="s">
        <v>216</v>
      </c>
      <c r="B105" s="304" t="s">
        <v>128</v>
      </c>
      <c r="C105" s="373">
        <f>SUM(C98:C104)</f>
        <v>0</v>
      </c>
      <c r="D105" s="371"/>
      <c r="E105" s="374"/>
      <c r="F105" s="403">
        <f>SUM(F98:F104)</f>
        <v>2000</v>
      </c>
      <c r="G105" s="371"/>
      <c r="H105" s="404"/>
      <c r="I105" s="373">
        <f>SUM(I98:I104)</f>
        <v>0</v>
      </c>
      <c r="J105" s="371"/>
      <c r="K105" s="374"/>
      <c r="L105" s="403">
        <f>SUM(L98:L104)</f>
        <v>0</v>
      </c>
      <c r="M105" s="371"/>
      <c r="N105" s="405"/>
      <c r="O105" s="373">
        <f>SUM(O98:O104)</f>
        <v>0</v>
      </c>
      <c r="P105" s="371"/>
      <c r="Q105" s="374"/>
      <c r="R105" s="403">
        <f>SUM(R98:R104)</f>
        <v>0</v>
      </c>
      <c r="S105" s="371"/>
      <c r="T105" s="405"/>
      <c r="U105" s="403">
        <f>SUM(U98:U104)</f>
        <v>0</v>
      </c>
      <c r="V105" s="371"/>
      <c r="W105" s="405"/>
      <c r="X105" s="373">
        <f>SUM(X98:X104)</f>
        <v>0</v>
      </c>
      <c r="Y105" s="371"/>
      <c r="Z105" s="406"/>
      <c r="AA105" s="365">
        <f>SUM(AA98:AA104)</f>
        <v>2000</v>
      </c>
      <c r="AB105" s="371"/>
      <c r="AC105" s="372"/>
    </row>
    <row r="106" spans="1:29" ht="13.5" customHeight="1">
      <c r="A106" s="242" t="s">
        <v>302</v>
      </c>
      <c r="B106" s="302" t="s">
        <v>303</v>
      </c>
      <c r="C106" s="262"/>
      <c r="D106" s="263"/>
      <c r="E106" s="264"/>
      <c r="F106" s="265"/>
      <c r="G106" s="263"/>
      <c r="H106" s="266"/>
      <c r="I106" s="262"/>
      <c r="J106" s="263"/>
      <c r="K106" s="264"/>
      <c r="L106" s="265"/>
      <c r="M106" s="263"/>
      <c r="N106" s="267"/>
      <c r="O106" s="262"/>
      <c r="P106" s="263"/>
      <c r="Q106" s="264"/>
      <c r="R106" s="265"/>
      <c r="S106" s="263"/>
      <c r="T106" s="267"/>
      <c r="U106" s="265"/>
      <c r="V106" s="263"/>
      <c r="W106" s="267"/>
      <c r="X106" s="262"/>
      <c r="Y106" s="263"/>
      <c r="Z106" s="268"/>
      <c r="AA106" s="269">
        <f t="shared" ref="AA106:AA109" si="17">+C106+F106+I106+L106+O106+R106+U106+X106</f>
        <v>0</v>
      </c>
      <c r="AB106" s="263"/>
      <c r="AC106" s="270"/>
    </row>
    <row r="107" spans="1:29" ht="13.5" customHeight="1">
      <c r="A107" s="243" t="s">
        <v>304</v>
      </c>
      <c r="B107" s="253" t="s">
        <v>305</v>
      </c>
      <c r="C107" s="252"/>
      <c r="D107" s="250"/>
      <c r="E107" s="255"/>
      <c r="F107" s="256"/>
      <c r="G107" s="250"/>
      <c r="H107" s="257"/>
      <c r="I107" s="252"/>
      <c r="J107" s="250"/>
      <c r="K107" s="255"/>
      <c r="L107" s="256"/>
      <c r="M107" s="250"/>
      <c r="N107" s="258"/>
      <c r="O107" s="252"/>
      <c r="P107" s="250"/>
      <c r="Q107" s="255"/>
      <c r="R107" s="256"/>
      <c r="S107" s="250"/>
      <c r="T107" s="258"/>
      <c r="U107" s="256"/>
      <c r="V107" s="250"/>
      <c r="W107" s="258"/>
      <c r="X107" s="252"/>
      <c r="Y107" s="250"/>
      <c r="Z107" s="259"/>
      <c r="AA107" s="269">
        <f t="shared" si="17"/>
        <v>0</v>
      </c>
      <c r="AB107" s="250"/>
      <c r="AC107" s="251"/>
    </row>
    <row r="108" spans="1:29" ht="13.5" customHeight="1">
      <c r="A108" s="243" t="s">
        <v>306</v>
      </c>
      <c r="B108" s="253" t="s">
        <v>307</v>
      </c>
      <c r="C108" s="252"/>
      <c r="D108" s="250"/>
      <c r="E108" s="255"/>
      <c r="F108" s="256"/>
      <c r="G108" s="250"/>
      <c r="H108" s="257"/>
      <c r="I108" s="252"/>
      <c r="J108" s="250"/>
      <c r="K108" s="255"/>
      <c r="L108" s="256"/>
      <c r="M108" s="250"/>
      <c r="N108" s="258"/>
      <c r="O108" s="252"/>
      <c r="P108" s="250"/>
      <c r="Q108" s="255"/>
      <c r="R108" s="256"/>
      <c r="S108" s="250"/>
      <c r="T108" s="258"/>
      <c r="U108" s="256"/>
      <c r="V108" s="250"/>
      <c r="W108" s="258"/>
      <c r="X108" s="252"/>
      <c r="Y108" s="250"/>
      <c r="Z108" s="259"/>
      <c r="AA108" s="269">
        <f t="shared" si="17"/>
        <v>0</v>
      </c>
      <c r="AB108" s="250"/>
      <c r="AC108" s="251"/>
    </row>
    <row r="109" spans="1:29" ht="13.5" customHeight="1">
      <c r="A109" s="244" t="s">
        <v>308</v>
      </c>
      <c r="B109" s="303" t="s">
        <v>309</v>
      </c>
      <c r="C109" s="279"/>
      <c r="D109" s="280"/>
      <c r="E109" s="281"/>
      <c r="F109" s="282"/>
      <c r="G109" s="280"/>
      <c r="H109" s="283"/>
      <c r="I109" s="279"/>
      <c r="J109" s="280"/>
      <c r="K109" s="281"/>
      <c r="L109" s="282"/>
      <c r="M109" s="280"/>
      <c r="N109" s="284"/>
      <c r="O109" s="279"/>
      <c r="P109" s="280"/>
      <c r="Q109" s="281"/>
      <c r="R109" s="282"/>
      <c r="S109" s="280"/>
      <c r="T109" s="284"/>
      <c r="U109" s="282"/>
      <c r="V109" s="280"/>
      <c r="W109" s="284"/>
      <c r="X109" s="279"/>
      <c r="Y109" s="280"/>
      <c r="Z109" s="285"/>
      <c r="AA109" s="269">
        <f t="shared" si="17"/>
        <v>0</v>
      </c>
      <c r="AB109" s="280"/>
      <c r="AC109" s="287"/>
    </row>
    <row r="110" spans="1:29" s="407" customFormat="1" ht="13.5" customHeight="1">
      <c r="A110" s="245" t="s">
        <v>217</v>
      </c>
      <c r="B110" s="304" t="s">
        <v>174</v>
      </c>
      <c r="C110" s="373">
        <f>SUM(C106:C109)</f>
        <v>0</v>
      </c>
      <c r="D110" s="371"/>
      <c r="E110" s="374"/>
      <c r="F110" s="403">
        <f>SUM(F106:F109)</f>
        <v>0</v>
      </c>
      <c r="G110" s="371"/>
      <c r="H110" s="404"/>
      <c r="I110" s="373">
        <f>SUM(I106:I109)</f>
        <v>0</v>
      </c>
      <c r="J110" s="371"/>
      <c r="K110" s="374"/>
      <c r="L110" s="403">
        <f>SUM(L106:L109)</f>
        <v>0</v>
      </c>
      <c r="M110" s="371"/>
      <c r="N110" s="405"/>
      <c r="O110" s="373">
        <f>SUM(O106:O109)</f>
        <v>0</v>
      </c>
      <c r="P110" s="371"/>
      <c r="Q110" s="374"/>
      <c r="R110" s="403">
        <f>SUM(R106:R109)</f>
        <v>0</v>
      </c>
      <c r="S110" s="371"/>
      <c r="T110" s="405"/>
      <c r="U110" s="403">
        <f>SUM(U106:U109)</f>
        <v>0</v>
      </c>
      <c r="V110" s="371"/>
      <c r="W110" s="405"/>
      <c r="X110" s="373">
        <f>SUM(X106:X109)</f>
        <v>0</v>
      </c>
      <c r="Y110" s="371"/>
      <c r="Z110" s="406"/>
      <c r="AA110" s="365">
        <f>SUM(AA106:AA109)</f>
        <v>0</v>
      </c>
      <c r="AB110" s="371"/>
      <c r="AC110" s="372"/>
    </row>
    <row r="111" spans="1:29" s="407" customFormat="1" ht="13.5" customHeight="1">
      <c r="A111" s="245" t="s">
        <v>218</v>
      </c>
      <c r="B111" s="304" t="s">
        <v>175</v>
      </c>
      <c r="C111" s="373"/>
      <c r="D111" s="371"/>
      <c r="E111" s="374"/>
      <c r="F111" s="403"/>
      <c r="G111" s="371"/>
      <c r="H111" s="404"/>
      <c r="I111" s="373"/>
      <c r="J111" s="371"/>
      <c r="K111" s="374"/>
      <c r="L111" s="403"/>
      <c r="M111" s="371"/>
      <c r="N111" s="405"/>
      <c r="O111" s="373"/>
      <c r="P111" s="371"/>
      <c r="Q111" s="374"/>
      <c r="R111" s="403"/>
      <c r="S111" s="371"/>
      <c r="T111" s="405"/>
      <c r="U111" s="403"/>
      <c r="V111" s="371"/>
      <c r="W111" s="405"/>
      <c r="X111" s="373"/>
      <c r="Y111" s="371"/>
      <c r="Z111" s="406"/>
      <c r="AA111" s="269">
        <f t="shared" ref="AA111" si="18">+C111+F111+I111+L111+O111+R111+U111+X111</f>
        <v>0</v>
      </c>
      <c r="AB111" s="371"/>
      <c r="AC111" s="372"/>
    </row>
    <row r="112" spans="1:29" s="407" customFormat="1" ht="13.5" customHeight="1">
      <c r="A112" s="249" t="s">
        <v>219</v>
      </c>
      <c r="B112" s="304" t="s">
        <v>176</v>
      </c>
      <c r="C112" s="373">
        <f>+C60+C61+C93+C97+C105+C110+C111</f>
        <v>2441</v>
      </c>
      <c r="D112" s="371"/>
      <c r="E112" s="374"/>
      <c r="F112" s="403">
        <f>+F60+F61+F93+F97+F105+F110+F111</f>
        <v>19471</v>
      </c>
      <c r="G112" s="371"/>
      <c r="H112" s="404"/>
      <c r="I112" s="373">
        <f>+I60+I61+I93+I97+I105+I110+I111</f>
        <v>32523</v>
      </c>
      <c r="J112" s="371"/>
      <c r="K112" s="374"/>
      <c r="L112" s="403">
        <f>+L60+L61+L93+L97+L105+L110+L111</f>
        <v>21610</v>
      </c>
      <c r="M112" s="371"/>
      <c r="N112" s="405"/>
      <c r="O112" s="373">
        <f>+O60+O61+O93+O97+O105+O110+O111</f>
        <v>13322</v>
      </c>
      <c r="P112" s="371"/>
      <c r="Q112" s="374"/>
      <c r="R112" s="403">
        <f>+R60+R61+R93+R97+R105+R110+R111</f>
        <v>5821</v>
      </c>
      <c r="S112" s="371"/>
      <c r="T112" s="405"/>
      <c r="U112" s="403">
        <f>+U60+U61+U93+U97+U105+U110+U111</f>
        <v>4416</v>
      </c>
      <c r="V112" s="371"/>
      <c r="W112" s="405"/>
      <c r="X112" s="373">
        <f>+X60+X61+X93+X97+X105+X110+X111</f>
        <v>2958</v>
      </c>
      <c r="Y112" s="371"/>
      <c r="Z112" s="406"/>
      <c r="AA112" s="365">
        <f>+AA60+AA61+AA93+AA97+AA105+AA110+AA111</f>
        <v>102562</v>
      </c>
      <c r="AB112" s="371"/>
      <c r="AC112" s="372"/>
    </row>
    <row r="113" spans="1:29" s="407" customFormat="1" ht="13.5" customHeight="1" thickBot="1">
      <c r="A113" s="307" t="s">
        <v>220</v>
      </c>
      <c r="B113" s="308" t="s">
        <v>177</v>
      </c>
      <c r="C113" s="395"/>
      <c r="D113" s="393"/>
      <c r="E113" s="396"/>
      <c r="F113" s="408"/>
      <c r="G113" s="393"/>
      <c r="H113" s="409"/>
      <c r="I113" s="395"/>
      <c r="J113" s="393"/>
      <c r="K113" s="396"/>
      <c r="L113" s="408"/>
      <c r="M113" s="393"/>
      <c r="N113" s="410"/>
      <c r="O113" s="395"/>
      <c r="P113" s="393"/>
      <c r="Q113" s="396"/>
      <c r="R113" s="408"/>
      <c r="S113" s="393"/>
      <c r="T113" s="410"/>
      <c r="U113" s="408"/>
      <c r="V113" s="393"/>
      <c r="W113" s="410"/>
      <c r="X113" s="395"/>
      <c r="Y113" s="393"/>
      <c r="Z113" s="411"/>
      <c r="AA113" s="269">
        <f t="shared" ref="AA113" si="19">+C113+F113+I113+L113+O113+R113+U113+X113</f>
        <v>0</v>
      </c>
      <c r="AB113" s="393"/>
      <c r="AC113" s="394"/>
    </row>
    <row r="114" spans="1:29" s="407" customFormat="1" ht="13.5" customHeight="1" thickBot="1">
      <c r="A114" s="901" t="s">
        <v>337</v>
      </c>
      <c r="B114" s="922"/>
      <c r="C114" s="384">
        <f>+SUM(C112:C113)</f>
        <v>2441</v>
      </c>
      <c r="D114" s="382"/>
      <c r="E114" s="385"/>
      <c r="F114" s="412">
        <f>+SUM(F112:F113)</f>
        <v>19471</v>
      </c>
      <c r="G114" s="382"/>
      <c r="H114" s="413"/>
      <c r="I114" s="384">
        <f>+SUM(I112:I113)</f>
        <v>32523</v>
      </c>
      <c r="J114" s="382"/>
      <c r="K114" s="385"/>
      <c r="L114" s="412">
        <f>+SUM(L112:L113)</f>
        <v>21610</v>
      </c>
      <c r="M114" s="382"/>
      <c r="N114" s="414"/>
      <c r="O114" s="384">
        <f>+SUM(O112:O113)</f>
        <v>13322</v>
      </c>
      <c r="P114" s="382"/>
      <c r="Q114" s="385"/>
      <c r="R114" s="412">
        <f>+SUM(R112:R113)</f>
        <v>5821</v>
      </c>
      <c r="S114" s="382"/>
      <c r="T114" s="414"/>
      <c r="U114" s="412">
        <f>+SUM(U112:U113)</f>
        <v>4416</v>
      </c>
      <c r="V114" s="382"/>
      <c r="W114" s="414"/>
      <c r="X114" s="384">
        <f>+SUM(X112:X113)</f>
        <v>2958</v>
      </c>
      <c r="Y114" s="382"/>
      <c r="Z114" s="415"/>
      <c r="AA114" s="381">
        <f>+SUM(AA112:AA113)</f>
        <v>102562</v>
      </c>
      <c r="AB114" s="382"/>
      <c r="AC114" s="383"/>
    </row>
    <row r="115" spans="1:29" ht="13.5" customHeight="1" thickBot="1"/>
    <row r="116" spans="1:29" s="407" customFormat="1" ht="13.5" customHeight="1" thickBot="1">
      <c r="A116" s="899" t="s">
        <v>355</v>
      </c>
      <c r="B116" s="900"/>
      <c r="C116" s="412">
        <f>+C40-C114</f>
        <v>0</v>
      </c>
      <c r="D116" s="382"/>
      <c r="E116" s="413"/>
      <c r="F116" s="412">
        <f>+F40-F114</f>
        <v>0</v>
      </c>
      <c r="G116" s="382"/>
      <c r="H116" s="413"/>
      <c r="I116" s="412">
        <f>+I40-I114</f>
        <v>0</v>
      </c>
      <c r="J116" s="382"/>
      <c r="K116" s="413"/>
      <c r="L116" s="412">
        <f>+L40-L114</f>
        <v>0</v>
      </c>
      <c r="M116" s="382"/>
      <c r="N116" s="413"/>
      <c r="O116" s="412">
        <f>+O40-O114</f>
        <v>0</v>
      </c>
      <c r="P116" s="382"/>
      <c r="Q116" s="413"/>
      <c r="R116" s="412">
        <f>+R40-R114</f>
        <v>0</v>
      </c>
      <c r="S116" s="382"/>
      <c r="T116" s="413"/>
      <c r="U116" s="412">
        <f>+U40-U114</f>
        <v>0</v>
      </c>
      <c r="V116" s="382"/>
      <c r="W116" s="413"/>
      <c r="X116" s="412">
        <f>+X40-X114</f>
        <v>0</v>
      </c>
      <c r="Y116" s="382"/>
      <c r="Z116" s="413"/>
      <c r="AA116" s="412">
        <f>+AA40-AA114</f>
        <v>0</v>
      </c>
      <c r="AB116" s="382"/>
      <c r="AC116" s="413"/>
    </row>
    <row r="117" spans="1:29" ht="13.5" customHeight="1"/>
    <row r="118" spans="1:29" ht="13.5" customHeight="1"/>
    <row r="119" spans="1:29" ht="13.5" customHeight="1">
      <c r="B119" s="68" t="s">
        <v>349</v>
      </c>
      <c r="C119" s="420">
        <f>+(C70+C73+C83)*0.27</f>
        <v>289.17</v>
      </c>
      <c r="F119" s="420">
        <f>+(F70+F73+F83)*0.27</f>
        <v>930.69</v>
      </c>
      <c r="I119" s="420">
        <f>+(I70+I73+I83)*0.27</f>
        <v>675</v>
      </c>
      <c r="J119" s="70"/>
      <c r="K119" s="70"/>
      <c r="L119" s="420">
        <f>+(L70+L73+L83)*0.27</f>
        <v>740.61</v>
      </c>
      <c r="M119" s="70"/>
      <c r="O119" s="420">
        <f>+(O70+O73+O83)*0.27</f>
        <v>821.61</v>
      </c>
      <c r="R119" s="420">
        <f>+(R70+R73+R83)*0.27</f>
        <v>619.38</v>
      </c>
      <c r="S119" s="70"/>
      <c r="U119" s="420">
        <f>+(U70+U73+U83)*0.27</f>
        <v>81.27000000000001</v>
      </c>
      <c r="V119" s="8"/>
      <c r="W119" s="8"/>
      <c r="X119" s="420">
        <f>+(X70+X73+X83)*0.27</f>
        <v>628.83000000000004</v>
      </c>
      <c r="Y119" s="8"/>
      <c r="Z119" s="8"/>
      <c r="AA119" s="8"/>
      <c r="AB119" s="8"/>
      <c r="AC119" s="8"/>
    </row>
    <row r="120" spans="1:29" ht="13.5" customHeight="1">
      <c r="B120" s="68" t="s">
        <v>345</v>
      </c>
      <c r="C120" s="417">
        <v>543</v>
      </c>
      <c r="D120" s="417"/>
      <c r="E120" s="417"/>
      <c r="F120" s="417">
        <v>566</v>
      </c>
      <c r="G120" s="417"/>
      <c r="H120" s="417"/>
      <c r="I120" s="417">
        <v>436</v>
      </c>
      <c r="J120" s="417"/>
      <c r="K120" s="417"/>
      <c r="L120" s="417">
        <v>824</v>
      </c>
      <c r="M120" s="417"/>
      <c r="N120" s="417"/>
      <c r="O120" s="417">
        <v>678</v>
      </c>
      <c r="P120" s="417"/>
      <c r="Q120" s="417"/>
      <c r="R120" s="417">
        <v>476</v>
      </c>
      <c r="S120" s="417"/>
      <c r="T120" s="417"/>
      <c r="U120" s="529">
        <v>66</v>
      </c>
      <c r="V120" s="529"/>
      <c r="W120" s="529"/>
      <c r="X120" s="529">
        <v>66</v>
      </c>
      <c r="Y120" s="529"/>
      <c r="Z120" s="529"/>
      <c r="AA120" s="529"/>
      <c r="AB120" s="529"/>
      <c r="AC120" s="529"/>
    </row>
    <row r="121" spans="1:29" ht="15" customHeight="1">
      <c r="C121" s="417"/>
      <c r="D121" s="417"/>
      <c r="E121" s="417"/>
      <c r="F121" s="417"/>
      <c r="G121" s="417"/>
      <c r="H121" s="417"/>
      <c r="I121" s="417"/>
      <c r="J121" s="417"/>
      <c r="K121" s="417"/>
      <c r="L121" s="417"/>
      <c r="M121" s="417"/>
      <c r="N121" s="417"/>
      <c r="O121" s="417"/>
      <c r="P121" s="417"/>
      <c r="Q121" s="417"/>
      <c r="R121" s="417"/>
      <c r="S121" s="417"/>
      <c r="T121" s="417"/>
      <c r="U121" s="417"/>
      <c r="V121" s="417"/>
      <c r="W121" s="417"/>
      <c r="X121" s="417"/>
      <c r="Y121" s="417"/>
      <c r="Z121" s="417"/>
      <c r="AA121" s="417"/>
      <c r="AB121" s="417"/>
      <c r="AC121" s="417"/>
    </row>
    <row r="124" spans="1:29" ht="15" customHeight="1">
      <c r="B124" s="68" t="s">
        <v>405</v>
      </c>
      <c r="C124" s="69">
        <v>496</v>
      </c>
      <c r="E124" s="418"/>
      <c r="W124" s="418"/>
      <c r="Z124" s="418"/>
    </row>
    <row r="125" spans="1:29" ht="15" customHeight="1">
      <c r="B125" s="68" t="s">
        <v>4</v>
      </c>
      <c r="C125" s="69">
        <v>1</v>
      </c>
      <c r="D125" s="419">
        <f>+C125/$C$132</f>
        <v>0.1</v>
      </c>
      <c r="E125" s="420">
        <f>+$C$124*$D125</f>
        <v>49.6</v>
      </c>
      <c r="F125" s="69">
        <v>50</v>
      </c>
      <c r="V125" s="419"/>
      <c r="W125" s="420"/>
      <c r="Y125" s="419"/>
      <c r="Z125" s="420"/>
    </row>
    <row r="126" spans="1:29" ht="15" customHeight="1">
      <c r="B126" s="68" t="s">
        <v>6</v>
      </c>
      <c r="C126" s="69">
        <v>0</v>
      </c>
      <c r="D126" s="419">
        <f t="shared" ref="D126:D130" si="20">+C126/$C$132</f>
        <v>0</v>
      </c>
      <c r="E126" s="420">
        <f t="shared" ref="E126:E130" si="21">+$C$124*$D126</f>
        <v>0</v>
      </c>
      <c r="V126" s="419"/>
      <c r="W126" s="420"/>
      <c r="Y126" s="419"/>
      <c r="Z126" s="420"/>
    </row>
    <row r="127" spans="1:29" ht="15" customHeight="1">
      <c r="B127" s="68" t="s">
        <v>7</v>
      </c>
      <c r="C127" s="69">
        <v>1</v>
      </c>
      <c r="D127" s="419">
        <f t="shared" si="20"/>
        <v>0.1</v>
      </c>
      <c r="E127" s="420">
        <f t="shared" si="21"/>
        <v>49.6</v>
      </c>
      <c r="F127" s="69">
        <v>50</v>
      </c>
      <c r="V127" s="419"/>
      <c r="W127" s="420"/>
      <c r="Y127" s="419"/>
      <c r="Z127" s="420"/>
    </row>
    <row r="128" spans="1:29" ht="15" customHeight="1">
      <c r="B128" s="68" t="s">
        <v>8</v>
      </c>
      <c r="C128" s="69">
        <v>7</v>
      </c>
      <c r="D128" s="419">
        <f t="shared" si="20"/>
        <v>0.7</v>
      </c>
      <c r="E128" s="420">
        <f t="shared" si="21"/>
        <v>347.2</v>
      </c>
      <c r="F128" s="69">
        <v>346</v>
      </c>
      <c r="V128" s="419"/>
      <c r="W128" s="420"/>
      <c r="X128" s="69">
        <v>695</v>
      </c>
      <c r="Y128" s="419"/>
      <c r="Z128" s="420"/>
    </row>
    <row r="129" spans="2:27" ht="15" customHeight="1">
      <c r="B129" s="68" t="s">
        <v>9</v>
      </c>
      <c r="C129" s="69">
        <v>1</v>
      </c>
      <c r="D129" s="419">
        <f t="shared" si="20"/>
        <v>0.1</v>
      </c>
      <c r="E129" s="420">
        <f t="shared" si="21"/>
        <v>49.6</v>
      </c>
      <c r="F129" s="69">
        <v>50</v>
      </c>
      <c r="V129" s="419"/>
      <c r="W129" s="420"/>
      <c r="Y129" s="419"/>
      <c r="Z129" s="420"/>
    </row>
    <row r="130" spans="2:27" ht="15" customHeight="1">
      <c r="B130" s="68" t="s">
        <v>10</v>
      </c>
      <c r="C130" s="69">
        <v>0</v>
      </c>
      <c r="D130" s="419">
        <f t="shared" si="20"/>
        <v>0</v>
      </c>
      <c r="E130" s="420">
        <f t="shared" si="21"/>
        <v>0</v>
      </c>
      <c r="V130" s="419"/>
      <c r="W130" s="420"/>
      <c r="Y130" s="419"/>
      <c r="Z130" s="420"/>
    </row>
    <row r="131" spans="2:27" ht="15" customHeight="1">
      <c r="B131" s="68" t="s">
        <v>343</v>
      </c>
      <c r="D131" s="419"/>
      <c r="E131" s="420"/>
      <c r="V131" s="419"/>
      <c r="W131" s="420"/>
      <c r="Y131" s="419"/>
      <c r="Z131" s="420"/>
    </row>
    <row r="132" spans="2:27" ht="15" customHeight="1">
      <c r="C132" s="69">
        <f>SUM(C125:C131)</f>
        <v>10</v>
      </c>
      <c r="D132" s="423">
        <f>SUM(D125:D131)</f>
        <v>0.99999999999999989</v>
      </c>
      <c r="E132" s="420">
        <f>SUM(E125:E131)</f>
        <v>496</v>
      </c>
      <c r="F132" s="420">
        <f>SUM(F125:F131)</f>
        <v>496</v>
      </c>
      <c r="U132" s="69">
        <f t="shared" ref="U132:AA132" si="22">SUM(U125:U131)</f>
        <v>0</v>
      </c>
      <c r="V132" s="544"/>
      <c r="W132" s="420"/>
      <c r="X132" s="69">
        <f t="shared" si="22"/>
        <v>695</v>
      </c>
      <c r="Y132" s="544"/>
      <c r="Z132" s="420"/>
      <c r="AA132" s="420">
        <f t="shared" si="22"/>
        <v>0</v>
      </c>
    </row>
    <row r="133" spans="2:27" ht="15" customHeight="1">
      <c r="E133" s="421"/>
    </row>
    <row r="134" spans="2:27" ht="15" customHeight="1">
      <c r="B134" s="68" t="s">
        <v>357</v>
      </c>
      <c r="F134" s="69">
        <v>7571</v>
      </c>
      <c r="I134" s="69">
        <v>10005</v>
      </c>
      <c r="L134" s="69">
        <v>6610</v>
      </c>
      <c r="O134" s="69">
        <v>2762</v>
      </c>
    </row>
    <row r="135" spans="2:27" ht="15" customHeight="1">
      <c r="B135" s="71" t="s">
        <v>4</v>
      </c>
      <c r="C135" s="422">
        <v>2759</v>
      </c>
      <c r="D135" s="419">
        <f>+C135/$C$142</f>
        <v>0.14780885031608271</v>
      </c>
      <c r="F135" s="420">
        <f>+$F$134*D135</f>
        <v>1119.0608057430622</v>
      </c>
      <c r="G135" s="69">
        <v>1119</v>
      </c>
      <c r="I135" s="420">
        <f>+$I$134*D135</f>
        <v>1478.8275474124075</v>
      </c>
      <c r="J135" s="69">
        <v>1479</v>
      </c>
      <c r="L135" s="420">
        <f>+$L$134*D135</f>
        <v>977.0165005893067</v>
      </c>
      <c r="M135" s="69">
        <v>977</v>
      </c>
      <c r="O135" s="420">
        <f>+$O$134*D145</f>
        <v>471.76115891784804</v>
      </c>
      <c r="P135" s="69">
        <v>472</v>
      </c>
      <c r="R135" s="69">
        <v>2821</v>
      </c>
    </row>
    <row r="136" spans="2:27" ht="15" customHeight="1">
      <c r="B136" s="71" t="s">
        <v>6</v>
      </c>
      <c r="C136" s="422">
        <v>1255</v>
      </c>
      <c r="D136" s="419">
        <f t="shared" ref="D136:D141" si="23">+C136/$C$142</f>
        <v>6.7234544090860382E-2</v>
      </c>
      <c r="F136" s="420">
        <f t="shared" ref="F136:F141" si="24">+$F$134*D136</f>
        <v>509.03273331190394</v>
      </c>
      <c r="G136" s="69">
        <v>509</v>
      </c>
      <c r="I136" s="420">
        <f t="shared" ref="I136:I141" si="25">+$I$134*D136</f>
        <v>672.68161362905812</v>
      </c>
      <c r="J136" s="69">
        <v>673</v>
      </c>
      <c r="L136" s="420">
        <f t="shared" ref="L136:L141" si="26">+$L$134*D136</f>
        <v>444.42033644058711</v>
      </c>
      <c r="M136" s="69">
        <v>444</v>
      </c>
      <c r="O136" s="420">
        <f t="shared" ref="O136:O140" si="27">+$O$134*D146</f>
        <v>214.59233578901751</v>
      </c>
      <c r="P136" s="69">
        <v>215</v>
      </c>
    </row>
    <row r="137" spans="2:27" ht="15" customHeight="1">
      <c r="B137" s="71" t="s">
        <v>7</v>
      </c>
      <c r="C137" s="422">
        <v>1080</v>
      </c>
      <c r="D137" s="419">
        <f t="shared" si="23"/>
        <v>5.7859209257473482E-2</v>
      </c>
      <c r="F137" s="420">
        <f t="shared" si="24"/>
        <v>438.05207328833171</v>
      </c>
      <c r="G137" s="69">
        <v>438</v>
      </c>
      <c r="I137" s="420">
        <f t="shared" si="25"/>
        <v>578.88138862102221</v>
      </c>
      <c r="J137" s="69">
        <v>579</v>
      </c>
      <c r="L137" s="420">
        <f t="shared" si="26"/>
        <v>382.44937319189972</v>
      </c>
      <c r="M137" s="69">
        <v>382</v>
      </c>
      <c r="O137" s="420">
        <f t="shared" si="27"/>
        <v>184.66910171485173</v>
      </c>
      <c r="P137" s="69">
        <v>185</v>
      </c>
    </row>
    <row r="138" spans="2:27" ht="15" customHeight="1">
      <c r="B138" s="71" t="s">
        <v>8</v>
      </c>
      <c r="C138" s="422">
        <v>5635</v>
      </c>
      <c r="D138" s="419">
        <f t="shared" si="23"/>
        <v>0.30188578163505841</v>
      </c>
      <c r="F138" s="420">
        <f t="shared" si="24"/>
        <v>2285.577252759027</v>
      </c>
      <c r="G138" s="69">
        <v>2286</v>
      </c>
      <c r="I138" s="420">
        <f t="shared" si="25"/>
        <v>3020.3672452587593</v>
      </c>
      <c r="J138" s="69">
        <v>3020</v>
      </c>
      <c r="L138" s="420">
        <f t="shared" si="26"/>
        <v>1995.4650166077361</v>
      </c>
      <c r="M138" s="69">
        <v>1996</v>
      </c>
      <c r="O138" s="420">
        <f t="shared" si="27"/>
        <v>963.52813718813832</v>
      </c>
      <c r="P138" s="69">
        <v>963</v>
      </c>
    </row>
    <row r="139" spans="2:27" ht="15" customHeight="1">
      <c r="B139" s="71" t="s">
        <v>9</v>
      </c>
      <c r="C139" s="422">
        <v>3371</v>
      </c>
      <c r="D139" s="419">
        <f t="shared" si="23"/>
        <v>0.18059573556198436</v>
      </c>
      <c r="F139" s="420">
        <f t="shared" si="24"/>
        <v>1367.2903139397836</v>
      </c>
      <c r="G139" s="69">
        <v>1367</v>
      </c>
      <c r="I139" s="420">
        <f t="shared" si="25"/>
        <v>1806.8603342976535</v>
      </c>
      <c r="J139" s="69">
        <v>1807</v>
      </c>
      <c r="L139" s="420">
        <f t="shared" si="26"/>
        <v>1193.7378120647165</v>
      </c>
      <c r="M139" s="69">
        <v>1194</v>
      </c>
      <c r="O139" s="420">
        <f t="shared" si="27"/>
        <v>576.40698322293076</v>
      </c>
      <c r="P139" s="69">
        <v>576</v>
      </c>
    </row>
    <row r="140" spans="2:27" ht="15" customHeight="1">
      <c r="B140" s="71" t="s">
        <v>10</v>
      </c>
      <c r="C140" s="422">
        <v>2053</v>
      </c>
      <c r="D140" s="419">
        <f t="shared" si="23"/>
        <v>0.10998607093110468</v>
      </c>
      <c r="E140" s="8"/>
      <c r="F140" s="420">
        <f t="shared" si="24"/>
        <v>832.70454301939355</v>
      </c>
      <c r="G140" s="69">
        <v>833</v>
      </c>
      <c r="I140" s="420">
        <f t="shared" si="25"/>
        <v>1100.4106396657023</v>
      </c>
      <c r="J140" s="69">
        <v>1100</v>
      </c>
      <c r="L140" s="420">
        <f t="shared" si="26"/>
        <v>727.00792885460191</v>
      </c>
      <c r="M140" s="69">
        <v>727</v>
      </c>
      <c r="O140" s="420">
        <f t="shared" si="27"/>
        <v>351.04228316721355</v>
      </c>
      <c r="P140" s="69">
        <v>351</v>
      </c>
    </row>
    <row r="141" spans="2:27" ht="15" customHeight="1">
      <c r="B141" s="71" t="s">
        <v>343</v>
      </c>
      <c r="C141" s="422">
        <v>2513</v>
      </c>
      <c r="D141" s="419">
        <f t="shared" si="23"/>
        <v>0.13462980820743597</v>
      </c>
      <c r="E141" s="8"/>
      <c r="F141" s="420">
        <f t="shared" si="24"/>
        <v>1019.2822779384977</v>
      </c>
      <c r="G141" s="69">
        <v>1019</v>
      </c>
      <c r="I141" s="420">
        <f t="shared" si="25"/>
        <v>1346.9712311153969</v>
      </c>
      <c r="J141" s="69">
        <v>1347</v>
      </c>
      <c r="L141" s="420">
        <f t="shared" si="26"/>
        <v>889.90303225115179</v>
      </c>
      <c r="M141" s="69">
        <v>890</v>
      </c>
      <c r="O141" s="420"/>
    </row>
    <row r="142" spans="2:27" ht="15" customHeight="1">
      <c r="B142" s="71"/>
      <c r="C142" s="49">
        <f>SUM(C135:C141)</f>
        <v>18666</v>
      </c>
      <c r="D142" s="423">
        <f>SUM(D135:D141)</f>
        <v>1</v>
      </c>
      <c r="E142" s="8"/>
      <c r="F142" s="420">
        <f>SUM(F135:F141)</f>
        <v>7571.0000000000009</v>
      </c>
      <c r="G142" s="420">
        <f>SUM(G135:G141)</f>
        <v>7571</v>
      </c>
      <c r="I142" s="420">
        <f>SUM(I135:I141)</f>
        <v>10005</v>
      </c>
      <c r="J142" s="420">
        <f>SUM(J135:J141)</f>
        <v>10005</v>
      </c>
      <c r="L142" s="420">
        <f>SUM(L135:L141)</f>
        <v>6610</v>
      </c>
      <c r="M142" s="420">
        <f>SUM(M135:M141)</f>
        <v>6610</v>
      </c>
      <c r="O142" s="420">
        <f>SUM(O135:O141)</f>
        <v>2762</v>
      </c>
      <c r="P142" s="420">
        <f>SUM(P135:P141)</f>
        <v>2762</v>
      </c>
    </row>
    <row r="144" spans="2:27" ht="15" customHeight="1">
      <c r="B144" s="68" t="s">
        <v>357</v>
      </c>
    </row>
    <row r="145" spans="2:7" ht="15" customHeight="1">
      <c r="B145" s="71" t="s">
        <v>4</v>
      </c>
      <c r="C145" s="422">
        <v>2759</v>
      </c>
      <c r="D145" s="419">
        <f>+C145/$C$151</f>
        <v>0.17080418498111805</v>
      </c>
    </row>
    <row r="146" spans="2:7" ht="15" customHeight="1">
      <c r="B146" s="71" t="s">
        <v>6</v>
      </c>
      <c r="C146" s="422">
        <v>1255</v>
      </c>
      <c r="D146" s="419">
        <f t="shared" ref="D146:D150" si="28">+C146/$C$151</f>
        <v>7.7694545904785486E-2</v>
      </c>
      <c r="F146" s="530"/>
      <c r="G146" s="530"/>
    </row>
    <row r="147" spans="2:7" ht="15" customHeight="1">
      <c r="B147" s="71" t="s">
        <v>7</v>
      </c>
      <c r="C147" s="422">
        <v>1080</v>
      </c>
      <c r="D147" s="419">
        <f t="shared" si="28"/>
        <v>6.6860645081409029E-2</v>
      </c>
      <c r="F147" s="531"/>
      <c r="G147" s="531"/>
    </row>
    <row r="148" spans="2:7" ht="15" customHeight="1">
      <c r="B148" s="71" t="s">
        <v>8</v>
      </c>
      <c r="C148" s="422">
        <v>5635</v>
      </c>
      <c r="D148" s="419">
        <f t="shared" si="28"/>
        <v>0.34885160651272207</v>
      </c>
      <c r="F148" s="530"/>
      <c r="G148" s="530"/>
    </row>
    <row r="149" spans="2:7" ht="15" customHeight="1">
      <c r="B149" s="71" t="s">
        <v>9</v>
      </c>
      <c r="C149" s="422">
        <v>3371</v>
      </c>
      <c r="D149" s="419">
        <f t="shared" si="28"/>
        <v>0.20869188386058318</v>
      </c>
      <c r="F149" s="531"/>
      <c r="G149" s="531"/>
    </row>
    <row r="150" spans="2:7" ht="15" customHeight="1">
      <c r="B150" s="71" t="s">
        <v>10</v>
      </c>
      <c r="C150" s="422">
        <v>2053</v>
      </c>
      <c r="D150" s="419">
        <f t="shared" si="28"/>
        <v>0.12709713365938216</v>
      </c>
      <c r="F150" s="530"/>
      <c r="G150" s="530"/>
    </row>
    <row r="151" spans="2:7" ht="15" customHeight="1">
      <c r="B151" s="71"/>
      <c r="C151" s="49">
        <f>SUM(C145:C150)</f>
        <v>16153</v>
      </c>
      <c r="D151" s="423">
        <f>SUM(D145:D150)</f>
        <v>0.99999999999999989</v>
      </c>
      <c r="F151" s="531"/>
      <c r="G151" s="531"/>
    </row>
    <row r="152" spans="2:7" ht="15" customHeight="1">
      <c r="F152" s="530"/>
      <c r="G152" s="530"/>
    </row>
    <row r="153" spans="2:7" ht="15" customHeight="1">
      <c r="F153" s="531"/>
      <c r="G153" s="531"/>
    </row>
    <row r="154" spans="2:7" ht="15" customHeight="1">
      <c r="F154" s="530"/>
      <c r="G154" s="530"/>
    </row>
    <row r="155" spans="2:7" ht="15" customHeight="1">
      <c r="F155" s="531"/>
      <c r="G155" s="531"/>
    </row>
    <row r="156" spans="2:7" ht="15" customHeight="1">
      <c r="F156" s="530"/>
      <c r="G156" s="530"/>
    </row>
    <row r="157" spans="2:7" ht="15" customHeight="1">
      <c r="F157" s="531"/>
      <c r="G157" s="531"/>
    </row>
    <row r="158" spans="2:7" ht="15" customHeight="1">
      <c r="F158" s="530"/>
      <c r="G158" s="530"/>
    </row>
    <row r="159" spans="2:7" ht="15" customHeight="1">
      <c r="F159" s="531"/>
      <c r="G159" s="531"/>
    </row>
    <row r="160" spans="2:7" ht="15" customHeight="1">
      <c r="F160" s="530"/>
      <c r="G160" s="530"/>
    </row>
  </sheetData>
  <mergeCells count="14">
    <mergeCell ref="A116:B116"/>
    <mergeCell ref="A114:B114"/>
    <mergeCell ref="O1:Q1"/>
    <mergeCell ref="I1:K1"/>
    <mergeCell ref="AA1:AC1"/>
    <mergeCell ref="R1:T1"/>
    <mergeCell ref="X1:Z1"/>
    <mergeCell ref="L1:N1"/>
    <mergeCell ref="A1:A2"/>
    <mergeCell ref="B1:B2"/>
    <mergeCell ref="A40:B40"/>
    <mergeCell ref="F1:H1"/>
    <mergeCell ref="C1:E1"/>
    <mergeCell ref="U1:W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60" orientation="landscape" r:id="rId1"/>
  <headerFooter alignWithMargins="0">
    <oddHeader>&amp;L&amp;"Times New Roman,Félkövér"&amp;13Szent László Völgye TKT&amp;C&amp;"Times New Roman,Félkövér"&amp;14
&amp;16 2016. ÉVI KÖLTSÉGVETÉS&amp;14
&amp;R3. sz. táblázat
SEGÍTŐ SZOLGÁLAT
Adatok: eFt</oddHeader>
    <oddFooter>&amp;L&amp;F&amp;R&amp;P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T126"/>
  <sheetViews>
    <sheetView zoomScaleSheetLayoutView="70" workbookViewId="0">
      <pane xSplit="2" ySplit="2" topLeftCell="C3" activePane="bottomRight" state="frozen"/>
      <selection activeCell="C21" sqref="C21"/>
      <selection pane="topRight" activeCell="C21" sqref="C21"/>
      <selection pane="bottomLeft" activeCell="C21" sqref="C21"/>
      <selection pane="bottomRight" activeCell="B25" sqref="B25"/>
    </sheetView>
  </sheetViews>
  <sheetFormatPr defaultColWidth="8.85546875" defaultRowHeight="12.75"/>
  <cols>
    <col min="1" max="1" width="6.28515625" style="8" customWidth="1"/>
    <col min="2" max="2" width="60.7109375" style="68" customWidth="1"/>
    <col min="3" max="8" width="10.7109375" style="69" customWidth="1"/>
    <col min="9" max="14" width="10.7109375" style="70" customWidth="1"/>
    <col min="15" max="17" width="10.7109375" style="69" customWidth="1"/>
    <col min="18" max="20" width="10.7109375" style="70" customWidth="1"/>
    <col min="21" max="21" width="8.85546875" style="8"/>
    <col min="22" max="22" width="40.7109375" style="8" customWidth="1"/>
    <col min="23" max="16384" width="8.85546875" style="8"/>
  </cols>
  <sheetData>
    <row r="1" spans="1:20" s="9" customFormat="1" ht="33" customHeight="1">
      <c r="A1" s="905" t="s">
        <v>179</v>
      </c>
      <c r="B1" s="907" t="s">
        <v>204</v>
      </c>
      <c r="C1" s="939" t="s">
        <v>338</v>
      </c>
      <c r="D1" s="940"/>
      <c r="E1" s="941"/>
      <c r="F1" s="939" t="s">
        <v>339</v>
      </c>
      <c r="G1" s="940"/>
      <c r="H1" s="941"/>
      <c r="I1" s="940" t="s">
        <v>16</v>
      </c>
      <c r="J1" s="940"/>
      <c r="K1" s="940"/>
      <c r="L1" s="939" t="s">
        <v>340</v>
      </c>
      <c r="M1" s="940"/>
      <c r="N1" s="941"/>
      <c r="O1" s="940" t="s">
        <v>17</v>
      </c>
      <c r="P1" s="940"/>
      <c r="Q1" s="940"/>
      <c r="R1" s="939" t="s">
        <v>344</v>
      </c>
      <c r="S1" s="940"/>
      <c r="T1" s="941"/>
    </row>
    <row r="2" spans="1:20" s="9" customFormat="1" ht="27" customHeight="1">
      <c r="A2" s="906"/>
      <c r="B2" s="908"/>
      <c r="C2" s="197" t="s">
        <v>117</v>
      </c>
      <c r="D2" s="198" t="s">
        <v>118</v>
      </c>
      <c r="E2" s="192" t="s">
        <v>139</v>
      </c>
      <c r="F2" s="197" t="s">
        <v>117</v>
      </c>
      <c r="G2" s="198" t="s">
        <v>118</v>
      </c>
      <c r="H2" s="192" t="s">
        <v>139</v>
      </c>
      <c r="I2" s="316" t="s">
        <v>117</v>
      </c>
      <c r="J2" s="198" t="s">
        <v>118</v>
      </c>
      <c r="K2" s="317" t="s">
        <v>139</v>
      </c>
      <c r="L2" s="197" t="s">
        <v>117</v>
      </c>
      <c r="M2" s="198" t="s">
        <v>118</v>
      </c>
      <c r="N2" s="192" t="s">
        <v>139</v>
      </c>
      <c r="O2" s="316" t="s">
        <v>117</v>
      </c>
      <c r="P2" s="198" t="s">
        <v>118</v>
      </c>
      <c r="Q2" s="317" t="s">
        <v>139</v>
      </c>
      <c r="R2" s="197" t="s">
        <v>117</v>
      </c>
      <c r="S2" s="198" t="s">
        <v>118</v>
      </c>
      <c r="T2" s="192" t="s">
        <v>139</v>
      </c>
    </row>
    <row r="3" spans="1:20" ht="13.5" customHeight="1">
      <c r="A3" s="212" t="s">
        <v>180</v>
      </c>
      <c r="B3" s="223" t="s">
        <v>140</v>
      </c>
      <c r="C3" s="269"/>
      <c r="D3" s="263"/>
      <c r="E3" s="270"/>
      <c r="F3" s="269"/>
      <c r="G3" s="263"/>
      <c r="H3" s="270"/>
      <c r="I3" s="262"/>
      <c r="J3" s="263"/>
      <c r="K3" s="264"/>
      <c r="L3" s="269"/>
      <c r="M3" s="263"/>
      <c r="N3" s="318"/>
      <c r="O3" s="262"/>
      <c r="P3" s="263"/>
      <c r="Q3" s="264"/>
      <c r="R3" s="269"/>
      <c r="S3" s="263"/>
      <c r="T3" s="318"/>
    </row>
    <row r="4" spans="1:20" ht="13.5" customHeight="1">
      <c r="A4" s="200" t="s">
        <v>181</v>
      </c>
      <c r="B4" s="221" t="s">
        <v>141</v>
      </c>
      <c r="C4" s="260"/>
      <c r="D4" s="250"/>
      <c r="E4" s="251"/>
      <c r="F4" s="260"/>
      <c r="G4" s="250"/>
      <c r="H4" s="251"/>
      <c r="I4" s="252"/>
      <c r="J4" s="250"/>
      <c r="K4" s="255"/>
      <c r="L4" s="260"/>
      <c r="M4" s="250"/>
      <c r="N4" s="319"/>
      <c r="O4" s="252"/>
      <c r="P4" s="250"/>
      <c r="Q4" s="255"/>
      <c r="R4" s="260"/>
      <c r="S4" s="250"/>
      <c r="T4" s="319"/>
    </row>
    <row r="5" spans="1:20" ht="13.5" customHeight="1">
      <c r="A5" s="202"/>
      <c r="B5" s="532" t="s">
        <v>142</v>
      </c>
      <c r="C5" s="260"/>
      <c r="D5" s="250"/>
      <c r="E5" s="251"/>
      <c r="F5" s="260"/>
      <c r="G5" s="250"/>
      <c r="H5" s="251"/>
      <c r="I5" s="252"/>
      <c r="J5" s="250"/>
      <c r="K5" s="255"/>
      <c r="L5" s="260"/>
      <c r="M5" s="250"/>
      <c r="N5" s="319"/>
      <c r="O5" s="252"/>
      <c r="P5" s="250"/>
      <c r="Q5" s="255"/>
      <c r="R5" s="260"/>
      <c r="S5" s="250"/>
      <c r="T5" s="319"/>
    </row>
    <row r="6" spans="1:20" ht="13.5" customHeight="1">
      <c r="A6" s="211"/>
      <c r="B6" s="533" t="s">
        <v>143</v>
      </c>
      <c r="C6" s="286"/>
      <c r="D6" s="280"/>
      <c r="E6" s="287"/>
      <c r="F6" s="286"/>
      <c r="G6" s="280"/>
      <c r="H6" s="287"/>
      <c r="I6" s="279"/>
      <c r="J6" s="280"/>
      <c r="K6" s="281"/>
      <c r="L6" s="286"/>
      <c r="M6" s="280"/>
      <c r="N6" s="320"/>
      <c r="O6" s="279"/>
      <c r="P6" s="280"/>
      <c r="Q6" s="281"/>
      <c r="R6" s="286"/>
      <c r="S6" s="280"/>
      <c r="T6" s="320"/>
    </row>
    <row r="7" spans="1:20" s="407" customFormat="1" ht="13.5" customHeight="1">
      <c r="A7" s="190" t="s">
        <v>182</v>
      </c>
      <c r="B7" s="185" t="s">
        <v>144</v>
      </c>
      <c r="C7" s="365">
        <f>SUM(C3:C4)</f>
        <v>0</v>
      </c>
      <c r="D7" s="371"/>
      <c r="E7" s="372"/>
      <c r="F7" s="365">
        <f>SUM(F3:F4)</f>
        <v>0</v>
      </c>
      <c r="G7" s="371"/>
      <c r="H7" s="372"/>
      <c r="I7" s="365">
        <f>SUM(I3:I4)</f>
        <v>0</v>
      </c>
      <c r="J7" s="371"/>
      <c r="K7" s="374"/>
      <c r="L7" s="365">
        <f>SUM(L3:L4)</f>
        <v>0</v>
      </c>
      <c r="M7" s="371"/>
      <c r="N7" s="375"/>
      <c r="O7" s="365">
        <f>SUM(O3:O4)</f>
        <v>0</v>
      </c>
      <c r="P7" s="371"/>
      <c r="Q7" s="374"/>
      <c r="R7" s="365">
        <f>SUM(R3:R4)</f>
        <v>0</v>
      </c>
      <c r="S7" s="371"/>
      <c r="T7" s="375"/>
    </row>
    <row r="8" spans="1:20" ht="13.5" customHeight="1">
      <c r="A8" s="212" t="s">
        <v>183</v>
      </c>
      <c r="B8" s="223" t="s">
        <v>178</v>
      </c>
      <c r="C8" s="269"/>
      <c r="D8" s="263"/>
      <c r="E8" s="270"/>
      <c r="F8" s="269"/>
      <c r="G8" s="263"/>
      <c r="H8" s="270"/>
      <c r="I8" s="269"/>
      <c r="J8" s="263"/>
      <c r="K8" s="264"/>
      <c r="L8" s="269"/>
      <c r="M8" s="263"/>
      <c r="N8" s="318"/>
      <c r="O8" s="269"/>
      <c r="P8" s="263"/>
      <c r="Q8" s="264"/>
      <c r="R8" s="269"/>
      <c r="S8" s="263"/>
      <c r="T8" s="318"/>
    </row>
    <row r="9" spans="1:20" ht="13.5" customHeight="1">
      <c r="A9" s="200" t="s">
        <v>184</v>
      </c>
      <c r="B9" s="221" t="s">
        <v>145</v>
      </c>
      <c r="C9" s="260"/>
      <c r="D9" s="250"/>
      <c r="E9" s="251"/>
      <c r="F9" s="260"/>
      <c r="G9" s="250"/>
      <c r="H9" s="251"/>
      <c r="I9" s="260"/>
      <c r="J9" s="250"/>
      <c r="K9" s="255"/>
      <c r="L9" s="260"/>
      <c r="M9" s="250"/>
      <c r="N9" s="319"/>
      <c r="O9" s="260"/>
      <c r="P9" s="250"/>
      <c r="Q9" s="255"/>
      <c r="R9" s="260"/>
      <c r="S9" s="250"/>
      <c r="T9" s="319"/>
    </row>
    <row r="10" spans="1:20" s="352" customFormat="1" ht="13.5" customHeight="1">
      <c r="A10" s="211"/>
      <c r="B10" s="533" t="s">
        <v>143</v>
      </c>
      <c r="C10" s="366"/>
      <c r="D10" s="367"/>
      <c r="E10" s="368"/>
      <c r="F10" s="366"/>
      <c r="G10" s="367"/>
      <c r="H10" s="368"/>
      <c r="I10" s="366"/>
      <c r="J10" s="367"/>
      <c r="K10" s="369"/>
      <c r="L10" s="366"/>
      <c r="M10" s="367"/>
      <c r="N10" s="370"/>
      <c r="O10" s="366"/>
      <c r="P10" s="367"/>
      <c r="Q10" s="369"/>
      <c r="R10" s="366"/>
      <c r="S10" s="367"/>
      <c r="T10" s="370"/>
    </row>
    <row r="11" spans="1:20" s="407" customFormat="1" ht="13.5" customHeight="1">
      <c r="A11" s="190" t="s">
        <v>185</v>
      </c>
      <c r="B11" s="185" t="s">
        <v>146</v>
      </c>
      <c r="C11" s="365">
        <f>SUM(C8:C9)</f>
        <v>0</v>
      </c>
      <c r="D11" s="371"/>
      <c r="E11" s="372"/>
      <c r="F11" s="365">
        <f>SUM(F8:F9)</f>
        <v>0</v>
      </c>
      <c r="G11" s="371"/>
      <c r="H11" s="372"/>
      <c r="I11" s="365">
        <f>SUM(I8:I9)</f>
        <v>0</v>
      </c>
      <c r="J11" s="371"/>
      <c r="K11" s="374"/>
      <c r="L11" s="365">
        <f>SUM(L8:L9)</f>
        <v>0</v>
      </c>
      <c r="M11" s="371"/>
      <c r="N11" s="375"/>
      <c r="O11" s="365">
        <f>SUM(O8:O9)</f>
        <v>0</v>
      </c>
      <c r="P11" s="371"/>
      <c r="Q11" s="374"/>
      <c r="R11" s="365">
        <f>SUM(R8:R9)</f>
        <v>0</v>
      </c>
      <c r="S11" s="371"/>
      <c r="T11" s="375"/>
    </row>
    <row r="12" spans="1:20" ht="13.5" customHeight="1">
      <c r="A12" s="212" t="s">
        <v>186</v>
      </c>
      <c r="B12" s="223" t="s">
        <v>147</v>
      </c>
      <c r="C12" s="269"/>
      <c r="D12" s="263"/>
      <c r="E12" s="270"/>
      <c r="F12" s="269"/>
      <c r="G12" s="263"/>
      <c r="H12" s="270"/>
      <c r="I12" s="269"/>
      <c r="J12" s="263"/>
      <c r="K12" s="264"/>
      <c r="L12" s="269"/>
      <c r="M12" s="263"/>
      <c r="N12" s="318"/>
      <c r="O12" s="269"/>
      <c r="P12" s="263"/>
      <c r="Q12" s="264"/>
      <c r="R12" s="269"/>
      <c r="S12" s="263"/>
      <c r="T12" s="318"/>
    </row>
    <row r="13" spans="1:20" ht="13.5" customHeight="1">
      <c r="A13" s="200" t="s">
        <v>187</v>
      </c>
      <c r="B13" s="221" t="s">
        <v>148</v>
      </c>
      <c r="C13" s="260"/>
      <c r="D13" s="250"/>
      <c r="E13" s="251"/>
      <c r="F13" s="260"/>
      <c r="G13" s="250"/>
      <c r="H13" s="251"/>
      <c r="I13" s="260"/>
      <c r="J13" s="250"/>
      <c r="K13" s="255"/>
      <c r="L13" s="260"/>
      <c r="M13" s="250"/>
      <c r="N13" s="319"/>
      <c r="O13" s="260"/>
      <c r="P13" s="250"/>
      <c r="Q13" s="255"/>
      <c r="R13" s="260"/>
      <c r="S13" s="250"/>
      <c r="T13" s="319"/>
    </row>
    <row r="14" spans="1:20" ht="13.5" customHeight="1">
      <c r="A14" s="200" t="s">
        <v>188</v>
      </c>
      <c r="B14" s="221" t="s">
        <v>149</v>
      </c>
      <c r="C14" s="260"/>
      <c r="D14" s="250"/>
      <c r="E14" s="251"/>
      <c r="F14" s="260"/>
      <c r="G14" s="250"/>
      <c r="H14" s="251"/>
      <c r="I14" s="260"/>
      <c r="J14" s="250"/>
      <c r="K14" s="255"/>
      <c r="L14" s="260"/>
      <c r="M14" s="250"/>
      <c r="N14" s="319"/>
      <c r="O14" s="260"/>
      <c r="P14" s="250"/>
      <c r="Q14" s="255"/>
      <c r="R14" s="260"/>
      <c r="S14" s="250"/>
      <c r="T14" s="319"/>
    </row>
    <row r="15" spans="1:20" ht="13.5" customHeight="1">
      <c r="A15" s="200" t="s">
        <v>189</v>
      </c>
      <c r="B15" s="221" t="s">
        <v>150</v>
      </c>
      <c r="C15" s="260"/>
      <c r="D15" s="250"/>
      <c r="E15" s="251"/>
      <c r="F15" s="260"/>
      <c r="G15" s="250"/>
      <c r="H15" s="251"/>
      <c r="I15" s="260"/>
      <c r="J15" s="250"/>
      <c r="K15" s="255"/>
      <c r="L15" s="260"/>
      <c r="M15" s="250"/>
      <c r="N15" s="319"/>
      <c r="O15" s="260"/>
      <c r="P15" s="250"/>
      <c r="Q15" s="255"/>
      <c r="R15" s="260"/>
      <c r="S15" s="250"/>
      <c r="T15" s="319"/>
    </row>
    <row r="16" spans="1:20" ht="13.5" customHeight="1">
      <c r="A16" s="200" t="s">
        <v>190</v>
      </c>
      <c r="B16" s="221" t="s">
        <v>151</v>
      </c>
      <c r="C16" s="260"/>
      <c r="D16" s="250"/>
      <c r="E16" s="251"/>
      <c r="F16" s="260"/>
      <c r="G16" s="250"/>
      <c r="H16" s="251"/>
      <c r="I16" s="260"/>
      <c r="J16" s="250"/>
      <c r="K16" s="255"/>
      <c r="L16" s="260"/>
      <c r="M16" s="250"/>
      <c r="N16" s="319"/>
      <c r="O16" s="260"/>
      <c r="P16" s="250"/>
      <c r="Q16" s="255"/>
      <c r="R16" s="260">
        <f>+C16+F16+I16+L16+O16</f>
        <v>0</v>
      </c>
      <c r="S16" s="250"/>
      <c r="T16" s="319"/>
    </row>
    <row r="17" spans="1:20" ht="13.5" customHeight="1">
      <c r="A17" s="200" t="s">
        <v>191</v>
      </c>
      <c r="B17" s="221" t="s">
        <v>152</v>
      </c>
      <c r="C17" s="260"/>
      <c r="D17" s="250"/>
      <c r="E17" s="251"/>
      <c r="F17" s="260"/>
      <c r="G17" s="250"/>
      <c r="H17" s="251"/>
      <c r="I17" s="260"/>
      <c r="J17" s="250"/>
      <c r="K17" s="255"/>
      <c r="L17" s="260"/>
      <c r="M17" s="250"/>
      <c r="N17" s="319"/>
      <c r="O17" s="260"/>
      <c r="P17" s="250"/>
      <c r="Q17" s="255"/>
      <c r="R17" s="260"/>
      <c r="S17" s="250"/>
      <c r="T17" s="319"/>
    </row>
    <row r="18" spans="1:20" ht="13.5" customHeight="1">
      <c r="A18" s="200" t="s">
        <v>192</v>
      </c>
      <c r="B18" s="221" t="s">
        <v>153</v>
      </c>
      <c r="C18" s="260"/>
      <c r="D18" s="250"/>
      <c r="E18" s="251"/>
      <c r="F18" s="260"/>
      <c r="G18" s="250"/>
      <c r="H18" s="251"/>
      <c r="I18" s="260"/>
      <c r="J18" s="250"/>
      <c r="K18" s="255"/>
      <c r="L18" s="260"/>
      <c r="M18" s="250"/>
      <c r="N18" s="319"/>
      <c r="O18" s="260"/>
      <c r="P18" s="250"/>
      <c r="Q18" s="255"/>
      <c r="R18" s="260"/>
      <c r="S18" s="250"/>
      <c r="T18" s="319"/>
    </row>
    <row r="19" spans="1:20" ht="13.5" customHeight="1">
      <c r="A19" s="200" t="s">
        <v>193</v>
      </c>
      <c r="B19" s="221" t="s">
        <v>154</v>
      </c>
      <c r="C19" s="260"/>
      <c r="D19" s="250"/>
      <c r="E19" s="251"/>
      <c r="F19" s="260"/>
      <c r="G19" s="250"/>
      <c r="H19" s="251"/>
      <c r="I19" s="260"/>
      <c r="J19" s="250"/>
      <c r="K19" s="255"/>
      <c r="L19" s="260"/>
      <c r="M19" s="250"/>
      <c r="N19" s="319"/>
      <c r="O19" s="260"/>
      <c r="P19" s="250"/>
      <c r="Q19" s="255"/>
      <c r="R19" s="260"/>
      <c r="S19" s="250"/>
      <c r="T19" s="319"/>
    </row>
    <row r="20" spans="1:20" ht="13.5" customHeight="1">
      <c r="A20" s="214" t="s">
        <v>194</v>
      </c>
      <c r="B20" s="224" t="s">
        <v>155</v>
      </c>
      <c r="C20" s="286"/>
      <c r="D20" s="280"/>
      <c r="E20" s="287"/>
      <c r="F20" s="286"/>
      <c r="G20" s="280"/>
      <c r="H20" s="287"/>
      <c r="I20" s="286"/>
      <c r="J20" s="280"/>
      <c r="K20" s="281"/>
      <c r="L20" s="286"/>
      <c r="M20" s="280"/>
      <c r="N20" s="320"/>
      <c r="O20" s="286"/>
      <c r="P20" s="280"/>
      <c r="Q20" s="281"/>
      <c r="R20" s="286"/>
      <c r="S20" s="280"/>
      <c r="T20" s="320"/>
    </row>
    <row r="21" spans="1:20" s="407" customFormat="1" ht="13.5" customHeight="1">
      <c r="A21" s="190" t="s">
        <v>195</v>
      </c>
      <c r="B21" s="185" t="s">
        <v>156</v>
      </c>
      <c r="C21" s="365">
        <f>SUM(C12:C20)</f>
        <v>0</v>
      </c>
      <c r="D21" s="371"/>
      <c r="E21" s="372"/>
      <c r="F21" s="365">
        <f>SUM(F12:F20)</f>
        <v>0</v>
      </c>
      <c r="G21" s="371"/>
      <c r="H21" s="372"/>
      <c r="I21" s="365">
        <f>SUM(I12:I20)</f>
        <v>0</v>
      </c>
      <c r="J21" s="371"/>
      <c r="K21" s="374"/>
      <c r="L21" s="365">
        <f>SUM(L12:L20)</f>
        <v>0</v>
      </c>
      <c r="M21" s="371"/>
      <c r="N21" s="375"/>
      <c r="O21" s="365">
        <f>SUM(O12:O20)</f>
        <v>0</v>
      </c>
      <c r="P21" s="371"/>
      <c r="Q21" s="374"/>
      <c r="R21" s="365">
        <f>SUM(R12:R20)</f>
        <v>0</v>
      </c>
      <c r="S21" s="371"/>
      <c r="T21" s="375"/>
    </row>
    <row r="22" spans="1:20" s="407" customFormat="1" ht="13.5" customHeight="1">
      <c r="A22" s="190" t="s">
        <v>196</v>
      </c>
      <c r="B22" s="185" t="s">
        <v>157</v>
      </c>
      <c r="C22" s="365"/>
      <c r="D22" s="371"/>
      <c r="E22" s="372"/>
      <c r="F22" s="365"/>
      <c r="G22" s="371"/>
      <c r="H22" s="372"/>
      <c r="I22" s="365"/>
      <c r="J22" s="371"/>
      <c r="K22" s="374"/>
      <c r="L22" s="365"/>
      <c r="M22" s="371"/>
      <c r="N22" s="375"/>
      <c r="O22" s="365"/>
      <c r="P22" s="371"/>
      <c r="Q22" s="374"/>
      <c r="R22" s="365"/>
      <c r="S22" s="371"/>
      <c r="T22" s="375"/>
    </row>
    <row r="23" spans="1:20" ht="13.5" customHeight="1">
      <c r="A23" s="215" t="s">
        <v>197</v>
      </c>
      <c r="B23" s="225" t="s">
        <v>158</v>
      </c>
      <c r="C23" s="299"/>
      <c r="D23" s="293"/>
      <c r="E23" s="300"/>
      <c r="F23" s="299"/>
      <c r="G23" s="293"/>
      <c r="H23" s="300"/>
      <c r="I23" s="299"/>
      <c r="J23" s="293"/>
      <c r="K23" s="294"/>
      <c r="L23" s="299"/>
      <c r="M23" s="293"/>
      <c r="N23" s="321"/>
      <c r="O23" s="299"/>
      <c r="P23" s="293"/>
      <c r="Q23" s="294"/>
      <c r="R23" s="299"/>
      <c r="S23" s="293"/>
      <c r="T23" s="321"/>
    </row>
    <row r="24" spans="1:20" s="407" customFormat="1" ht="13.5" customHeight="1">
      <c r="A24" s="190" t="s">
        <v>198</v>
      </c>
      <c r="B24" s="185" t="s">
        <v>319</v>
      </c>
      <c r="C24" s="365">
        <f>+C23</f>
        <v>0</v>
      </c>
      <c r="D24" s="371"/>
      <c r="E24" s="372"/>
      <c r="F24" s="365">
        <f>+F23</f>
        <v>0</v>
      </c>
      <c r="G24" s="371"/>
      <c r="H24" s="372"/>
      <c r="I24" s="365">
        <f>+I23</f>
        <v>0</v>
      </c>
      <c r="J24" s="371"/>
      <c r="K24" s="374"/>
      <c r="L24" s="365">
        <f>+L23</f>
        <v>0</v>
      </c>
      <c r="M24" s="371"/>
      <c r="N24" s="375"/>
      <c r="O24" s="365">
        <f>+O23</f>
        <v>0</v>
      </c>
      <c r="P24" s="371"/>
      <c r="Q24" s="374"/>
      <c r="R24" s="365">
        <f>+R23</f>
        <v>0</v>
      </c>
      <c r="S24" s="371"/>
      <c r="T24" s="375"/>
    </row>
    <row r="25" spans="1:20" ht="13.5" customHeight="1">
      <c r="A25" s="215" t="s">
        <v>199</v>
      </c>
      <c r="B25" s="225" t="s">
        <v>159</v>
      </c>
      <c r="C25" s="299"/>
      <c r="D25" s="293"/>
      <c r="E25" s="300"/>
      <c r="F25" s="299"/>
      <c r="G25" s="293"/>
      <c r="H25" s="300"/>
      <c r="I25" s="299"/>
      <c r="J25" s="293"/>
      <c r="K25" s="294"/>
      <c r="L25" s="299"/>
      <c r="M25" s="293"/>
      <c r="N25" s="321"/>
      <c r="O25" s="299"/>
      <c r="P25" s="293"/>
      <c r="Q25" s="294"/>
      <c r="R25" s="299"/>
      <c r="S25" s="293"/>
      <c r="T25" s="321"/>
    </row>
    <row r="26" spans="1:20" s="407" customFormat="1" ht="13.5" customHeight="1">
      <c r="A26" s="190" t="s">
        <v>200</v>
      </c>
      <c r="B26" s="185" t="s">
        <v>320</v>
      </c>
      <c r="C26" s="365">
        <f>+C25</f>
        <v>0</v>
      </c>
      <c r="D26" s="371"/>
      <c r="E26" s="372"/>
      <c r="F26" s="365">
        <f>+F25</f>
        <v>0</v>
      </c>
      <c r="G26" s="371"/>
      <c r="H26" s="372"/>
      <c r="I26" s="365">
        <f>+I25</f>
        <v>0</v>
      </c>
      <c r="J26" s="371"/>
      <c r="K26" s="374"/>
      <c r="L26" s="365">
        <f>+L25</f>
        <v>0</v>
      </c>
      <c r="M26" s="371"/>
      <c r="N26" s="375"/>
      <c r="O26" s="365">
        <f>+O25</f>
        <v>0</v>
      </c>
      <c r="P26" s="371"/>
      <c r="Q26" s="374"/>
      <c r="R26" s="365">
        <f>+R25</f>
        <v>0</v>
      </c>
      <c r="S26" s="371"/>
      <c r="T26" s="375"/>
    </row>
    <row r="27" spans="1:20" s="407" customFormat="1" ht="13.5" customHeight="1">
      <c r="A27" s="190" t="s">
        <v>201</v>
      </c>
      <c r="B27" s="185" t="s">
        <v>160</v>
      </c>
      <c r="C27" s="365">
        <f>+C7+C11+C21+C22+C24+C26</f>
        <v>0</v>
      </c>
      <c r="D27" s="371"/>
      <c r="E27" s="372"/>
      <c r="F27" s="365">
        <f>+F7+F11+F21+F22+F24+F26</f>
        <v>0</v>
      </c>
      <c r="G27" s="371"/>
      <c r="H27" s="372"/>
      <c r="I27" s="365">
        <f>+I7+I11+I21+I22+I24+I26</f>
        <v>0</v>
      </c>
      <c r="J27" s="371"/>
      <c r="K27" s="374"/>
      <c r="L27" s="365">
        <f>+L7+L11+L21+L22+L24+L26</f>
        <v>0</v>
      </c>
      <c r="M27" s="371"/>
      <c r="N27" s="375"/>
      <c r="O27" s="365">
        <f>+O7+O11+O21+O22+O24+O26</f>
        <v>0</v>
      </c>
      <c r="P27" s="371"/>
      <c r="Q27" s="374"/>
      <c r="R27" s="365">
        <f>+R7+R11+R21+R22+R24+R26</f>
        <v>0</v>
      </c>
      <c r="S27" s="371"/>
      <c r="T27" s="375"/>
    </row>
    <row r="28" spans="1:20" s="407" customFormat="1" ht="13.5" customHeight="1">
      <c r="A28" s="301" t="s">
        <v>202</v>
      </c>
      <c r="B28" s="185" t="s">
        <v>161</v>
      </c>
      <c r="C28" s="365"/>
      <c r="D28" s="371"/>
      <c r="E28" s="372"/>
      <c r="F28" s="365"/>
      <c r="G28" s="371"/>
      <c r="H28" s="372"/>
      <c r="I28" s="365"/>
      <c r="J28" s="371"/>
      <c r="K28" s="374"/>
      <c r="L28" s="365"/>
      <c r="M28" s="371"/>
      <c r="N28" s="375"/>
      <c r="O28" s="365"/>
      <c r="P28" s="371"/>
      <c r="Q28" s="374"/>
      <c r="R28" s="260">
        <f>+C28+F28+I28+L28+O28</f>
        <v>0</v>
      </c>
      <c r="S28" s="371"/>
      <c r="T28" s="375"/>
    </row>
    <row r="29" spans="1:20" s="407" customFormat="1" ht="13.5" customHeight="1">
      <c r="A29" s="301" t="s">
        <v>317</v>
      </c>
      <c r="B29" s="185" t="s">
        <v>318</v>
      </c>
      <c r="C29" s="365">
        <f>+SUM(C30:C31)</f>
        <v>33688</v>
      </c>
      <c r="D29" s="371"/>
      <c r="E29" s="372"/>
      <c r="F29" s="365">
        <f>+SUM(F30:F31)</f>
        <v>53963</v>
      </c>
      <c r="G29" s="371"/>
      <c r="H29" s="372"/>
      <c r="I29" s="365">
        <f>+SUM(I30:I31)</f>
        <v>28489</v>
      </c>
      <c r="J29" s="371"/>
      <c r="K29" s="374"/>
      <c r="L29" s="365">
        <f>+SUM(L30:L31)</f>
        <v>50679</v>
      </c>
      <c r="M29" s="371"/>
      <c r="N29" s="375"/>
      <c r="O29" s="365">
        <f>+SUM(O30:O31)</f>
        <v>11045</v>
      </c>
      <c r="P29" s="371"/>
      <c r="Q29" s="374"/>
      <c r="R29" s="365">
        <f>+SUM(R30:R31)</f>
        <v>177864</v>
      </c>
      <c r="S29" s="371"/>
      <c r="T29" s="375"/>
    </row>
    <row r="30" spans="1:20" ht="13.5" customHeight="1">
      <c r="A30" s="340"/>
      <c r="B30" s="220" t="s">
        <v>341</v>
      </c>
      <c r="C30" s="337">
        <f>+'5.SZ.TÁBL. ÓVODAI NORMATÍVA'!C45</f>
        <v>27747</v>
      </c>
      <c r="D30" s="331"/>
      <c r="E30" s="338"/>
      <c r="F30" s="337">
        <f>+'5.SZ.TÁBL. ÓVODAI NORMATÍVA'!E45</f>
        <v>50466</v>
      </c>
      <c r="G30" s="331"/>
      <c r="H30" s="338"/>
      <c r="I30" s="330">
        <f>+'5.SZ.TÁBL. ÓVODAI NORMATÍVA'!G45</f>
        <v>25297</v>
      </c>
      <c r="J30" s="331"/>
      <c r="K30" s="332"/>
      <c r="L30" s="337">
        <f>+'5.SZ.TÁBL. ÓVODAI NORMATÍVA'!I45</f>
        <v>50679</v>
      </c>
      <c r="M30" s="331"/>
      <c r="N30" s="361"/>
      <c r="O30" s="330">
        <f>+'5.SZ.TÁBL. ÓVODAI NORMATÍVA'!K45</f>
        <v>5298</v>
      </c>
      <c r="P30" s="331"/>
      <c r="Q30" s="332"/>
      <c r="R30" s="337">
        <f t="shared" ref="R30:R34" si="0">+C30+F30+I30+L30+O30</f>
        <v>159487</v>
      </c>
      <c r="S30" s="331"/>
      <c r="T30" s="361"/>
    </row>
    <row r="31" spans="1:20" ht="13.5" customHeight="1">
      <c r="A31" s="341"/>
      <c r="B31" s="221" t="s">
        <v>342</v>
      </c>
      <c r="C31" s="260">
        <f>+SUM(C32:C34)</f>
        <v>5941</v>
      </c>
      <c r="D31" s="250"/>
      <c r="E31" s="251"/>
      <c r="F31" s="260">
        <f>+SUM(F32:F34)</f>
        <v>3497</v>
      </c>
      <c r="G31" s="250"/>
      <c r="H31" s="251"/>
      <c r="I31" s="260">
        <f>+SUM(I32:I34)</f>
        <v>3192</v>
      </c>
      <c r="J31" s="250"/>
      <c r="K31" s="255"/>
      <c r="L31" s="260">
        <f>+SUM(L32:L34)</f>
        <v>0</v>
      </c>
      <c r="M31" s="250"/>
      <c r="N31" s="319"/>
      <c r="O31" s="260">
        <f>+SUM(O32:O34)</f>
        <v>5747</v>
      </c>
      <c r="P31" s="250"/>
      <c r="Q31" s="255"/>
      <c r="R31" s="260">
        <f t="shared" si="0"/>
        <v>18377</v>
      </c>
      <c r="S31" s="250"/>
      <c r="T31" s="319"/>
    </row>
    <row r="32" spans="1:20" s="352" customFormat="1" ht="13.5" customHeight="1">
      <c r="A32" s="342"/>
      <c r="B32" s="532" t="s">
        <v>4</v>
      </c>
      <c r="C32" s="350">
        <f>+F122</f>
        <v>2376</v>
      </c>
      <c r="D32" s="344"/>
      <c r="E32" s="351"/>
      <c r="F32" s="350">
        <v>3497</v>
      </c>
      <c r="G32" s="344"/>
      <c r="H32" s="351"/>
      <c r="I32" s="343"/>
      <c r="J32" s="344"/>
      <c r="K32" s="345"/>
      <c r="L32" s="350"/>
      <c r="M32" s="344"/>
      <c r="N32" s="362"/>
      <c r="O32" s="343">
        <f>+Q122</f>
        <v>2299</v>
      </c>
      <c r="P32" s="344"/>
      <c r="Q32" s="345"/>
      <c r="R32" s="350">
        <f t="shared" si="0"/>
        <v>8172</v>
      </c>
      <c r="S32" s="344"/>
      <c r="T32" s="362"/>
    </row>
    <row r="33" spans="1:20" s="352" customFormat="1" ht="13.5" customHeight="1">
      <c r="A33" s="342"/>
      <c r="B33" s="532" t="s">
        <v>6</v>
      </c>
      <c r="C33" s="350">
        <f>+F123</f>
        <v>1189</v>
      </c>
      <c r="D33" s="344"/>
      <c r="E33" s="351"/>
      <c r="F33" s="350"/>
      <c r="G33" s="344"/>
      <c r="H33" s="351"/>
      <c r="I33" s="343">
        <v>3192</v>
      </c>
      <c r="J33" s="344"/>
      <c r="K33" s="345"/>
      <c r="L33" s="350"/>
      <c r="M33" s="344"/>
      <c r="N33" s="362"/>
      <c r="O33" s="343">
        <f>+Q123</f>
        <v>1149</v>
      </c>
      <c r="P33" s="344"/>
      <c r="Q33" s="345"/>
      <c r="R33" s="350">
        <f t="shared" si="0"/>
        <v>5530</v>
      </c>
      <c r="S33" s="344"/>
      <c r="T33" s="362"/>
    </row>
    <row r="34" spans="1:20" s="352" customFormat="1" ht="13.5" customHeight="1">
      <c r="A34" s="353"/>
      <c r="B34" s="534" t="s">
        <v>10</v>
      </c>
      <c r="C34" s="357">
        <f>+F124</f>
        <v>2376</v>
      </c>
      <c r="D34" s="355"/>
      <c r="E34" s="358"/>
      <c r="F34" s="357"/>
      <c r="G34" s="355"/>
      <c r="H34" s="358"/>
      <c r="I34" s="354"/>
      <c r="J34" s="355"/>
      <c r="K34" s="356"/>
      <c r="L34" s="357"/>
      <c r="M34" s="355"/>
      <c r="N34" s="364"/>
      <c r="O34" s="354">
        <f>+Q124</f>
        <v>2299</v>
      </c>
      <c r="P34" s="355"/>
      <c r="Q34" s="356"/>
      <c r="R34" s="357">
        <f t="shared" si="0"/>
        <v>4675</v>
      </c>
      <c r="S34" s="355"/>
      <c r="T34" s="364"/>
    </row>
    <row r="35" spans="1:20" s="407" customFormat="1" ht="13.5" customHeight="1" thickBot="1">
      <c r="A35" s="359" t="s">
        <v>203</v>
      </c>
      <c r="B35" s="360" t="s">
        <v>162</v>
      </c>
      <c r="C35" s="376">
        <f>SUM(C28:C29)</f>
        <v>33688</v>
      </c>
      <c r="D35" s="377"/>
      <c r="E35" s="378"/>
      <c r="F35" s="376">
        <f>SUM(F28:F29)</f>
        <v>53963</v>
      </c>
      <c r="G35" s="377"/>
      <c r="H35" s="378"/>
      <c r="I35" s="376">
        <f>SUM(I28:I29)</f>
        <v>28489</v>
      </c>
      <c r="J35" s="377"/>
      <c r="K35" s="379"/>
      <c r="L35" s="376">
        <f>SUM(L28:L29)</f>
        <v>50679</v>
      </c>
      <c r="M35" s="377"/>
      <c r="N35" s="380"/>
      <c r="O35" s="376">
        <f>SUM(O28:O29)</f>
        <v>11045</v>
      </c>
      <c r="P35" s="377"/>
      <c r="Q35" s="379"/>
      <c r="R35" s="376">
        <f>SUM(R28:R29)</f>
        <v>177864</v>
      </c>
      <c r="S35" s="377"/>
      <c r="T35" s="380"/>
    </row>
    <row r="36" spans="1:20" s="407" customFormat="1" ht="13.5" customHeight="1" thickBot="1">
      <c r="A36" s="899" t="s">
        <v>0</v>
      </c>
      <c r="B36" s="942"/>
      <c r="C36" s="381">
        <f>+C27+C35</f>
        <v>33688</v>
      </c>
      <c r="D36" s="382"/>
      <c r="E36" s="383"/>
      <c r="F36" s="381">
        <f>+F27+F35</f>
        <v>53963</v>
      </c>
      <c r="G36" s="382"/>
      <c r="H36" s="383"/>
      <c r="I36" s="381">
        <f>+I27+I35</f>
        <v>28489</v>
      </c>
      <c r="J36" s="382"/>
      <c r="K36" s="385"/>
      <c r="L36" s="381">
        <f>+L27+L35</f>
        <v>50679</v>
      </c>
      <c r="M36" s="382"/>
      <c r="N36" s="386"/>
      <c r="O36" s="381">
        <f>+O27+O35</f>
        <v>11045</v>
      </c>
      <c r="P36" s="382"/>
      <c r="Q36" s="385"/>
      <c r="R36" s="381">
        <f>+R27+R35</f>
        <v>177864</v>
      </c>
      <c r="S36" s="382"/>
      <c r="T36" s="386"/>
    </row>
    <row r="37" spans="1:20" ht="13.5" customHeight="1">
      <c r="A37" s="242" t="s">
        <v>221</v>
      </c>
      <c r="B37" s="309" t="s">
        <v>222</v>
      </c>
      <c r="C37" s="269">
        <f>+'[6]Óvoda össz'!$B16</f>
        <v>18252</v>
      </c>
      <c r="D37" s="263"/>
      <c r="E37" s="270"/>
      <c r="F37" s="269">
        <f>+'[6]Óvoda össz'!$C16</f>
        <v>34244</v>
      </c>
      <c r="G37" s="263"/>
      <c r="H37" s="270"/>
      <c r="I37" s="269">
        <f>+'[6]Óvoda össz'!$D16</f>
        <v>19558</v>
      </c>
      <c r="J37" s="263"/>
      <c r="K37" s="264"/>
      <c r="L37" s="269">
        <f>+'[6]Óvoda össz'!$E16</f>
        <v>30492</v>
      </c>
      <c r="M37" s="263"/>
      <c r="N37" s="318"/>
      <c r="O37" s="269">
        <f>+'[6]Óvoda össz'!$F16</f>
        <v>5801</v>
      </c>
      <c r="P37" s="263"/>
      <c r="Q37" s="264"/>
      <c r="R37" s="269">
        <f>+C37+F37+I37+L37+O37</f>
        <v>108347</v>
      </c>
      <c r="S37" s="263"/>
      <c r="T37" s="318"/>
    </row>
    <row r="38" spans="1:20" ht="13.5" customHeight="1">
      <c r="A38" s="243" t="s">
        <v>223</v>
      </c>
      <c r="B38" s="310" t="s">
        <v>224</v>
      </c>
      <c r="C38" s="269">
        <f>+'[6]Óvoda össz'!$B17</f>
        <v>0</v>
      </c>
      <c r="D38" s="250"/>
      <c r="E38" s="251"/>
      <c r="F38" s="269">
        <f>+'[6]Óvoda össz'!$C17</f>
        <v>0</v>
      </c>
      <c r="G38" s="250"/>
      <c r="H38" s="251"/>
      <c r="I38" s="269">
        <f>+'[6]Óvoda össz'!$D17</f>
        <v>0</v>
      </c>
      <c r="J38" s="250"/>
      <c r="K38" s="255"/>
      <c r="L38" s="269">
        <f>+'[6]Óvoda össz'!$E17</f>
        <v>0</v>
      </c>
      <c r="M38" s="250"/>
      <c r="N38" s="319"/>
      <c r="O38" s="269">
        <f>+'[6]Óvoda össz'!$F17</f>
        <v>0</v>
      </c>
      <c r="P38" s="250"/>
      <c r="Q38" s="255"/>
      <c r="R38" s="269">
        <f t="shared" ref="R38:R54" si="1">+C38+F38+I38+L38+O38</f>
        <v>0</v>
      </c>
      <c r="S38" s="250"/>
      <c r="T38" s="319"/>
    </row>
    <row r="39" spans="1:20" ht="13.5" customHeight="1">
      <c r="A39" s="243" t="s">
        <v>225</v>
      </c>
      <c r="B39" s="310" t="s">
        <v>226</v>
      </c>
      <c r="C39" s="269">
        <f>+'[6]Óvoda össz'!$B18</f>
        <v>0</v>
      </c>
      <c r="D39" s="250"/>
      <c r="E39" s="251"/>
      <c r="F39" s="269">
        <f>+'[6]Óvoda össz'!$C18</f>
        <v>0</v>
      </c>
      <c r="G39" s="250"/>
      <c r="H39" s="251"/>
      <c r="I39" s="269">
        <f>+'[6]Óvoda össz'!$D18</f>
        <v>0</v>
      </c>
      <c r="J39" s="250"/>
      <c r="K39" s="255"/>
      <c r="L39" s="269">
        <f>+'[6]Óvoda össz'!$E18</f>
        <v>0</v>
      </c>
      <c r="M39" s="250"/>
      <c r="N39" s="319"/>
      <c r="O39" s="269">
        <f>+'[6]Óvoda össz'!$F18</f>
        <v>0</v>
      </c>
      <c r="P39" s="250"/>
      <c r="Q39" s="255"/>
      <c r="R39" s="269">
        <f t="shared" si="1"/>
        <v>0</v>
      </c>
      <c r="S39" s="250"/>
      <c r="T39" s="319"/>
    </row>
    <row r="40" spans="1:20" ht="13.5" customHeight="1">
      <c r="A40" s="243" t="s">
        <v>227</v>
      </c>
      <c r="B40" s="310" t="s">
        <v>228</v>
      </c>
      <c r="C40" s="269">
        <f>+'[6]Óvoda össz'!$B19</f>
        <v>302</v>
      </c>
      <c r="D40" s="250"/>
      <c r="E40" s="251"/>
      <c r="F40" s="269">
        <f>+'[6]Óvoda össz'!$C19</f>
        <v>665</v>
      </c>
      <c r="G40" s="250"/>
      <c r="H40" s="251"/>
      <c r="I40" s="269">
        <f>+'[6]Óvoda össz'!$D19</f>
        <v>303</v>
      </c>
      <c r="J40" s="250"/>
      <c r="K40" s="255"/>
      <c r="L40" s="269">
        <f>+'[6]Óvoda össz'!$E19</f>
        <v>605</v>
      </c>
      <c r="M40" s="250"/>
      <c r="N40" s="319"/>
      <c r="O40" s="269">
        <f>+'[6]Óvoda össz'!$F19</f>
        <v>91</v>
      </c>
      <c r="P40" s="250"/>
      <c r="Q40" s="255"/>
      <c r="R40" s="269">
        <f t="shared" si="1"/>
        <v>1966</v>
      </c>
      <c r="S40" s="250"/>
      <c r="T40" s="319"/>
    </row>
    <row r="41" spans="1:20" ht="13.5" customHeight="1">
      <c r="A41" s="243" t="s">
        <v>229</v>
      </c>
      <c r="B41" s="310" t="s">
        <v>230</v>
      </c>
      <c r="C41" s="269">
        <f>+'[6]Óvoda össz'!$B20</f>
        <v>0</v>
      </c>
      <c r="D41" s="250"/>
      <c r="E41" s="251"/>
      <c r="F41" s="269">
        <f>+'[6]Óvoda össz'!$C20</f>
        <v>0</v>
      </c>
      <c r="G41" s="250"/>
      <c r="H41" s="251"/>
      <c r="I41" s="269">
        <f>+'[6]Óvoda össz'!$D20</f>
        <v>0</v>
      </c>
      <c r="J41" s="250"/>
      <c r="K41" s="255"/>
      <c r="L41" s="269">
        <f>+'[6]Óvoda össz'!$E20</f>
        <v>0</v>
      </c>
      <c r="M41" s="250"/>
      <c r="N41" s="319"/>
      <c r="O41" s="269">
        <f>+'[6]Óvoda össz'!$F20</f>
        <v>0</v>
      </c>
      <c r="P41" s="250"/>
      <c r="Q41" s="255"/>
      <c r="R41" s="269">
        <f t="shared" si="1"/>
        <v>0</v>
      </c>
      <c r="S41" s="250"/>
      <c r="T41" s="319"/>
    </row>
    <row r="42" spans="1:20" ht="13.5" customHeight="1">
      <c r="A42" s="243" t="s">
        <v>231</v>
      </c>
      <c r="B42" s="310" t="s">
        <v>1</v>
      </c>
      <c r="C42" s="269">
        <f>+'[6]Óvoda össz'!$B21</f>
        <v>1772</v>
      </c>
      <c r="D42" s="250"/>
      <c r="E42" s="251"/>
      <c r="F42" s="269">
        <f>+'[6]Óvoda össz'!$C21</f>
        <v>0</v>
      </c>
      <c r="G42" s="250"/>
      <c r="H42" s="251"/>
      <c r="I42" s="269">
        <f>+'[6]Óvoda össz'!$D21</f>
        <v>1771</v>
      </c>
      <c r="J42" s="250"/>
      <c r="K42" s="255"/>
      <c r="L42" s="269">
        <f>+'[6]Óvoda össz'!$E21</f>
        <v>0</v>
      </c>
      <c r="M42" s="250"/>
      <c r="N42" s="319"/>
      <c r="O42" s="269">
        <f>+'[6]Óvoda össz'!$F21</f>
        <v>0</v>
      </c>
      <c r="P42" s="250"/>
      <c r="Q42" s="255"/>
      <c r="R42" s="269">
        <f t="shared" si="1"/>
        <v>3543</v>
      </c>
      <c r="S42" s="250"/>
      <c r="T42" s="319"/>
    </row>
    <row r="43" spans="1:20" ht="13.5" customHeight="1">
      <c r="A43" s="243" t="s">
        <v>232</v>
      </c>
      <c r="B43" s="310" t="s">
        <v>233</v>
      </c>
      <c r="C43" s="269">
        <f>+'[6]Óvoda össz'!$B22</f>
        <v>410</v>
      </c>
      <c r="D43" s="250"/>
      <c r="E43" s="251"/>
      <c r="F43" s="269">
        <f>+'[6]Óvoda össz'!$C22</f>
        <v>792</v>
      </c>
      <c r="G43" s="250"/>
      <c r="H43" s="251"/>
      <c r="I43" s="269">
        <f>+'[6]Óvoda össz'!$D22</f>
        <v>415</v>
      </c>
      <c r="J43" s="250"/>
      <c r="K43" s="255"/>
      <c r="L43" s="269">
        <f>+'[6]Óvoda össz'!$E22</f>
        <v>720</v>
      </c>
      <c r="M43" s="250"/>
      <c r="N43" s="319"/>
      <c r="O43" s="269">
        <f>+'[6]Óvoda össz'!$F22</f>
        <v>108</v>
      </c>
      <c r="P43" s="250"/>
      <c r="Q43" s="255"/>
      <c r="R43" s="269">
        <f t="shared" si="1"/>
        <v>2445</v>
      </c>
      <c r="S43" s="250"/>
      <c r="T43" s="319"/>
    </row>
    <row r="44" spans="1:20" ht="13.5" customHeight="1">
      <c r="A44" s="243" t="s">
        <v>234</v>
      </c>
      <c r="B44" s="310" t="s">
        <v>235</v>
      </c>
      <c r="C44" s="269">
        <f>+'[6]Óvoda össz'!$B23</f>
        <v>0</v>
      </c>
      <c r="D44" s="250"/>
      <c r="E44" s="251"/>
      <c r="F44" s="269">
        <f>+'[6]Óvoda össz'!$C23</f>
        <v>0</v>
      </c>
      <c r="G44" s="250"/>
      <c r="H44" s="251"/>
      <c r="I44" s="269">
        <f>+'[6]Óvoda össz'!$D23</f>
        <v>0</v>
      </c>
      <c r="J44" s="250"/>
      <c r="K44" s="255"/>
      <c r="L44" s="269">
        <f>+'[6]Óvoda össz'!$E23</f>
        <v>0</v>
      </c>
      <c r="M44" s="250"/>
      <c r="N44" s="319"/>
      <c r="O44" s="269">
        <f>+'[6]Óvoda össz'!$F23</f>
        <v>0</v>
      </c>
      <c r="P44" s="250"/>
      <c r="Q44" s="255"/>
      <c r="R44" s="269">
        <f t="shared" si="1"/>
        <v>0</v>
      </c>
      <c r="S44" s="250"/>
      <c r="T44" s="319"/>
    </row>
    <row r="45" spans="1:20" ht="13.5" customHeight="1">
      <c r="A45" s="243" t="s">
        <v>236</v>
      </c>
      <c r="B45" s="310" t="s">
        <v>2</v>
      </c>
      <c r="C45" s="269">
        <f>+'[6]Óvoda össz'!$B24</f>
        <v>142</v>
      </c>
      <c r="D45" s="250"/>
      <c r="E45" s="251"/>
      <c r="F45" s="269">
        <f>+'[6]Óvoda össz'!$C24</f>
        <v>320</v>
      </c>
      <c r="G45" s="250"/>
      <c r="H45" s="251"/>
      <c r="I45" s="269">
        <f>+'[6]Óvoda össz'!$D24</f>
        <v>114</v>
      </c>
      <c r="J45" s="250"/>
      <c r="K45" s="255"/>
      <c r="L45" s="269">
        <f>+'[6]Óvoda össz'!$E24</f>
        <v>286</v>
      </c>
      <c r="M45" s="250"/>
      <c r="N45" s="319"/>
      <c r="O45" s="269">
        <f>+'[6]Óvoda össz'!$F24</f>
        <v>36</v>
      </c>
      <c r="P45" s="250"/>
      <c r="Q45" s="255"/>
      <c r="R45" s="269">
        <f t="shared" si="1"/>
        <v>898</v>
      </c>
      <c r="S45" s="250"/>
      <c r="T45" s="319"/>
    </row>
    <row r="46" spans="1:20" ht="13.5" customHeight="1">
      <c r="A46" s="243" t="s">
        <v>237</v>
      </c>
      <c r="B46" s="310" t="s">
        <v>238</v>
      </c>
      <c r="C46" s="269">
        <f>+'[6]Óvoda össz'!$B25</f>
        <v>0</v>
      </c>
      <c r="D46" s="250"/>
      <c r="E46" s="251"/>
      <c r="F46" s="269">
        <f>+'[6]Óvoda össz'!$C25</f>
        <v>0</v>
      </c>
      <c r="G46" s="250"/>
      <c r="H46" s="251"/>
      <c r="I46" s="269">
        <f>+'[6]Óvoda össz'!$D25</f>
        <v>0</v>
      </c>
      <c r="J46" s="250"/>
      <c r="K46" s="255"/>
      <c r="L46" s="269">
        <f>+'[6]Óvoda össz'!$E25</f>
        <v>0</v>
      </c>
      <c r="M46" s="250"/>
      <c r="N46" s="319"/>
      <c r="O46" s="269">
        <f>+'[6]Óvoda össz'!$F25</f>
        <v>0</v>
      </c>
      <c r="P46" s="250"/>
      <c r="Q46" s="255"/>
      <c r="R46" s="269">
        <f t="shared" si="1"/>
        <v>0</v>
      </c>
      <c r="S46" s="250"/>
      <c r="T46" s="319"/>
    </row>
    <row r="47" spans="1:20" ht="13.5" customHeight="1">
      <c r="A47" s="243" t="s">
        <v>239</v>
      </c>
      <c r="B47" s="310" t="s">
        <v>240</v>
      </c>
      <c r="C47" s="269">
        <f>+'[6]Óvoda össz'!$B26</f>
        <v>0</v>
      </c>
      <c r="D47" s="250"/>
      <c r="E47" s="251"/>
      <c r="F47" s="269">
        <f>+'[6]Óvoda össz'!$C26</f>
        <v>0</v>
      </c>
      <c r="G47" s="250"/>
      <c r="H47" s="251"/>
      <c r="I47" s="269">
        <f>+'[6]Óvoda össz'!$D26</f>
        <v>0</v>
      </c>
      <c r="J47" s="250"/>
      <c r="K47" s="255"/>
      <c r="L47" s="269">
        <f>+'[6]Óvoda össz'!$E26</f>
        <v>0</v>
      </c>
      <c r="M47" s="250"/>
      <c r="N47" s="319"/>
      <c r="O47" s="269">
        <f>+'[6]Óvoda össz'!$F26</f>
        <v>0</v>
      </c>
      <c r="P47" s="250"/>
      <c r="Q47" s="255"/>
      <c r="R47" s="269">
        <f t="shared" si="1"/>
        <v>0</v>
      </c>
      <c r="S47" s="250"/>
      <c r="T47" s="319"/>
    </row>
    <row r="48" spans="1:20" ht="13.5" customHeight="1">
      <c r="A48" s="243" t="s">
        <v>241</v>
      </c>
      <c r="B48" s="310" t="s">
        <v>242</v>
      </c>
      <c r="C48" s="269">
        <f>+'[6]Óvoda össz'!$B27</f>
        <v>0</v>
      </c>
      <c r="D48" s="250"/>
      <c r="E48" s="251"/>
      <c r="F48" s="269">
        <f>+'[6]Óvoda össz'!$C27</f>
        <v>0</v>
      </c>
      <c r="G48" s="250"/>
      <c r="H48" s="251"/>
      <c r="I48" s="269">
        <f>+'[6]Óvoda össz'!$D27</f>
        <v>0</v>
      </c>
      <c r="J48" s="250"/>
      <c r="K48" s="255"/>
      <c r="L48" s="269">
        <f>+'[6]Óvoda össz'!$E27</f>
        <v>0</v>
      </c>
      <c r="M48" s="250"/>
      <c r="N48" s="319"/>
      <c r="O48" s="269">
        <f>+'[6]Óvoda össz'!$F27</f>
        <v>0</v>
      </c>
      <c r="P48" s="250"/>
      <c r="Q48" s="255"/>
      <c r="R48" s="269">
        <f t="shared" si="1"/>
        <v>0</v>
      </c>
      <c r="S48" s="250"/>
      <c r="T48" s="319"/>
    </row>
    <row r="49" spans="1:20" ht="13.5" customHeight="1">
      <c r="A49" s="243" t="s">
        <v>243</v>
      </c>
      <c r="B49" s="310" t="s">
        <v>244</v>
      </c>
      <c r="C49" s="269">
        <f>+'[6]Óvoda össz'!$B28</f>
        <v>0</v>
      </c>
      <c r="D49" s="250"/>
      <c r="E49" s="251"/>
      <c r="F49" s="269">
        <f>+'[6]Óvoda össz'!$C28</f>
        <v>0</v>
      </c>
      <c r="G49" s="250"/>
      <c r="H49" s="251"/>
      <c r="I49" s="269">
        <f>+'[6]Óvoda össz'!$D28</f>
        <v>0</v>
      </c>
      <c r="J49" s="250"/>
      <c r="K49" s="255"/>
      <c r="L49" s="269">
        <f>+'[6]Óvoda össz'!$E28</f>
        <v>0</v>
      </c>
      <c r="M49" s="250"/>
      <c r="N49" s="319"/>
      <c r="O49" s="269">
        <f>+'[6]Óvoda össz'!$F28</f>
        <v>0</v>
      </c>
      <c r="P49" s="250"/>
      <c r="Q49" s="255"/>
      <c r="R49" s="269">
        <f t="shared" si="1"/>
        <v>0</v>
      </c>
      <c r="S49" s="250"/>
      <c r="T49" s="319"/>
    </row>
    <row r="50" spans="1:20" ht="13.5" customHeight="1">
      <c r="A50" s="244" t="s">
        <v>243</v>
      </c>
      <c r="B50" s="311" t="s">
        <v>245</v>
      </c>
      <c r="C50" s="269">
        <f>+'[6]Óvoda össz'!$B29</f>
        <v>0</v>
      </c>
      <c r="D50" s="280"/>
      <c r="E50" s="287"/>
      <c r="F50" s="269">
        <f>+'[6]Óvoda össz'!$C29</f>
        <v>0</v>
      </c>
      <c r="G50" s="280"/>
      <c r="H50" s="287"/>
      <c r="I50" s="269">
        <f>+'[6]Óvoda össz'!$D29</f>
        <v>0</v>
      </c>
      <c r="J50" s="280"/>
      <c r="K50" s="281"/>
      <c r="L50" s="269">
        <f>+'[6]Óvoda össz'!$E29</f>
        <v>0</v>
      </c>
      <c r="M50" s="280"/>
      <c r="N50" s="320"/>
      <c r="O50" s="269">
        <f>+'[6]Óvoda össz'!$F29</f>
        <v>0</v>
      </c>
      <c r="P50" s="280"/>
      <c r="Q50" s="281"/>
      <c r="R50" s="269">
        <f t="shared" si="1"/>
        <v>0</v>
      </c>
      <c r="S50" s="280"/>
      <c r="T50" s="320"/>
    </row>
    <row r="51" spans="1:20" s="407" customFormat="1" ht="13.5" customHeight="1">
      <c r="A51" s="245" t="s">
        <v>205</v>
      </c>
      <c r="B51" s="312" t="s">
        <v>163</v>
      </c>
      <c r="C51" s="365">
        <f>SUM(C37:C50)</f>
        <v>20878</v>
      </c>
      <c r="D51" s="371"/>
      <c r="E51" s="372"/>
      <c r="F51" s="365">
        <f>SUM(F37:F50)</f>
        <v>36021</v>
      </c>
      <c r="G51" s="371"/>
      <c r="H51" s="372"/>
      <c r="I51" s="365">
        <f>SUM(I37:I50)</f>
        <v>22161</v>
      </c>
      <c r="J51" s="371"/>
      <c r="K51" s="374"/>
      <c r="L51" s="365">
        <f>SUM(L37:L50)</f>
        <v>32103</v>
      </c>
      <c r="M51" s="371"/>
      <c r="N51" s="375"/>
      <c r="O51" s="365">
        <f>SUM(O37:O50)</f>
        <v>6036</v>
      </c>
      <c r="P51" s="371"/>
      <c r="Q51" s="374"/>
      <c r="R51" s="365">
        <f>SUM(R37:R50)</f>
        <v>117199</v>
      </c>
      <c r="S51" s="371"/>
      <c r="T51" s="375"/>
    </row>
    <row r="52" spans="1:20" ht="13.5" customHeight="1">
      <c r="A52" s="242" t="s">
        <v>246</v>
      </c>
      <c r="B52" s="309" t="s">
        <v>247</v>
      </c>
      <c r="C52" s="269">
        <f>+'[6]Óvoda össz'!$B31</f>
        <v>0</v>
      </c>
      <c r="D52" s="263"/>
      <c r="E52" s="270"/>
      <c r="F52" s="269">
        <f>+'[6]Óvoda össz'!$C31</f>
        <v>0</v>
      </c>
      <c r="G52" s="263"/>
      <c r="H52" s="270"/>
      <c r="I52" s="269">
        <f>+'[6]Óvoda össz'!$D31</f>
        <v>0</v>
      </c>
      <c r="J52" s="263"/>
      <c r="K52" s="264"/>
      <c r="L52" s="269">
        <f>+'[6]Óvoda össz'!$E31</f>
        <v>0</v>
      </c>
      <c r="M52" s="263"/>
      <c r="N52" s="318"/>
      <c r="O52" s="269">
        <f>+'[6]Óvoda össz'!$F31</f>
        <v>0</v>
      </c>
      <c r="P52" s="263"/>
      <c r="Q52" s="264"/>
      <c r="R52" s="269">
        <f t="shared" si="1"/>
        <v>0</v>
      </c>
      <c r="S52" s="263"/>
      <c r="T52" s="318"/>
    </row>
    <row r="53" spans="1:20" ht="13.5" customHeight="1">
      <c r="A53" s="243" t="s">
        <v>248</v>
      </c>
      <c r="B53" s="310" t="s">
        <v>249</v>
      </c>
      <c r="C53" s="269">
        <f>+'[6]Óvoda össz'!$B32</f>
        <v>0</v>
      </c>
      <c r="D53" s="250"/>
      <c r="E53" s="251"/>
      <c r="F53" s="269">
        <f>+'[6]Óvoda össz'!$C32</f>
        <v>112</v>
      </c>
      <c r="G53" s="250"/>
      <c r="H53" s="251"/>
      <c r="I53" s="269">
        <f>+'[6]Óvoda össz'!$D32</f>
        <v>0</v>
      </c>
      <c r="J53" s="250"/>
      <c r="K53" s="255"/>
      <c r="L53" s="269">
        <f>+'[6]Óvoda össz'!$E32</f>
        <v>441</v>
      </c>
      <c r="M53" s="250"/>
      <c r="N53" s="319"/>
      <c r="O53" s="269">
        <f>+'[6]Óvoda össz'!$F32</f>
        <v>0</v>
      </c>
      <c r="P53" s="250"/>
      <c r="Q53" s="255"/>
      <c r="R53" s="269">
        <f t="shared" si="1"/>
        <v>553</v>
      </c>
      <c r="S53" s="250"/>
      <c r="T53" s="319"/>
    </row>
    <row r="54" spans="1:20" ht="13.5" customHeight="1">
      <c r="A54" s="244" t="s">
        <v>250</v>
      </c>
      <c r="B54" s="311" t="s">
        <v>251</v>
      </c>
      <c r="C54" s="269">
        <f>+'[6]Óvoda össz'!$B33</f>
        <v>10</v>
      </c>
      <c r="D54" s="280"/>
      <c r="E54" s="287"/>
      <c r="F54" s="269">
        <f>+'[6]Óvoda össz'!$C33</f>
        <v>30</v>
      </c>
      <c r="G54" s="280"/>
      <c r="H54" s="287"/>
      <c r="I54" s="269">
        <f>+'[6]Óvoda össz'!$D33</f>
        <v>0</v>
      </c>
      <c r="J54" s="280"/>
      <c r="K54" s="281"/>
      <c r="L54" s="269">
        <f>+'[6]Óvoda össz'!$E33</f>
        <v>0</v>
      </c>
      <c r="M54" s="280"/>
      <c r="N54" s="320"/>
      <c r="O54" s="269">
        <f>+'[6]Óvoda össz'!$F33</f>
        <v>200</v>
      </c>
      <c r="P54" s="280"/>
      <c r="Q54" s="281"/>
      <c r="R54" s="269">
        <f t="shared" si="1"/>
        <v>240</v>
      </c>
      <c r="S54" s="280"/>
      <c r="T54" s="320"/>
    </row>
    <row r="55" spans="1:20" s="407" customFormat="1" ht="13.5" customHeight="1">
      <c r="A55" s="245" t="s">
        <v>206</v>
      </c>
      <c r="B55" s="312" t="s">
        <v>164</v>
      </c>
      <c r="C55" s="365">
        <f>SUM(C52:C54)</f>
        <v>10</v>
      </c>
      <c r="D55" s="371"/>
      <c r="E55" s="372"/>
      <c r="F55" s="365">
        <f>SUM(F52:F54)</f>
        <v>142</v>
      </c>
      <c r="G55" s="371"/>
      <c r="H55" s="372"/>
      <c r="I55" s="365">
        <f>SUM(I52:I54)</f>
        <v>0</v>
      </c>
      <c r="J55" s="371"/>
      <c r="K55" s="374"/>
      <c r="L55" s="365">
        <f>SUM(L52:L54)</f>
        <v>441</v>
      </c>
      <c r="M55" s="371"/>
      <c r="N55" s="375"/>
      <c r="O55" s="365">
        <f>SUM(O52:O54)</f>
        <v>200</v>
      </c>
      <c r="P55" s="371"/>
      <c r="Q55" s="374"/>
      <c r="R55" s="365">
        <f>SUM(R52:R54)</f>
        <v>793</v>
      </c>
      <c r="S55" s="371"/>
      <c r="T55" s="375"/>
    </row>
    <row r="56" spans="1:20" s="407" customFormat="1" ht="13.5" customHeight="1">
      <c r="A56" s="245" t="s">
        <v>207</v>
      </c>
      <c r="B56" s="312" t="s">
        <v>165</v>
      </c>
      <c r="C56" s="365">
        <f>+C51+C55</f>
        <v>20888</v>
      </c>
      <c r="D56" s="371"/>
      <c r="E56" s="372"/>
      <c r="F56" s="365">
        <f>+F51+F55</f>
        <v>36163</v>
      </c>
      <c r="G56" s="371"/>
      <c r="H56" s="372"/>
      <c r="I56" s="365">
        <f>+I51+I55</f>
        <v>22161</v>
      </c>
      <c r="J56" s="371"/>
      <c r="K56" s="374"/>
      <c r="L56" s="365">
        <f>+L51+L55</f>
        <v>32544</v>
      </c>
      <c r="M56" s="371"/>
      <c r="N56" s="375"/>
      <c r="O56" s="365">
        <f>+O51+O55</f>
        <v>6236</v>
      </c>
      <c r="P56" s="371"/>
      <c r="Q56" s="374"/>
      <c r="R56" s="365">
        <f>+R51+R55</f>
        <v>117992</v>
      </c>
      <c r="S56" s="371"/>
      <c r="T56" s="375"/>
    </row>
    <row r="57" spans="1:20" s="407" customFormat="1" ht="13.5" customHeight="1">
      <c r="A57" s="245" t="s">
        <v>208</v>
      </c>
      <c r="B57" s="312" t="s">
        <v>166</v>
      </c>
      <c r="C57" s="365">
        <f>SUM(C58:C62)</f>
        <v>5952</v>
      </c>
      <c r="D57" s="371"/>
      <c r="E57" s="372"/>
      <c r="F57" s="365">
        <f>SUM(F58:F62)</f>
        <v>10389</v>
      </c>
      <c r="G57" s="371"/>
      <c r="H57" s="372"/>
      <c r="I57" s="365">
        <f>SUM(I58:I62)</f>
        <v>6277</v>
      </c>
      <c r="J57" s="371"/>
      <c r="K57" s="374"/>
      <c r="L57" s="365">
        <f>SUM(L58:L62)</f>
        <v>9350</v>
      </c>
      <c r="M57" s="371"/>
      <c r="N57" s="375"/>
      <c r="O57" s="365">
        <f>SUM(O58:O62)</f>
        <v>1816</v>
      </c>
      <c r="P57" s="371"/>
      <c r="Q57" s="374"/>
      <c r="R57" s="365">
        <f>SUM(R58:R62)</f>
        <v>33784</v>
      </c>
      <c r="S57" s="371"/>
      <c r="T57" s="375"/>
    </row>
    <row r="58" spans="1:20" s="352" customFormat="1" ht="13.5" customHeight="1">
      <c r="A58" s="246" t="s">
        <v>208</v>
      </c>
      <c r="B58" s="313" t="s">
        <v>310</v>
      </c>
      <c r="C58" s="269">
        <f>+'[6]Óvoda össz'!$B37</f>
        <v>5488</v>
      </c>
      <c r="D58" s="388"/>
      <c r="E58" s="389"/>
      <c r="F58" s="269">
        <f>+'[6]Óvoda össz'!$C37</f>
        <v>9456</v>
      </c>
      <c r="G58" s="388"/>
      <c r="H58" s="389"/>
      <c r="I58" s="269">
        <f>+'[6]Óvoda össz'!$D37</f>
        <v>5841</v>
      </c>
      <c r="J58" s="388"/>
      <c r="K58" s="390"/>
      <c r="L58" s="269">
        <f>+'[6]Óvoda össz'!$E37</f>
        <v>8515</v>
      </c>
      <c r="M58" s="388"/>
      <c r="N58" s="391"/>
      <c r="O58" s="269">
        <f>+'[6]Óvoda össz'!$F37</f>
        <v>1591</v>
      </c>
      <c r="P58" s="388"/>
      <c r="Q58" s="390"/>
      <c r="R58" s="387">
        <f t="shared" ref="R58:R87" si="2">+C58+F58+I58+L58+O58</f>
        <v>30891</v>
      </c>
      <c r="S58" s="388"/>
      <c r="T58" s="391"/>
    </row>
    <row r="59" spans="1:20" s="352" customFormat="1" ht="13.5" customHeight="1">
      <c r="A59" s="247" t="s">
        <v>208</v>
      </c>
      <c r="B59" s="314" t="s">
        <v>311</v>
      </c>
      <c r="C59" s="269">
        <f>+'[6]Óvoda össz'!$B38</f>
        <v>317</v>
      </c>
      <c r="D59" s="344"/>
      <c r="E59" s="351"/>
      <c r="F59" s="269">
        <f>+'[6]Óvoda össz'!$C38</f>
        <v>645</v>
      </c>
      <c r="G59" s="344"/>
      <c r="H59" s="351"/>
      <c r="I59" s="269">
        <f>+'[6]Óvoda össz'!$D38</f>
        <v>293</v>
      </c>
      <c r="J59" s="344"/>
      <c r="K59" s="345"/>
      <c r="L59" s="269">
        <f>+'[6]Óvoda össz'!$E38</f>
        <v>586</v>
      </c>
      <c r="M59" s="344"/>
      <c r="N59" s="362"/>
      <c r="O59" s="269">
        <f>+'[6]Óvoda össz'!$F38</f>
        <v>88</v>
      </c>
      <c r="P59" s="344"/>
      <c r="Q59" s="345"/>
      <c r="R59" s="387">
        <f t="shared" si="2"/>
        <v>1929</v>
      </c>
      <c r="S59" s="344"/>
      <c r="T59" s="362"/>
    </row>
    <row r="60" spans="1:20" s="352" customFormat="1" ht="13.5" customHeight="1">
      <c r="A60" s="247" t="s">
        <v>208</v>
      </c>
      <c r="B60" s="314" t="s">
        <v>312</v>
      </c>
      <c r="C60" s="269">
        <f>+'[6]Óvoda össz'!$B39</f>
        <v>72</v>
      </c>
      <c r="D60" s="344"/>
      <c r="E60" s="351"/>
      <c r="F60" s="269">
        <f>+'[6]Óvoda össz'!$C39</f>
        <v>141</v>
      </c>
      <c r="G60" s="344"/>
      <c r="H60" s="351"/>
      <c r="I60" s="269">
        <f>+'[6]Óvoda össz'!$D39</f>
        <v>69</v>
      </c>
      <c r="J60" s="344"/>
      <c r="K60" s="345"/>
      <c r="L60" s="269">
        <f>+'[6]Óvoda össz'!$E39</f>
        <v>120</v>
      </c>
      <c r="M60" s="344"/>
      <c r="N60" s="362"/>
      <c r="O60" s="269">
        <f>+'[6]Óvoda össz'!$F39</f>
        <v>82</v>
      </c>
      <c r="P60" s="344"/>
      <c r="Q60" s="345"/>
      <c r="R60" s="387">
        <f t="shared" si="2"/>
        <v>484</v>
      </c>
      <c r="S60" s="344"/>
      <c r="T60" s="362"/>
    </row>
    <row r="61" spans="1:20" s="352" customFormat="1" ht="13.5" customHeight="1">
      <c r="A61" s="247" t="s">
        <v>208</v>
      </c>
      <c r="B61" s="314" t="s">
        <v>313</v>
      </c>
      <c r="C61" s="269">
        <f>+'[6]Óvoda össz'!$B40</f>
        <v>0</v>
      </c>
      <c r="D61" s="344"/>
      <c r="E61" s="351"/>
      <c r="F61" s="269">
        <f>+'[6]Óvoda össz'!$C40</f>
        <v>0</v>
      </c>
      <c r="G61" s="344"/>
      <c r="H61" s="351"/>
      <c r="I61" s="269">
        <f>+'[6]Óvoda össz'!$D40</f>
        <v>0</v>
      </c>
      <c r="J61" s="344"/>
      <c r="K61" s="345"/>
      <c r="L61" s="269">
        <f>+'[6]Óvoda össz'!$E40</f>
        <v>0</v>
      </c>
      <c r="M61" s="344"/>
      <c r="N61" s="362"/>
      <c r="O61" s="269">
        <f>+'[6]Óvoda össz'!$F40</f>
        <v>0</v>
      </c>
      <c r="P61" s="344"/>
      <c r="Q61" s="345"/>
      <c r="R61" s="387">
        <f t="shared" si="2"/>
        <v>0</v>
      </c>
      <c r="S61" s="344"/>
      <c r="T61" s="362"/>
    </row>
    <row r="62" spans="1:20" s="352" customFormat="1" ht="13.5" customHeight="1">
      <c r="A62" s="247" t="s">
        <v>208</v>
      </c>
      <c r="B62" s="314" t="s">
        <v>314</v>
      </c>
      <c r="C62" s="269">
        <f>+'[6]Óvoda össz'!$B41</f>
        <v>75</v>
      </c>
      <c r="D62" s="344"/>
      <c r="E62" s="351"/>
      <c r="F62" s="269">
        <f>+'[6]Óvoda össz'!$C41</f>
        <v>147</v>
      </c>
      <c r="G62" s="344"/>
      <c r="H62" s="351"/>
      <c r="I62" s="269">
        <f>+'[6]Óvoda össz'!$D41</f>
        <v>74</v>
      </c>
      <c r="J62" s="344"/>
      <c r="K62" s="345"/>
      <c r="L62" s="269">
        <f>+'[6]Óvoda össz'!$E41</f>
        <v>129</v>
      </c>
      <c r="M62" s="344"/>
      <c r="N62" s="362"/>
      <c r="O62" s="269">
        <f>+'[6]Óvoda össz'!$F41</f>
        <v>55</v>
      </c>
      <c r="P62" s="344"/>
      <c r="Q62" s="345"/>
      <c r="R62" s="387">
        <f t="shared" si="2"/>
        <v>480</v>
      </c>
      <c r="S62" s="344"/>
      <c r="T62" s="362"/>
    </row>
    <row r="63" spans="1:20" ht="13.5" customHeight="1">
      <c r="A63" s="242" t="s">
        <v>252</v>
      </c>
      <c r="B63" s="309" t="s">
        <v>253</v>
      </c>
      <c r="C63" s="269">
        <f>+[7]Sheet!$E$9</f>
        <v>160</v>
      </c>
      <c r="D63" s="263"/>
      <c r="E63" s="270"/>
      <c r="F63" s="269">
        <f>+[7]Sheet!$G$9</f>
        <v>531</v>
      </c>
      <c r="G63" s="263"/>
      <c r="H63" s="270"/>
      <c r="I63" s="269"/>
      <c r="J63" s="263"/>
      <c r="K63" s="264"/>
      <c r="L63" s="269"/>
      <c r="M63" s="263"/>
      <c r="N63" s="318"/>
      <c r="O63" s="269">
        <f>+[7]Sheet!$M$9</f>
        <v>92</v>
      </c>
      <c r="P63" s="263"/>
      <c r="Q63" s="264"/>
      <c r="R63" s="269">
        <f t="shared" si="2"/>
        <v>783</v>
      </c>
      <c r="S63" s="263"/>
      <c r="T63" s="318"/>
    </row>
    <row r="64" spans="1:20" ht="13.5" customHeight="1">
      <c r="A64" s="243" t="s">
        <v>254</v>
      </c>
      <c r="B64" s="310" t="s">
        <v>255</v>
      </c>
      <c r="C64" s="260">
        <f>+[7]Sheet!$E$16</f>
        <v>275</v>
      </c>
      <c r="D64" s="250"/>
      <c r="E64" s="251"/>
      <c r="F64" s="260">
        <f>+[7]Sheet!$G$16</f>
        <v>430</v>
      </c>
      <c r="G64" s="250"/>
      <c r="H64" s="251"/>
      <c r="I64" s="260"/>
      <c r="J64" s="250"/>
      <c r="K64" s="255"/>
      <c r="L64" s="260"/>
      <c r="M64" s="250"/>
      <c r="N64" s="319"/>
      <c r="O64" s="260">
        <f>+[7]Sheet!$M$16</f>
        <v>240</v>
      </c>
      <c r="P64" s="250"/>
      <c r="Q64" s="255"/>
      <c r="R64" s="260">
        <f t="shared" si="2"/>
        <v>945</v>
      </c>
      <c r="S64" s="250"/>
      <c r="T64" s="319"/>
    </row>
    <row r="65" spans="1:20" ht="13.5" customHeight="1">
      <c r="A65" s="244" t="s">
        <v>256</v>
      </c>
      <c r="B65" s="311" t="s">
        <v>257</v>
      </c>
      <c r="C65" s="286"/>
      <c r="D65" s="280"/>
      <c r="E65" s="287"/>
      <c r="F65" s="286"/>
      <c r="G65" s="280"/>
      <c r="H65" s="287"/>
      <c r="I65" s="286"/>
      <c r="J65" s="280"/>
      <c r="K65" s="281"/>
      <c r="L65" s="286"/>
      <c r="M65" s="280"/>
      <c r="N65" s="320"/>
      <c r="O65" s="286"/>
      <c r="P65" s="280"/>
      <c r="Q65" s="281"/>
      <c r="R65" s="286">
        <f t="shared" si="2"/>
        <v>0</v>
      </c>
      <c r="S65" s="280"/>
      <c r="T65" s="320"/>
    </row>
    <row r="66" spans="1:20" s="407" customFormat="1" ht="13.5" customHeight="1">
      <c r="A66" s="245" t="s">
        <v>209</v>
      </c>
      <c r="B66" s="312" t="s">
        <v>167</v>
      </c>
      <c r="C66" s="365">
        <f>SUM(C63:C65)</f>
        <v>435</v>
      </c>
      <c r="D66" s="371"/>
      <c r="E66" s="372"/>
      <c r="F66" s="365">
        <f>SUM(F63:F65)</f>
        <v>961</v>
      </c>
      <c r="G66" s="371"/>
      <c r="H66" s="372"/>
      <c r="I66" s="365">
        <f>SUM(I63:I65)</f>
        <v>0</v>
      </c>
      <c r="J66" s="371"/>
      <c r="K66" s="374"/>
      <c r="L66" s="365">
        <f>SUM(L63:L65)</f>
        <v>0</v>
      </c>
      <c r="M66" s="371"/>
      <c r="N66" s="375"/>
      <c r="O66" s="365">
        <f>SUM(O63:O65)</f>
        <v>332</v>
      </c>
      <c r="P66" s="371"/>
      <c r="Q66" s="374"/>
      <c r="R66" s="365">
        <f>SUM(R63:R65)</f>
        <v>1728</v>
      </c>
      <c r="S66" s="371"/>
      <c r="T66" s="375"/>
    </row>
    <row r="67" spans="1:20" ht="13.5" customHeight="1">
      <c r="A67" s="242" t="s">
        <v>258</v>
      </c>
      <c r="B67" s="309" t="s">
        <v>259</v>
      </c>
      <c r="C67" s="269"/>
      <c r="D67" s="263"/>
      <c r="E67" s="270"/>
      <c r="F67" s="269"/>
      <c r="G67" s="263"/>
      <c r="H67" s="270"/>
      <c r="I67" s="269"/>
      <c r="J67" s="263"/>
      <c r="K67" s="264"/>
      <c r="L67" s="269"/>
      <c r="M67" s="263"/>
      <c r="N67" s="318"/>
      <c r="O67" s="269">
        <f>+[7]Sheet!$M$25</f>
        <v>180</v>
      </c>
      <c r="P67" s="263"/>
      <c r="Q67" s="264"/>
      <c r="R67" s="269">
        <f t="shared" si="2"/>
        <v>180</v>
      </c>
      <c r="S67" s="263"/>
      <c r="T67" s="318"/>
    </row>
    <row r="68" spans="1:20" ht="13.5" customHeight="1">
      <c r="A68" s="244" t="s">
        <v>260</v>
      </c>
      <c r="B68" s="311" t="s">
        <v>261</v>
      </c>
      <c r="C68" s="286">
        <f>+[7]Sheet!$E$28</f>
        <v>200</v>
      </c>
      <c r="D68" s="280"/>
      <c r="E68" s="287"/>
      <c r="F68" s="286">
        <f>+[7]Sheet!$G$28</f>
        <v>150</v>
      </c>
      <c r="G68" s="280"/>
      <c r="H68" s="287"/>
      <c r="I68" s="286">
        <f>+[7]Sheet!$I$28</f>
        <v>40</v>
      </c>
      <c r="J68" s="280"/>
      <c r="K68" s="281"/>
      <c r="L68" s="286">
        <f>+[7]Sheet!$K$28</f>
        <v>40</v>
      </c>
      <c r="M68" s="280"/>
      <c r="N68" s="320"/>
      <c r="O68" s="286">
        <f>+[7]Sheet!$M$28</f>
        <v>105</v>
      </c>
      <c r="P68" s="280"/>
      <c r="Q68" s="281"/>
      <c r="R68" s="286">
        <f t="shared" si="2"/>
        <v>535</v>
      </c>
      <c r="S68" s="280"/>
      <c r="T68" s="320"/>
    </row>
    <row r="69" spans="1:20" s="407" customFormat="1" ht="13.5" customHeight="1">
      <c r="A69" s="245" t="s">
        <v>210</v>
      </c>
      <c r="B69" s="312" t="s">
        <v>168</v>
      </c>
      <c r="C69" s="365">
        <f>SUM(C67:C68)</f>
        <v>200</v>
      </c>
      <c r="D69" s="371"/>
      <c r="E69" s="372"/>
      <c r="F69" s="365">
        <f>SUM(F67:F68)</f>
        <v>150</v>
      </c>
      <c r="G69" s="371"/>
      <c r="H69" s="372"/>
      <c r="I69" s="365">
        <f>SUM(I67:I68)</f>
        <v>40</v>
      </c>
      <c r="J69" s="371"/>
      <c r="K69" s="374"/>
      <c r="L69" s="365">
        <f>SUM(L67:L68)</f>
        <v>40</v>
      </c>
      <c r="M69" s="371"/>
      <c r="N69" s="375"/>
      <c r="O69" s="365">
        <f>SUM(O67:O68)</f>
        <v>285</v>
      </c>
      <c r="P69" s="371"/>
      <c r="Q69" s="374"/>
      <c r="R69" s="365">
        <f>SUM(R67:R68)</f>
        <v>715</v>
      </c>
      <c r="S69" s="371"/>
      <c r="T69" s="375"/>
    </row>
    <row r="70" spans="1:20" ht="13.5" customHeight="1">
      <c r="A70" s="242" t="s">
        <v>262</v>
      </c>
      <c r="B70" s="309" t="s">
        <v>263</v>
      </c>
      <c r="C70" s="269">
        <f>+[7]Sheet!$E$32</f>
        <v>865</v>
      </c>
      <c r="D70" s="263"/>
      <c r="E70" s="270"/>
      <c r="F70" s="269">
        <f>+[7]Sheet!$G$32</f>
        <v>2300</v>
      </c>
      <c r="G70" s="263"/>
      <c r="H70" s="270"/>
      <c r="I70" s="269"/>
      <c r="J70" s="263"/>
      <c r="K70" s="264"/>
      <c r="L70" s="269"/>
      <c r="M70" s="263"/>
      <c r="N70" s="318"/>
      <c r="O70" s="269"/>
      <c r="P70" s="263"/>
      <c r="Q70" s="264"/>
      <c r="R70" s="269">
        <f t="shared" si="2"/>
        <v>3165</v>
      </c>
      <c r="S70" s="263"/>
      <c r="T70" s="318"/>
    </row>
    <row r="71" spans="1:20" ht="13.5" customHeight="1">
      <c r="A71" s="243" t="s">
        <v>264</v>
      </c>
      <c r="B71" s="310" t="s">
        <v>3</v>
      </c>
      <c r="C71" s="260">
        <f>+[7]Sheet!$E$34</f>
        <v>3083</v>
      </c>
      <c r="D71" s="250"/>
      <c r="E71" s="251"/>
      <c r="F71" s="260"/>
      <c r="G71" s="250"/>
      <c r="H71" s="251"/>
      <c r="I71" s="260"/>
      <c r="J71" s="250"/>
      <c r="K71" s="255"/>
      <c r="L71" s="260"/>
      <c r="M71" s="250"/>
      <c r="N71" s="319"/>
      <c r="O71" s="260"/>
      <c r="P71" s="250"/>
      <c r="Q71" s="255"/>
      <c r="R71" s="260">
        <f t="shared" si="2"/>
        <v>3083</v>
      </c>
      <c r="S71" s="250"/>
      <c r="T71" s="319"/>
    </row>
    <row r="72" spans="1:20" ht="13.5" customHeight="1">
      <c r="A72" s="243" t="s">
        <v>265</v>
      </c>
      <c r="B72" s="310" t="s">
        <v>266</v>
      </c>
      <c r="C72" s="260"/>
      <c r="D72" s="250"/>
      <c r="E72" s="251"/>
      <c r="F72" s="260"/>
      <c r="G72" s="250"/>
      <c r="H72" s="251"/>
      <c r="I72" s="260"/>
      <c r="J72" s="250"/>
      <c r="K72" s="255"/>
      <c r="L72" s="260"/>
      <c r="M72" s="250"/>
      <c r="N72" s="319"/>
      <c r="O72" s="260"/>
      <c r="P72" s="250"/>
      <c r="Q72" s="255"/>
      <c r="R72" s="260">
        <f t="shared" si="2"/>
        <v>0</v>
      </c>
      <c r="S72" s="250"/>
      <c r="T72" s="319"/>
    </row>
    <row r="73" spans="1:20" ht="13.5" customHeight="1">
      <c r="A73" s="243" t="s">
        <v>267</v>
      </c>
      <c r="B73" s="310" t="s">
        <v>268</v>
      </c>
      <c r="C73" s="260">
        <f>+[7]Sheet!$E$38</f>
        <v>100</v>
      </c>
      <c r="D73" s="250"/>
      <c r="E73" s="251"/>
      <c r="F73" s="260">
        <f>+[7]Sheet!$G$38</f>
        <v>950</v>
      </c>
      <c r="G73" s="250"/>
      <c r="H73" s="251"/>
      <c r="I73" s="260"/>
      <c r="J73" s="250"/>
      <c r="K73" s="255"/>
      <c r="L73" s="260"/>
      <c r="M73" s="250"/>
      <c r="N73" s="319"/>
      <c r="O73" s="260">
        <f>+[7]Sheet!$M$38</f>
        <v>100</v>
      </c>
      <c r="P73" s="250"/>
      <c r="Q73" s="255"/>
      <c r="R73" s="260">
        <f t="shared" si="2"/>
        <v>1150</v>
      </c>
      <c r="S73" s="250"/>
      <c r="T73" s="319"/>
    </row>
    <row r="74" spans="1:20" ht="13.5" customHeight="1">
      <c r="A74" s="243" t="s">
        <v>269</v>
      </c>
      <c r="B74" s="310" t="s">
        <v>270</v>
      </c>
      <c r="C74" s="260"/>
      <c r="D74" s="250"/>
      <c r="E74" s="251"/>
      <c r="F74" s="260"/>
      <c r="G74" s="250"/>
      <c r="H74" s="251"/>
      <c r="I74" s="260"/>
      <c r="J74" s="250"/>
      <c r="K74" s="255"/>
      <c r="L74" s="260"/>
      <c r="M74" s="250"/>
      <c r="N74" s="319"/>
      <c r="O74" s="260"/>
      <c r="P74" s="250"/>
      <c r="Q74" s="255"/>
      <c r="R74" s="260">
        <f>SUM(R75:R76)</f>
        <v>0</v>
      </c>
      <c r="S74" s="250"/>
      <c r="T74" s="319"/>
    </row>
    <row r="75" spans="1:20" s="352" customFormat="1" ht="13.5" customHeight="1">
      <c r="A75" s="247" t="s">
        <v>269</v>
      </c>
      <c r="B75" s="314" t="s">
        <v>315</v>
      </c>
      <c r="C75" s="350"/>
      <c r="D75" s="344"/>
      <c r="E75" s="351"/>
      <c r="F75" s="350"/>
      <c r="G75" s="344"/>
      <c r="H75" s="351"/>
      <c r="I75" s="350"/>
      <c r="J75" s="344"/>
      <c r="K75" s="345"/>
      <c r="L75" s="350"/>
      <c r="M75" s="344"/>
      <c r="N75" s="362"/>
      <c r="O75" s="350"/>
      <c r="P75" s="344"/>
      <c r="Q75" s="345"/>
      <c r="R75" s="260">
        <f t="shared" si="2"/>
        <v>0</v>
      </c>
      <c r="S75" s="344"/>
      <c r="T75" s="362"/>
    </row>
    <row r="76" spans="1:20" s="352" customFormat="1" ht="13.5" customHeight="1">
      <c r="A76" s="247" t="s">
        <v>269</v>
      </c>
      <c r="B76" s="314" t="s">
        <v>316</v>
      </c>
      <c r="C76" s="350"/>
      <c r="D76" s="344"/>
      <c r="E76" s="351"/>
      <c r="F76" s="350"/>
      <c r="G76" s="344"/>
      <c r="H76" s="351"/>
      <c r="I76" s="350"/>
      <c r="J76" s="344"/>
      <c r="K76" s="345"/>
      <c r="L76" s="350"/>
      <c r="M76" s="344"/>
      <c r="N76" s="362"/>
      <c r="O76" s="350"/>
      <c r="P76" s="344"/>
      <c r="Q76" s="345"/>
      <c r="R76" s="260">
        <f t="shared" si="2"/>
        <v>0</v>
      </c>
      <c r="S76" s="344"/>
      <c r="T76" s="362"/>
    </row>
    <row r="77" spans="1:20" ht="13.5" customHeight="1">
      <c r="A77" s="243" t="s">
        <v>271</v>
      </c>
      <c r="B77" s="310" t="s">
        <v>272</v>
      </c>
      <c r="C77" s="260">
        <f>+[7]Sheet!$E$40</f>
        <v>570</v>
      </c>
      <c r="D77" s="250"/>
      <c r="E77" s="251"/>
      <c r="F77" s="260">
        <f>+[7]Sheet!$G$40</f>
        <v>735</v>
      </c>
      <c r="G77" s="250"/>
      <c r="H77" s="251"/>
      <c r="I77" s="260"/>
      <c r="J77" s="250"/>
      <c r="K77" s="255"/>
      <c r="L77" s="260">
        <f>+[7]Sheet!$K$39</f>
        <v>494</v>
      </c>
      <c r="M77" s="250"/>
      <c r="N77" s="319"/>
      <c r="O77" s="260">
        <f>+[7]Sheet!$M$40</f>
        <v>250</v>
      </c>
      <c r="P77" s="250"/>
      <c r="Q77" s="255"/>
      <c r="R77" s="260">
        <f t="shared" si="2"/>
        <v>2049</v>
      </c>
      <c r="S77" s="250"/>
      <c r="T77" s="319"/>
    </row>
    <row r="78" spans="1:20" ht="13.5" customHeight="1">
      <c r="A78" s="244" t="s">
        <v>273</v>
      </c>
      <c r="B78" s="311" t="s">
        <v>274</v>
      </c>
      <c r="C78" s="286">
        <f>+[7]Sheet!$E$50</f>
        <v>100</v>
      </c>
      <c r="D78" s="280"/>
      <c r="E78" s="287"/>
      <c r="F78" s="286">
        <f>+[7]Sheet!$G$50</f>
        <v>300</v>
      </c>
      <c r="G78" s="280"/>
      <c r="H78" s="287"/>
      <c r="I78" s="286"/>
      <c r="J78" s="280"/>
      <c r="K78" s="281"/>
      <c r="L78" s="286"/>
      <c r="M78" s="280"/>
      <c r="N78" s="320"/>
      <c r="O78" s="286">
        <f>+[7]Sheet!$M$50</f>
        <v>1200</v>
      </c>
      <c r="P78" s="280"/>
      <c r="Q78" s="281"/>
      <c r="R78" s="286">
        <f t="shared" si="2"/>
        <v>1600</v>
      </c>
      <c r="S78" s="280"/>
      <c r="T78" s="320"/>
    </row>
    <row r="79" spans="1:20" s="407" customFormat="1" ht="13.5" customHeight="1">
      <c r="A79" s="245" t="s">
        <v>211</v>
      </c>
      <c r="B79" s="312" t="s">
        <v>169</v>
      </c>
      <c r="C79" s="365">
        <f>SUM(C70:C78)-SUM(C75:C76)</f>
        <v>4718</v>
      </c>
      <c r="D79" s="371"/>
      <c r="E79" s="372"/>
      <c r="F79" s="365">
        <f>SUM(F70:F78)-SUM(F75:F76)</f>
        <v>4285</v>
      </c>
      <c r="G79" s="371"/>
      <c r="H79" s="372"/>
      <c r="I79" s="365">
        <f>SUM(I70:I78)-SUM(I75:I76)</f>
        <v>0</v>
      </c>
      <c r="J79" s="371"/>
      <c r="K79" s="374"/>
      <c r="L79" s="365">
        <f>SUM(L70:L78)-SUM(L75:L76)</f>
        <v>494</v>
      </c>
      <c r="M79" s="371"/>
      <c r="N79" s="375"/>
      <c r="O79" s="365">
        <f>SUM(O70:O78)-SUM(O75:O76)</f>
        <v>1550</v>
      </c>
      <c r="P79" s="371"/>
      <c r="Q79" s="374"/>
      <c r="R79" s="365">
        <f>SUM(R70:R78)-SUM(R75:R76)</f>
        <v>11047</v>
      </c>
      <c r="S79" s="371"/>
      <c r="T79" s="375"/>
    </row>
    <row r="80" spans="1:20" ht="13.5" customHeight="1">
      <c r="A80" s="242" t="s">
        <v>275</v>
      </c>
      <c r="B80" s="309" t="s">
        <v>276</v>
      </c>
      <c r="C80" s="269">
        <f>+[7]Sheet!$E$51</f>
        <v>50</v>
      </c>
      <c r="D80" s="263"/>
      <c r="E80" s="270"/>
      <c r="F80" s="269">
        <f>+[7]Sheet!$G$51</f>
        <v>50</v>
      </c>
      <c r="G80" s="263"/>
      <c r="H80" s="270"/>
      <c r="I80" s="269"/>
      <c r="J80" s="263"/>
      <c r="K80" s="264"/>
      <c r="L80" s="269"/>
      <c r="M80" s="263"/>
      <c r="N80" s="318"/>
      <c r="O80" s="269">
        <f>+[7]Sheet!$M$51</f>
        <v>50</v>
      </c>
      <c r="P80" s="263"/>
      <c r="Q80" s="264"/>
      <c r="R80" s="269">
        <f t="shared" si="2"/>
        <v>150</v>
      </c>
      <c r="S80" s="263"/>
      <c r="T80" s="318"/>
    </row>
    <row r="81" spans="1:20" ht="13.5" customHeight="1">
      <c r="A81" s="244" t="s">
        <v>277</v>
      </c>
      <c r="B81" s="311" t="s">
        <v>278</v>
      </c>
      <c r="C81" s="286"/>
      <c r="D81" s="280"/>
      <c r="E81" s="287"/>
      <c r="F81" s="286"/>
      <c r="G81" s="280"/>
      <c r="H81" s="287"/>
      <c r="I81" s="286"/>
      <c r="J81" s="280"/>
      <c r="K81" s="281"/>
      <c r="L81" s="286"/>
      <c r="M81" s="280"/>
      <c r="N81" s="320"/>
      <c r="O81" s="286"/>
      <c r="P81" s="280"/>
      <c r="Q81" s="281"/>
      <c r="R81" s="286">
        <f t="shared" si="2"/>
        <v>0</v>
      </c>
      <c r="S81" s="280"/>
      <c r="T81" s="320"/>
    </row>
    <row r="82" spans="1:20" s="407" customFormat="1" ht="13.5" customHeight="1">
      <c r="A82" s="245" t="s">
        <v>212</v>
      </c>
      <c r="B82" s="312" t="s">
        <v>170</v>
      </c>
      <c r="C82" s="365">
        <f>SUM(C80:C81)</f>
        <v>50</v>
      </c>
      <c r="D82" s="371"/>
      <c r="E82" s="372"/>
      <c r="F82" s="365">
        <f>SUM(F80:F81)</f>
        <v>50</v>
      </c>
      <c r="G82" s="371"/>
      <c r="H82" s="372"/>
      <c r="I82" s="365">
        <f>SUM(I80:I81)</f>
        <v>0</v>
      </c>
      <c r="J82" s="371"/>
      <c r="K82" s="374"/>
      <c r="L82" s="365">
        <f>SUM(L80:L81)</f>
        <v>0</v>
      </c>
      <c r="M82" s="371"/>
      <c r="N82" s="375"/>
      <c r="O82" s="365">
        <f>SUM(O80:O81)</f>
        <v>50</v>
      </c>
      <c r="P82" s="371"/>
      <c r="Q82" s="374"/>
      <c r="R82" s="365">
        <f>SUM(R80:R81)</f>
        <v>150</v>
      </c>
      <c r="S82" s="371"/>
      <c r="T82" s="375"/>
    </row>
    <row r="83" spans="1:20" ht="13.5" customHeight="1">
      <c r="A83" s="242" t="s">
        <v>279</v>
      </c>
      <c r="B83" s="309" t="s">
        <v>280</v>
      </c>
      <c r="C83" s="269">
        <f>+[7]Sheet!$E$54</f>
        <v>1445</v>
      </c>
      <c r="D83" s="263"/>
      <c r="E83" s="270"/>
      <c r="F83" s="269">
        <f>+[7]Sheet!$G$54</f>
        <v>1457</v>
      </c>
      <c r="G83" s="263"/>
      <c r="H83" s="270"/>
      <c r="I83" s="269">
        <f>+[7]Sheet!$I$54</f>
        <v>11</v>
      </c>
      <c r="J83" s="263"/>
      <c r="K83" s="264"/>
      <c r="L83" s="269">
        <f>+[7]Sheet!$K$54</f>
        <v>144</v>
      </c>
      <c r="M83" s="263"/>
      <c r="N83" s="318"/>
      <c r="O83" s="269">
        <f>+[7]Sheet!$M$54</f>
        <v>585</v>
      </c>
      <c r="P83" s="263"/>
      <c r="Q83" s="264"/>
      <c r="R83" s="269">
        <f t="shared" si="2"/>
        <v>3642</v>
      </c>
      <c r="S83" s="263"/>
      <c r="T83" s="318"/>
    </row>
    <row r="84" spans="1:20" ht="13.5" customHeight="1">
      <c r="A84" s="243" t="s">
        <v>281</v>
      </c>
      <c r="B84" s="310" t="s">
        <v>282</v>
      </c>
      <c r="C84" s="260"/>
      <c r="D84" s="250"/>
      <c r="E84" s="251"/>
      <c r="F84" s="260"/>
      <c r="G84" s="250"/>
      <c r="H84" s="251"/>
      <c r="I84" s="260"/>
      <c r="J84" s="250"/>
      <c r="K84" s="255"/>
      <c r="L84" s="260"/>
      <c r="M84" s="250"/>
      <c r="N84" s="319"/>
      <c r="O84" s="260"/>
      <c r="P84" s="250"/>
      <c r="Q84" s="255"/>
      <c r="R84" s="260">
        <f t="shared" si="2"/>
        <v>0</v>
      </c>
      <c r="S84" s="250"/>
      <c r="T84" s="319"/>
    </row>
    <row r="85" spans="1:20" ht="13.5" customHeight="1">
      <c r="A85" s="243" t="s">
        <v>283</v>
      </c>
      <c r="B85" s="310" t="s">
        <v>284</v>
      </c>
      <c r="C85" s="260"/>
      <c r="D85" s="250"/>
      <c r="E85" s="251"/>
      <c r="F85" s="260"/>
      <c r="G85" s="250"/>
      <c r="H85" s="251"/>
      <c r="I85" s="260"/>
      <c r="J85" s="250"/>
      <c r="K85" s="255"/>
      <c r="L85" s="260"/>
      <c r="M85" s="250"/>
      <c r="N85" s="319"/>
      <c r="O85" s="260"/>
      <c r="P85" s="250"/>
      <c r="Q85" s="255"/>
      <c r="R85" s="260">
        <f t="shared" si="2"/>
        <v>0</v>
      </c>
      <c r="S85" s="250"/>
      <c r="T85" s="319"/>
    </row>
    <row r="86" spans="1:20" ht="13.5" customHeight="1">
      <c r="A86" s="243" t="s">
        <v>285</v>
      </c>
      <c r="B86" s="310" t="s">
        <v>286</v>
      </c>
      <c r="C86" s="260"/>
      <c r="D86" s="250"/>
      <c r="E86" s="251"/>
      <c r="F86" s="260"/>
      <c r="G86" s="250"/>
      <c r="H86" s="251"/>
      <c r="I86" s="260"/>
      <c r="J86" s="250"/>
      <c r="K86" s="255"/>
      <c r="L86" s="260"/>
      <c r="M86" s="250"/>
      <c r="N86" s="319"/>
      <c r="O86" s="260"/>
      <c r="P86" s="250"/>
      <c r="Q86" s="255"/>
      <c r="R86" s="260">
        <f t="shared" si="2"/>
        <v>0</v>
      </c>
      <c r="S86" s="250"/>
      <c r="T86" s="319"/>
    </row>
    <row r="87" spans="1:20" ht="13.5" customHeight="1">
      <c r="A87" s="244" t="s">
        <v>287</v>
      </c>
      <c r="B87" s="311" t="s">
        <v>20</v>
      </c>
      <c r="C87" s="286"/>
      <c r="D87" s="280"/>
      <c r="E87" s="287"/>
      <c r="F87" s="286"/>
      <c r="G87" s="280"/>
      <c r="H87" s="287"/>
      <c r="I87" s="286"/>
      <c r="J87" s="280"/>
      <c r="K87" s="281"/>
      <c r="L87" s="286"/>
      <c r="M87" s="280"/>
      <c r="N87" s="320"/>
      <c r="O87" s="286"/>
      <c r="P87" s="280"/>
      <c r="Q87" s="281"/>
      <c r="R87" s="286">
        <f t="shared" si="2"/>
        <v>0</v>
      </c>
      <c r="S87" s="280"/>
      <c r="T87" s="320"/>
    </row>
    <row r="88" spans="1:20" s="407" customFormat="1" ht="13.5" customHeight="1">
      <c r="A88" s="245" t="s">
        <v>213</v>
      </c>
      <c r="B88" s="312" t="s">
        <v>171</v>
      </c>
      <c r="C88" s="365">
        <f>SUM(C83:C87)</f>
        <v>1445</v>
      </c>
      <c r="D88" s="371"/>
      <c r="E88" s="372"/>
      <c r="F88" s="365">
        <f>SUM(F83:F87)</f>
        <v>1457</v>
      </c>
      <c r="G88" s="371"/>
      <c r="H88" s="372"/>
      <c r="I88" s="365">
        <f>SUM(I83:I87)</f>
        <v>11</v>
      </c>
      <c r="J88" s="371"/>
      <c r="K88" s="374"/>
      <c r="L88" s="365">
        <f>SUM(L83:L87)</f>
        <v>144</v>
      </c>
      <c r="M88" s="371"/>
      <c r="N88" s="375"/>
      <c r="O88" s="365">
        <f>SUM(O83:O87)</f>
        <v>585</v>
      </c>
      <c r="P88" s="371"/>
      <c r="Q88" s="374"/>
      <c r="R88" s="365">
        <f>SUM(R83:R87)</f>
        <v>3642</v>
      </c>
      <c r="S88" s="371"/>
      <c r="T88" s="375"/>
    </row>
    <row r="89" spans="1:20" s="407" customFormat="1" ht="13.5" customHeight="1">
      <c r="A89" s="245" t="s">
        <v>214</v>
      </c>
      <c r="B89" s="312" t="s">
        <v>172</v>
      </c>
      <c r="C89" s="365">
        <f>+C66+C69+C79+C82+C88</f>
        <v>6848</v>
      </c>
      <c r="D89" s="371"/>
      <c r="E89" s="372"/>
      <c r="F89" s="365">
        <f>+F66+F69+F79+F82+F88</f>
        <v>6903</v>
      </c>
      <c r="G89" s="371"/>
      <c r="H89" s="372"/>
      <c r="I89" s="365">
        <f>+I66+I69+I79+I82+I88</f>
        <v>51</v>
      </c>
      <c r="J89" s="371"/>
      <c r="K89" s="374"/>
      <c r="L89" s="365">
        <f>+L66+L69+L79+L82+L88</f>
        <v>678</v>
      </c>
      <c r="M89" s="371"/>
      <c r="N89" s="375"/>
      <c r="O89" s="365">
        <f>+O66+O69+O79+O82+O88</f>
        <v>2802</v>
      </c>
      <c r="P89" s="371"/>
      <c r="Q89" s="374"/>
      <c r="R89" s="365">
        <f>+R66+R69+R79+R82+R88</f>
        <v>17282</v>
      </c>
      <c r="S89" s="371"/>
      <c r="T89" s="375"/>
    </row>
    <row r="90" spans="1:20" ht="13.5" customHeight="1">
      <c r="A90" s="242" t="s">
        <v>351</v>
      </c>
      <c r="B90" s="236" t="s">
        <v>352</v>
      </c>
      <c r="C90" s="269"/>
      <c r="D90" s="263"/>
      <c r="E90" s="270"/>
      <c r="F90" s="269"/>
      <c r="G90" s="263"/>
      <c r="H90" s="270"/>
      <c r="I90" s="269">
        <f>SUM(I91)</f>
        <v>0</v>
      </c>
      <c r="J90" s="263"/>
      <c r="K90" s="264"/>
      <c r="L90" s="269">
        <f>SUM(L91)</f>
        <v>8107</v>
      </c>
      <c r="M90" s="263"/>
      <c r="N90" s="318"/>
      <c r="O90" s="269"/>
      <c r="P90" s="263"/>
      <c r="Q90" s="264"/>
      <c r="R90" s="269">
        <f t="shared" ref="R90:R94" si="3">+C90+F90+I90+L90+O90</f>
        <v>8107</v>
      </c>
      <c r="S90" s="263"/>
      <c r="T90" s="318"/>
    </row>
    <row r="91" spans="1:20" s="352" customFormat="1" ht="13.5" customHeight="1">
      <c r="A91" s="248" t="s">
        <v>351</v>
      </c>
      <c r="B91" s="237" t="s">
        <v>143</v>
      </c>
      <c r="C91" s="366"/>
      <c r="D91" s="367"/>
      <c r="E91" s="368"/>
      <c r="F91" s="366"/>
      <c r="G91" s="367"/>
      <c r="H91" s="368"/>
      <c r="I91" s="366"/>
      <c r="J91" s="367"/>
      <c r="K91" s="369"/>
      <c r="L91" s="366">
        <f>+[7]Sheet!$K$61</f>
        <v>8107</v>
      </c>
      <c r="M91" s="367"/>
      <c r="N91" s="370"/>
      <c r="O91" s="366"/>
      <c r="P91" s="367"/>
      <c r="Q91" s="369"/>
      <c r="R91" s="286">
        <f t="shared" ref="R91" si="4">+C91+F91+I91+L91+O91</f>
        <v>8107</v>
      </c>
      <c r="S91" s="367"/>
      <c r="T91" s="370"/>
    </row>
    <row r="92" spans="1:20" ht="13.5" customHeight="1">
      <c r="A92" s="398" t="s">
        <v>353</v>
      </c>
      <c r="B92" s="402" t="s">
        <v>354</v>
      </c>
      <c r="C92" s="286">
        <f>+SUM(C93:C94)</f>
        <v>0</v>
      </c>
      <c r="D92" s="280"/>
      <c r="E92" s="287"/>
      <c r="F92" s="286">
        <f>+SUM(F93:F94)</f>
        <v>0</v>
      </c>
      <c r="G92" s="280"/>
      <c r="H92" s="287"/>
      <c r="I92" s="286">
        <f>+SUM(I93:I94)</f>
        <v>0</v>
      </c>
      <c r="J92" s="280"/>
      <c r="K92" s="281"/>
      <c r="L92" s="286">
        <f>+SUM(L93:L94)</f>
        <v>0</v>
      </c>
      <c r="M92" s="280"/>
      <c r="N92" s="320"/>
      <c r="O92" s="286">
        <f>+SUM(O93:O94)</f>
        <v>0</v>
      </c>
      <c r="P92" s="280"/>
      <c r="Q92" s="281"/>
      <c r="R92" s="286">
        <f t="shared" si="3"/>
        <v>0</v>
      </c>
      <c r="S92" s="280"/>
      <c r="T92" s="320"/>
    </row>
    <row r="93" spans="1:20" s="352" customFormat="1" ht="13.5" customHeight="1">
      <c r="A93" s="537"/>
      <c r="B93" s="538" t="s">
        <v>395</v>
      </c>
      <c r="C93" s="350"/>
      <c r="D93" s="344"/>
      <c r="E93" s="351"/>
      <c r="F93" s="350"/>
      <c r="G93" s="344"/>
      <c r="H93" s="351"/>
      <c r="I93" s="350"/>
      <c r="J93" s="344"/>
      <c r="K93" s="345"/>
      <c r="L93" s="350"/>
      <c r="M93" s="344"/>
      <c r="N93" s="362"/>
      <c r="O93" s="350"/>
      <c r="P93" s="344"/>
      <c r="Q93" s="345"/>
      <c r="R93" s="366">
        <f t="shared" si="3"/>
        <v>0</v>
      </c>
      <c r="S93" s="344"/>
      <c r="T93" s="362"/>
    </row>
    <row r="94" spans="1:20" s="352" customFormat="1" ht="13.5" customHeight="1">
      <c r="A94" s="539"/>
      <c r="B94" s="538" t="s">
        <v>396</v>
      </c>
      <c r="C94" s="357"/>
      <c r="D94" s="355"/>
      <c r="E94" s="358"/>
      <c r="F94" s="357"/>
      <c r="G94" s="355"/>
      <c r="H94" s="358"/>
      <c r="I94" s="357"/>
      <c r="J94" s="355"/>
      <c r="K94" s="356"/>
      <c r="L94" s="357"/>
      <c r="M94" s="355"/>
      <c r="N94" s="364"/>
      <c r="O94" s="357"/>
      <c r="P94" s="355"/>
      <c r="Q94" s="356"/>
      <c r="R94" s="366">
        <f t="shared" si="3"/>
        <v>0</v>
      </c>
      <c r="S94" s="355"/>
      <c r="T94" s="364"/>
    </row>
    <row r="95" spans="1:20" s="407" customFormat="1" ht="13.5" customHeight="1">
      <c r="A95" s="245" t="s">
        <v>215</v>
      </c>
      <c r="B95" s="312" t="s">
        <v>173</v>
      </c>
      <c r="C95" s="365">
        <f>+C90+C92</f>
        <v>0</v>
      </c>
      <c r="D95" s="371"/>
      <c r="E95" s="372"/>
      <c r="F95" s="365">
        <f>+F90+F92</f>
        <v>0</v>
      </c>
      <c r="G95" s="371"/>
      <c r="H95" s="372"/>
      <c r="I95" s="365">
        <f>+I90+I92</f>
        <v>0</v>
      </c>
      <c r="J95" s="371"/>
      <c r="K95" s="374"/>
      <c r="L95" s="365">
        <f>+L90+L92</f>
        <v>8107</v>
      </c>
      <c r="M95" s="371"/>
      <c r="N95" s="375"/>
      <c r="O95" s="365">
        <f>+O90+O92</f>
        <v>0</v>
      </c>
      <c r="P95" s="371"/>
      <c r="Q95" s="374"/>
      <c r="R95" s="365">
        <f>+R90+R92</f>
        <v>8107</v>
      </c>
      <c r="S95" s="371"/>
      <c r="T95" s="375"/>
    </row>
    <row r="96" spans="1:20" ht="13.5" customHeight="1">
      <c r="A96" s="242" t="s">
        <v>288</v>
      </c>
      <c r="B96" s="309" t="s">
        <v>289</v>
      </c>
      <c r="C96" s="269"/>
      <c r="D96" s="263"/>
      <c r="E96" s="270"/>
      <c r="F96" s="269"/>
      <c r="G96" s="263"/>
      <c r="H96" s="270"/>
      <c r="I96" s="269"/>
      <c r="J96" s="263"/>
      <c r="K96" s="264"/>
      <c r="L96" s="269"/>
      <c r="M96" s="263"/>
      <c r="N96" s="318"/>
      <c r="O96" s="269"/>
      <c r="P96" s="263"/>
      <c r="Q96" s="264"/>
      <c r="R96" s="269">
        <f t="shared" ref="R96:R102" si="5">+C96+F96+I96+L96+O96</f>
        <v>0</v>
      </c>
      <c r="S96" s="263"/>
      <c r="T96" s="318"/>
    </row>
    <row r="97" spans="1:20" ht="13.5" customHeight="1">
      <c r="A97" s="243" t="s">
        <v>290</v>
      </c>
      <c r="B97" s="310" t="s">
        <v>291</v>
      </c>
      <c r="C97" s="260"/>
      <c r="D97" s="250"/>
      <c r="E97" s="251"/>
      <c r="F97" s="260"/>
      <c r="G97" s="250"/>
      <c r="H97" s="251"/>
      <c r="I97" s="260"/>
      <c r="J97" s="250"/>
      <c r="K97" s="255"/>
      <c r="L97" s="260"/>
      <c r="M97" s="250"/>
      <c r="N97" s="319"/>
      <c r="O97" s="260"/>
      <c r="P97" s="250"/>
      <c r="Q97" s="255"/>
      <c r="R97" s="260">
        <f t="shared" si="5"/>
        <v>0</v>
      </c>
      <c r="S97" s="250"/>
      <c r="T97" s="319"/>
    </row>
    <row r="98" spans="1:20" ht="13.5" customHeight="1">
      <c r="A98" s="243" t="s">
        <v>292</v>
      </c>
      <c r="B98" s="310" t="s">
        <v>293</v>
      </c>
      <c r="C98" s="260"/>
      <c r="D98" s="250"/>
      <c r="E98" s="251"/>
      <c r="F98" s="260"/>
      <c r="G98" s="250"/>
      <c r="H98" s="251"/>
      <c r="I98" s="260"/>
      <c r="J98" s="250"/>
      <c r="K98" s="255"/>
      <c r="L98" s="260"/>
      <c r="M98" s="250"/>
      <c r="N98" s="319"/>
      <c r="O98" s="260">
        <f>+[7]Sheet!$M$65</f>
        <v>150</v>
      </c>
      <c r="P98" s="250"/>
      <c r="Q98" s="255"/>
      <c r="R98" s="260">
        <f t="shared" si="5"/>
        <v>150</v>
      </c>
      <c r="S98" s="250"/>
      <c r="T98" s="319"/>
    </row>
    <row r="99" spans="1:20" ht="13.5" customHeight="1">
      <c r="A99" s="243" t="s">
        <v>294</v>
      </c>
      <c r="B99" s="310" t="s">
        <v>295</v>
      </c>
      <c r="C99" s="260"/>
      <c r="D99" s="250"/>
      <c r="E99" s="251"/>
      <c r="F99" s="260">
        <f>+[7]Sheet!$G$66</f>
        <v>400</v>
      </c>
      <c r="G99" s="250"/>
      <c r="H99" s="251"/>
      <c r="I99" s="260"/>
      <c r="J99" s="250"/>
      <c r="K99" s="255"/>
      <c r="L99" s="260"/>
      <c r="M99" s="250"/>
      <c r="N99" s="319"/>
      <c r="O99" s="260"/>
      <c r="P99" s="250"/>
      <c r="Q99" s="255"/>
      <c r="R99" s="260">
        <f t="shared" si="5"/>
        <v>400</v>
      </c>
      <c r="S99" s="250"/>
      <c r="T99" s="319"/>
    </row>
    <row r="100" spans="1:20" ht="13.5" customHeight="1">
      <c r="A100" s="243" t="s">
        <v>296</v>
      </c>
      <c r="B100" s="310" t="s">
        <v>297</v>
      </c>
      <c r="C100" s="260"/>
      <c r="D100" s="250"/>
      <c r="E100" s="251"/>
      <c r="F100" s="260"/>
      <c r="G100" s="250"/>
      <c r="H100" s="251"/>
      <c r="I100" s="260"/>
      <c r="J100" s="250"/>
      <c r="K100" s="255"/>
      <c r="L100" s="260"/>
      <c r="M100" s="250"/>
      <c r="N100" s="319"/>
      <c r="O100" s="260"/>
      <c r="P100" s="250"/>
      <c r="Q100" s="255"/>
      <c r="R100" s="260">
        <f t="shared" si="5"/>
        <v>0</v>
      </c>
      <c r="S100" s="250"/>
      <c r="T100" s="319"/>
    </row>
    <row r="101" spans="1:20" ht="13.5" customHeight="1">
      <c r="A101" s="243" t="s">
        <v>298</v>
      </c>
      <c r="B101" s="310" t="s">
        <v>299</v>
      </c>
      <c r="C101" s="260"/>
      <c r="D101" s="250"/>
      <c r="E101" s="251"/>
      <c r="F101" s="260"/>
      <c r="G101" s="250"/>
      <c r="H101" s="251"/>
      <c r="I101" s="260"/>
      <c r="J101" s="250"/>
      <c r="K101" s="255"/>
      <c r="L101" s="260"/>
      <c r="M101" s="250"/>
      <c r="N101" s="319"/>
      <c r="O101" s="260"/>
      <c r="P101" s="250"/>
      <c r="Q101" s="255"/>
      <c r="R101" s="260">
        <f t="shared" si="5"/>
        <v>0</v>
      </c>
      <c r="S101" s="250"/>
      <c r="T101" s="319"/>
    </row>
    <row r="102" spans="1:20" ht="13.5" customHeight="1">
      <c r="A102" s="244" t="s">
        <v>300</v>
      </c>
      <c r="B102" s="311" t="s">
        <v>301</v>
      </c>
      <c r="C102" s="286">
        <f>+C119</f>
        <v>0</v>
      </c>
      <c r="D102" s="280"/>
      <c r="E102" s="287"/>
      <c r="F102" s="286">
        <f>+[7]Sheet!$G$67</f>
        <v>108</v>
      </c>
      <c r="G102" s="280"/>
      <c r="H102" s="287"/>
      <c r="I102" s="286"/>
      <c r="J102" s="280"/>
      <c r="K102" s="281"/>
      <c r="L102" s="286"/>
      <c r="M102" s="280"/>
      <c r="N102" s="320"/>
      <c r="O102" s="286">
        <f>+[7]Sheet!$M$67</f>
        <v>41</v>
      </c>
      <c r="P102" s="280"/>
      <c r="Q102" s="281"/>
      <c r="R102" s="286">
        <f t="shared" si="5"/>
        <v>149</v>
      </c>
      <c r="S102" s="280"/>
      <c r="T102" s="320"/>
    </row>
    <row r="103" spans="1:20" s="407" customFormat="1" ht="13.5" customHeight="1">
      <c r="A103" s="245" t="s">
        <v>216</v>
      </c>
      <c r="B103" s="312" t="s">
        <v>128</v>
      </c>
      <c r="C103" s="365">
        <f>SUM(C96:C102)</f>
        <v>0</v>
      </c>
      <c r="D103" s="371"/>
      <c r="E103" s="372"/>
      <c r="F103" s="365">
        <f>SUM(F96:F102)</f>
        <v>508</v>
      </c>
      <c r="G103" s="371"/>
      <c r="H103" s="372"/>
      <c r="I103" s="365">
        <f>SUM(I96:I102)</f>
        <v>0</v>
      </c>
      <c r="J103" s="371"/>
      <c r="K103" s="374"/>
      <c r="L103" s="365">
        <f>SUM(L96:L102)</f>
        <v>0</v>
      </c>
      <c r="M103" s="371"/>
      <c r="N103" s="375"/>
      <c r="O103" s="365">
        <f>SUM(O96:O102)</f>
        <v>191</v>
      </c>
      <c r="P103" s="371"/>
      <c r="Q103" s="374"/>
      <c r="R103" s="365">
        <f>SUM(R96:R102)</f>
        <v>699</v>
      </c>
      <c r="S103" s="371"/>
      <c r="T103" s="375"/>
    </row>
    <row r="104" spans="1:20" ht="13.5" customHeight="1">
      <c r="A104" s="242" t="s">
        <v>302</v>
      </c>
      <c r="B104" s="309" t="s">
        <v>303</v>
      </c>
      <c r="C104" s="269"/>
      <c r="D104" s="263"/>
      <c r="E104" s="270"/>
      <c r="F104" s="269"/>
      <c r="G104" s="263"/>
      <c r="H104" s="270"/>
      <c r="I104" s="269"/>
      <c r="J104" s="263"/>
      <c r="K104" s="264"/>
      <c r="L104" s="269"/>
      <c r="M104" s="263"/>
      <c r="N104" s="318"/>
      <c r="O104" s="269"/>
      <c r="P104" s="263"/>
      <c r="Q104" s="264"/>
      <c r="R104" s="269">
        <f t="shared" ref="R104:R107" si="6">+C104+F104+I104+L104+O104</f>
        <v>0</v>
      </c>
      <c r="S104" s="263"/>
      <c r="T104" s="318"/>
    </row>
    <row r="105" spans="1:20" ht="13.5" customHeight="1">
      <c r="A105" s="243" t="s">
        <v>304</v>
      </c>
      <c r="B105" s="310" t="s">
        <v>305</v>
      </c>
      <c r="C105" s="260"/>
      <c r="D105" s="250"/>
      <c r="E105" s="251"/>
      <c r="F105" s="260"/>
      <c r="G105" s="250"/>
      <c r="H105" s="251"/>
      <c r="I105" s="260"/>
      <c r="J105" s="250"/>
      <c r="K105" s="255"/>
      <c r="L105" s="260"/>
      <c r="M105" s="250"/>
      <c r="N105" s="319"/>
      <c r="O105" s="260"/>
      <c r="P105" s="250"/>
      <c r="Q105" s="255"/>
      <c r="R105" s="260">
        <f t="shared" si="6"/>
        <v>0</v>
      </c>
      <c r="S105" s="250"/>
      <c r="T105" s="319"/>
    </row>
    <row r="106" spans="1:20" ht="13.5" customHeight="1">
      <c r="A106" s="243" t="s">
        <v>306</v>
      </c>
      <c r="B106" s="310" t="s">
        <v>307</v>
      </c>
      <c r="C106" s="260"/>
      <c r="D106" s="250"/>
      <c r="E106" s="251"/>
      <c r="F106" s="260"/>
      <c r="G106" s="250"/>
      <c r="H106" s="251"/>
      <c r="I106" s="260"/>
      <c r="J106" s="250"/>
      <c r="K106" s="255"/>
      <c r="L106" s="260"/>
      <c r="M106" s="250"/>
      <c r="N106" s="319"/>
      <c r="O106" s="260"/>
      <c r="P106" s="250"/>
      <c r="Q106" s="255"/>
      <c r="R106" s="260">
        <f t="shared" si="6"/>
        <v>0</v>
      </c>
      <c r="S106" s="250"/>
      <c r="T106" s="319"/>
    </row>
    <row r="107" spans="1:20" ht="13.5" customHeight="1">
      <c r="A107" s="244" t="s">
        <v>308</v>
      </c>
      <c r="B107" s="311" t="s">
        <v>309</v>
      </c>
      <c r="C107" s="286"/>
      <c r="D107" s="280"/>
      <c r="E107" s="287"/>
      <c r="F107" s="286"/>
      <c r="G107" s="280"/>
      <c r="H107" s="287"/>
      <c r="I107" s="286"/>
      <c r="J107" s="280"/>
      <c r="K107" s="281"/>
      <c r="L107" s="286"/>
      <c r="M107" s="280"/>
      <c r="N107" s="320"/>
      <c r="O107" s="286"/>
      <c r="P107" s="280"/>
      <c r="Q107" s="281"/>
      <c r="R107" s="286">
        <f t="shared" si="6"/>
        <v>0</v>
      </c>
      <c r="S107" s="280"/>
      <c r="T107" s="320"/>
    </row>
    <row r="108" spans="1:20" s="407" customFormat="1" ht="13.5" customHeight="1">
      <c r="A108" s="245" t="s">
        <v>217</v>
      </c>
      <c r="B108" s="312" t="s">
        <v>174</v>
      </c>
      <c r="C108" s="365">
        <f>SUM(C104:C107)</f>
        <v>0</v>
      </c>
      <c r="D108" s="371"/>
      <c r="E108" s="372"/>
      <c r="F108" s="365">
        <f>SUM(F104:F107)</f>
        <v>0</v>
      </c>
      <c r="G108" s="371"/>
      <c r="H108" s="372"/>
      <c r="I108" s="365">
        <f>SUM(I104:I107)</f>
        <v>0</v>
      </c>
      <c r="J108" s="371"/>
      <c r="K108" s="374"/>
      <c r="L108" s="365">
        <f>SUM(L104:L107)</f>
        <v>0</v>
      </c>
      <c r="M108" s="371"/>
      <c r="N108" s="375"/>
      <c r="O108" s="365">
        <f>SUM(O104:O107)</f>
        <v>0</v>
      </c>
      <c r="P108" s="371"/>
      <c r="Q108" s="374"/>
      <c r="R108" s="365">
        <f>SUM(R104:R107)</f>
        <v>0</v>
      </c>
      <c r="S108" s="371"/>
      <c r="T108" s="375"/>
    </row>
    <row r="109" spans="1:20" s="407" customFormat="1" ht="13.5" customHeight="1">
      <c r="A109" s="245" t="s">
        <v>218</v>
      </c>
      <c r="B109" s="312" t="s">
        <v>175</v>
      </c>
      <c r="C109" s="365"/>
      <c r="D109" s="371"/>
      <c r="E109" s="372"/>
      <c r="F109" s="365"/>
      <c r="G109" s="371"/>
      <c r="H109" s="372"/>
      <c r="I109" s="365"/>
      <c r="J109" s="371"/>
      <c r="K109" s="374"/>
      <c r="L109" s="365"/>
      <c r="M109" s="371"/>
      <c r="N109" s="375"/>
      <c r="O109" s="365"/>
      <c r="P109" s="371"/>
      <c r="Q109" s="374"/>
      <c r="R109" s="289">
        <f t="shared" ref="R109" si="7">+C109+F109+I109+L109+O109</f>
        <v>0</v>
      </c>
      <c r="S109" s="371"/>
      <c r="T109" s="375"/>
    </row>
    <row r="110" spans="1:20" s="407" customFormat="1" ht="13.5" customHeight="1">
      <c r="A110" s="249" t="s">
        <v>219</v>
      </c>
      <c r="B110" s="312" t="s">
        <v>176</v>
      </c>
      <c r="C110" s="365">
        <f>+C56+C57+C89+C95+C103+C108+C109</f>
        <v>33688</v>
      </c>
      <c r="D110" s="371"/>
      <c r="E110" s="372"/>
      <c r="F110" s="365">
        <f>+F56+F57+F89+F95+F103+F108+F109</f>
        <v>53963</v>
      </c>
      <c r="G110" s="371"/>
      <c r="H110" s="372"/>
      <c r="I110" s="365">
        <f>+I56+I57+I89+I95+I103+I108+I109</f>
        <v>28489</v>
      </c>
      <c r="J110" s="371"/>
      <c r="K110" s="374"/>
      <c r="L110" s="365">
        <f>+L56+L57+L89+L95+L103+L108+L109</f>
        <v>50679</v>
      </c>
      <c r="M110" s="371"/>
      <c r="N110" s="375"/>
      <c r="O110" s="365">
        <f>+O56+O57+O89+O95+O103+O108+O109</f>
        <v>11045</v>
      </c>
      <c r="P110" s="371"/>
      <c r="Q110" s="374"/>
      <c r="R110" s="365">
        <f>+R56+R57+R89+R95+R103+R108+R109</f>
        <v>177864</v>
      </c>
      <c r="S110" s="371"/>
      <c r="T110" s="375"/>
    </row>
    <row r="111" spans="1:20" s="407" customFormat="1" ht="13.5" customHeight="1" thickBot="1">
      <c r="A111" s="307" t="s">
        <v>220</v>
      </c>
      <c r="B111" s="315" t="s">
        <v>177</v>
      </c>
      <c r="C111" s="392"/>
      <c r="D111" s="393"/>
      <c r="E111" s="394"/>
      <c r="F111" s="392"/>
      <c r="G111" s="393"/>
      <c r="H111" s="394"/>
      <c r="I111" s="392"/>
      <c r="J111" s="393"/>
      <c r="K111" s="396"/>
      <c r="L111" s="392"/>
      <c r="M111" s="393"/>
      <c r="N111" s="397"/>
      <c r="O111" s="392"/>
      <c r="P111" s="393"/>
      <c r="Q111" s="396"/>
      <c r="R111" s="299">
        <f t="shared" ref="R111" si="8">+C111+F111+I111+L111+O111</f>
        <v>0</v>
      </c>
      <c r="S111" s="393"/>
      <c r="T111" s="397"/>
    </row>
    <row r="112" spans="1:20" s="407" customFormat="1" ht="13.5" customHeight="1" thickBot="1">
      <c r="A112" s="901" t="s">
        <v>337</v>
      </c>
      <c r="B112" s="902"/>
      <c r="C112" s="381">
        <f>SUM(C110:C111)</f>
        <v>33688</v>
      </c>
      <c r="D112" s="382"/>
      <c r="E112" s="383"/>
      <c r="F112" s="381">
        <f>SUM(F110:F111)</f>
        <v>53963</v>
      </c>
      <c r="G112" s="382"/>
      <c r="H112" s="383"/>
      <c r="I112" s="381">
        <f>SUM(I110:I111)</f>
        <v>28489</v>
      </c>
      <c r="J112" s="382"/>
      <c r="K112" s="385"/>
      <c r="L112" s="381">
        <f>SUM(L110:L111)</f>
        <v>50679</v>
      </c>
      <c r="M112" s="382"/>
      <c r="N112" s="386"/>
      <c r="O112" s="381">
        <f>SUM(O110:O111)</f>
        <v>11045</v>
      </c>
      <c r="P112" s="382"/>
      <c r="Q112" s="385"/>
      <c r="R112" s="381">
        <f>SUM(R110:R111)</f>
        <v>177864</v>
      </c>
      <c r="S112" s="382"/>
      <c r="T112" s="386"/>
    </row>
    <row r="113" spans="1:20" ht="13.5" customHeight="1" thickBot="1">
      <c r="R113" s="69"/>
    </row>
    <row r="114" spans="1:20" s="407" customFormat="1" ht="13.5" customHeight="1" thickBot="1">
      <c r="A114" s="899" t="s">
        <v>355</v>
      </c>
      <c r="B114" s="942"/>
      <c r="C114" s="381">
        <f>+C36-C112</f>
        <v>0</v>
      </c>
      <c r="D114" s="382"/>
      <c r="E114" s="383"/>
      <c r="F114" s="381">
        <f>+F36-F112</f>
        <v>0</v>
      </c>
      <c r="G114" s="382"/>
      <c r="H114" s="383"/>
      <c r="I114" s="381">
        <f>+I36-I112</f>
        <v>0</v>
      </c>
      <c r="J114" s="382"/>
      <c r="K114" s="383"/>
      <c r="L114" s="381">
        <f>+L36-L112</f>
        <v>0</v>
      </c>
      <c r="M114" s="382"/>
      <c r="N114" s="383"/>
      <c r="O114" s="381">
        <f>+O36-O112</f>
        <v>0</v>
      </c>
      <c r="P114" s="382"/>
      <c r="Q114" s="383"/>
      <c r="R114" s="381">
        <f>+R36-R112</f>
        <v>0</v>
      </c>
      <c r="S114" s="382"/>
      <c r="T114" s="383"/>
    </row>
    <row r="115" spans="1:20" ht="13.5" customHeight="1"/>
    <row r="116" spans="1:20" ht="13.5" customHeight="1">
      <c r="B116" s="68" t="s">
        <v>349</v>
      </c>
      <c r="C116" s="420">
        <f>(+C89-C88)*0.27</f>
        <v>1458.8100000000002</v>
      </c>
      <c r="F116" s="420">
        <f>(+F89-F88)*0.27</f>
        <v>1470.42</v>
      </c>
      <c r="I116" s="420">
        <f>(+I89-I88)*0.27</f>
        <v>10.8</v>
      </c>
      <c r="L116" s="420">
        <f>(+L89-L88)*0.27</f>
        <v>144.18</v>
      </c>
      <c r="O116" s="420">
        <f>(+O89-O88)*0.27</f>
        <v>598.59</v>
      </c>
    </row>
    <row r="117" spans="1:20" ht="13.5" customHeight="1">
      <c r="B117" s="68" t="s">
        <v>345</v>
      </c>
      <c r="C117" s="69">
        <v>2387</v>
      </c>
      <c r="F117" s="420">
        <v>1362</v>
      </c>
      <c r="I117" s="69">
        <v>11</v>
      </c>
      <c r="L117" s="69">
        <v>63</v>
      </c>
      <c r="O117" s="69">
        <v>613</v>
      </c>
    </row>
    <row r="118" spans="1:20" ht="13.5" customHeight="1">
      <c r="B118" s="68" t="s">
        <v>350</v>
      </c>
      <c r="C118" s="420">
        <f>+SUM(C96:C101)*0.27</f>
        <v>0</v>
      </c>
      <c r="F118" s="420">
        <f>+SUM(F96:F101)*0.27</f>
        <v>108</v>
      </c>
      <c r="I118" s="420">
        <f>+SUM(I96:I101)*0.27</f>
        <v>0</v>
      </c>
      <c r="L118" s="420">
        <f>+SUM(L96:L101)*0.27</f>
        <v>0</v>
      </c>
      <c r="O118" s="420">
        <f>+SUM(O96:O101)*0.27</f>
        <v>40.5</v>
      </c>
    </row>
    <row r="119" spans="1:20" ht="13.5" customHeight="1">
      <c r="B119" s="68" t="s">
        <v>345</v>
      </c>
      <c r="F119" s="69">
        <v>81</v>
      </c>
      <c r="O119" s="69">
        <v>14</v>
      </c>
    </row>
    <row r="121" spans="1:20">
      <c r="B121" s="68" t="s">
        <v>356</v>
      </c>
      <c r="D121" s="69">
        <v>5941</v>
      </c>
      <c r="F121" s="70" t="s">
        <v>345</v>
      </c>
      <c r="N121" s="69"/>
      <c r="O121" s="69">
        <v>5747</v>
      </c>
      <c r="Q121" s="70" t="s">
        <v>345</v>
      </c>
      <c r="T121" s="8"/>
    </row>
    <row r="122" spans="1:20">
      <c r="B122" s="68" t="s">
        <v>399</v>
      </c>
      <c r="C122" s="69">
        <v>4</v>
      </c>
      <c r="D122" s="544">
        <f>+C122/C126</f>
        <v>0.4</v>
      </c>
      <c r="E122" s="423">
        <f>+D121*D122</f>
        <v>2376.4</v>
      </c>
      <c r="F122" s="417">
        <v>2376</v>
      </c>
      <c r="N122" s="69">
        <v>4</v>
      </c>
      <c r="O122" s="544">
        <f>+N122/N126</f>
        <v>0.4</v>
      </c>
      <c r="P122" s="423">
        <f>+O121*O122</f>
        <v>2298.8000000000002</v>
      </c>
      <c r="Q122" s="417">
        <v>2299</v>
      </c>
      <c r="T122" s="8"/>
    </row>
    <row r="123" spans="1:20">
      <c r="B123" s="68" t="s">
        <v>400</v>
      </c>
      <c r="C123" s="69">
        <v>2</v>
      </c>
      <c r="D123" s="544">
        <f>+C123/C126</f>
        <v>0.2</v>
      </c>
      <c r="E123" s="423">
        <f>+D121*D123</f>
        <v>1188.2</v>
      </c>
      <c r="F123" s="417">
        <v>1189</v>
      </c>
      <c r="N123" s="69">
        <v>2</v>
      </c>
      <c r="O123" s="544">
        <f>+N123/N126</f>
        <v>0.2</v>
      </c>
      <c r="P123" s="423">
        <f>+O121*O123</f>
        <v>1149.4000000000001</v>
      </c>
      <c r="Q123" s="417">
        <v>1149</v>
      </c>
      <c r="T123" s="8"/>
    </row>
    <row r="124" spans="1:20">
      <c r="B124" s="68" t="s">
        <v>401</v>
      </c>
      <c r="C124" s="69">
        <v>4</v>
      </c>
      <c r="D124" s="544">
        <f>+C124/C126</f>
        <v>0.4</v>
      </c>
      <c r="E124" s="423">
        <f>+D121*D124</f>
        <v>2376.4</v>
      </c>
      <c r="F124" s="417">
        <v>2376</v>
      </c>
      <c r="N124" s="69">
        <v>4</v>
      </c>
      <c r="O124" s="544">
        <f>+N124/N126</f>
        <v>0.4</v>
      </c>
      <c r="P124" s="423">
        <f>+O121*O124</f>
        <v>2298.8000000000002</v>
      </c>
      <c r="Q124" s="417">
        <v>2299</v>
      </c>
      <c r="T124" s="8"/>
    </row>
    <row r="125" spans="1:20">
      <c r="B125" s="68" t="s">
        <v>402</v>
      </c>
      <c r="D125" s="544">
        <f>+C125/C126</f>
        <v>0</v>
      </c>
      <c r="E125" s="423">
        <f>+D121*D125</f>
        <v>0</v>
      </c>
      <c r="F125" s="417"/>
      <c r="N125" s="69"/>
      <c r="O125" s="544">
        <f>+N125/N126</f>
        <v>0</v>
      </c>
      <c r="P125" s="423">
        <f>+O121*O125</f>
        <v>0</v>
      </c>
      <c r="Q125" s="417"/>
      <c r="T125" s="8"/>
    </row>
    <row r="126" spans="1:20">
      <c r="C126" s="69">
        <f>SUM(C122:C125)</f>
        <v>10</v>
      </c>
      <c r="D126" s="544">
        <f>SUM(D122:D125)</f>
        <v>1</v>
      </c>
      <c r="E126" s="423">
        <f>SUM(E122:E125)</f>
        <v>5941</v>
      </c>
      <c r="F126" s="417">
        <f>SUM(F122:F125)</f>
        <v>5941</v>
      </c>
      <c r="N126" s="69">
        <f>SUM(N122:N125)</f>
        <v>10</v>
      </c>
      <c r="O126" s="544">
        <f>SUM(O122:O125)</f>
        <v>1</v>
      </c>
      <c r="P126" s="423">
        <f>SUM(P122:P125)</f>
        <v>5747</v>
      </c>
      <c r="Q126" s="417">
        <f>SUM(Q122:Q125)</f>
        <v>5747</v>
      </c>
      <c r="T126" s="8"/>
    </row>
  </sheetData>
  <mergeCells count="11">
    <mergeCell ref="R1:T1"/>
    <mergeCell ref="L1:N1"/>
    <mergeCell ref="O1:Q1"/>
    <mergeCell ref="A112:B112"/>
    <mergeCell ref="A114:B114"/>
    <mergeCell ref="A36:B36"/>
    <mergeCell ref="A1:A2"/>
    <mergeCell ref="B1:B2"/>
    <mergeCell ref="C1:E1"/>
    <mergeCell ref="I1:K1"/>
    <mergeCell ref="F1:H1"/>
  </mergeCells>
  <phoneticPr fontId="25" type="noConversion"/>
  <printOptions horizontalCentered="1"/>
  <pageMargins left="0.15748031496062992" right="0.15748031496062992" top="0.98425196850393704" bottom="0.43307086614173229" header="0.35433070866141736" footer="0.15748031496062992"/>
  <pageSetup paperSize="8" scale="68" orientation="landscape" r:id="rId1"/>
  <headerFooter alignWithMargins="0">
    <oddHeader>&amp;L&amp;"Times New Roman,Félkövér"&amp;13Szent László Völgye TKT&amp;C&amp;"Times New Roman,Félkövér"&amp;14
&amp;16 2016. ÉVI KÖLTSÉGVETÉS&amp;14
&amp;R4. sz. táblázat
ÓVODA
Adatok: eFt</oddHeader>
    <oddFooter>&amp;L&amp;F&amp;R&amp;P</oddFooter>
  </headerFooter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I110"/>
  <sheetViews>
    <sheetView topLeftCell="A21" zoomScaleSheetLayoutView="85" workbookViewId="0">
      <selection activeCell="I44" sqref="I44"/>
    </sheetView>
  </sheetViews>
  <sheetFormatPr defaultColWidth="8.85546875" defaultRowHeight="12.75"/>
  <cols>
    <col min="1" max="1" width="33.42578125" style="19" customWidth="1"/>
    <col min="2" max="4" width="12.85546875" style="18" customWidth="1"/>
    <col min="5" max="5" width="12.85546875" style="20" customWidth="1"/>
    <col min="6" max="6" width="12.85546875" style="19" customWidth="1"/>
    <col min="7" max="7" width="13.42578125" style="19" customWidth="1"/>
    <col min="8" max="10" width="11.5703125" style="19" customWidth="1"/>
    <col min="11" max="11" width="13.85546875" style="19" customWidth="1"/>
    <col min="12" max="15" width="11.5703125" style="19" customWidth="1"/>
    <col min="16" max="16" width="16.5703125" style="19" customWidth="1"/>
    <col min="17" max="17" width="13.5703125" style="19" customWidth="1"/>
    <col min="18" max="18" width="14.42578125" style="716" customWidth="1"/>
    <col min="19" max="19" width="14.85546875" style="716" customWidth="1"/>
    <col min="20" max="20" width="15.85546875" style="716" customWidth="1"/>
    <col min="21" max="21" width="14.7109375" style="18" customWidth="1"/>
    <col min="22" max="22" width="13.28515625" style="18" customWidth="1"/>
    <col min="23" max="23" width="10.28515625" style="19" bestFit="1" customWidth="1"/>
    <col min="24" max="24" width="5.85546875" style="19" customWidth="1"/>
    <col min="25" max="25" width="11.140625" style="19" bestFit="1" customWidth="1"/>
    <col min="26" max="26" width="10" style="19" bestFit="1" customWidth="1"/>
    <col min="27" max="27" width="9.5703125" style="19" bestFit="1" customWidth="1"/>
    <col min="28" max="28" width="10.7109375" style="19" customWidth="1"/>
    <col min="29" max="29" width="12.28515625" style="19" customWidth="1"/>
    <col min="30" max="30" width="9.85546875" style="19" customWidth="1"/>
    <col min="31" max="16384" width="8.85546875" style="19"/>
  </cols>
  <sheetData>
    <row r="1" spans="1:31">
      <c r="A1" s="24"/>
      <c r="B1" s="22"/>
      <c r="C1" s="22"/>
      <c r="G1" s="713"/>
      <c r="H1" s="713"/>
      <c r="I1" s="713"/>
      <c r="J1" s="713"/>
      <c r="K1" s="713"/>
      <c r="L1" s="713"/>
      <c r="M1" s="713"/>
      <c r="N1" s="713"/>
      <c r="O1" s="713"/>
      <c r="P1" s="713"/>
      <c r="Q1" s="713"/>
      <c r="R1" s="765"/>
      <c r="S1" s="765"/>
      <c r="T1" s="765"/>
      <c r="U1" s="766"/>
      <c r="V1" s="766"/>
      <c r="AE1" s="18"/>
    </row>
    <row r="2" spans="1:31">
      <c r="A2" s="24" t="s">
        <v>105</v>
      </c>
      <c r="B2" s="22">
        <v>4308000</v>
      </c>
      <c r="C2" s="22"/>
      <c r="E2" s="18"/>
      <c r="F2" s="20"/>
      <c r="W2" s="18"/>
      <c r="X2" s="18"/>
      <c r="Y2" s="18"/>
    </row>
    <row r="3" spans="1:31">
      <c r="A3" s="24"/>
      <c r="B3" s="22"/>
      <c r="C3" s="22"/>
      <c r="E3" s="18"/>
      <c r="F3" s="20"/>
      <c r="P3" s="943" t="s">
        <v>462</v>
      </c>
      <c r="Q3" s="943"/>
      <c r="R3" s="943"/>
      <c r="S3" s="943"/>
      <c r="T3" s="943"/>
      <c r="U3" s="943"/>
      <c r="V3" s="943"/>
      <c r="W3" s="943"/>
      <c r="X3" s="943"/>
      <c r="Y3" s="943"/>
      <c r="Z3" s="943"/>
      <c r="AA3" s="943"/>
      <c r="AB3" s="943"/>
    </row>
    <row r="4" spans="1:31">
      <c r="A4" s="24"/>
      <c r="B4" s="22"/>
      <c r="C4" s="22"/>
      <c r="D4" s="19"/>
      <c r="E4" s="19"/>
      <c r="F4" s="20"/>
      <c r="G4" s="949"/>
      <c r="H4" s="949"/>
      <c r="I4" s="949"/>
      <c r="J4" s="949"/>
      <c r="K4" s="949"/>
      <c r="L4" s="949"/>
      <c r="M4" s="949"/>
      <c r="N4" s="758"/>
      <c r="O4" s="758"/>
      <c r="P4" s="758"/>
      <c r="Q4" s="758"/>
      <c r="Y4" s="18"/>
    </row>
    <row r="5" spans="1:31">
      <c r="A5" s="714" t="s">
        <v>463</v>
      </c>
      <c r="B5" s="18" t="s">
        <v>15</v>
      </c>
      <c r="C5" s="19" t="s">
        <v>87</v>
      </c>
      <c r="D5" s="19" t="s">
        <v>86</v>
      </c>
      <c r="E5" s="19" t="s">
        <v>95</v>
      </c>
      <c r="F5" s="20" t="s">
        <v>96</v>
      </c>
      <c r="G5" s="19" t="s">
        <v>97</v>
      </c>
      <c r="H5" s="133" t="s">
        <v>99</v>
      </c>
      <c r="I5" s="19" t="s">
        <v>100</v>
      </c>
      <c r="J5" s="758" t="s">
        <v>102</v>
      </c>
      <c r="K5" s="19" t="s">
        <v>103</v>
      </c>
      <c r="L5" s="714" t="s">
        <v>101</v>
      </c>
      <c r="M5" s="758" t="s">
        <v>104</v>
      </c>
      <c r="N5" s="758" t="s">
        <v>106</v>
      </c>
      <c r="O5" s="758"/>
      <c r="P5" s="714" t="s">
        <v>463</v>
      </c>
      <c r="Q5" s="18" t="s">
        <v>15</v>
      </c>
      <c r="R5" s="19" t="s">
        <v>87</v>
      </c>
      <c r="S5" s="19" t="s">
        <v>86</v>
      </c>
      <c r="T5" s="19" t="s">
        <v>95</v>
      </c>
      <c r="U5" s="20" t="s">
        <v>96</v>
      </c>
      <c r="V5" s="19" t="s">
        <v>97</v>
      </c>
      <c r="W5" s="133" t="s">
        <v>99</v>
      </c>
      <c r="X5" s="19" t="s">
        <v>100</v>
      </c>
      <c r="Y5" s="758" t="s">
        <v>102</v>
      </c>
      <c r="Z5" s="19" t="s">
        <v>103</v>
      </c>
      <c r="AA5" s="714" t="s">
        <v>101</v>
      </c>
      <c r="AB5" s="758" t="s">
        <v>104</v>
      </c>
      <c r="AC5" s="758" t="s">
        <v>106</v>
      </c>
    </row>
    <row r="6" spans="1:31">
      <c r="A6" s="19" t="s">
        <v>41</v>
      </c>
      <c r="B6" s="18">
        <v>44</v>
      </c>
      <c r="C6" s="19">
        <v>1</v>
      </c>
      <c r="D6" s="19"/>
      <c r="E6" s="19">
        <f>+B6+C6+(D6*2)</f>
        <v>45</v>
      </c>
      <c r="F6" s="18">
        <v>20</v>
      </c>
      <c r="G6" s="19">
        <v>1.62</v>
      </c>
      <c r="H6" s="19">
        <v>1</v>
      </c>
      <c r="I6" s="19">
        <v>26</v>
      </c>
      <c r="J6" s="46">
        <f>H6*(1-I6/(H6*32))</f>
        <v>0.1875</v>
      </c>
      <c r="K6" s="46">
        <f>+E6/F6*G6</f>
        <v>3.6450000000000005</v>
      </c>
      <c r="L6" s="46">
        <f>+J6+K6</f>
        <v>3.8325000000000005</v>
      </c>
      <c r="M6" s="46">
        <v>3.8</v>
      </c>
      <c r="N6" s="18">
        <f>+M6*$B$2*(8/12)</f>
        <v>10913600</v>
      </c>
      <c r="P6" s="19" t="s">
        <v>41</v>
      </c>
      <c r="Q6" s="18"/>
      <c r="R6" s="19"/>
      <c r="S6" s="19"/>
      <c r="T6" s="19">
        <f>+Q6+R6+(S6*2)</f>
        <v>0</v>
      </c>
      <c r="U6" s="18">
        <v>20</v>
      </c>
      <c r="V6" s="19">
        <v>1.62</v>
      </c>
      <c r="W6" s="19">
        <v>1</v>
      </c>
      <c r="X6" s="19">
        <v>24</v>
      </c>
      <c r="Y6" s="46">
        <f>W6*(1-X6/(W6*32))</f>
        <v>0.25</v>
      </c>
      <c r="Z6" s="46">
        <f>+T6/U6*V6</f>
        <v>0</v>
      </c>
      <c r="AA6" s="46">
        <f>+Y6+Z6</f>
        <v>0.25</v>
      </c>
      <c r="AB6" s="46"/>
      <c r="AC6" s="18">
        <f>+AB6*$B$2*(8/12)</f>
        <v>0</v>
      </c>
    </row>
    <row r="7" spans="1:31">
      <c r="A7" s="19" t="s">
        <v>42</v>
      </c>
      <c r="B7" s="18">
        <v>87</v>
      </c>
      <c r="C7" s="19">
        <v>1</v>
      </c>
      <c r="D7" s="19"/>
      <c r="E7" s="19">
        <f>+B7+C7+(D7*2)</f>
        <v>88</v>
      </c>
      <c r="F7" s="18">
        <v>20</v>
      </c>
      <c r="G7" s="19">
        <v>1.62</v>
      </c>
      <c r="H7" s="19">
        <v>2</v>
      </c>
      <c r="I7" s="19">
        <f>22+22</f>
        <v>44</v>
      </c>
      <c r="J7" s="46">
        <f>H7*(1-I7/(H7*32))</f>
        <v>0.625</v>
      </c>
      <c r="K7" s="46">
        <f>+E7/F7*G7</f>
        <v>7.128000000000001</v>
      </c>
      <c r="L7" s="46">
        <f t="shared" ref="L7:L10" si="0">+J7+K7</f>
        <v>7.753000000000001</v>
      </c>
      <c r="M7" s="46">
        <v>7.7</v>
      </c>
      <c r="N7" s="18">
        <f t="shared" ref="N7:N11" si="1">+M7*$B$2*(8/12)</f>
        <v>22114400</v>
      </c>
      <c r="P7" s="19" t="s">
        <v>42</v>
      </c>
      <c r="Q7" s="18"/>
      <c r="R7" s="19"/>
      <c r="S7" s="19"/>
      <c r="T7" s="19">
        <f>+Q7+R7+(S7*2)</f>
        <v>0</v>
      </c>
      <c r="U7" s="18">
        <v>20</v>
      </c>
      <c r="V7" s="19">
        <v>1.62</v>
      </c>
      <c r="W7" s="19">
        <v>2</v>
      </c>
      <c r="X7" s="19">
        <f>22+22</f>
        <v>44</v>
      </c>
      <c r="Y7" s="46">
        <f>W7*(1-X7/(W7*32))</f>
        <v>0.625</v>
      </c>
      <c r="Z7" s="46">
        <f>+T7/U7*V7</f>
        <v>0</v>
      </c>
      <c r="AA7" s="46">
        <f t="shared" ref="AA7:AA10" si="2">+Y7+Z7</f>
        <v>0.625</v>
      </c>
      <c r="AB7" s="46"/>
      <c r="AC7" s="18">
        <f t="shared" ref="AC7:AC11" si="3">+AB7*$B$2*(8/12)</f>
        <v>0</v>
      </c>
    </row>
    <row r="8" spans="1:31">
      <c r="A8" s="19" t="s">
        <v>43</v>
      </c>
      <c r="B8" s="18">
        <v>46</v>
      </c>
      <c r="C8" s="19"/>
      <c r="D8" s="19"/>
      <c r="E8" s="19">
        <f>+B8+C8+(D8*2)</f>
        <v>46</v>
      </c>
      <c r="F8" s="18">
        <v>20</v>
      </c>
      <c r="G8" s="19">
        <v>1.62</v>
      </c>
      <c r="H8" s="19">
        <v>1</v>
      </c>
      <c r="I8" s="19">
        <v>26</v>
      </c>
      <c r="J8" s="46">
        <f>H8*(1-I8/(H8*32))</f>
        <v>0.1875</v>
      </c>
      <c r="K8" s="46">
        <f>+E8/F8*G8</f>
        <v>3.726</v>
      </c>
      <c r="L8" s="46">
        <f t="shared" si="0"/>
        <v>3.9135</v>
      </c>
      <c r="M8" s="46">
        <v>3.9</v>
      </c>
      <c r="N8" s="18">
        <f t="shared" si="1"/>
        <v>11200800</v>
      </c>
      <c r="P8" s="19" t="s">
        <v>43</v>
      </c>
      <c r="Q8" s="18"/>
      <c r="R8" s="19"/>
      <c r="S8" s="19"/>
      <c r="T8" s="19">
        <f>+Q8+R8+(S8*2)</f>
        <v>0</v>
      </c>
      <c r="U8" s="18">
        <v>20</v>
      </c>
      <c r="V8" s="19">
        <v>1.62</v>
      </c>
      <c r="W8" s="19">
        <v>1</v>
      </c>
      <c r="X8" s="19">
        <v>24</v>
      </c>
      <c r="Y8" s="46">
        <f>W8*(1-X8/(W8*32))</f>
        <v>0.25</v>
      </c>
      <c r="Z8" s="46">
        <f>+T8/U8*V8</f>
        <v>0</v>
      </c>
      <c r="AA8" s="46">
        <f t="shared" si="2"/>
        <v>0.25</v>
      </c>
      <c r="AB8" s="46"/>
      <c r="AC8" s="18">
        <f t="shared" si="3"/>
        <v>0</v>
      </c>
    </row>
    <row r="9" spans="1:31">
      <c r="A9" s="19" t="s">
        <v>44</v>
      </c>
      <c r="B9" s="18">
        <v>91</v>
      </c>
      <c r="C9" s="19">
        <v>1</v>
      </c>
      <c r="D9" s="19">
        <v>1</v>
      </c>
      <c r="E9" s="19">
        <f>+B9+C9+(D9*2)</f>
        <v>94</v>
      </c>
      <c r="F9" s="18">
        <v>20</v>
      </c>
      <c r="G9" s="19">
        <v>1.62</v>
      </c>
      <c r="H9" s="19">
        <v>1</v>
      </c>
      <c r="I9" s="19">
        <v>24</v>
      </c>
      <c r="J9" s="46">
        <f>H9*(1-I9/(H9*32))</f>
        <v>0.25</v>
      </c>
      <c r="K9" s="46">
        <f>+E9/F9*G9</f>
        <v>7.6140000000000008</v>
      </c>
      <c r="L9" s="46">
        <f t="shared" si="0"/>
        <v>7.8640000000000008</v>
      </c>
      <c r="M9" s="46">
        <v>7.9</v>
      </c>
      <c r="N9" s="18">
        <f t="shared" si="1"/>
        <v>22688800</v>
      </c>
      <c r="P9" s="19" t="s">
        <v>44</v>
      </c>
      <c r="Q9" s="18"/>
      <c r="R9" s="19"/>
      <c r="S9" s="19"/>
      <c r="T9" s="19">
        <f>+Q9+R9+(S9*2)</f>
        <v>0</v>
      </c>
      <c r="U9" s="18">
        <v>20</v>
      </c>
      <c r="V9" s="19">
        <v>1.62</v>
      </c>
      <c r="W9" s="19">
        <v>1</v>
      </c>
      <c r="X9" s="19">
        <v>24</v>
      </c>
      <c r="Y9" s="46">
        <f>W9*(1-X9/(W9*32))</f>
        <v>0.25</v>
      </c>
      <c r="Z9" s="46">
        <f>+T9/U9*V9</f>
        <v>0</v>
      </c>
      <c r="AA9" s="46">
        <f t="shared" si="2"/>
        <v>0.25</v>
      </c>
      <c r="AB9" s="46"/>
      <c r="AC9" s="18">
        <f t="shared" si="3"/>
        <v>0</v>
      </c>
    </row>
    <row r="10" spans="1:31">
      <c r="A10" s="19" t="s">
        <v>98</v>
      </c>
      <c r="B10" s="20"/>
      <c r="C10" s="19"/>
      <c r="D10" s="19"/>
      <c r="E10" s="19">
        <v>0</v>
      </c>
      <c r="F10" s="18">
        <v>0</v>
      </c>
      <c r="G10" s="19">
        <v>0</v>
      </c>
      <c r="H10" s="19">
        <v>1</v>
      </c>
      <c r="I10" s="18">
        <v>8</v>
      </c>
      <c r="J10" s="46">
        <f>H10*(1-I10/(H10*32))</f>
        <v>0.75</v>
      </c>
      <c r="K10" s="46">
        <v>0</v>
      </c>
      <c r="L10" s="46">
        <f t="shared" si="0"/>
        <v>0.75</v>
      </c>
      <c r="M10" s="46">
        <v>0.8</v>
      </c>
      <c r="N10" s="18">
        <f t="shared" si="1"/>
        <v>2297600</v>
      </c>
      <c r="O10" s="18"/>
      <c r="P10" s="19" t="s">
        <v>98</v>
      </c>
      <c r="Q10" s="20"/>
      <c r="R10" s="19"/>
      <c r="S10" s="19"/>
      <c r="T10" s="19">
        <v>0</v>
      </c>
      <c r="U10" s="18">
        <v>0</v>
      </c>
      <c r="V10" s="19">
        <v>0</v>
      </c>
      <c r="W10" s="19">
        <v>1</v>
      </c>
      <c r="X10" s="18">
        <v>8</v>
      </c>
      <c r="Y10" s="46">
        <f>W10*(1-X10/(W10*32))</f>
        <v>0.75</v>
      </c>
      <c r="Z10" s="46">
        <v>0</v>
      </c>
      <c r="AA10" s="46">
        <f t="shared" si="2"/>
        <v>0.75</v>
      </c>
      <c r="AB10" s="46"/>
      <c r="AC10" s="18">
        <f t="shared" si="3"/>
        <v>0</v>
      </c>
    </row>
    <row r="11" spans="1:31">
      <c r="A11" s="19" t="s">
        <v>85</v>
      </c>
      <c r="B11" s="18">
        <f>+SUM(B6:B9)</f>
        <v>268</v>
      </c>
      <c r="C11" s="18">
        <f>+SUM(C6:C9)</f>
        <v>3</v>
      </c>
      <c r="D11" s="18">
        <f>+SUM(D6:D9)</f>
        <v>1</v>
      </c>
      <c r="E11" s="18">
        <f>SUM(E6:E9)</f>
        <v>273</v>
      </c>
      <c r="F11" s="18">
        <v>20</v>
      </c>
      <c r="G11" s="19">
        <v>1.62</v>
      </c>
      <c r="H11" s="18">
        <f>SUM(H6:H10)</f>
        <v>6</v>
      </c>
      <c r="I11" s="18">
        <f>SUM(I6:I10)</f>
        <v>128</v>
      </c>
      <c r="J11" s="20">
        <f>SUM(J6:J10)</f>
        <v>2</v>
      </c>
      <c r="K11" s="46">
        <f>SUM(K6:K10)</f>
        <v>22.113000000000003</v>
      </c>
      <c r="L11" s="715">
        <f>+J11+K11</f>
        <v>24.113000000000003</v>
      </c>
      <c r="M11" s="46">
        <f>SUM(M6:M10)</f>
        <v>24.1</v>
      </c>
      <c r="N11" s="18">
        <f t="shared" si="1"/>
        <v>69215200</v>
      </c>
      <c r="O11" s="18"/>
      <c r="P11" s="19" t="s">
        <v>85</v>
      </c>
      <c r="Q11" s="18">
        <f>+SUM(Q6:Q9)</f>
        <v>0</v>
      </c>
      <c r="R11" s="18">
        <f>+SUM(R6:R9)</f>
        <v>0</v>
      </c>
      <c r="S11" s="18">
        <f>+SUM(S6:S9)</f>
        <v>0</v>
      </c>
      <c r="T11" s="18">
        <f>SUM(T6:T9)</f>
        <v>0</v>
      </c>
      <c r="U11" s="18">
        <v>20</v>
      </c>
      <c r="V11" s="19">
        <v>1.62</v>
      </c>
      <c r="W11" s="18">
        <f>SUM(W6:W10)</f>
        <v>6</v>
      </c>
      <c r="X11" s="18">
        <f>SUM(X6:X10)</f>
        <v>124</v>
      </c>
      <c r="Y11" s="20">
        <f>SUM(Y6:Y10)</f>
        <v>2.125</v>
      </c>
      <c r="Z11" s="46">
        <f>SUM(Z6:Z10)</f>
        <v>0</v>
      </c>
      <c r="AA11" s="715">
        <f>+Y11+Z11</f>
        <v>2.125</v>
      </c>
      <c r="AB11" s="46">
        <f>SUM(AB6:AB10)</f>
        <v>0</v>
      </c>
      <c r="AC11" s="18">
        <f t="shared" si="3"/>
        <v>0</v>
      </c>
    </row>
    <row r="12" spans="1:31">
      <c r="C12" s="19"/>
      <c r="D12" s="19"/>
      <c r="E12" s="19"/>
      <c r="F12" s="20"/>
      <c r="Q12" s="18"/>
      <c r="R12" s="19"/>
      <c r="S12" s="19"/>
      <c r="T12" s="19"/>
      <c r="U12" s="20"/>
      <c r="V12" s="19"/>
    </row>
    <row r="13" spans="1:31">
      <c r="A13" s="714" t="s">
        <v>464</v>
      </c>
      <c r="C13" s="19"/>
      <c r="D13" s="19"/>
      <c r="E13" s="19"/>
      <c r="F13" s="20"/>
      <c r="P13" s="714" t="s">
        <v>464</v>
      </c>
      <c r="Q13" s="18"/>
      <c r="R13" s="19"/>
      <c r="S13" s="19"/>
      <c r="T13" s="19"/>
      <c r="U13" s="20"/>
      <c r="V13" s="19"/>
    </row>
    <row r="14" spans="1:31">
      <c r="A14" s="19" t="s">
        <v>41</v>
      </c>
      <c r="B14" s="18">
        <v>44</v>
      </c>
      <c r="C14" s="19"/>
      <c r="D14" s="19"/>
      <c r="E14" s="19">
        <f>+B14+C14+(D14*2)</f>
        <v>44</v>
      </c>
      <c r="F14" s="18">
        <v>20</v>
      </c>
      <c r="G14" s="19">
        <v>1.62</v>
      </c>
      <c r="H14" s="19">
        <v>1</v>
      </c>
      <c r="I14" s="19">
        <v>26</v>
      </c>
      <c r="J14" s="46">
        <f t="shared" ref="J14:J18" si="4">H14*(1-I14/(H14*32))</f>
        <v>0.1875</v>
      </c>
      <c r="K14" s="46">
        <f>+E14/F14*G14</f>
        <v>3.5640000000000005</v>
      </c>
      <c r="L14" s="46">
        <f t="shared" ref="L14:L18" si="5">+K14+J14</f>
        <v>3.7515000000000005</v>
      </c>
      <c r="M14" s="46">
        <v>3.7</v>
      </c>
      <c r="N14" s="18">
        <f t="shared" ref="N14:N18" si="6">+M14*$B$2*(4/12)</f>
        <v>5313200</v>
      </c>
      <c r="P14" s="19" t="s">
        <v>41</v>
      </c>
      <c r="Q14" s="18"/>
      <c r="R14" s="19"/>
      <c r="S14" s="19"/>
      <c r="T14" s="19">
        <f>+Q14+R14+(S14*2)</f>
        <v>0</v>
      </c>
      <c r="U14" s="18">
        <v>20</v>
      </c>
      <c r="V14" s="19">
        <v>1.62</v>
      </c>
      <c r="W14" s="19">
        <v>1</v>
      </c>
      <c r="X14" s="19">
        <v>26</v>
      </c>
      <c r="Y14" s="46">
        <f t="shared" ref="Y14:Y18" si="7">W14*(1-X14/(W14*32))</f>
        <v>0.1875</v>
      </c>
      <c r="Z14" s="46">
        <f>+T14/U14*V14</f>
        <v>0</v>
      </c>
      <c r="AA14" s="46">
        <f t="shared" ref="AA14:AA18" si="8">+Z14+Y14</f>
        <v>0.1875</v>
      </c>
      <c r="AB14" s="46"/>
      <c r="AC14" s="18">
        <f t="shared" ref="AC14:AC18" si="9">+AB14*$B$2*(4/12)</f>
        <v>0</v>
      </c>
    </row>
    <row r="15" spans="1:31">
      <c r="A15" s="19" t="s">
        <v>42</v>
      </c>
      <c r="B15" s="18">
        <v>88</v>
      </c>
      <c r="C15" s="19">
        <v>2</v>
      </c>
      <c r="D15" s="19"/>
      <c r="E15" s="19">
        <f>+B15+C15+(D15*2)</f>
        <v>90</v>
      </c>
      <c r="F15" s="18">
        <v>20</v>
      </c>
      <c r="G15" s="19">
        <v>1.62</v>
      </c>
      <c r="H15" s="19">
        <v>2</v>
      </c>
      <c r="I15" s="19">
        <f>22+22</f>
        <v>44</v>
      </c>
      <c r="J15" s="46">
        <f t="shared" si="4"/>
        <v>0.625</v>
      </c>
      <c r="K15" s="46">
        <f>+E15/F15*G15</f>
        <v>7.2900000000000009</v>
      </c>
      <c r="L15" s="46">
        <f t="shared" si="5"/>
        <v>7.9150000000000009</v>
      </c>
      <c r="M15" s="46">
        <v>7.9</v>
      </c>
      <c r="N15" s="18">
        <f t="shared" si="6"/>
        <v>11344400</v>
      </c>
      <c r="P15" s="19" t="s">
        <v>42</v>
      </c>
      <c r="Q15" s="18"/>
      <c r="R15" s="19"/>
      <c r="S15" s="19"/>
      <c r="T15" s="19">
        <f>+Q15+R15+(S15*2)</f>
        <v>0</v>
      </c>
      <c r="U15" s="18">
        <v>20</v>
      </c>
      <c r="V15" s="19">
        <v>1.62</v>
      </c>
      <c r="W15" s="19">
        <v>2</v>
      </c>
      <c r="X15" s="19">
        <f>22+22</f>
        <v>44</v>
      </c>
      <c r="Y15" s="46">
        <f t="shared" si="7"/>
        <v>0.625</v>
      </c>
      <c r="Z15" s="46">
        <f>+T15/U15*V15</f>
        <v>0</v>
      </c>
      <c r="AA15" s="46">
        <f t="shared" si="8"/>
        <v>0.625</v>
      </c>
      <c r="AB15" s="46"/>
      <c r="AC15" s="18">
        <f t="shared" si="9"/>
        <v>0</v>
      </c>
    </row>
    <row r="16" spans="1:31">
      <c r="A16" s="19" t="s">
        <v>43</v>
      </c>
      <c r="B16" s="18">
        <v>50</v>
      </c>
      <c r="C16" s="19"/>
      <c r="D16" s="19"/>
      <c r="E16" s="19">
        <f>+B16+C16+(D16*2)</f>
        <v>50</v>
      </c>
      <c r="F16" s="18">
        <v>20</v>
      </c>
      <c r="G16" s="19">
        <v>1.62</v>
      </c>
      <c r="H16" s="19">
        <v>1</v>
      </c>
      <c r="I16" s="19">
        <v>24</v>
      </c>
      <c r="J16" s="46">
        <f t="shared" si="4"/>
        <v>0.25</v>
      </c>
      <c r="K16" s="46">
        <f>+E16/F16*G16</f>
        <v>4.0500000000000007</v>
      </c>
      <c r="L16" s="46">
        <f t="shared" si="5"/>
        <v>4.3000000000000007</v>
      </c>
      <c r="M16" s="46">
        <v>4.3</v>
      </c>
      <c r="N16" s="18">
        <f t="shared" si="6"/>
        <v>6174800</v>
      </c>
      <c r="P16" s="19" t="s">
        <v>43</v>
      </c>
      <c r="Q16" s="18"/>
      <c r="R16" s="19"/>
      <c r="S16" s="19"/>
      <c r="T16" s="19">
        <f>+Q16+R16+(S16*2)</f>
        <v>0</v>
      </c>
      <c r="U16" s="18">
        <v>20</v>
      </c>
      <c r="V16" s="19">
        <v>1.62</v>
      </c>
      <c r="W16" s="19">
        <v>1</v>
      </c>
      <c r="X16" s="19">
        <v>24</v>
      </c>
      <c r="Y16" s="46">
        <f t="shared" si="7"/>
        <v>0.25</v>
      </c>
      <c r="Z16" s="46">
        <f>+T16/U16*V16</f>
        <v>0</v>
      </c>
      <c r="AA16" s="46">
        <f t="shared" si="8"/>
        <v>0.25</v>
      </c>
      <c r="AB16" s="46"/>
      <c r="AC16" s="18">
        <f t="shared" si="9"/>
        <v>0</v>
      </c>
    </row>
    <row r="17" spans="1:30">
      <c r="A17" s="19" t="s">
        <v>44</v>
      </c>
      <c r="B17" s="18">
        <v>91</v>
      </c>
      <c r="C17" s="19">
        <v>1</v>
      </c>
      <c r="D17" s="19"/>
      <c r="E17" s="19">
        <f>+B17+C17+(D17*2)</f>
        <v>92</v>
      </c>
      <c r="F17" s="18">
        <v>20</v>
      </c>
      <c r="G17" s="19">
        <v>1.62</v>
      </c>
      <c r="H17" s="19">
        <v>1</v>
      </c>
      <c r="I17" s="19">
        <v>24</v>
      </c>
      <c r="J17" s="46">
        <f t="shared" si="4"/>
        <v>0.25</v>
      </c>
      <c r="K17" s="46">
        <f>+E17/F17*G17</f>
        <v>7.452</v>
      </c>
      <c r="L17" s="46">
        <f t="shared" si="5"/>
        <v>7.702</v>
      </c>
      <c r="M17" s="46">
        <v>7.7</v>
      </c>
      <c r="N17" s="18">
        <f t="shared" si="6"/>
        <v>11057200</v>
      </c>
      <c r="P17" s="19" t="s">
        <v>44</v>
      </c>
      <c r="Q17" s="18"/>
      <c r="R17" s="19"/>
      <c r="S17" s="19"/>
      <c r="T17" s="19">
        <f>+Q17+R17+(S17*2)</f>
        <v>0</v>
      </c>
      <c r="U17" s="18">
        <v>20</v>
      </c>
      <c r="V17" s="19">
        <v>1.62</v>
      </c>
      <c r="W17" s="19">
        <v>1</v>
      </c>
      <c r="X17" s="19">
        <v>24</v>
      </c>
      <c r="Y17" s="46">
        <f t="shared" si="7"/>
        <v>0.25</v>
      </c>
      <c r="Z17" s="46">
        <f>+T17/U17*V17</f>
        <v>0</v>
      </c>
      <c r="AA17" s="46">
        <f t="shared" si="8"/>
        <v>0.25</v>
      </c>
      <c r="AB17" s="46"/>
      <c r="AC17" s="18">
        <f t="shared" si="9"/>
        <v>0</v>
      </c>
    </row>
    <row r="18" spans="1:30">
      <c r="A18" s="19" t="s">
        <v>98</v>
      </c>
      <c r="C18" s="19"/>
      <c r="D18" s="19"/>
      <c r="E18" s="19"/>
      <c r="F18" s="18"/>
      <c r="H18" s="19">
        <v>1</v>
      </c>
      <c r="I18" s="18">
        <v>8</v>
      </c>
      <c r="J18" s="46">
        <f t="shared" si="4"/>
        <v>0.75</v>
      </c>
      <c r="K18" s="46">
        <v>0</v>
      </c>
      <c r="L18" s="46">
        <f t="shared" si="5"/>
        <v>0.75</v>
      </c>
      <c r="M18" s="46">
        <v>0.8</v>
      </c>
      <c r="N18" s="18">
        <f t="shared" si="6"/>
        <v>1148800</v>
      </c>
      <c r="P18" s="19" t="s">
        <v>98</v>
      </c>
      <c r="Q18" s="18"/>
      <c r="R18" s="19"/>
      <c r="S18" s="19"/>
      <c r="T18" s="19"/>
      <c r="V18" s="19"/>
      <c r="W18" s="19">
        <v>1</v>
      </c>
      <c r="X18" s="18">
        <v>8</v>
      </c>
      <c r="Y18" s="46">
        <f t="shared" si="7"/>
        <v>0.75</v>
      </c>
      <c r="Z18" s="46">
        <v>0</v>
      </c>
      <c r="AA18" s="46">
        <f t="shared" si="8"/>
        <v>0.75</v>
      </c>
      <c r="AB18" s="46"/>
      <c r="AC18" s="18">
        <f t="shared" si="9"/>
        <v>0</v>
      </c>
    </row>
    <row r="19" spans="1:30">
      <c r="A19" s="19" t="s">
        <v>85</v>
      </c>
      <c r="B19" s="18">
        <f>+SUM(B14:B17)</f>
        <v>273</v>
      </c>
      <c r="C19" s="18">
        <f>+SUM(C14:C17)</f>
        <v>3</v>
      </c>
      <c r="D19" s="18">
        <f>+SUM(D14:D17)</f>
        <v>0</v>
      </c>
      <c r="E19" s="18">
        <f>SUM(E14:E17)</f>
        <v>276</v>
      </c>
      <c r="F19" s="18">
        <v>20</v>
      </c>
      <c r="G19" s="19">
        <v>1.62</v>
      </c>
      <c r="H19" s="19">
        <f t="shared" ref="H19:N19" si="10">SUM(H14:H18)</f>
        <v>6</v>
      </c>
      <c r="I19" s="19">
        <f t="shared" si="10"/>
        <v>126</v>
      </c>
      <c r="J19" s="20">
        <f t="shared" si="10"/>
        <v>2.0625</v>
      </c>
      <c r="K19" s="46">
        <f t="shared" si="10"/>
        <v>22.356000000000002</v>
      </c>
      <c r="L19" s="46">
        <f t="shared" si="10"/>
        <v>24.418500000000002</v>
      </c>
      <c r="M19" s="716">
        <f t="shared" si="10"/>
        <v>24.400000000000002</v>
      </c>
      <c r="N19" s="18">
        <f t="shared" si="10"/>
        <v>35038400</v>
      </c>
      <c r="P19" s="19" t="s">
        <v>85</v>
      </c>
      <c r="Q19" s="18">
        <f>+SUM(Q14:Q17)</f>
        <v>0</v>
      </c>
      <c r="R19" s="18">
        <f>+SUM(R14:R17)</f>
        <v>0</v>
      </c>
      <c r="S19" s="18">
        <f>+SUM(S14:S17)</f>
        <v>0</v>
      </c>
      <c r="T19" s="18">
        <f>SUM(T14:T17)</f>
        <v>0</v>
      </c>
      <c r="U19" s="18">
        <v>20</v>
      </c>
      <c r="V19" s="19">
        <v>1.62</v>
      </c>
      <c r="W19" s="19">
        <f t="shared" ref="W19:AC19" si="11">SUM(W14:W18)</f>
        <v>6</v>
      </c>
      <c r="X19" s="19">
        <f t="shared" si="11"/>
        <v>126</v>
      </c>
      <c r="Y19" s="20">
        <f t="shared" si="11"/>
        <v>2.0625</v>
      </c>
      <c r="Z19" s="46">
        <f t="shared" si="11"/>
        <v>0</v>
      </c>
      <c r="AA19" s="46">
        <f t="shared" si="11"/>
        <v>2.0625</v>
      </c>
      <c r="AB19" s="716">
        <f t="shared" si="11"/>
        <v>0</v>
      </c>
      <c r="AC19" s="18">
        <f t="shared" si="11"/>
        <v>0</v>
      </c>
    </row>
    <row r="20" spans="1:30" ht="10.15" customHeight="1">
      <c r="D20" s="19"/>
      <c r="E20" s="19"/>
      <c r="F20" s="20"/>
      <c r="Q20" s="18"/>
      <c r="R20" s="18"/>
      <c r="S20" s="19"/>
      <c r="T20" s="19"/>
      <c r="U20" s="20"/>
      <c r="V20" s="19"/>
    </row>
    <row r="21" spans="1:30" ht="17.25" customHeight="1">
      <c r="A21" s="717" t="s">
        <v>321</v>
      </c>
      <c r="B21" s="18">
        <v>35000</v>
      </c>
      <c r="D21" s="19"/>
      <c r="E21" s="19"/>
      <c r="F21" s="20"/>
      <c r="P21" s="717" t="s">
        <v>321</v>
      </c>
      <c r="Q21" s="18">
        <v>35000</v>
      </c>
      <c r="R21" s="18"/>
      <c r="S21" s="19"/>
      <c r="T21" s="19"/>
      <c r="U21" s="20"/>
      <c r="V21" s="19"/>
    </row>
    <row r="22" spans="1:30">
      <c r="A22" s="714" t="s">
        <v>464</v>
      </c>
      <c r="C22" s="19"/>
      <c r="D22" s="19"/>
      <c r="E22" s="19"/>
      <c r="F22" s="20"/>
      <c r="P22" s="714" t="s">
        <v>464</v>
      </c>
      <c r="Q22" s="18"/>
      <c r="R22" s="19"/>
      <c r="S22" s="19"/>
      <c r="T22" s="19"/>
      <c r="U22" s="20"/>
      <c r="V22" s="19"/>
    </row>
    <row r="23" spans="1:30">
      <c r="A23" s="19" t="s">
        <v>41</v>
      </c>
      <c r="B23" s="18">
        <v>44</v>
      </c>
      <c r="C23" s="19"/>
      <c r="D23" s="19"/>
      <c r="E23" s="19">
        <f>+B23+C23+(D23*2)</f>
        <v>44</v>
      </c>
      <c r="F23" s="18">
        <v>20</v>
      </c>
      <c r="G23" s="19">
        <v>1.62</v>
      </c>
      <c r="H23" s="19">
        <v>1</v>
      </c>
      <c r="I23" s="19">
        <v>26</v>
      </c>
      <c r="J23" s="46">
        <f t="shared" ref="J23:J27" si="12">H23*(1-I23/(H23*32))</f>
        <v>0.1875</v>
      </c>
      <c r="K23" s="46">
        <f>+E23/F23*G23</f>
        <v>3.5640000000000005</v>
      </c>
      <c r="L23" s="46">
        <f t="shared" ref="L23:L27" si="13">+K23+J23</f>
        <v>3.7515000000000005</v>
      </c>
      <c r="M23" s="46">
        <v>3.7</v>
      </c>
      <c r="N23" s="18">
        <f>+M23*$B$21</f>
        <v>129500</v>
      </c>
      <c r="P23" s="19" t="s">
        <v>41</v>
      </c>
      <c r="Q23" s="18"/>
      <c r="R23" s="19"/>
      <c r="S23" s="19"/>
      <c r="T23" s="19">
        <f>+Q23+R23+(S23*2)</f>
        <v>0</v>
      </c>
      <c r="U23" s="18">
        <v>20</v>
      </c>
      <c r="V23" s="19">
        <v>1.62</v>
      </c>
      <c r="W23" s="19">
        <v>1</v>
      </c>
      <c r="X23" s="19">
        <v>26</v>
      </c>
      <c r="Y23" s="46">
        <f t="shared" ref="Y23:Y27" si="14">W23*(1-X23/(W23*32))</f>
        <v>0.1875</v>
      </c>
      <c r="Z23" s="46">
        <f>+T23/U23*V23</f>
        <v>0</v>
      </c>
      <c r="AA23" s="46">
        <f t="shared" ref="AA23:AA27" si="15">+Z23+Y23</f>
        <v>0.1875</v>
      </c>
      <c r="AB23" s="46"/>
      <c r="AC23" s="18">
        <f>+AB23*$B$21</f>
        <v>0</v>
      </c>
    </row>
    <row r="24" spans="1:30">
      <c r="A24" s="19" t="s">
        <v>42</v>
      </c>
      <c r="B24" s="18">
        <v>88</v>
      </c>
      <c r="C24" s="19">
        <v>2</v>
      </c>
      <c r="D24" s="19"/>
      <c r="E24" s="19">
        <f>+B24+C24+(D24*2)</f>
        <v>90</v>
      </c>
      <c r="F24" s="18">
        <v>20</v>
      </c>
      <c r="G24" s="19">
        <v>1.62</v>
      </c>
      <c r="H24" s="19">
        <v>2</v>
      </c>
      <c r="I24" s="19">
        <f>22+22</f>
        <v>44</v>
      </c>
      <c r="J24" s="46">
        <f t="shared" si="12"/>
        <v>0.625</v>
      </c>
      <c r="K24" s="46">
        <f>+E24/F24*G24</f>
        <v>7.2900000000000009</v>
      </c>
      <c r="L24" s="46">
        <f t="shared" si="13"/>
        <v>7.9150000000000009</v>
      </c>
      <c r="M24" s="46">
        <v>7.9</v>
      </c>
      <c r="N24" s="18">
        <f t="shared" ref="N24:N27" si="16">+M24*$B$21</f>
        <v>276500</v>
      </c>
      <c r="P24" s="19" t="s">
        <v>42</v>
      </c>
      <c r="Q24" s="18"/>
      <c r="R24" s="19"/>
      <c r="S24" s="19"/>
      <c r="T24" s="19">
        <f>+Q24+R24+(S24*2)</f>
        <v>0</v>
      </c>
      <c r="U24" s="18">
        <v>20</v>
      </c>
      <c r="V24" s="19">
        <v>1.62</v>
      </c>
      <c r="W24" s="19">
        <v>2</v>
      </c>
      <c r="X24" s="19">
        <f>22+22</f>
        <v>44</v>
      </c>
      <c r="Y24" s="46">
        <f t="shared" si="14"/>
        <v>0.625</v>
      </c>
      <c r="Z24" s="46">
        <f>+T24/U24*V24</f>
        <v>0</v>
      </c>
      <c r="AA24" s="46">
        <f t="shared" si="15"/>
        <v>0.625</v>
      </c>
      <c r="AB24" s="46"/>
      <c r="AC24" s="18">
        <f t="shared" ref="AC24:AC27" si="17">+AB24*$B$21</f>
        <v>0</v>
      </c>
    </row>
    <row r="25" spans="1:30">
      <c r="A25" s="19" t="s">
        <v>43</v>
      </c>
      <c r="B25" s="18">
        <v>50</v>
      </c>
      <c r="C25" s="19"/>
      <c r="D25" s="19"/>
      <c r="E25" s="19">
        <f>+B25+C25+(D25*2)</f>
        <v>50</v>
      </c>
      <c r="F25" s="18">
        <v>20</v>
      </c>
      <c r="G25" s="19">
        <v>1.62</v>
      </c>
      <c r="H25" s="19">
        <v>1</v>
      </c>
      <c r="I25" s="19">
        <v>24</v>
      </c>
      <c r="J25" s="46">
        <f t="shared" si="12"/>
        <v>0.25</v>
      </c>
      <c r="K25" s="46">
        <f>+E25/F25*G25</f>
        <v>4.0500000000000007</v>
      </c>
      <c r="L25" s="46">
        <f t="shared" si="13"/>
        <v>4.3000000000000007</v>
      </c>
      <c r="M25" s="46">
        <v>4.3</v>
      </c>
      <c r="N25" s="18">
        <f t="shared" si="16"/>
        <v>150500</v>
      </c>
      <c r="P25" s="19" t="s">
        <v>43</v>
      </c>
      <c r="Q25" s="18"/>
      <c r="R25" s="19"/>
      <c r="S25" s="19"/>
      <c r="T25" s="19">
        <f>+Q25+R25+(S25*2)</f>
        <v>0</v>
      </c>
      <c r="U25" s="18">
        <v>20</v>
      </c>
      <c r="V25" s="19">
        <v>1.62</v>
      </c>
      <c r="W25" s="19">
        <v>1</v>
      </c>
      <c r="X25" s="19">
        <v>24</v>
      </c>
      <c r="Y25" s="46">
        <f t="shared" si="14"/>
        <v>0.25</v>
      </c>
      <c r="Z25" s="46">
        <f>+T25/U25*V25</f>
        <v>0</v>
      </c>
      <c r="AA25" s="46">
        <f t="shared" si="15"/>
        <v>0.25</v>
      </c>
      <c r="AB25" s="46"/>
      <c r="AC25" s="18">
        <f t="shared" si="17"/>
        <v>0</v>
      </c>
    </row>
    <row r="26" spans="1:30">
      <c r="A26" s="19" t="s">
        <v>44</v>
      </c>
      <c r="B26" s="18">
        <v>91</v>
      </c>
      <c r="C26" s="19">
        <v>1</v>
      </c>
      <c r="D26" s="19"/>
      <c r="E26" s="19">
        <f>+B26+C26+(D26*2)</f>
        <v>92</v>
      </c>
      <c r="F26" s="18">
        <v>20</v>
      </c>
      <c r="G26" s="19">
        <v>1.62</v>
      </c>
      <c r="H26" s="19">
        <v>1</v>
      </c>
      <c r="I26" s="19">
        <v>24</v>
      </c>
      <c r="J26" s="46">
        <f t="shared" si="12"/>
        <v>0.25</v>
      </c>
      <c r="K26" s="46">
        <f>+E26/F26*G26</f>
        <v>7.452</v>
      </c>
      <c r="L26" s="46">
        <f t="shared" si="13"/>
        <v>7.702</v>
      </c>
      <c r="M26" s="46">
        <v>7.7</v>
      </c>
      <c r="N26" s="18">
        <f t="shared" si="16"/>
        <v>269500</v>
      </c>
      <c r="P26" s="19" t="s">
        <v>44</v>
      </c>
      <c r="Q26" s="18"/>
      <c r="R26" s="19"/>
      <c r="S26" s="19"/>
      <c r="T26" s="19">
        <f>+Q26+R26+(S26*2)</f>
        <v>0</v>
      </c>
      <c r="U26" s="18">
        <v>20</v>
      </c>
      <c r="V26" s="19">
        <v>1.62</v>
      </c>
      <c r="W26" s="19">
        <v>1</v>
      </c>
      <c r="X26" s="19">
        <v>24</v>
      </c>
      <c r="Y26" s="46">
        <f t="shared" si="14"/>
        <v>0.25</v>
      </c>
      <c r="Z26" s="46">
        <f>+T26/U26*V26</f>
        <v>0</v>
      </c>
      <c r="AA26" s="46">
        <f t="shared" si="15"/>
        <v>0.25</v>
      </c>
      <c r="AB26" s="46"/>
      <c r="AC26" s="18">
        <f t="shared" si="17"/>
        <v>0</v>
      </c>
    </row>
    <row r="27" spans="1:30">
      <c r="A27" s="19" t="s">
        <v>98</v>
      </c>
      <c r="C27" s="19"/>
      <c r="D27" s="19"/>
      <c r="E27" s="19"/>
      <c r="F27" s="18"/>
      <c r="H27" s="19">
        <v>1</v>
      </c>
      <c r="I27" s="18">
        <v>8</v>
      </c>
      <c r="J27" s="46">
        <f t="shared" si="12"/>
        <v>0.75</v>
      </c>
      <c r="K27" s="46">
        <v>0</v>
      </c>
      <c r="L27" s="46">
        <f t="shared" si="13"/>
        <v>0.75</v>
      </c>
      <c r="M27" s="46">
        <v>0.8</v>
      </c>
      <c r="N27" s="18">
        <f t="shared" si="16"/>
        <v>28000</v>
      </c>
      <c r="P27" s="19" t="s">
        <v>98</v>
      </c>
      <c r="Q27" s="18"/>
      <c r="R27" s="19"/>
      <c r="S27" s="19"/>
      <c r="T27" s="19"/>
      <c r="V27" s="19"/>
      <c r="W27" s="19">
        <v>1</v>
      </c>
      <c r="X27" s="18">
        <v>8</v>
      </c>
      <c r="Y27" s="46">
        <f t="shared" si="14"/>
        <v>0.75</v>
      </c>
      <c r="Z27" s="46">
        <v>0</v>
      </c>
      <c r="AA27" s="46">
        <f t="shared" si="15"/>
        <v>0.75</v>
      </c>
      <c r="AB27" s="46"/>
      <c r="AC27" s="18">
        <f t="shared" si="17"/>
        <v>0</v>
      </c>
    </row>
    <row r="28" spans="1:30">
      <c r="A28" s="19" t="s">
        <v>85</v>
      </c>
      <c r="B28" s="18">
        <f>+SUM(B23:B26)</f>
        <v>273</v>
      </c>
      <c r="C28" s="18">
        <f>+SUM(C23:C26)</f>
        <v>3</v>
      </c>
      <c r="D28" s="18">
        <f>+SUM(D23:D26)</f>
        <v>0</v>
      </c>
      <c r="E28" s="18">
        <f>SUM(E23:E26)</f>
        <v>276</v>
      </c>
      <c r="F28" s="18">
        <v>20</v>
      </c>
      <c r="G28" s="19">
        <v>1.62</v>
      </c>
      <c r="H28" s="19">
        <f t="shared" ref="H28:N28" si="18">SUM(H23:H27)</f>
        <v>6</v>
      </c>
      <c r="I28" s="19">
        <f t="shared" si="18"/>
        <v>126</v>
      </c>
      <c r="J28" s="20">
        <f t="shared" si="18"/>
        <v>2.0625</v>
      </c>
      <c r="K28" s="46">
        <f t="shared" si="18"/>
        <v>22.356000000000002</v>
      </c>
      <c r="L28" s="46">
        <f t="shared" si="18"/>
        <v>24.418500000000002</v>
      </c>
      <c r="M28" s="716">
        <f t="shared" si="18"/>
        <v>24.400000000000002</v>
      </c>
      <c r="N28" s="18">
        <f t="shared" si="18"/>
        <v>854000</v>
      </c>
      <c r="P28" s="19" t="s">
        <v>85</v>
      </c>
      <c r="Q28" s="18">
        <f>+SUM(Q23:Q26)</f>
        <v>0</v>
      </c>
      <c r="R28" s="18">
        <f>+SUM(R23:R26)</f>
        <v>0</v>
      </c>
      <c r="S28" s="18">
        <f>+SUM(S23:S26)</f>
        <v>0</v>
      </c>
      <c r="T28" s="18">
        <f>SUM(T23:T26)</f>
        <v>0</v>
      </c>
      <c r="U28" s="18">
        <v>20</v>
      </c>
      <c r="V28" s="19">
        <v>1.62</v>
      </c>
      <c r="W28" s="19">
        <f t="shared" ref="W28:AC28" si="19">SUM(W23:W27)</f>
        <v>6</v>
      </c>
      <c r="X28" s="19">
        <f t="shared" si="19"/>
        <v>126</v>
      </c>
      <c r="Y28" s="20">
        <f t="shared" si="19"/>
        <v>2.0625</v>
      </c>
      <c r="Z28" s="46">
        <f t="shared" si="19"/>
        <v>0</v>
      </c>
      <c r="AA28" s="46">
        <f t="shared" si="19"/>
        <v>2.0625</v>
      </c>
      <c r="AB28" s="716">
        <f t="shared" si="19"/>
        <v>0</v>
      </c>
      <c r="AC28" s="18">
        <f t="shared" si="19"/>
        <v>0</v>
      </c>
    </row>
    <row r="29" spans="1:30" s="31" customFormat="1" ht="17.45" customHeight="1" thickBot="1">
      <c r="A29" s="19"/>
      <c r="B29" s="18"/>
      <c r="C29" s="18"/>
      <c r="D29" s="19"/>
      <c r="E29" s="19"/>
      <c r="F29" s="20"/>
      <c r="G29" s="19"/>
      <c r="H29" s="19"/>
      <c r="I29" s="19"/>
      <c r="J29" s="19"/>
      <c r="K29" s="19"/>
      <c r="L29" s="19"/>
      <c r="P29" s="19"/>
      <c r="Q29" s="18"/>
      <c r="R29" s="19"/>
      <c r="S29" s="19"/>
      <c r="T29" s="20"/>
      <c r="U29" s="19"/>
      <c r="V29" s="133"/>
    </row>
    <row r="30" spans="1:30" ht="24.75" customHeight="1">
      <c r="B30" s="944" t="s">
        <v>41</v>
      </c>
      <c r="C30" s="945"/>
      <c r="D30" s="946" t="s">
        <v>42</v>
      </c>
      <c r="E30" s="946"/>
      <c r="F30" s="947" t="s">
        <v>43</v>
      </c>
      <c r="G30" s="947"/>
      <c r="H30" s="946" t="s">
        <v>44</v>
      </c>
      <c r="I30" s="946"/>
      <c r="J30" s="907" t="s">
        <v>89</v>
      </c>
      <c r="K30" s="948"/>
      <c r="L30" s="907" t="s">
        <v>23</v>
      </c>
      <c r="M30" s="950"/>
      <c r="O30" s="755" t="s">
        <v>330</v>
      </c>
      <c r="P30" s="760" t="s">
        <v>331</v>
      </c>
      <c r="Q30" s="760" t="s">
        <v>332</v>
      </c>
      <c r="R30" s="760" t="s">
        <v>333</v>
      </c>
      <c r="S30" s="759" t="s">
        <v>334</v>
      </c>
      <c r="T30" s="759" t="s">
        <v>465</v>
      </c>
      <c r="U30" s="759" t="s">
        <v>436</v>
      </c>
      <c r="W30" s="755" t="s">
        <v>330</v>
      </c>
      <c r="X30" s="760" t="s">
        <v>331</v>
      </c>
      <c r="Y30" s="760" t="s">
        <v>332</v>
      </c>
      <c r="Z30" s="760" t="s">
        <v>333</v>
      </c>
      <c r="AA30" s="759" t="s">
        <v>334</v>
      </c>
      <c r="AB30" s="759" t="s">
        <v>465</v>
      </c>
      <c r="AC30" s="759"/>
    </row>
    <row r="31" spans="1:30" ht="27" customHeight="1" thickBot="1">
      <c r="A31" s="209"/>
      <c r="B31" s="729" t="s">
        <v>473</v>
      </c>
      <c r="C31" s="803" t="s">
        <v>468</v>
      </c>
      <c r="D31" s="803" t="s">
        <v>473</v>
      </c>
      <c r="E31" s="730" t="s">
        <v>468</v>
      </c>
      <c r="F31" s="730" t="s">
        <v>473</v>
      </c>
      <c r="G31" s="730" t="s">
        <v>468</v>
      </c>
      <c r="H31" s="730" t="s">
        <v>473</v>
      </c>
      <c r="I31" s="730" t="s">
        <v>468</v>
      </c>
      <c r="J31" s="730" t="s">
        <v>473</v>
      </c>
      <c r="K31" s="730" t="s">
        <v>468</v>
      </c>
      <c r="L31" s="730" t="s">
        <v>473</v>
      </c>
      <c r="M31" s="731" t="s">
        <v>468</v>
      </c>
      <c r="N31" s="22"/>
      <c r="P31" s="755"/>
      <c r="Q31" s="760"/>
      <c r="R31" s="760"/>
      <c r="S31" s="760"/>
      <c r="T31" s="759"/>
      <c r="U31" s="759"/>
      <c r="V31" s="759"/>
      <c r="W31" s="716"/>
      <c r="X31" s="755"/>
      <c r="Y31" s="760"/>
      <c r="Z31" s="760"/>
      <c r="AA31" s="760"/>
      <c r="AB31" s="759"/>
      <c r="AC31" s="759"/>
      <c r="AD31" s="759"/>
    </row>
    <row r="32" spans="1:30" ht="13.9" customHeight="1">
      <c r="A32" s="767" t="s">
        <v>463</v>
      </c>
      <c r="B32" s="804">
        <v>11902400</v>
      </c>
      <c r="C32" s="768">
        <f>+N6</f>
        <v>10913600</v>
      </c>
      <c r="D32" s="768">
        <v>23528000</v>
      </c>
      <c r="E32" s="768">
        <f>+N7</f>
        <v>22114400</v>
      </c>
      <c r="F32" s="768">
        <v>13009600</v>
      </c>
      <c r="G32" s="768">
        <f>+N8</f>
        <v>11200800</v>
      </c>
      <c r="H32" s="768">
        <v>22420800</v>
      </c>
      <c r="I32" s="768">
        <f>+N9</f>
        <v>22688800</v>
      </c>
      <c r="J32" s="768">
        <v>2214400</v>
      </c>
      <c r="K32" s="768">
        <f>+N10</f>
        <v>2297600</v>
      </c>
      <c r="L32" s="769">
        <f>+B32+D32+F32+H32+J32</f>
        <v>73075200</v>
      </c>
      <c r="M32" s="770">
        <f>+C32+E32+G32+I32+K32</f>
        <v>69215200</v>
      </c>
      <c r="N32" s="22"/>
      <c r="O32" s="22"/>
      <c r="P32" s="11" t="s">
        <v>41</v>
      </c>
      <c r="Q32" s="718">
        <v>5594314</v>
      </c>
      <c r="R32" s="718">
        <v>1657076</v>
      </c>
      <c r="S32" s="718"/>
      <c r="T32" s="718">
        <f>+P42</f>
        <v>1841641</v>
      </c>
      <c r="U32" s="718">
        <f>+Q32-R32-T32</f>
        <v>2095597</v>
      </c>
      <c r="V32" s="719">
        <v>2044587</v>
      </c>
      <c r="X32" s="11" t="s">
        <v>41</v>
      </c>
      <c r="Y32" s="718"/>
      <c r="Z32" s="718"/>
      <c r="AA32" s="718"/>
      <c r="AB32" s="718"/>
      <c r="AC32" s="718"/>
      <c r="AD32" s="719"/>
    </row>
    <row r="33" spans="1:35" ht="13.9" customHeight="1">
      <c r="A33" s="771" t="s">
        <v>464</v>
      </c>
      <c r="B33" s="805">
        <f>6089600</f>
        <v>6089600</v>
      </c>
      <c r="C33" s="772">
        <f>+N14</f>
        <v>5313200</v>
      </c>
      <c r="D33" s="772">
        <f>11210400</f>
        <v>11210400</v>
      </c>
      <c r="E33" s="772">
        <f>+N15</f>
        <v>11344400</v>
      </c>
      <c r="F33" s="772">
        <f>5951200</f>
        <v>5951200</v>
      </c>
      <c r="G33" s="772">
        <f>+N16</f>
        <v>6174800</v>
      </c>
      <c r="H33" s="772">
        <f>10795200</f>
        <v>10795200</v>
      </c>
      <c r="I33" s="772">
        <f>+N17</f>
        <v>11057200</v>
      </c>
      <c r="J33" s="772">
        <v>1107200</v>
      </c>
      <c r="K33" s="772">
        <f>+N18</f>
        <v>1148800</v>
      </c>
      <c r="L33" s="773">
        <f>+B33+D33+F33+H33+J33</f>
        <v>35153600</v>
      </c>
      <c r="M33" s="770">
        <f>+C33+E33+G33+I33+K33</f>
        <v>35038400</v>
      </c>
      <c r="N33" s="22"/>
      <c r="O33" s="22"/>
      <c r="Q33" s="718"/>
      <c r="R33" s="718"/>
      <c r="S33" s="718"/>
      <c r="T33" s="718"/>
      <c r="U33" s="718"/>
      <c r="V33" s="719">
        <f>+U32*(39053874/40028236)</f>
        <v>2044586.2563810707</v>
      </c>
      <c r="Y33" s="718"/>
      <c r="Z33" s="718"/>
      <c r="AA33" s="718"/>
      <c r="AB33" s="718"/>
      <c r="AC33" s="718"/>
      <c r="AD33" s="719"/>
    </row>
    <row r="34" spans="1:35" ht="13.9" customHeight="1">
      <c r="A34" s="717" t="s">
        <v>80</v>
      </c>
      <c r="B34" s="806">
        <f>SUM(B32:B33)</f>
        <v>17992000</v>
      </c>
      <c r="C34" s="774">
        <f>SUM(C32:C33)</f>
        <v>16226800</v>
      </c>
      <c r="D34" s="774">
        <f>SUM(D32:D33)</f>
        <v>34738400</v>
      </c>
      <c r="E34" s="774">
        <f t="shared" ref="E34:K34" si="20">SUM(E32:E33)</f>
        <v>33458800</v>
      </c>
      <c r="F34" s="774">
        <f>SUM(F32:F33)</f>
        <v>18960800</v>
      </c>
      <c r="G34" s="774">
        <f t="shared" si="20"/>
        <v>17375600</v>
      </c>
      <c r="H34" s="774">
        <f>SUM(H32:H33)</f>
        <v>33216000</v>
      </c>
      <c r="I34" s="774">
        <f t="shared" si="20"/>
        <v>33746000</v>
      </c>
      <c r="J34" s="774">
        <f>SUM(J32:J33)</f>
        <v>3321600</v>
      </c>
      <c r="K34" s="774">
        <f t="shared" si="20"/>
        <v>3446400</v>
      </c>
      <c r="L34" s="775">
        <f>SUM(L32:L33)</f>
        <v>108228800</v>
      </c>
      <c r="M34" s="776">
        <f>SUM(M32:M33)</f>
        <v>104253600</v>
      </c>
      <c r="N34" s="22"/>
      <c r="O34" s="22"/>
      <c r="R34" s="19"/>
      <c r="U34" s="716"/>
      <c r="AA34" s="716"/>
      <c r="AB34" s="716"/>
      <c r="AC34" s="716"/>
      <c r="AD34" s="18"/>
    </row>
    <row r="35" spans="1:35">
      <c r="A35" s="717" t="s">
        <v>321</v>
      </c>
      <c r="B35" s="806">
        <f>154000</f>
        <v>154000</v>
      </c>
      <c r="C35" s="774">
        <f>+N23</f>
        <v>129500</v>
      </c>
      <c r="D35" s="774">
        <f>283500</f>
        <v>283500</v>
      </c>
      <c r="E35" s="774">
        <f>+N24</f>
        <v>276500</v>
      </c>
      <c r="F35" s="774">
        <f>150500</f>
        <v>150500</v>
      </c>
      <c r="G35" s="774">
        <f>+N25</f>
        <v>150500</v>
      </c>
      <c r="H35" s="774">
        <f>273000</f>
        <v>273000</v>
      </c>
      <c r="I35" s="774">
        <f>+N26</f>
        <v>269500</v>
      </c>
      <c r="J35" s="774">
        <v>28000</v>
      </c>
      <c r="K35" s="775">
        <f>+N27</f>
        <v>28000</v>
      </c>
      <c r="L35" s="775">
        <f t="shared" ref="L35:M38" si="21">+B35+D35+F35+H35+J35</f>
        <v>889000</v>
      </c>
      <c r="M35" s="776">
        <f t="shared" si="21"/>
        <v>854000</v>
      </c>
      <c r="N35" s="22"/>
      <c r="O35" s="22"/>
      <c r="R35" s="19"/>
      <c r="U35" s="716"/>
      <c r="AA35" s="716"/>
      <c r="AB35" s="716"/>
      <c r="AC35" s="716"/>
      <c r="AD35" s="18"/>
    </row>
    <row r="36" spans="1:35">
      <c r="A36" s="717" t="s">
        <v>437</v>
      </c>
      <c r="B36" s="806">
        <v>352000</v>
      </c>
      <c r="C36" s="774">
        <f>+C65</f>
        <v>384000</v>
      </c>
      <c r="D36" s="774">
        <v>352000</v>
      </c>
      <c r="E36" s="774">
        <f>+C66</f>
        <v>384000</v>
      </c>
      <c r="F36" s="774">
        <v>352000</v>
      </c>
      <c r="G36" s="774">
        <f>+C67</f>
        <v>384000</v>
      </c>
      <c r="H36" s="774">
        <v>352000</v>
      </c>
      <c r="I36" s="774">
        <f>+C68</f>
        <v>384000</v>
      </c>
      <c r="J36" s="774">
        <v>352000</v>
      </c>
      <c r="K36" s="775">
        <f>+C69</f>
        <v>384000</v>
      </c>
      <c r="L36" s="775">
        <f t="shared" si="21"/>
        <v>1760000</v>
      </c>
      <c r="M36" s="776">
        <f t="shared" si="21"/>
        <v>1920000</v>
      </c>
      <c r="N36" s="22"/>
      <c r="O36" s="22"/>
      <c r="R36" s="19"/>
      <c r="U36" s="716"/>
      <c r="AA36" s="716"/>
      <c r="AB36" s="716"/>
      <c r="AC36" s="716"/>
      <c r="AD36" s="18"/>
    </row>
    <row r="37" spans="1:35" ht="13.9" customHeight="1">
      <c r="A37" s="777" t="s">
        <v>463</v>
      </c>
      <c r="B37" s="804">
        <v>2400000</v>
      </c>
      <c r="C37" s="768">
        <f>+F48</f>
        <v>2400000</v>
      </c>
      <c r="D37" s="768">
        <v>6240000</v>
      </c>
      <c r="E37" s="768">
        <f>+F49</f>
        <v>6240000</v>
      </c>
      <c r="F37" s="768">
        <v>2400000</v>
      </c>
      <c r="G37" s="768">
        <f>+F50</f>
        <v>2400000</v>
      </c>
      <c r="H37" s="768">
        <v>6000000</v>
      </c>
      <c r="I37" s="768">
        <f>+F51</f>
        <v>6000000</v>
      </c>
      <c r="J37" s="768">
        <v>960000</v>
      </c>
      <c r="K37" s="769">
        <f>+F52</f>
        <v>960000</v>
      </c>
      <c r="L37" s="769">
        <f t="shared" si="21"/>
        <v>18000000</v>
      </c>
      <c r="M37" s="770">
        <f t="shared" si="21"/>
        <v>18000000</v>
      </c>
      <c r="N37" s="22"/>
      <c r="O37" s="22"/>
      <c r="R37" s="19"/>
      <c r="S37" s="19"/>
      <c r="T37" s="19"/>
      <c r="U37" s="19"/>
      <c r="V37" s="716"/>
      <c r="AD37" s="716"/>
      <c r="AG37" s="778"/>
    </row>
    <row r="38" spans="1:35" ht="13.9" customHeight="1">
      <c r="A38" s="771" t="s">
        <v>464</v>
      </c>
      <c r="B38" s="805">
        <v>1200000</v>
      </c>
      <c r="C38" s="772">
        <f>+F56</f>
        <v>1200000</v>
      </c>
      <c r="D38" s="772">
        <v>3120000</v>
      </c>
      <c r="E38" s="772">
        <f>+F57</f>
        <v>3120000</v>
      </c>
      <c r="F38" s="772">
        <v>1200000</v>
      </c>
      <c r="G38" s="772">
        <f>+F58</f>
        <v>1200000</v>
      </c>
      <c r="H38" s="772">
        <v>3000000</v>
      </c>
      <c r="I38" s="772">
        <f>+F59</f>
        <v>3000000</v>
      </c>
      <c r="J38" s="772">
        <v>480000</v>
      </c>
      <c r="K38" s="779">
        <f>+F60</f>
        <v>480000</v>
      </c>
      <c r="L38" s="773">
        <f t="shared" si="21"/>
        <v>9000000</v>
      </c>
      <c r="M38" s="770">
        <f t="shared" si="21"/>
        <v>9000000</v>
      </c>
      <c r="N38" s="22"/>
      <c r="O38" s="22"/>
      <c r="P38" s="954" t="s">
        <v>322</v>
      </c>
      <c r="Q38" s="954"/>
      <c r="R38" s="949" t="s">
        <v>466</v>
      </c>
      <c r="S38" s="949"/>
      <c r="T38" s="949"/>
      <c r="U38" s="19"/>
      <c r="V38" s="953" t="s">
        <v>323</v>
      </c>
      <c r="W38" s="22"/>
      <c r="X38" s="954" t="s">
        <v>322</v>
      </c>
      <c r="Y38" s="954"/>
      <c r="Z38" s="949" t="s">
        <v>433</v>
      </c>
      <c r="AA38" s="949"/>
      <c r="AB38" s="949"/>
      <c r="AD38" s="953" t="s">
        <v>323</v>
      </c>
      <c r="AE38" s="757"/>
      <c r="AF38" s="758"/>
      <c r="AG38" s="757"/>
      <c r="AH38" s="758"/>
      <c r="AI38" s="757"/>
    </row>
    <row r="39" spans="1:35" ht="13.9" customHeight="1">
      <c r="A39" s="97" t="s">
        <v>81</v>
      </c>
      <c r="B39" s="806">
        <f t="shared" ref="B39" si="22">SUM(B37:B38)</f>
        <v>3600000</v>
      </c>
      <c r="C39" s="774">
        <f t="shared" ref="C39:K39" si="23">SUM(C37:C38)</f>
        <v>3600000</v>
      </c>
      <c r="D39" s="774">
        <f t="shared" ref="D39" si="24">SUM(D37:D38)</f>
        <v>9360000</v>
      </c>
      <c r="E39" s="774">
        <f t="shared" si="23"/>
        <v>9360000</v>
      </c>
      <c r="F39" s="774">
        <f t="shared" ref="F39" si="25">SUM(F37:F38)</f>
        <v>3600000</v>
      </c>
      <c r="G39" s="774">
        <f t="shared" si="23"/>
        <v>3600000</v>
      </c>
      <c r="H39" s="774">
        <f t="shared" ref="H39" si="26">SUM(H37:H38)</f>
        <v>9000000</v>
      </c>
      <c r="I39" s="774">
        <f t="shared" si="23"/>
        <v>9000000</v>
      </c>
      <c r="J39" s="774">
        <f t="shared" ref="J39" si="27">SUM(J37:J38)</f>
        <v>1440000</v>
      </c>
      <c r="K39" s="774">
        <f t="shared" si="23"/>
        <v>1440000</v>
      </c>
      <c r="L39" s="775">
        <f>SUM(L37:L38)</f>
        <v>27000000</v>
      </c>
      <c r="M39" s="776">
        <f>SUM(M37:M38)</f>
        <v>27000000</v>
      </c>
      <c r="N39" s="22"/>
      <c r="O39" s="23"/>
      <c r="P39" s="22">
        <v>1632000</v>
      </c>
      <c r="Q39" s="756" t="s">
        <v>19</v>
      </c>
      <c r="R39" s="19" t="s">
        <v>324</v>
      </c>
      <c r="S39" s="19" t="s">
        <v>325</v>
      </c>
      <c r="T39" s="19" t="s">
        <v>326</v>
      </c>
      <c r="U39" s="19" t="s">
        <v>327</v>
      </c>
      <c r="V39" s="953"/>
      <c r="W39" s="22"/>
      <c r="X39" s="22">
        <v>1632000</v>
      </c>
      <c r="Y39" s="756" t="s">
        <v>19</v>
      </c>
      <c r="Z39" s="19" t="s">
        <v>324</v>
      </c>
      <c r="AA39" s="19" t="s">
        <v>325</v>
      </c>
      <c r="AB39" s="19" t="s">
        <v>326</v>
      </c>
      <c r="AC39" s="19" t="s">
        <v>327</v>
      </c>
      <c r="AD39" s="953"/>
      <c r="AG39" s="778"/>
    </row>
    <row r="40" spans="1:35" ht="13.9" customHeight="1">
      <c r="A40" s="780" t="s">
        <v>463</v>
      </c>
      <c r="B40" s="807">
        <v>2286667</v>
      </c>
      <c r="C40" s="781">
        <f>+Q54+0.33</f>
        <v>2346666.9966666666</v>
      </c>
      <c r="D40" s="781">
        <v>4386667</v>
      </c>
      <c r="E40" s="781">
        <f>+Q55</f>
        <v>4640000</v>
      </c>
      <c r="F40" s="781">
        <v>2566667</v>
      </c>
      <c r="G40" s="781">
        <f>+Q56-0.33</f>
        <v>2453333.0033333329</v>
      </c>
      <c r="H40" s="781">
        <v>4386667</v>
      </c>
      <c r="I40" s="781">
        <f>+Q57-0.33</f>
        <v>4853333.0033333329</v>
      </c>
      <c r="J40" s="781"/>
      <c r="K40" s="782"/>
      <c r="L40" s="769">
        <f>+B40+D40+F40+H40+J40</f>
        <v>13626668</v>
      </c>
      <c r="M40" s="770">
        <f>+C40+E40+G40+I40+K40</f>
        <v>14293333.003333334</v>
      </c>
      <c r="N40" s="22"/>
      <c r="O40" s="23"/>
      <c r="P40" s="19" t="s">
        <v>41</v>
      </c>
      <c r="Q40" s="18">
        <f>+P39*V40</f>
        <v>1841640.5006954107</v>
      </c>
      <c r="R40" s="19">
        <v>28</v>
      </c>
      <c r="S40" s="19">
        <v>0</v>
      </c>
      <c r="T40" s="19">
        <v>16</v>
      </c>
      <c r="U40" s="19">
        <f>SUM(R40:T40)</f>
        <v>44</v>
      </c>
      <c r="V40" s="46">
        <f>+U40/719*18.44</f>
        <v>1.1284561891515996</v>
      </c>
      <c r="W40" s="22"/>
      <c r="X40" s="19" t="s">
        <v>41</v>
      </c>
      <c r="Y40" s="18"/>
      <c r="AC40" s="19">
        <f>SUM(Z40:AB40)</f>
        <v>0</v>
      </c>
      <c r="AD40" s="46"/>
      <c r="AE40" s="951"/>
      <c r="AF40" s="951"/>
      <c r="AG40" s="951"/>
      <c r="AH40" s="951"/>
    </row>
    <row r="41" spans="1:35" ht="15" customHeight="1">
      <c r="A41" s="771" t="s">
        <v>464</v>
      </c>
      <c r="B41" s="805">
        <f>1166667</f>
        <v>1166667</v>
      </c>
      <c r="C41" s="772">
        <f>+Q61</f>
        <v>1173333.3333333333</v>
      </c>
      <c r="D41" s="772">
        <f>2100000</f>
        <v>2100000</v>
      </c>
      <c r="E41" s="772">
        <f>+Q62</f>
        <v>2346666.6666666665</v>
      </c>
      <c r="F41" s="772">
        <f>1166667</f>
        <v>1166667</v>
      </c>
      <c r="G41" s="772">
        <f>+Q63</f>
        <v>1333333.3333333333</v>
      </c>
      <c r="H41" s="772">
        <f>2100000</f>
        <v>2100000</v>
      </c>
      <c r="I41" s="772">
        <f>+Q64</f>
        <v>2426666.6666666665</v>
      </c>
      <c r="J41" s="772"/>
      <c r="K41" s="779"/>
      <c r="L41" s="773">
        <f>+B41+D41+F41+H41+J41</f>
        <v>6533334</v>
      </c>
      <c r="M41" s="770">
        <f>+C41+E41+G41+I41+K41</f>
        <v>7280000</v>
      </c>
      <c r="N41" s="22"/>
      <c r="O41" s="22"/>
      <c r="P41" s="19" t="s">
        <v>85</v>
      </c>
      <c r="Q41" s="18">
        <f>SUM(Q40:Q40)</f>
        <v>1841640.5006954107</v>
      </c>
      <c r="R41" s="18">
        <f>+SUM(R40:R40)</f>
        <v>28</v>
      </c>
      <c r="S41" s="18">
        <f>+SUM(S40:S40)</f>
        <v>0</v>
      </c>
      <c r="T41" s="18">
        <f>+SUM(T40:T40)</f>
        <v>16</v>
      </c>
      <c r="U41" s="18">
        <f>+SUM(U40:U40)</f>
        <v>44</v>
      </c>
      <c r="V41" s="20">
        <f>+SUM(V40:V40)</f>
        <v>1.1284561891515996</v>
      </c>
      <c r="W41" s="22"/>
      <c r="X41" s="19" t="s">
        <v>85</v>
      </c>
      <c r="Y41" s="18">
        <f>SUM(Y40:Y40)</f>
        <v>0</v>
      </c>
      <c r="Z41" s="18">
        <f>+SUM(Z40:Z40)</f>
        <v>0</v>
      </c>
      <c r="AA41" s="18">
        <f>+SUM(AA40:AA40)</f>
        <v>0</v>
      </c>
      <c r="AB41" s="18">
        <f>+SUM(AB40:AB40)</f>
        <v>0</v>
      </c>
      <c r="AC41" s="18">
        <f>+SUM(AC40:AC40)</f>
        <v>0</v>
      </c>
      <c r="AD41" s="20">
        <f>+SUM(AD40:AD40)</f>
        <v>0</v>
      </c>
      <c r="AF41" s="783"/>
      <c r="AG41" s="18"/>
    </row>
    <row r="42" spans="1:35" ht="13.9" customHeight="1">
      <c r="A42" s="717" t="s">
        <v>82</v>
      </c>
      <c r="B42" s="806">
        <f>SUM(B40:B41)</f>
        <v>3453334</v>
      </c>
      <c r="C42" s="774">
        <f>SUM(C40:C41)</f>
        <v>3520000.33</v>
      </c>
      <c r="D42" s="774">
        <f>SUM(D40:D41)</f>
        <v>6486667</v>
      </c>
      <c r="E42" s="774">
        <f t="shared" ref="E42:I42" si="28">SUM(E40:E41)</f>
        <v>6986666.666666666</v>
      </c>
      <c r="F42" s="774">
        <f>SUM(F40:F41)</f>
        <v>3733334</v>
      </c>
      <c r="G42" s="774">
        <f t="shared" si="28"/>
        <v>3786666.336666666</v>
      </c>
      <c r="H42" s="774">
        <f>SUM(H40:H41)</f>
        <v>6486667</v>
      </c>
      <c r="I42" s="774">
        <f t="shared" si="28"/>
        <v>7279999.6699999999</v>
      </c>
      <c r="J42" s="774">
        <f>SUM(J40:J41)</f>
        <v>0</v>
      </c>
      <c r="K42" s="775"/>
      <c r="L42" s="775">
        <f>SUM(L40:L41)</f>
        <v>20160002</v>
      </c>
      <c r="M42" s="776">
        <f>SUM(M40:M41)</f>
        <v>21573333.003333334</v>
      </c>
      <c r="N42" s="22"/>
      <c r="O42" s="49"/>
      <c r="P42" s="19">
        <v>1841641</v>
      </c>
      <c r="Q42" s="18"/>
      <c r="R42" s="18"/>
      <c r="S42" s="18"/>
      <c r="T42" s="22"/>
      <c r="U42" s="19"/>
      <c r="V42" s="19"/>
      <c r="W42" s="23"/>
      <c r="Y42" s="18"/>
      <c r="Z42" s="18"/>
      <c r="AA42" s="18"/>
      <c r="AB42" s="22"/>
      <c r="AE42" s="18"/>
      <c r="AF42" s="18"/>
    </row>
    <row r="43" spans="1:35" s="31" customFormat="1" ht="15" customHeight="1" thickBot="1">
      <c r="A43" s="784" t="s">
        <v>83</v>
      </c>
      <c r="B43" s="808">
        <f>4458806</f>
        <v>4458806</v>
      </c>
      <c r="C43" s="785">
        <f>+P42+V32</f>
        <v>3886228</v>
      </c>
      <c r="D43" s="785"/>
      <c r="E43" s="785"/>
      <c r="F43" s="785"/>
      <c r="G43" s="785"/>
      <c r="H43" s="785"/>
      <c r="I43" s="785"/>
      <c r="J43" s="785"/>
      <c r="K43" s="786"/>
      <c r="L43" s="786">
        <f>+B43+D43+F43+H43+J43</f>
        <v>4458806</v>
      </c>
      <c r="M43" s="801">
        <f>+C43+E43+G43+I43+K43</f>
        <v>3886228</v>
      </c>
      <c r="N43" s="22"/>
      <c r="O43" s="22"/>
      <c r="P43" s="19"/>
      <c r="Q43" s="18"/>
      <c r="R43" s="18"/>
      <c r="S43" s="18"/>
      <c r="T43" s="22" t="s">
        <v>328</v>
      </c>
      <c r="U43" s="22"/>
      <c r="V43" s="18"/>
      <c r="W43" s="18"/>
      <c r="X43" s="19"/>
      <c r="Y43" s="18"/>
      <c r="Z43" s="18"/>
      <c r="AA43" s="18"/>
      <c r="AB43" s="22" t="s">
        <v>328</v>
      </c>
      <c r="AC43" s="22"/>
      <c r="AD43" s="18"/>
      <c r="AE43" s="50"/>
      <c r="AF43" s="30"/>
    </row>
    <row r="44" spans="1:35" ht="13.9" customHeight="1" thickBot="1">
      <c r="A44" s="787" t="s">
        <v>84</v>
      </c>
      <c r="B44" s="809">
        <f>+B34+B35+B39+B42+B43+B36</f>
        <v>30010140</v>
      </c>
      <c r="C44" s="788">
        <f>+C34+C35+C39+C42+C43+C36</f>
        <v>27746528.329999998</v>
      </c>
      <c r="D44" s="788">
        <f>+D34+D35+D39+D42+D43+D36</f>
        <v>51220567</v>
      </c>
      <c r="E44" s="788">
        <f t="shared" ref="E44:M44" si="29">+E34+E35+E39+E42+E43+E36</f>
        <v>50465966.666666664</v>
      </c>
      <c r="F44" s="788">
        <f>+F34+F35+F39+F42+F43+F36</f>
        <v>26796634</v>
      </c>
      <c r="G44" s="788">
        <f t="shared" si="29"/>
        <v>25296766.336666666</v>
      </c>
      <c r="H44" s="788">
        <f>+H34+H35+H39+H42+H43+H36</f>
        <v>49327667</v>
      </c>
      <c r="I44" s="788">
        <f t="shared" si="29"/>
        <v>50679499.670000002</v>
      </c>
      <c r="J44" s="788">
        <f>+J34+J35+J39+J42+J43+J36</f>
        <v>5141600</v>
      </c>
      <c r="K44" s="788">
        <f t="shared" si="29"/>
        <v>5298400</v>
      </c>
      <c r="L44" s="788">
        <f t="shared" ref="L44" si="30">+L34+L35+L39+L42+L43+L36</f>
        <v>162496608</v>
      </c>
      <c r="M44" s="802">
        <f t="shared" si="29"/>
        <v>159487161.00333333</v>
      </c>
      <c r="N44" s="23"/>
      <c r="O44" s="716"/>
      <c r="Q44" s="18"/>
      <c r="R44" s="18"/>
      <c r="S44" s="18"/>
      <c r="T44" s="22" t="s">
        <v>329</v>
      </c>
      <c r="U44" s="720">
        <v>1.2</v>
      </c>
      <c r="V44" s="19"/>
      <c r="W44" s="18"/>
      <c r="Y44" s="18"/>
      <c r="Z44" s="18"/>
      <c r="AA44" s="18"/>
      <c r="AB44" s="22" t="s">
        <v>329</v>
      </c>
      <c r="AC44" s="720">
        <v>1.2</v>
      </c>
    </row>
    <row r="45" spans="1:35" ht="13.9" customHeight="1">
      <c r="C45" s="18">
        <v>27747</v>
      </c>
      <c r="E45" s="18">
        <v>50466</v>
      </c>
      <c r="F45" s="18"/>
      <c r="G45" s="18">
        <v>25297</v>
      </c>
      <c r="H45" s="22"/>
      <c r="I45" s="22">
        <v>50679</v>
      </c>
      <c r="J45" s="22"/>
      <c r="K45" s="22">
        <v>5298</v>
      </c>
      <c r="L45" s="22"/>
      <c r="M45" s="22">
        <f>+C45+E45+G45+I45+K45</f>
        <v>159487</v>
      </c>
      <c r="N45" s="22"/>
      <c r="O45" s="22"/>
      <c r="Q45" s="18"/>
      <c r="R45" s="18"/>
      <c r="S45" s="18"/>
      <c r="T45" s="22"/>
      <c r="X45" s="716"/>
      <c r="Z45" s="18"/>
      <c r="AA45" s="18"/>
      <c r="AB45" s="18"/>
      <c r="AC45" s="18"/>
      <c r="AE45" s="18"/>
      <c r="AF45" s="18"/>
    </row>
    <row r="46" spans="1:35" ht="13.9" customHeight="1">
      <c r="A46" s="24" t="s">
        <v>112</v>
      </c>
      <c r="B46" s="18">
        <v>1800000</v>
      </c>
      <c r="E46" s="18"/>
      <c r="F46" s="18"/>
      <c r="G46" s="18"/>
      <c r="H46" s="49"/>
      <c r="I46" s="49"/>
      <c r="J46" s="49"/>
      <c r="K46" s="22"/>
      <c r="N46" s="22"/>
      <c r="O46" s="22"/>
      <c r="Q46" s="18"/>
      <c r="R46" s="18"/>
      <c r="S46" s="18"/>
      <c r="T46" s="22"/>
      <c r="U46" s="757"/>
      <c r="V46" s="758"/>
      <c r="W46" s="716"/>
      <c r="X46" s="18"/>
      <c r="Z46" s="18"/>
      <c r="AA46" s="18"/>
    </row>
    <row r="47" spans="1:35" ht="13.9" customHeight="1">
      <c r="A47" s="714" t="s">
        <v>463</v>
      </c>
      <c r="B47" s="18" t="s">
        <v>109</v>
      </c>
      <c r="C47" s="757" t="s">
        <v>110</v>
      </c>
      <c r="D47" s="757" t="s">
        <v>111</v>
      </c>
      <c r="E47" s="758" t="s">
        <v>23</v>
      </c>
      <c r="F47" s="716" t="s">
        <v>113</v>
      </c>
      <c r="G47" s="716"/>
      <c r="H47" s="716"/>
      <c r="I47" s="716"/>
      <c r="J47" s="716"/>
      <c r="K47" s="716"/>
      <c r="L47" s="716"/>
      <c r="M47" s="716"/>
      <c r="N47" s="716"/>
      <c r="O47" s="716"/>
      <c r="Q47" s="18"/>
      <c r="R47" s="18"/>
      <c r="S47" s="18"/>
      <c r="T47" s="22"/>
      <c r="U47" s="22"/>
      <c r="V47" s="22"/>
      <c r="W47" s="716"/>
      <c r="X47" s="21"/>
      <c r="Y47" s="18"/>
      <c r="Z47" s="18"/>
    </row>
    <row r="48" spans="1:35" ht="13.9" customHeight="1">
      <c r="A48" s="19" t="s">
        <v>41</v>
      </c>
      <c r="B48" s="20">
        <v>2</v>
      </c>
      <c r="C48" s="20"/>
      <c r="D48" s="20"/>
      <c r="E48" s="721">
        <f>SUM(B48:D48)</f>
        <v>2</v>
      </c>
      <c r="F48" s="18">
        <f>+E48*$B$46*(8/12)</f>
        <v>2400000</v>
      </c>
      <c r="G48" s="18"/>
      <c r="H48" s="18"/>
      <c r="I48" s="18"/>
      <c r="J48" s="18"/>
      <c r="K48" s="18"/>
      <c r="L48" s="18"/>
      <c r="M48" s="18"/>
      <c r="N48" s="18"/>
      <c r="O48" s="18"/>
      <c r="P48" s="23"/>
      <c r="Q48" s="716"/>
      <c r="U48" s="22"/>
      <c r="V48" s="22"/>
      <c r="W48" s="716"/>
      <c r="X48" s="21"/>
      <c r="Y48" s="18"/>
      <c r="Z48" s="18"/>
      <c r="AA48" s="18"/>
    </row>
    <row r="49" spans="1:33" ht="13.9" customHeight="1">
      <c r="A49" s="19" t="s">
        <v>42</v>
      </c>
      <c r="B49" s="20">
        <v>4</v>
      </c>
      <c r="C49" s="721">
        <v>0.2</v>
      </c>
      <c r="D49" s="18">
        <v>1</v>
      </c>
      <c r="E49" s="721">
        <f>SUM(B49:D49)</f>
        <v>5.2</v>
      </c>
      <c r="F49" s="18">
        <f>+E49*$B$46*(8/12)</f>
        <v>6240000</v>
      </c>
      <c r="G49" s="18"/>
      <c r="H49" s="18"/>
      <c r="I49" s="18"/>
      <c r="J49" s="18"/>
      <c r="K49" s="18"/>
      <c r="L49" s="18"/>
      <c r="M49" s="18"/>
      <c r="N49" s="18"/>
      <c r="O49" s="22"/>
      <c r="P49" s="22"/>
      <c r="Q49" s="22"/>
      <c r="R49" s="19"/>
      <c r="S49" s="21"/>
      <c r="T49" s="18"/>
      <c r="U49" s="22"/>
      <c r="V49" s="22"/>
      <c r="W49" s="757"/>
      <c r="X49" s="21"/>
      <c r="Y49" s="18"/>
      <c r="Z49" s="18"/>
      <c r="AG49" s="18"/>
    </row>
    <row r="50" spans="1:33" ht="13.9" customHeight="1">
      <c r="A50" s="19" t="s">
        <v>43</v>
      </c>
      <c r="B50" s="20">
        <v>2</v>
      </c>
      <c r="C50" s="721"/>
      <c r="E50" s="721">
        <f>SUM(B50:D50)</f>
        <v>2</v>
      </c>
      <c r="F50" s="18">
        <f t="shared" ref="F50:F52" si="31">+E50*$B$46*(8/12)</f>
        <v>2400000</v>
      </c>
      <c r="G50" s="18"/>
      <c r="H50" s="18"/>
      <c r="I50" s="18"/>
      <c r="J50" s="18"/>
      <c r="K50" s="18"/>
      <c r="L50" s="18"/>
      <c r="M50" s="18"/>
      <c r="N50" s="18"/>
      <c r="O50" s="22"/>
      <c r="P50" s="952" t="s">
        <v>88</v>
      </c>
      <c r="Q50" s="952"/>
      <c r="R50" s="952" t="s">
        <v>467</v>
      </c>
      <c r="S50" s="952"/>
      <c r="T50" s="22"/>
      <c r="U50" s="22"/>
      <c r="V50" s="22"/>
      <c r="W50" s="18"/>
      <c r="X50" s="21"/>
      <c r="Y50" s="18"/>
      <c r="Z50" s="18"/>
    </row>
    <row r="51" spans="1:33" ht="13.9" customHeight="1">
      <c r="A51" s="19" t="s">
        <v>44</v>
      </c>
      <c r="B51" s="20">
        <v>4</v>
      </c>
      <c r="C51" s="721"/>
      <c r="D51" s="18">
        <v>1</v>
      </c>
      <c r="E51" s="721">
        <f>SUM(B51:D51)</f>
        <v>5</v>
      </c>
      <c r="F51" s="18">
        <f t="shared" si="31"/>
        <v>6000000</v>
      </c>
      <c r="G51" s="18"/>
      <c r="H51" s="18"/>
      <c r="I51" s="18"/>
      <c r="J51" s="18"/>
      <c r="K51" s="18"/>
      <c r="L51" s="18"/>
      <c r="M51" s="18"/>
      <c r="N51" s="18"/>
      <c r="O51" s="18"/>
      <c r="P51" s="951">
        <v>80000</v>
      </c>
      <c r="Q51" s="951"/>
      <c r="R51" s="951">
        <v>80000</v>
      </c>
      <c r="S51" s="951"/>
      <c r="T51" s="22"/>
      <c r="U51" s="22"/>
      <c r="V51" s="22"/>
      <c r="W51" s="18"/>
      <c r="X51" s="21"/>
      <c r="Y51" s="18"/>
      <c r="Z51" s="18"/>
    </row>
    <row r="52" spans="1:33" ht="13.9" customHeight="1">
      <c r="A52" s="19" t="s">
        <v>98</v>
      </c>
      <c r="B52" s="20">
        <v>0</v>
      </c>
      <c r="C52" s="721">
        <v>0.8</v>
      </c>
      <c r="E52" s="721">
        <f>SUM(B52:D52)</f>
        <v>0.8</v>
      </c>
      <c r="F52" s="18">
        <f t="shared" si="31"/>
        <v>960000</v>
      </c>
      <c r="G52" s="18"/>
      <c r="H52" s="18"/>
      <c r="I52" s="18"/>
      <c r="J52" s="18"/>
      <c r="K52" s="18"/>
      <c r="L52" s="18"/>
      <c r="M52" s="18"/>
      <c r="N52" s="18"/>
      <c r="O52" s="18"/>
      <c r="P52" s="31"/>
      <c r="Q52" s="31"/>
      <c r="R52" s="31"/>
      <c r="S52" s="31"/>
      <c r="T52" s="22"/>
      <c r="U52" s="716"/>
      <c r="V52" s="21"/>
      <c r="W52" s="18"/>
      <c r="X52" s="758"/>
      <c r="Z52" s="18"/>
      <c r="AA52" s="18"/>
    </row>
    <row r="53" spans="1:33" ht="13.9" customHeight="1">
      <c r="A53" s="19" t="s">
        <v>85</v>
      </c>
      <c r="B53" s="20">
        <f>SUM(B48:B52)</f>
        <v>12</v>
      </c>
      <c r="C53" s="722">
        <f t="shared" ref="C53:D53" si="32">SUM(C48:C52)</f>
        <v>1</v>
      </c>
      <c r="D53" s="722">
        <f t="shared" si="32"/>
        <v>2</v>
      </c>
      <c r="E53" s="721">
        <f>SUM(E48:E52)</f>
        <v>15</v>
      </c>
      <c r="F53" s="18">
        <f>SUM(F48:F52)</f>
        <v>18000000</v>
      </c>
      <c r="G53" s="18"/>
      <c r="H53" s="18"/>
      <c r="I53" s="18"/>
      <c r="J53" s="18"/>
      <c r="K53" s="18"/>
      <c r="L53" s="18"/>
      <c r="M53" s="18"/>
      <c r="N53" s="18"/>
      <c r="O53" s="18"/>
      <c r="P53" s="49" t="s">
        <v>107</v>
      </c>
      <c r="Q53" s="18" t="s">
        <v>19</v>
      </c>
      <c r="R53" s="49" t="s">
        <v>107</v>
      </c>
      <c r="S53" s="18" t="s">
        <v>19</v>
      </c>
      <c r="T53" s="22"/>
      <c r="U53" s="19"/>
      <c r="V53" s="21"/>
      <c r="Z53" s="18"/>
    </row>
    <row r="54" spans="1:33" ht="13.9" customHeight="1">
      <c r="E54" s="19"/>
      <c r="H54" s="949"/>
      <c r="I54" s="949"/>
      <c r="J54" s="949"/>
      <c r="K54" s="949"/>
      <c r="L54" s="949"/>
      <c r="P54" s="19" t="s">
        <v>41</v>
      </c>
      <c r="Q54" s="18">
        <f>+B6*(8/12)*$P$51</f>
        <v>2346666.6666666665</v>
      </c>
      <c r="R54" s="19" t="s">
        <v>41</v>
      </c>
      <c r="S54" s="18">
        <f>+Q6*(8/12)*$P$51</f>
        <v>0</v>
      </c>
      <c r="T54" s="22"/>
      <c r="U54" s="19"/>
      <c r="V54" s="21"/>
      <c r="X54" s="18"/>
      <c r="Z54" s="18"/>
    </row>
    <row r="55" spans="1:33" ht="13.9" customHeight="1">
      <c r="A55" s="714" t="s">
        <v>432</v>
      </c>
      <c r="B55" s="757" t="s">
        <v>109</v>
      </c>
      <c r="C55" s="757" t="s">
        <v>110</v>
      </c>
      <c r="D55" s="757" t="s">
        <v>111</v>
      </c>
      <c r="E55" s="758" t="s">
        <v>23</v>
      </c>
      <c r="F55" s="758" t="s">
        <v>113</v>
      </c>
      <c r="G55" s="758"/>
      <c r="H55" s="757"/>
      <c r="I55" s="757"/>
      <c r="J55" s="757"/>
      <c r="K55" s="758"/>
      <c r="L55" s="758"/>
      <c r="M55" s="758"/>
      <c r="N55" s="758"/>
      <c r="O55" s="758"/>
      <c r="P55" s="19" t="s">
        <v>42</v>
      </c>
      <c r="Q55" s="18">
        <f>+B7*(8/12)*$P$51</f>
        <v>4640000</v>
      </c>
      <c r="R55" s="19" t="s">
        <v>42</v>
      </c>
      <c r="S55" s="18">
        <f t="shared" ref="S55:S57" si="33">+Q7*(8/12)*$P$51</f>
        <v>0</v>
      </c>
      <c r="T55" s="22"/>
      <c r="U55" s="19"/>
      <c r="V55" s="21"/>
      <c r="W55" s="22"/>
      <c r="X55" s="18"/>
    </row>
    <row r="56" spans="1:33" ht="13.9" customHeight="1">
      <c r="A56" s="19" t="s">
        <v>41</v>
      </c>
      <c r="B56" s="20">
        <v>2</v>
      </c>
      <c r="C56" s="20"/>
      <c r="D56" s="723"/>
      <c r="E56" s="721">
        <f>SUM(B56:D56)</f>
        <v>2</v>
      </c>
      <c r="F56" s="18">
        <f>+E56*$B$46*(4/12)</f>
        <v>1200000</v>
      </c>
      <c r="G56" s="18"/>
      <c r="H56" s="20"/>
      <c r="I56" s="20"/>
      <c r="J56" s="723"/>
      <c r="K56" s="721"/>
      <c r="L56" s="18"/>
      <c r="M56" s="18"/>
      <c r="N56" s="18"/>
      <c r="O56" s="18"/>
      <c r="P56" s="19" t="s">
        <v>43</v>
      </c>
      <c r="Q56" s="18">
        <f>+B8*(8/12)*$P$51</f>
        <v>2453333.333333333</v>
      </c>
      <c r="R56" s="19" t="s">
        <v>43</v>
      </c>
      <c r="S56" s="18">
        <f t="shared" si="33"/>
        <v>0</v>
      </c>
      <c r="T56" s="22"/>
      <c r="U56" s="19"/>
      <c r="V56" s="19"/>
      <c r="W56" s="22"/>
    </row>
    <row r="57" spans="1:33" ht="13.9" customHeight="1">
      <c r="A57" s="19" t="s">
        <v>42</v>
      </c>
      <c r="B57" s="20">
        <v>4</v>
      </c>
      <c r="C57" s="721">
        <v>0.2</v>
      </c>
      <c r="D57" s="722">
        <v>1</v>
      </c>
      <c r="E57" s="721">
        <f>SUM(B57:D57)</f>
        <v>5.2</v>
      </c>
      <c r="F57" s="18">
        <f t="shared" ref="F57:F60" si="34">+E57*$B$46*(4/12)</f>
        <v>3120000</v>
      </c>
      <c r="G57" s="18"/>
      <c r="H57" s="20"/>
      <c r="I57" s="721"/>
      <c r="J57" s="722"/>
      <c r="K57" s="721"/>
      <c r="L57" s="18"/>
      <c r="M57" s="18"/>
      <c r="N57" s="18"/>
      <c r="O57" s="18"/>
      <c r="P57" s="19" t="s">
        <v>44</v>
      </c>
      <c r="Q57" s="18">
        <f>+B9*(8/12)*$P$51</f>
        <v>4853333.333333333</v>
      </c>
      <c r="R57" s="19" t="s">
        <v>44</v>
      </c>
      <c r="S57" s="18">
        <f t="shared" si="33"/>
        <v>0</v>
      </c>
      <c r="U57" s="21"/>
      <c r="W57" s="22"/>
    </row>
    <row r="58" spans="1:33" ht="13.9" customHeight="1">
      <c r="A58" s="19" t="s">
        <v>43</v>
      </c>
      <c r="B58" s="20">
        <v>2</v>
      </c>
      <c r="C58" s="721"/>
      <c r="D58" s="722"/>
      <c r="E58" s="721">
        <f>SUM(B58:D58)</f>
        <v>2</v>
      </c>
      <c r="F58" s="18">
        <f t="shared" si="34"/>
        <v>1200000</v>
      </c>
      <c r="G58" s="18"/>
      <c r="H58" s="20"/>
      <c r="I58" s="721"/>
      <c r="J58" s="722"/>
      <c r="K58" s="721"/>
      <c r="L58" s="18"/>
      <c r="M58" s="18"/>
      <c r="N58" s="18"/>
      <c r="O58" s="18"/>
      <c r="P58" s="19" t="s">
        <v>85</v>
      </c>
      <c r="Q58" s="18">
        <f>SUM(Q54:Q57)</f>
        <v>14293333.333333332</v>
      </c>
      <c r="R58" s="19" t="s">
        <v>85</v>
      </c>
      <c r="S58" s="18">
        <f>SUM(S54:S57)</f>
        <v>0</v>
      </c>
      <c r="U58" s="22"/>
      <c r="V58" s="789"/>
      <c r="W58" s="22"/>
      <c r="X58" s="22"/>
      <c r="Y58" s="18"/>
    </row>
    <row r="59" spans="1:33" ht="13.9" customHeight="1">
      <c r="A59" s="19" t="s">
        <v>44</v>
      </c>
      <c r="B59" s="20">
        <v>4</v>
      </c>
      <c r="C59" s="721"/>
      <c r="D59" s="722">
        <v>1</v>
      </c>
      <c r="E59" s="721">
        <f>SUM(B59:D59)</f>
        <v>5</v>
      </c>
      <c r="F59" s="18">
        <f t="shared" si="34"/>
        <v>3000000</v>
      </c>
      <c r="G59" s="18"/>
      <c r="H59" s="20"/>
      <c r="I59" s="721"/>
      <c r="J59" s="722"/>
      <c r="K59" s="721"/>
      <c r="L59" s="18"/>
      <c r="M59" s="18"/>
      <c r="N59" s="18"/>
      <c r="O59" s="18"/>
      <c r="P59" s="22"/>
      <c r="Q59" s="18"/>
      <c r="R59" s="22"/>
      <c r="S59" s="18"/>
      <c r="U59" s="22"/>
      <c r="V59" s="22"/>
      <c r="X59" s="22"/>
      <c r="Y59" s="22"/>
    </row>
    <row r="60" spans="1:33" ht="13.9" customHeight="1">
      <c r="A60" s="19" t="s">
        <v>98</v>
      </c>
      <c r="B60" s="20">
        <v>0</v>
      </c>
      <c r="C60" s="721">
        <v>0.8</v>
      </c>
      <c r="D60" s="722"/>
      <c r="E60" s="721">
        <f>SUM(B60:D60)</f>
        <v>0.8</v>
      </c>
      <c r="F60" s="18">
        <f t="shared" si="34"/>
        <v>480000</v>
      </c>
      <c r="G60" s="18"/>
      <c r="H60" s="20"/>
      <c r="I60" s="721"/>
      <c r="J60" s="722"/>
      <c r="K60" s="721"/>
      <c r="L60" s="18"/>
      <c r="M60" s="18"/>
      <c r="N60" s="18"/>
      <c r="O60" s="18"/>
      <c r="P60" s="22" t="s">
        <v>108</v>
      </c>
      <c r="Q60" s="18"/>
      <c r="R60" s="22" t="s">
        <v>108</v>
      </c>
      <c r="S60" s="18"/>
      <c r="U60" s="22"/>
      <c r="V60" s="22"/>
      <c r="W60" s="23"/>
      <c r="X60" s="22"/>
      <c r="Y60" s="22"/>
    </row>
    <row r="61" spans="1:33" ht="13.9" customHeight="1">
      <c r="A61" s="19" t="s">
        <v>85</v>
      </c>
      <c r="B61" s="722">
        <f t="shared" ref="B61:D61" si="35">SUM(B56:B60)</f>
        <v>12</v>
      </c>
      <c r="C61" s="722">
        <f t="shared" si="35"/>
        <v>1</v>
      </c>
      <c r="D61" s="722">
        <f t="shared" si="35"/>
        <v>2</v>
      </c>
      <c r="E61" s="721">
        <f>SUM(E56:E60)</f>
        <v>15</v>
      </c>
      <c r="F61" s="18">
        <f>SUM(F56:F60)</f>
        <v>9000000</v>
      </c>
      <c r="G61" s="18"/>
      <c r="H61" s="722"/>
      <c r="I61" s="722"/>
      <c r="J61" s="722"/>
      <c r="K61" s="721"/>
      <c r="L61" s="18"/>
      <c r="M61" s="18"/>
      <c r="N61" s="18"/>
      <c r="O61" s="18"/>
      <c r="P61" s="19" t="s">
        <v>41</v>
      </c>
      <c r="Q61" s="18">
        <f>+B14*(4/12)*$P$51</f>
        <v>1173333.3333333333</v>
      </c>
      <c r="R61" s="19" t="s">
        <v>41</v>
      </c>
      <c r="S61" s="18">
        <f>+Q14*(4/12)*$P$51</f>
        <v>0</v>
      </c>
      <c r="T61" s="18"/>
      <c r="U61" s="22"/>
      <c r="V61" s="22"/>
      <c r="X61" s="22"/>
      <c r="Y61" s="18"/>
      <c r="Z61" s="18"/>
      <c r="AA61" s="18"/>
    </row>
    <row r="62" spans="1:33" ht="13.9" customHeight="1">
      <c r="A62" s="724"/>
      <c r="B62" s="725"/>
      <c r="C62" s="51"/>
      <c r="D62" s="726"/>
      <c r="E62" s="727"/>
      <c r="F62" s="726"/>
      <c r="G62" s="726"/>
      <c r="H62" s="726"/>
      <c r="I62" s="726"/>
      <c r="J62" s="726"/>
      <c r="K62" s="726"/>
      <c r="L62" s="726"/>
      <c r="M62" s="726"/>
      <c r="N62" s="726"/>
      <c r="O62" s="726"/>
      <c r="P62" s="19" t="s">
        <v>42</v>
      </c>
      <c r="Q62" s="18">
        <f>+B15*(4/12)*$P$51</f>
        <v>2346666.6666666665</v>
      </c>
      <c r="R62" s="19" t="s">
        <v>42</v>
      </c>
      <c r="S62" s="18">
        <f>+Q15*(4/12)*$P$51</f>
        <v>0</v>
      </c>
      <c r="T62" s="19"/>
      <c r="U62" s="716"/>
      <c r="V62" s="716"/>
      <c r="W62" s="714"/>
      <c r="X62" s="21"/>
      <c r="Y62" s="790"/>
      <c r="Z62" s="728"/>
      <c r="AA62" s="714"/>
    </row>
    <row r="63" spans="1:33" ht="13.9" customHeight="1">
      <c r="A63" s="24" t="s">
        <v>434</v>
      </c>
      <c r="B63" s="18">
        <v>384000</v>
      </c>
      <c r="E63" s="18"/>
      <c r="F63" s="18"/>
      <c r="G63" s="722"/>
      <c r="H63" s="722"/>
      <c r="I63" s="722"/>
      <c r="J63" s="722"/>
      <c r="K63" s="722"/>
      <c r="L63" s="722"/>
      <c r="M63" s="722"/>
      <c r="N63" s="722"/>
      <c r="O63" s="18"/>
      <c r="P63" s="19" t="s">
        <v>43</v>
      </c>
      <c r="Q63" s="18">
        <f>+B16*(4/12)*$P$51</f>
        <v>1333333.3333333333</v>
      </c>
      <c r="R63" s="19" t="s">
        <v>43</v>
      </c>
      <c r="S63" s="18">
        <f>+Q16*(4/12)*$P$51</f>
        <v>0</v>
      </c>
      <c r="T63" s="22"/>
      <c r="U63" s="23"/>
      <c r="V63" s="23"/>
      <c r="W63" s="714"/>
      <c r="X63" s="716"/>
      <c r="Y63" s="790"/>
      <c r="Z63" s="790"/>
      <c r="AA63" s="728"/>
      <c r="AB63" s="728"/>
    </row>
    <row r="64" spans="1:33" ht="13.9" customHeight="1">
      <c r="A64" s="714"/>
      <c r="B64" s="18" t="s">
        <v>435</v>
      </c>
      <c r="C64" s="716" t="s">
        <v>113</v>
      </c>
      <c r="D64" s="726"/>
      <c r="E64" s="19"/>
      <c r="G64" s="22"/>
      <c r="J64" s="23"/>
      <c r="K64" s="23"/>
      <c r="L64" s="23"/>
      <c r="M64" s="23"/>
      <c r="N64" s="23"/>
      <c r="O64" s="18"/>
      <c r="P64" s="19" t="s">
        <v>44</v>
      </c>
      <c r="Q64" s="18">
        <f>+B17*(4/12)*$P$51</f>
        <v>2426666.6666666665</v>
      </c>
      <c r="R64" s="19" t="s">
        <v>44</v>
      </c>
      <c r="S64" s="18">
        <f>+Q17*(4/12)*$P$51</f>
        <v>0</v>
      </c>
      <c r="T64" s="23"/>
      <c r="U64" s="728"/>
      <c r="V64" s="728"/>
      <c r="X64" s="714"/>
    </row>
    <row r="65" spans="1:32" ht="13.9" customHeight="1">
      <c r="A65" s="19" t="s">
        <v>41</v>
      </c>
      <c r="B65" s="20">
        <v>1</v>
      </c>
      <c r="C65" s="18">
        <f>+B65*$B$63</f>
        <v>384000</v>
      </c>
      <c r="E65" s="19"/>
      <c r="G65" s="22"/>
      <c r="J65" s="23"/>
      <c r="K65" s="23"/>
      <c r="L65" s="23"/>
      <c r="M65" s="23"/>
      <c r="N65" s="23"/>
      <c r="O65" s="18"/>
      <c r="P65" s="19" t="s">
        <v>85</v>
      </c>
      <c r="Q65" s="18">
        <f>SUM(Q61:Q64)</f>
        <v>7280000</v>
      </c>
      <c r="R65" s="19" t="s">
        <v>85</v>
      </c>
      <c r="S65" s="18">
        <f>SUM(S61:S64)</f>
        <v>0</v>
      </c>
      <c r="T65" s="23"/>
      <c r="Y65" s="714"/>
    </row>
    <row r="66" spans="1:32" ht="15" customHeight="1">
      <c r="A66" s="19" t="s">
        <v>42</v>
      </c>
      <c r="B66" s="20">
        <v>1</v>
      </c>
      <c r="C66" s="18">
        <f t="shared" ref="C66:C69" si="36">+B66*$B$63</f>
        <v>384000</v>
      </c>
      <c r="D66" s="728"/>
      <c r="E66" s="22"/>
      <c r="F66" s="22"/>
      <c r="G66" s="22"/>
      <c r="J66" s="23"/>
      <c r="K66" s="23"/>
      <c r="L66" s="18"/>
      <c r="M66" s="22"/>
      <c r="O66" s="22"/>
      <c r="P66" s="22"/>
      <c r="Q66" s="23"/>
      <c r="R66" s="18"/>
      <c r="S66" s="18"/>
      <c r="T66" s="19"/>
      <c r="U66" s="19"/>
      <c r="V66" s="714"/>
    </row>
    <row r="67" spans="1:32" ht="15" customHeight="1">
      <c r="A67" s="19" t="s">
        <v>43</v>
      </c>
      <c r="B67" s="20">
        <v>1</v>
      </c>
      <c r="C67" s="18">
        <f t="shared" si="36"/>
        <v>384000</v>
      </c>
      <c r="E67" s="22"/>
      <c r="F67" s="23"/>
      <c r="G67" s="23"/>
      <c r="H67" s="23"/>
      <c r="I67" s="23"/>
      <c r="J67" s="23"/>
      <c r="K67" s="23"/>
      <c r="L67" s="18"/>
      <c r="M67" s="23"/>
      <c r="N67" s="23"/>
      <c r="O67" s="716"/>
      <c r="P67" s="790"/>
      <c r="Q67" s="790"/>
      <c r="R67" s="18"/>
      <c r="S67" s="18"/>
      <c r="T67" s="19"/>
      <c r="U67" s="714"/>
      <c r="V67" s="714"/>
    </row>
    <row r="68" spans="1:32">
      <c r="A68" s="19" t="s">
        <v>44</v>
      </c>
      <c r="B68" s="20">
        <v>1</v>
      </c>
      <c r="C68" s="18">
        <f t="shared" si="36"/>
        <v>384000</v>
      </c>
      <c r="E68" s="23"/>
      <c r="F68" s="23"/>
      <c r="G68" s="23"/>
      <c r="H68" s="23"/>
      <c r="I68" s="23"/>
      <c r="J68" s="18"/>
      <c r="K68" s="18"/>
      <c r="L68" s="18"/>
      <c r="M68" s="23"/>
      <c r="N68" s="23"/>
      <c r="O68" s="716"/>
      <c r="P68" s="790"/>
      <c r="Q68" s="716"/>
      <c r="R68" s="18"/>
      <c r="S68" s="18"/>
      <c r="T68" s="19"/>
      <c r="U68" s="19"/>
      <c r="V68" s="19"/>
      <c r="W68" s="714"/>
      <c r="X68" s="714"/>
      <c r="Y68" s="714"/>
    </row>
    <row r="69" spans="1:32">
      <c r="A69" s="19" t="s">
        <v>98</v>
      </c>
      <c r="B69" s="20">
        <v>1</v>
      </c>
      <c r="C69" s="18">
        <f t="shared" si="36"/>
        <v>384000</v>
      </c>
      <c r="E69" s="23"/>
      <c r="F69" s="23"/>
      <c r="G69" s="23"/>
      <c r="H69" s="23"/>
      <c r="I69" s="23"/>
      <c r="J69" s="18"/>
      <c r="K69" s="18"/>
      <c r="L69" s="18"/>
      <c r="M69" s="23"/>
      <c r="N69" s="23"/>
      <c r="O69" s="716"/>
      <c r="P69" s="716"/>
      <c r="Q69" s="716"/>
      <c r="R69" s="18"/>
      <c r="S69" s="18"/>
      <c r="T69" s="19"/>
      <c r="U69" s="19"/>
      <c r="V69" s="19"/>
      <c r="W69" s="714"/>
      <c r="X69" s="714"/>
      <c r="Y69" s="714"/>
    </row>
    <row r="70" spans="1:32">
      <c r="A70" s="19" t="s">
        <v>85</v>
      </c>
      <c r="B70" s="20">
        <f>SUM(B65:B69)</f>
        <v>5</v>
      </c>
      <c r="C70" s="18">
        <f>SUM(C65:C69)</f>
        <v>1920000</v>
      </c>
      <c r="E70" s="23"/>
      <c r="F70" s="23"/>
      <c r="G70" s="23"/>
      <c r="H70" s="23"/>
      <c r="I70" s="23"/>
      <c r="J70" s="18"/>
      <c r="K70" s="18"/>
      <c r="L70" s="18"/>
      <c r="M70" s="18"/>
      <c r="N70" s="18"/>
      <c r="O70" s="790"/>
      <c r="P70" s="716"/>
      <c r="Q70" s="716"/>
      <c r="R70" s="18"/>
      <c r="S70" s="18"/>
      <c r="T70" s="19"/>
      <c r="U70" s="19"/>
      <c r="V70" s="19"/>
    </row>
    <row r="71" spans="1:32" s="714" customFormat="1">
      <c r="A71" s="724"/>
      <c r="B71" s="725"/>
      <c r="C71" s="51"/>
      <c r="D71" s="726"/>
      <c r="E71" s="791"/>
      <c r="F71" s="726"/>
      <c r="G71" s="726"/>
      <c r="H71" s="23"/>
      <c r="I71" s="18"/>
      <c r="J71" s="18"/>
      <c r="K71" s="18"/>
      <c r="L71" s="18"/>
      <c r="M71" s="18"/>
      <c r="N71" s="18"/>
      <c r="O71" s="18"/>
      <c r="P71" s="18"/>
      <c r="Q71" s="18"/>
      <c r="R71" s="790"/>
      <c r="S71" s="716"/>
      <c r="T71" s="716"/>
      <c r="U71" s="18"/>
      <c r="V71" s="18"/>
      <c r="W71" s="19"/>
      <c r="X71" s="19"/>
      <c r="Y71" s="19"/>
      <c r="Z71" s="19"/>
      <c r="AA71" s="19"/>
      <c r="AB71" s="19"/>
      <c r="AD71" s="19"/>
      <c r="AE71" s="19"/>
      <c r="AF71" s="19"/>
    </row>
    <row r="72" spans="1:32" s="714" customFormat="1">
      <c r="A72" s="19"/>
      <c r="B72" s="725"/>
      <c r="C72" s="51"/>
      <c r="D72" s="18"/>
      <c r="E72" s="20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716"/>
      <c r="S72" s="716"/>
      <c r="T72" s="716"/>
      <c r="U72" s="18"/>
      <c r="V72" s="18"/>
      <c r="W72" s="19"/>
      <c r="X72" s="19"/>
      <c r="Y72" s="19"/>
      <c r="Z72" s="19"/>
      <c r="AA72" s="19"/>
      <c r="AB72" s="19"/>
      <c r="AD72" s="19"/>
      <c r="AE72" s="19"/>
      <c r="AF72" s="19"/>
    </row>
    <row r="73" spans="1:32">
      <c r="A73" s="724"/>
      <c r="B73" s="725"/>
      <c r="C73" s="51"/>
      <c r="D73" s="726"/>
      <c r="E73" s="791"/>
      <c r="F73" s="726"/>
      <c r="G73" s="726"/>
      <c r="H73" s="18"/>
      <c r="I73" s="18"/>
      <c r="J73" s="18"/>
      <c r="K73" s="18"/>
      <c r="L73" s="18"/>
      <c r="M73" s="18"/>
      <c r="N73" s="18"/>
      <c r="O73" s="18"/>
      <c r="P73" s="18"/>
      <c r="Q73" s="18"/>
      <c r="AD73" s="714"/>
      <c r="AE73" s="714"/>
      <c r="AF73" s="714"/>
    </row>
    <row r="74" spans="1:32">
      <c r="C74" s="757"/>
      <c r="E74" s="18"/>
      <c r="F74" s="18"/>
      <c r="G74" s="20"/>
      <c r="H74" s="18"/>
      <c r="I74" s="18"/>
      <c r="J74" s="18"/>
      <c r="K74" s="18"/>
      <c r="L74" s="18"/>
      <c r="M74" s="18"/>
      <c r="N74" s="18"/>
      <c r="O74" s="18"/>
      <c r="P74" s="18"/>
      <c r="Q74" s="18"/>
      <c r="AD74" s="714"/>
      <c r="AE74" s="714"/>
      <c r="AF74" s="714"/>
    </row>
    <row r="75" spans="1:32">
      <c r="H75" s="18"/>
      <c r="I75" s="18"/>
      <c r="J75" s="18"/>
      <c r="K75" s="18"/>
      <c r="L75" s="18"/>
      <c r="M75" s="18"/>
      <c r="N75" s="18"/>
      <c r="P75" s="18"/>
      <c r="Q75" s="18"/>
    </row>
    <row r="76" spans="1:32">
      <c r="H76" s="18"/>
      <c r="I76" s="18"/>
      <c r="J76" s="18"/>
      <c r="K76" s="18"/>
      <c r="L76" s="18"/>
      <c r="M76" s="18"/>
      <c r="N76" s="18"/>
      <c r="P76" s="18"/>
      <c r="Q76" s="18"/>
    </row>
    <row r="77" spans="1:32">
      <c r="H77" s="18"/>
      <c r="I77" s="18"/>
      <c r="J77" s="18"/>
      <c r="K77" s="18"/>
      <c r="L77" s="18"/>
      <c r="M77" s="18"/>
      <c r="N77" s="18"/>
      <c r="O77" s="757"/>
      <c r="P77" s="18"/>
      <c r="Q77" s="18"/>
      <c r="W77" s="20"/>
    </row>
    <row r="78" spans="1:32">
      <c r="H78" s="18"/>
      <c r="I78" s="18"/>
      <c r="J78" s="18"/>
      <c r="K78" s="18"/>
      <c r="L78" s="18"/>
      <c r="M78" s="18"/>
      <c r="N78" s="18"/>
      <c r="O78" s="757"/>
      <c r="P78" s="18"/>
      <c r="Q78" s="18"/>
      <c r="U78" s="792"/>
      <c r="W78" s="20"/>
    </row>
    <row r="79" spans="1:32">
      <c r="A79" s="793"/>
      <c r="B79" s="794"/>
      <c r="C79" s="794"/>
      <c r="D79" s="794"/>
      <c r="E79" s="795"/>
      <c r="F79" s="793"/>
      <c r="G79" s="793"/>
      <c r="H79" s="18"/>
      <c r="O79" s="18"/>
      <c r="P79" s="18"/>
      <c r="Q79" s="18"/>
      <c r="U79" s="792"/>
      <c r="W79" s="18"/>
      <c r="Y79" s="714"/>
    </row>
    <row r="80" spans="1:32">
      <c r="A80" s="796"/>
      <c r="B80" s="47"/>
      <c r="C80" s="47"/>
      <c r="D80" s="47"/>
      <c r="E80" s="797"/>
      <c r="F80" s="796"/>
      <c r="G80" s="796"/>
      <c r="O80" s="18"/>
      <c r="P80" s="18"/>
      <c r="Q80" s="18"/>
      <c r="W80" s="18"/>
      <c r="X80" s="18"/>
      <c r="Y80" s="18"/>
    </row>
    <row r="81" spans="1:32">
      <c r="A81" s="796"/>
      <c r="B81" s="47"/>
      <c r="C81" s="47"/>
      <c r="D81" s="47"/>
      <c r="E81" s="797"/>
      <c r="F81" s="796"/>
      <c r="G81" s="796"/>
      <c r="I81" s="757"/>
      <c r="J81" s="757"/>
      <c r="K81" s="757"/>
      <c r="L81" s="757"/>
      <c r="M81" s="757"/>
      <c r="N81" s="757"/>
      <c r="O81" s="18"/>
      <c r="T81" s="757"/>
      <c r="W81" s="18"/>
      <c r="X81" s="18"/>
      <c r="Y81" s="728"/>
      <c r="Z81" s="20"/>
      <c r="AA81" s="20"/>
    </row>
    <row r="82" spans="1:32">
      <c r="A82" s="796"/>
      <c r="B82" s="47"/>
      <c r="C82" s="47"/>
      <c r="D82" s="47"/>
      <c r="E82" s="797"/>
      <c r="F82" s="796"/>
      <c r="G82" s="796"/>
      <c r="H82" s="757"/>
      <c r="I82" s="757"/>
      <c r="J82" s="757"/>
      <c r="K82" s="757"/>
      <c r="L82" s="757"/>
      <c r="M82" s="757"/>
      <c r="N82" s="757"/>
      <c r="O82" s="18"/>
      <c r="S82" s="757"/>
      <c r="T82" s="757"/>
      <c r="V82" s="20"/>
      <c r="W82" s="18"/>
      <c r="X82" s="18"/>
      <c r="Y82" s="728"/>
      <c r="Z82" s="20"/>
      <c r="AA82" s="20"/>
    </row>
    <row r="83" spans="1:32">
      <c r="A83" s="798"/>
      <c r="B83" s="48"/>
      <c r="C83" s="48"/>
      <c r="D83" s="48"/>
      <c r="E83" s="799"/>
      <c r="F83" s="798"/>
      <c r="G83" s="798"/>
      <c r="H83" s="757"/>
      <c r="I83" s="18"/>
      <c r="J83" s="18"/>
      <c r="K83" s="18"/>
      <c r="L83" s="18"/>
      <c r="M83" s="18"/>
      <c r="N83" s="18"/>
      <c r="O83" s="18"/>
      <c r="P83" s="757"/>
      <c r="Q83" s="757"/>
      <c r="R83" s="728"/>
      <c r="S83" s="757"/>
      <c r="T83" s="18"/>
      <c r="V83" s="20"/>
      <c r="W83" s="18"/>
      <c r="X83" s="18"/>
      <c r="Y83" s="728"/>
      <c r="Z83" s="20"/>
      <c r="AA83" s="20"/>
    </row>
    <row r="84" spans="1:32">
      <c r="H84" s="18"/>
      <c r="I84" s="721"/>
      <c r="J84" s="721"/>
      <c r="K84" s="721"/>
      <c r="L84" s="721"/>
      <c r="M84" s="18"/>
      <c r="N84" s="18"/>
      <c r="O84" s="726"/>
      <c r="P84" s="757"/>
      <c r="Q84" s="757"/>
      <c r="R84" s="728"/>
      <c r="S84" s="721"/>
      <c r="T84" s="18"/>
      <c r="V84" s="20"/>
      <c r="W84" s="18"/>
      <c r="X84" s="18"/>
      <c r="Y84" s="18"/>
      <c r="Z84" s="716"/>
      <c r="AA84" s="18"/>
    </row>
    <row r="85" spans="1:32">
      <c r="H85" s="721"/>
      <c r="I85" s="721"/>
      <c r="J85" s="721"/>
      <c r="K85" s="721"/>
      <c r="L85" s="721"/>
      <c r="M85" s="18"/>
      <c r="N85" s="18"/>
      <c r="O85" s="18"/>
      <c r="P85" s="18"/>
      <c r="Q85" s="18"/>
      <c r="R85" s="18"/>
      <c r="S85" s="721"/>
      <c r="T85" s="18"/>
      <c r="V85" s="20"/>
      <c r="W85" s="726"/>
      <c r="X85" s="18"/>
      <c r="Y85" s="18"/>
      <c r="Z85" s="716"/>
      <c r="AA85" s="18"/>
    </row>
    <row r="86" spans="1:32">
      <c r="H86" s="721"/>
      <c r="I86" s="721"/>
      <c r="J86" s="721"/>
      <c r="K86" s="721"/>
      <c r="L86" s="721"/>
      <c r="M86" s="18"/>
      <c r="N86" s="18"/>
      <c r="O86" s="726"/>
      <c r="P86" s="18"/>
      <c r="Q86" s="18"/>
      <c r="R86" s="18"/>
      <c r="S86" s="721"/>
      <c r="T86" s="18"/>
      <c r="U86" s="726"/>
      <c r="V86" s="727"/>
      <c r="W86" s="18"/>
      <c r="X86" s="18"/>
      <c r="Y86" s="18"/>
      <c r="Z86" s="716"/>
      <c r="AA86" s="18"/>
    </row>
    <row r="87" spans="1:32">
      <c r="H87" s="721"/>
      <c r="I87" s="721"/>
      <c r="J87" s="721"/>
      <c r="K87" s="721"/>
      <c r="L87" s="721"/>
      <c r="M87" s="18"/>
      <c r="N87" s="18"/>
      <c r="O87" s="18"/>
      <c r="P87" s="18"/>
      <c r="Q87" s="18"/>
      <c r="R87" s="18"/>
      <c r="S87" s="721"/>
      <c r="T87" s="18"/>
      <c r="V87" s="20"/>
      <c r="W87" s="726"/>
      <c r="X87" s="18"/>
      <c r="Y87" s="18"/>
      <c r="Z87" s="716"/>
      <c r="AA87" s="18"/>
    </row>
    <row r="88" spans="1:32">
      <c r="H88" s="721"/>
      <c r="I88" s="727"/>
      <c r="J88" s="727"/>
      <c r="K88" s="727"/>
      <c r="L88" s="727"/>
      <c r="M88" s="726"/>
      <c r="N88" s="726"/>
      <c r="O88" s="728"/>
      <c r="P88" s="18"/>
      <c r="Q88" s="18"/>
      <c r="R88" s="18"/>
      <c r="S88" s="721"/>
      <c r="T88" s="18"/>
      <c r="U88" s="726"/>
      <c r="V88" s="726"/>
      <c r="W88" s="18"/>
      <c r="X88" s="726"/>
      <c r="Y88" s="727"/>
      <c r="Z88" s="726"/>
      <c r="AA88" s="726"/>
    </row>
    <row r="89" spans="1:32">
      <c r="H89" s="727"/>
      <c r="I89" s="721"/>
      <c r="J89" s="721"/>
      <c r="K89" s="721"/>
      <c r="L89" s="721"/>
      <c r="M89" s="18"/>
      <c r="N89" s="18"/>
      <c r="O89" s="18"/>
      <c r="P89" s="18"/>
      <c r="Q89" s="18"/>
      <c r="R89" s="18"/>
      <c r="S89" s="721"/>
      <c r="T89" s="726"/>
      <c r="W89" s="728"/>
      <c r="X89" s="726"/>
      <c r="Y89" s="18"/>
      <c r="Z89" s="716"/>
      <c r="AA89" s="18"/>
      <c r="AB89" s="714"/>
    </row>
    <row r="90" spans="1:32">
      <c r="H90" s="721"/>
      <c r="I90" s="800"/>
      <c r="J90" s="800"/>
      <c r="K90" s="800"/>
      <c r="L90" s="800"/>
      <c r="M90" s="726"/>
      <c r="N90" s="726"/>
      <c r="O90" s="18"/>
      <c r="P90" s="726"/>
      <c r="Q90" s="726"/>
      <c r="R90" s="726"/>
      <c r="S90" s="727"/>
      <c r="T90" s="18"/>
      <c r="U90" s="728"/>
      <c r="V90" s="728"/>
      <c r="W90" s="18"/>
      <c r="X90" s="18"/>
      <c r="Y90" s="18"/>
      <c r="Z90" s="716"/>
      <c r="AA90" s="18"/>
    </row>
    <row r="91" spans="1:32" s="714" customFormat="1">
      <c r="A91" s="19"/>
      <c r="B91" s="18"/>
      <c r="C91" s="18"/>
      <c r="D91" s="18"/>
      <c r="E91" s="20"/>
      <c r="F91" s="19"/>
      <c r="G91" s="19"/>
      <c r="H91" s="800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721"/>
      <c r="T91" s="726"/>
      <c r="U91" s="18"/>
      <c r="V91" s="46"/>
      <c r="W91" s="18"/>
      <c r="Y91" s="19"/>
      <c r="Z91" s="716"/>
      <c r="AA91" s="18"/>
      <c r="AB91" s="19"/>
      <c r="AD91" s="19"/>
      <c r="AE91" s="19"/>
      <c r="AF91" s="19"/>
    </row>
    <row r="92" spans="1:32">
      <c r="H92" s="18"/>
      <c r="I92" s="728"/>
      <c r="J92" s="728"/>
      <c r="K92" s="728"/>
      <c r="L92" s="728"/>
      <c r="M92" s="728"/>
      <c r="N92" s="728"/>
      <c r="O92" s="18"/>
      <c r="P92" s="726"/>
      <c r="Q92" s="726"/>
      <c r="R92" s="726"/>
      <c r="S92" s="721"/>
      <c r="T92" s="18"/>
      <c r="V92" s="46"/>
      <c r="W92" s="18"/>
      <c r="X92" s="18"/>
      <c r="Y92" s="714"/>
      <c r="Z92" s="716"/>
      <c r="AA92" s="18"/>
    </row>
    <row r="93" spans="1:32">
      <c r="H93" s="728"/>
      <c r="I93" s="20"/>
      <c r="J93" s="20"/>
      <c r="K93" s="20"/>
      <c r="L93" s="20"/>
      <c r="M93" s="18"/>
      <c r="N93" s="18"/>
      <c r="O93" s="791"/>
      <c r="P93" s="18"/>
      <c r="Q93" s="18"/>
      <c r="R93" s="18"/>
      <c r="S93" s="18"/>
      <c r="T93" s="728"/>
      <c r="V93" s="46"/>
      <c r="W93" s="18"/>
      <c r="X93" s="18"/>
      <c r="Y93" s="18"/>
      <c r="Z93" s="716"/>
      <c r="AA93" s="18"/>
      <c r="AD93" s="714"/>
      <c r="AE93" s="714"/>
      <c r="AF93" s="714"/>
    </row>
    <row r="94" spans="1:32">
      <c r="H94" s="20"/>
      <c r="I94" s="18"/>
      <c r="J94" s="18"/>
      <c r="K94" s="18"/>
      <c r="L94" s="18"/>
      <c r="M94" s="18"/>
      <c r="N94" s="18"/>
      <c r="O94" s="18"/>
      <c r="P94" s="728"/>
      <c r="Q94" s="728"/>
      <c r="R94" s="728"/>
      <c r="S94" s="728"/>
      <c r="T94" s="18"/>
      <c r="V94" s="46"/>
      <c r="W94" s="726"/>
      <c r="X94" s="18"/>
      <c r="Y94" s="18"/>
      <c r="Z94" s="716"/>
      <c r="AA94" s="18"/>
      <c r="AB94" s="724"/>
    </row>
    <row r="95" spans="1:32">
      <c r="H95" s="18"/>
      <c r="I95" s="18"/>
      <c r="J95" s="18"/>
      <c r="K95" s="18"/>
      <c r="L95" s="18"/>
      <c r="M95" s="18"/>
      <c r="N95" s="18"/>
      <c r="O95" s="726"/>
      <c r="P95" s="18"/>
      <c r="Q95" s="18"/>
      <c r="R95" s="18"/>
      <c r="S95" s="721"/>
      <c r="T95" s="18"/>
      <c r="U95" s="726"/>
      <c r="V95" s="727"/>
      <c r="W95" s="18"/>
      <c r="X95" s="18"/>
      <c r="Y95" s="18"/>
      <c r="Z95" s="716"/>
      <c r="AA95" s="18"/>
    </row>
    <row r="96" spans="1:32">
      <c r="H96" s="18"/>
      <c r="I96" s="18"/>
      <c r="J96" s="18"/>
      <c r="K96" s="18"/>
      <c r="L96" s="18"/>
      <c r="M96" s="18"/>
      <c r="N96" s="18"/>
      <c r="O96" s="20"/>
      <c r="P96" s="18"/>
      <c r="Q96" s="18"/>
      <c r="R96" s="18"/>
      <c r="S96" s="721"/>
      <c r="T96" s="18"/>
      <c r="W96" s="726"/>
      <c r="X96" s="18"/>
      <c r="Y96" s="18"/>
      <c r="Z96" s="716"/>
      <c r="AA96" s="18"/>
    </row>
    <row r="97" spans="1:32" s="724" customFormat="1">
      <c r="A97" s="19"/>
      <c r="B97" s="18"/>
      <c r="C97" s="18"/>
      <c r="D97" s="18"/>
      <c r="E97" s="20"/>
      <c r="F97" s="19"/>
      <c r="G97" s="19"/>
      <c r="H97" s="18"/>
      <c r="I97" s="791"/>
      <c r="J97" s="791"/>
      <c r="K97" s="791"/>
      <c r="L97" s="791"/>
      <c r="M97" s="791"/>
      <c r="N97" s="791"/>
      <c r="O97" s="19"/>
      <c r="P97" s="18"/>
      <c r="Q97" s="18"/>
      <c r="R97" s="18"/>
      <c r="S97" s="721"/>
      <c r="T97" s="18"/>
      <c r="U97" s="726"/>
      <c r="V97" s="791"/>
      <c r="W97" s="18"/>
      <c r="X97" s="726"/>
      <c r="Y97" s="791"/>
      <c r="Z97" s="726"/>
      <c r="AA97" s="726"/>
      <c r="AB97" s="19"/>
      <c r="AD97" s="19"/>
      <c r="AE97" s="19"/>
      <c r="AF97" s="19"/>
    </row>
    <row r="98" spans="1:32">
      <c r="H98" s="791"/>
      <c r="I98" s="20"/>
      <c r="J98" s="20"/>
      <c r="K98" s="20"/>
      <c r="L98" s="20"/>
      <c r="M98" s="18"/>
      <c r="N98" s="18"/>
      <c r="P98" s="18"/>
      <c r="Q98" s="18"/>
      <c r="R98" s="18"/>
      <c r="S98" s="721"/>
      <c r="T98" s="726"/>
      <c r="U98" s="19"/>
      <c r="X98" s="18"/>
      <c r="Y98" s="18"/>
      <c r="Z98" s="716"/>
      <c r="AA98" s="728"/>
    </row>
    <row r="99" spans="1:32">
      <c r="H99" s="20"/>
      <c r="I99" s="791"/>
      <c r="J99" s="791"/>
      <c r="K99" s="791"/>
      <c r="L99" s="791"/>
      <c r="M99" s="726"/>
      <c r="N99" s="726"/>
      <c r="P99" s="791"/>
      <c r="Q99" s="791"/>
      <c r="R99" s="726"/>
      <c r="S99" s="791"/>
      <c r="T99" s="18"/>
      <c r="X99" s="726"/>
      <c r="Y99" s="791"/>
      <c r="Z99" s="726"/>
      <c r="AA99" s="726"/>
      <c r="AD99" s="724"/>
      <c r="AE99" s="724"/>
      <c r="AF99" s="724"/>
    </row>
    <row r="100" spans="1:32">
      <c r="H100" s="791"/>
      <c r="I100" s="20"/>
      <c r="J100" s="20"/>
      <c r="K100" s="20"/>
      <c r="L100" s="20"/>
      <c r="M100" s="20"/>
      <c r="N100" s="20"/>
      <c r="P100" s="18"/>
      <c r="Q100" s="18"/>
      <c r="R100" s="18"/>
      <c r="S100" s="721"/>
      <c r="T100" s="726"/>
    </row>
    <row r="101" spans="1:32">
      <c r="H101" s="20"/>
      <c r="P101" s="726"/>
      <c r="Q101" s="726"/>
      <c r="R101" s="726"/>
      <c r="S101" s="791"/>
      <c r="T101" s="19"/>
    </row>
    <row r="102" spans="1:32">
      <c r="P102" s="20"/>
      <c r="Q102" s="20"/>
      <c r="R102" s="19"/>
      <c r="S102" s="19"/>
    </row>
    <row r="105" spans="1:32">
      <c r="I105" s="24"/>
      <c r="J105" s="24"/>
      <c r="K105" s="24"/>
      <c r="L105" s="24"/>
    </row>
    <row r="106" spans="1:32">
      <c r="H106" s="793"/>
      <c r="I106" s="24"/>
      <c r="J106" s="24"/>
      <c r="K106" s="24"/>
      <c r="L106" s="24"/>
    </row>
    <row r="107" spans="1:32">
      <c r="H107" s="796"/>
      <c r="I107" s="24"/>
      <c r="J107" s="24"/>
      <c r="K107" s="24"/>
      <c r="L107" s="24"/>
    </row>
    <row r="108" spans="1:32">
      <c r="H108" s="796"/>
      <c r="I108" s="24"/>
      <c r="J108" s="24"/>
      <c r="K108" s="24"/>
      <c r="L108" s="24"/>
    </row>
    <row r="109" spans="1:32">
      <c r="H109" s="796"/>
      <c r="I109" s="24"/>
      <c r="J109" s="24"/>
      <c r="K109" s="24"/>
      <c r="L109" s="24"/>
    </row>
    <row r="110" spans="1:32">
      <c r="H110" s="798"/>
    </row>
  </sheetData>
  <mergeCells count="20">
    <mergeCell ref="H54:L54"/>
    <mergeCell ref="L30:M30"/>
    <mergeCell ref="AE40:AH40"/>
    <mergeCell ref="P50:Q50"/>
    <mergeCell ref="R50:S50"/>
    <mergeCell ref="P51:Q51"/>
    <mergeCell ref="R51:S51"/>
    <mergeCell ref="R38:T38"/>
    <mergeCell ref="V38:V39"/>
    <mergeCell ref="X38:Y38"/>
    <mergeCell ref="Z38:AB38"/>
    <mergeCell ref="AD38:AD39"/>
    <mergeCell ref="P38:Q38"/>
    <mergeCell ref="P3:AB3"/>
    <mergeCell ref="B30:C30"/>
    <mergeCell ref="D30:E30"/>
    <mergeCell ref="F30:G30"/>
    <mergeCell ref="H30:I30"/>
    <mergeCell ref="J30:K30"/>
    <mergeCell ref="G4:M4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80" orientation="landscape" r:id="rId1"/>
  <headerFooter alignWithMargins="0">
    <oddHeader>&amp;L&amp;"Times New Roman,Félkövér"&amp;13Szent László Völgye TKT&amp;C&amp;"Times New Roman,Félkövér"&amp;14
&amp;16 2016. ÉVI KÖLTSÉGVETÉS&amp;14
&amp;R5. sz. táblázat
ÓVODAI NORMATÍVA
Adatok: 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L86"/>
  <sheetViews>
    <sheetView zoomScaleSheetLayoutView="85" workbookViewId="0">
      <selection activeCell="D14" sqref="D14"/>
    </sheetView>
  </sheetViews>
  <sheetFormatPr defaultColWidth="8.85546875" defaultRowHeight="15"/>
  <cols>
    <col min="1" max="1" width="75.5703125" style="110" customWidth="1"/>
    <col min="2" max="2" width="18.28515625" style="111" customWidth="1"/>
    <col min="3" max="4" width="11" style="102" customWidth="1"/>
    <col min="5" max="6" width="12.5703125" style="102" customWidth="1"/>
    <col min="7" max="7" width="13.85546875" style="124" bestFit="1" customWidth="1"/>
    <col min="8" max="8" width="11.7109375" style="103" customWidth="1"/>
    <col min="9" max="10" width="14" style="103" customWidth="1"/>
    <col min="11" max="11" width="12.85546875" style="103" customWidth="1"/>
    <col min="12" max="16384" width="8.85546875" style="102"/>
  </cols>
  <sheetData>
    <row r="1" spans="1:12" ht="24" customHeight="1" thickBot="1">
      <c r="A1" s="878"/>
      <c r="B1" s="873" t="s">
        <v>451</v>
      </c>
      <c r="C1" s="761"/>
      <c r="D1" s="761"/>
      <c r="E1" s="761"/>
      <c r="F1" s="761"/>
      <c r="G1" s="100"/>
      <c r="H1" s="101"/>
      <c r="I1" s="101"/>
      <c r="J1" s="101"/>
    </row>
    <row r="2" spans="1:12" ht="34.5" customHeight="1">
      <c r="A2" s="879" t="s">
        <v>78</v>
      </c>
      <c r="B2" s="874"/>
      <c r="C2" s="95"/>
      <c r="D2" s="104" t="s">
        <v>461</v>
      </c>
      <c r="E2" s="761" t="s">
        <v>40</v>
      </c>
      <c r="F2" s="761" t="s">
        <v>452</v>
      </c>
      <c r="G2" s="761" t="s">
        <v>453</v>
      </c>
      <c r="H2" s="100" t="s">
        <v>18</v>
      </c>
      <c r="I2" s="101" t="s">
        <v>335</v>
      </c>
      <c r="J2" s="763" t="s">
        <v>454</v>
      </c>
      <c r="K2" s="763" t="s">
        <v>455</v>
      </c>
      <c r="L2" s="103"/>
    </row>
    <row r="3" spans="1:12">
      <c r="A3" s="880" t="s">
        <v>456</v>
      </c>
      <c r="B3" s="875">
        <f t="shared" ref="B3:B9" si="0">+I3</f>
        <v>15000000</v>
      </c>
      <c r="C3" s="95"/>
      <c r="D3" s="105">
        <v>15000</v>
      </c>
      <c r="E3" s="106">
        <v>5</v>
      </c>
      <c r="F3" s="106"/>
      <c r="G3" s="106"/>
      <c r="H3" s="96">
        <v>3000000</v>
      </c>
      <c r="I3" s="103">
        <f>+E3*H3</f>
        <v>15000000</v>
      </c>
      <c r="J3" s="103">
        <f>+F3*H3/2</f>
        <v>0</v>
      </c>
      <c r="L3" s="103"/>
    </row>
    <row r="4" spans="1:12">
      <c r="A4" s="881" t="s">
        <v>457</v>
      </c>
      <c r="B4" s="875">
        <f t="shared" si="0"/>
        <v>9900000</v>
      </c>
      <c r="C4" s="95"/>
      <c r="D4" s="105">
        <v>9900</v>
      </c>
      <c r="E4" s="106">
        <v>3.3</v>
      </c>
      <c r="F4" s="106"/>
      <c r="G4" s="106"/>
      <c r="H4" s="96">
        <v>3000000</v>
      </c>
      <c r="I4" s="103">
        <f>+E4*H4</f>
        <v>9900000</v>
      </c>
      <c r="J4" s="103">
        <f>+F4*H4/2</f>
        <v>0</v>
      </c>
      <c r="L4" s="103"/>
    </row>
    <row r="5" spans="1:12">
      <c r="A5" s="881" t="s">
        <v>458</v>
      </c>
      <c r="B5" s="875">
        <f t="shared" si="0"/>
        <v>996480</v>
      </c>
      <c r="C5" s="95"/>
      <c r="D5" s="105">
        <v>996</v>
      </c>
      <c r="E5" s="105">
        <v>18</v>
      </c>
      <c r="F5" s="105"/>
      <c r="G5" s="105"/>
      <c r="H5" s="96">
        <v>55360</v>
      </c>
      <c r="I5" s="103">
        <f t="shared" ref="I5:I11" si="1">+E5*H5</f>
        <v>996480</v>
      </c>
      <c r="J5" s="103">
        <f t="shared" ref="J5:J11" si="2">+F5*H5</f>
        <v>0</v>
      </c>
      <c r="L5" s="103"/>
    </row>
    <row r="6" spans="1:12">
      <c r="A6" s="881" t="s">
        <v>93</v>
      </c>
      <c r="B6" s="875">
        <f t="shared" si="0"/>
        <v>20358000</v>
      </c>
      <c r="C6" s="95"/>
      <c r="D6" s="105">
        <v>20358</v>
      </c>
      <c r="E6" s="105">
        <v>108</v>
      </c>
      <c r="F6" s="105"/>
      <c r="G6" s="105"/>
      <c r="H6" s="95">
        <f>145000*1.3</f>
        <v>188500</v>
      </c>
      <c r="I6" s="103">
        <f t="shared" si="1"/>
        <v>20358000</v>
      </c>
      <c r="J6" s="103">
        <f t="shared" si="2"/>
        <v>0</v>
      </c>
      <c r="K6" s="103">
        <f>+G6*H6</f>
        <v>0</v>
      </c>
      <c r="L6" s="103"/>
    </row>
    <row r="7" spans="1:12">
      <c r="A7" s="881" t="s">
        <v>94</v>
      </c>
      <c r="B7" s="875">
        <f t="shared" si="0"/>
        <v>1144500</v>
      </c>
      <c r="C7" s="95"/>
      <c r="D7" s="105">
        <v>1145</v>
      </c>
      <c r="E7" s="105">
        <v>7</v>
      </c>
      <c r="F7" s="105"/>
      <c r="G7" s="105"/>
      <c r="H7" s="95">
        <f>109000*1.5</f>
        <v>163500</v>
      </c>
      <c r="I7" s="103">
        <f t="shared" si="1"/>
        <v>1144500</v>
      </c>
      <c r="J7" s="103">
        <f t="shared" si="2"/>
        <v>0</v>
      </c>
      <c r="K7" s="103">
        <f t="shared" ref="K7:K10" si="3">+G7*H7</f>
        <v>0</v>
      </c>
      <c r="L7" s="103"/>
    </row>
    <row r="8" spans="1:12">
      <c r="A8" s="881" t="s">
        <v>459</v>
      </c>
      <c r="B8" s="875">
        <f t="shared" si="0"/>
        <v>2500000</v>
      </c>
      <c r="C8" s="95"/>
      <c r="D8" s="105">
        <v>2500</v>
      </c>
      <c r="E8" s="210">
        <v>1</v>
      </c>
      <c r="F8" s="210"/>
      <c r="G8" s="210"/>
      <c r="H8" s="95">
        <v>2500000</v>
      </c>
      <c r="I8" s="103">
        <f t="shared" si="1"/>
        <v>2500000</v>
      </c>
      <c r="J8" s="103">
        <f t="shared" si="2"/>
        <v>0</v>
      </c>
      <c r="L8" s="103"/>
    </row>
    <row r="9" spans="1:12">
      <c r="A9" s="882" t="s">
        <v>336</v>
      </c>
      <c r="B9" s="872">
        <f t="shared" si="0"/>
        <v>1743300</v>
      </c>
      <c r="C9" s="95"/>
      <c r="D9" s="105">
        <v>1743</v>
      </c>
      <c r="E9" s="105">
        <v>5</v>
      </c>
      <c r="F9" s="105"/>
      <c r="G9" s="105"/>
      <c r="H9" s="95">
        <f>268200*1.3</f>
        <v>348660</v>
      </c>
      <c r="I9" s="103">
        <f t="shared" si="1"/>
        <v>1743300</v>
      </c>
      <c r="J9" s="103">
        <f t="shared" si="2"/>
        <v>0</v>
      </c>
      <c r="K9" s="103">
        <f t="shared" ref="K9" si="4">+G9*H9</f>
        <v>0</v>
      </c>
      <c r="L9" s="103"/>
    </row>
    <row r="10" spans="1:12">
      <c r="A10" s="883" t="s">
        <v>460</v>
      </c>
      <c r="B10" s="876">
        <f>+I10+I11</f>
        <v>8940000</v>
      </c>
      <c r="C10" s="95"/>
      <c r="D10" s="105">
        <v>8940</v>
      </c>
      <c r="E10" s="105">
        <v>1</v>
      </c>
      <c r="F10" s="105"/>
      <c r="G10" s="105"/>
      <c r="H10" s="95">
        <v>3000000</v>
      </c>
      <c r="I10" s="103">
        <f t="shared" si="1"/>
        <v>3000000</v>
      </c>
      <c r="J10" s="103">
        <f t="shared" si="2"/>
        <v>0</v>
      </c>
      <c r="K10" s="103">
        <f t="shared" si="3"/>
        <v>0</v>
      </c>
      <c r="L10" s="103"/>
    </row>
    <row r="11" spans="1:12" ht="15.75" thickBot="1">
      <c r="A11" s="884" t="s">
        <v>79</v>
      </c>
      <c r="B11" s="877">
        <f>SUM(B3:B10)</f>
        <v>60582280</v>
      </c>
      <c r="C11" s="764"/>
      <c r="D11" s="105">
        <f>SUM(D3:D10)</f>
        <v>60582</v>
      </c>
      <c r="E11" s="105">
        <v>3300</v>
      </c>
      <c r="F11" s="105"/>
      <c r="G11" s="105"/>
      <c r="H11" s="95">
        <v>1800</v>
      </c>
      <c r="I11" s="103">
        <f t="shared" si="1"/>
        <v>5940000</v>
      </c>
      <c r="J11" s="103">
        <f t="shared" si="2"/>
        <v>0</v>
      </c>
      <c r="L11" s="103"/>
    </row>
    <row r="12" spans="1:12" s="109" customFormat="1">
      <c r="A12" s="881" t="s">
        <v>477</v>
      </c>
      <c r="B12" s="872">
        <v>2000000</v>
      </c>
      <c r="C12" s="107"/>
      <c r="D12" s="105"/>
      <c r="E12" s="105"/>
      <c r="F12" s="105"/>
      <c r="G12" s="108"/>
      <c r="H12" s="103"/>
      <c r="I12" s="103"/>
      <c r="J12" s="103"/>
      <c r="K12" s="103"/>
    </row>
    <row r="13" spans="1:12" ht="15.75" thickBot="1">
      <c r="A13" s="884" t="s">
        <v>478</v>
      </c>
      <c r="B13" s="877">
        <f>SUM(B12)</f>
        <v>2000000</v>
      </c>
      <c r="D13" s="105">
        <v>2000</v>
      </c>
      <c r="E13" s="105"/>
      <c r="F13" s="105"/>
      <c r="G13" s="108"/>
    </row>
    <row r="14" spans="1:12" ht="24" customHeight="1" thickBot="1">
      <c r="A14" s="885" t="s">
        <v>408</v>
      </c>
      <c r="B14" s="886">
        <f>+B11+B13</f>
        <v>62582280</v>
      </c>
      <c r="G14" s="108"/>
    </row>
    <row r="15" spans="1:12">
      <c r="G15" s="108"/>
    </row>
    <row r="68" spans="1:11">
      <c r="A68" s="99"/>
      <c r="B68" s="102"/>
    </row>
    <row r="69" spans="1:11">
      <c r="G69" s="102"/>
      <c r="H69" s="102"/>
      <c r="I69" s="102"/>
      <c r="J69" s="102"/>
      <c r="K69" s="102"/>
    </row>
    <row r="81" spans="1:11">
      <c r="A81" s="112"/>
      <c r="B81" s="113"/>
    </row>
    <row r="82" spans="1:11">
      <c r="A82" s="116"/>
      <c r="B82" s="117"/>
      <c r="C82" s="114"/>
      <c r="D82" s="114"/>
      <c r="E82" s="114"/>
      <c r="F82" s="114"/>
      <c r="G82" s="115"/>
      <c r="H82" s="102"/>
      <c r="I82" s="102"/>
      <c r="J82" s="102"/>
      <c r="K82" s="102"/>
    </row>
    <row r="83" spans="1:11">
      <c r="A83" s="116"/>
      <c r="B83" s="117"/>
      <c r="C83" s="118"/>
      <c r="D83" s="118"/>
      <c r="E83" s="118"/>
      <c r="F83" s="118"/>
      <c r="G83" s="119"/>
      <c r="H83" s="102"/>
      <c r="I83" s="102"/>
      <c r="J83" s="102"/>
      <c r="K83" s="102"/>
    </row>
    <row r="84" spans="1:11">
      <c r="A84" s="116"/>
      <c r="B84" s="117"/>
      <c r="C84" s="118"/>
      <c r="D84" s="118"/>
      <c r="E84" s="118"/>
      <c r="F84" s="118"/>
      <c r="G84" s="119"/>
      <c r="H84" s="102"/>
      <c r="I84" s="102"/>
      <c r="J84" s="102"/>
      <c r="K84" s="102"/>
    </row>
    <row r="85" spans="1:11">
      <c r="A85" s="120"/>
      <c r="B85" s="121"/>
      <c r="C85" s="118"/>
      <c r="D85" s="118"/>
      <c r="E85" s="118"/>
      <c r="F85" s="118"/>
      <c r="G85" s="119"/>
      <c r="H85" s="102"/>
      <c r="I85" s="102"/>
      <c r="J85" s="102"/>
      <c r="K85" s="102"/>
    </row>
    <row r="86" spans="1:11">
      <c r="C86" s="122"/>
      <c r="D86" s="122"/>
      <c r="E86" s="122"/>
      <c r="F86" s="122"/>
      <c r="G86" s="123"/>
      <c r="H86" s="102"/>
      <c r="I86" s="102"/>
      <c r="J86" s="102"/>
      <c r="K86" s="102"/>
    </row>
  </sheetData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orientation="landscape" r:id="rId1"/>
  <headerFooter alignWithMargins="0">
    <oddHeader>&amp;L&amp;"Times New Roman,Félkövér"&amp;13Szent László Völgye TKT&amp;C&amp;"Times New Roman,Félkövér"&amp;14
&amp;16 2016. ÉVI KÖLTSÉGVETÉS&amp;14
&amp;R6. sz. táblázat
SZOCIÁLIS NORMATÍVA
Adatok: 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1"/>
  </sheetPr>
  <dimension ref="A1:W91"/>
  <sheetViews>
    <sheetView workbookViewId="0">
      <selection activeCell="O15" sqref="O15"/>
    </sheetView>
  </sheetViews>
  <sheetFormatPr defaultColWidth="8.85546875" defaultRowHeight="12.75"/>
  <cols>
    <col min="1" max="1" width="29.7109375" style="19" customWidth="1"/>
    <col min="2" max="2" width="9.7109375" style="19" customWidth="1"/>
    <col min="3" max="10" width="7.42578125" style="19" customWidth="1"/>
    <col min="11" max="11" width="8.28515625" style="19" customWidth="1"/>
    <col min="12" max="14" width="7.42578125" style="19" customWidth="1"/>
    <col min="15" max="15" width="9.42578125" style="19" customWidth="1"/>
    <col min="16" max="21" width="8.85546875" style="19"/>
    <col min="22" max="22" width="9.28515625" style="19" customWidth="1"/>
    <col min="23" max="16384" width="8.85546875" style="19"/>
  </cols>
  <sheetData>
    <row r="1" spans="1:23" s="32" customFormat="1" ht="27.6" customHeight="1" thickBot="1">
      <c r="A1" s="83"/>
      <c r="B1" s="84" t="s">
        <v>475</v>
      </c>
      <c r="C1" s="54" t="s">
        <v>47</v>
      </c>
      <c r="D1" s="55" t="s">
        <v>48</v>
      </c>
      <c r="E1" s="55" t="s">
        <v>49</v>
      </c>
      <c r="F1" s="56" t="s">
        <v>50</v>
      </c>
      <c r="G1" s="55" t="s">
        <v>51</v>
      </c>
      <c r="H1" s="55" t="s">
        <v>52</v>
      </c>
      <c r="I1" s="55" t="s">
        <v>53</v>
      </c>
      <c r="J1" s="55" t="s">
        <v>54</v>
      </c>
      <c r="K1" s="55" t="s">
        <v>55</v>
      </c>
      <c r="L1" s="55" t="s">
        <v>56</v>
      </c>
      <c r="M1" s="55" t="s">
        <v>57</v>
      </c>
      <c r="N1" s="87" t="s">
        <v>58</v>
      </c>
      <c r="O1" s="84" t="s">
        <v>476</v>
      </c>
    </row>
    <row r="2" spans="1:23" s="32" customFormat="1" ht="34.9" customHeight="1">
      <c r="A2" s="12" t="s">
        <v>59</v>
      </c>
      <c r="B2" s="12"/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80"/>
      <c r="Q2" s="85"/>
      <c r="R2" s="68"/>
      <c r="S2" s="68"/>
      <c r="T2" s="68"/>
      <c r="U2" s="68"/>
    </row>
    <row r="3" spans="1:23">
      <c r="A3" s="86" t="s">
        <v>4</v>
      </c>
      <c r="B3" s="57">
        <f>+'[3]7.SZ.TÁBL. PÉNZE. ÁTAD - ÁTVÉT'!$O$3</f>
        <v>11433</v>
      </c>
      <c r="C3" s="41">
        <f>+$S$3</f>
        <v>1570</v>
      </c>
      <c r="D3" s="40">
        <f t="shared" ref="D3:M3" si="0">+$S$3</f>
        <v>1570</v>
      </c>
      <c r="E3" s="40">
        <f t="shared" si="0"/>
        <v>1570</v>
      </c>
      <c r="F3" s="40">
        <f t="shared" si="0"/>
        <v>1570</v>
      </c>
      <c r="G3" s="40">
        <f t="shared" si="0"/>
        <v>1570</v>
      </c>
      <c r="H3" s="40">
        <f t="shared" si="0"/>
        <v>1570</v>
      </c>
      <c r="I3" s="40">
        <f t="shared" si="0"/>
        <v>1570</v>
      </c>
      <c r="J3" s="40">
        <f t="shared" si="0"/>
        <v>1570</v>
      </c>
      <c r="K3" s="40">
        <f t="shared" si="0"/>
        <v>1570</v>
      </c>
      <c r="L3" s="40">
        <f t="shared" si="0"/>
        <v>1570</v>
      </c>
      <c r="M3" s="40">
        <f t="shared" si="0"/>
        <v>1570</v>
      </c>
      <c r="N3" s="76">
        <f>+U3</f>
        <v>1565</v>
      </c>
      <c r="O3" s="57">
        <f>SUM(C3:N3)</f>
        <v>18835</v>
      </c>
      <c r="P3" s="64"/>
      <c r="Q3" s="18">
        <f>+'2.SZ.TÁBL. BEVÉTELEK'!D7+'2.SZ.TÁBL. BEVÉTELEK'!D16+'2.SZ.TÁBL. BEVÉTELEK'!D21+'2.SZ.TÁBL. BEVÉTELEK'!D30+'2.SZ.TÁBL. BEVÉTELEK'!D40+'2.SZ.TÁBL. BEVÉTELEK'!D49</f>
        <v>18835</v>
      </c>
      <c r="R3" s="20">
        <f t="shared" ref="R3:R10" si="1">+Q3/12</f>
        <v>1569.5833333333333</v>
      </c>
      <c r="S3" s="46">
        <v>1570</v>
      </c>
      <c r="U3" s="18">
        <f t="shared" ref="U3:U13" si="2">+Q3-SUM(C3:M3)</f>
        <v>1565</v>
      </c>
    </row>
    <row r="4" spans="1:23">
      <c r="A4" s="39" t="s">
        <v>6</v>
      </c>
      <c r="B4" s="57">
        <f>+'[3]7.SZ.TÁBL. PÉNZE. ÁTAD - ÁTVÉT'!$O$4</f>
        <v>4075</v>
      </c>
      <c r="C4" s="41">
        <f>+$S$4</f>
        <v>769</v>
      </c>
      <c r="D4" s="40">
        <f t="shared" ref="D4:M4" si="3">+$S$4</f>
        <v>769</v>
      </c>
      <c r="E4" s="40">
        <f t="shared" si="3"/>
        <v>769</v>
      </c>
      <c r="F4" s="40">
        <f t="shared" si="3"/>
        <v>769</v>
      </c>
      <c r="G4" s="40">
        <f t="shared" si="3"/>
        <v>769</v>
      </c>
      <c r="H4" s="40">
        <f t="shared" si="3"/>
        <v>769</v>
      </c>
      <c r="I4" s="40">
        <f t="shared" si="3"/>
        <v>769</v>
      </c>
      <c r="J4" s="40">
        <f t="shared" si="3"/>
        <v>769</v>
      </c>
      <c r="K4" s="40">
        <f t="shared" si="3"/>
        <v>769</v>
      </c>
      <c r="L4" s="40">
        <f t="shared" si="3"/>
        <v>769</v>
      </c>
      <c r="M4" s="40">
        <f t="shared" si="3"/>
        <v>769</v>
      </c>
      <c r="N4" s="76">
        <f t="shared" ref="N4:N9" si="4">+U4</f>
        <v>768</v>
      </c>
      <c r="O4" s="57">
        <f t="shared" ref="O4:O9" si="5">SUM(C4:N4)</f>
        <v>9227</v>
      </c>
      <c r="P4" s="18"/>
      <c r="Q4" s="18">
        <f>+'2.SZ.TÁBL. BEVÉTELEK'!D9+'2.SZ.TÁBL. BEVÉTELEK'!D17+'2.SZ.TÁBL. BEVÉTELEK'!D22+'2.SZ.TÁBL. BEVÉTELEK'!D32+'2.SZ.TÁBL. BEVÉTELEK'!D41+'2.SZ.TÁBL. BEVÉTELEK'!D51</f>
        <v>9227</v>
      </c>
      <c r="R4" s="20">
        <f t="shared" si="1"/>
        <v>768.91666666666663</v>
      </c>
      <c r="S4" s="46">
        <v>769</v>
      </c>
      <c r="U4" s="18">
        <f t="shared" si="2"/>
        <v>768</v>
      </c>
    </row>
    <row r="5" spans="1:23">
      <c r="A5" s="39" t="s">
        <v>5</v>
      </c>
      <c r="B5" s="57">
        <f>+'[3]7.SZ.TÁBL. PÉNZE. ÁTAD - ÁTVÉT'!$O$5</f>
        <v>4814</v>
      </c>
      <c r="C5" s="41">
        <f>+$S$5</f>
        <v>401</v>
      </c>
      <c r="D5" s="40">
        <f t="shared" ref="D5:M5" si="6">+$S$5</f>
        <v>401</v>
      </c>
      <c r="E5" s="40">
        <f t="shared" si="6"/>
        <v>401</v>
      </c>
      <c r="F5" s="40">
        <f t="shared" si="6"/>
        <v>401</v>
      </c>
      <c r="G5" s="40">
        <f t="shared" si="6"/>
        <v>401</v>
      </c>
      <c r="H5" s="40">
        <f t="shared" si="6"/>
        <v>401</v>
      </c>
      <c r="I5" s="40">
        <f t="shared" si="6"/>
        <v>401</v>
      </c>
      <c r="J5" s="40">
        <f t="shared" si="6"/>
        <v>401</v>
      </c>
      <c r="K5" s="40">
        <f t="shared" si="6"/>
        <v>401</v>
      </c>
      <c r="L5" s="40">
        <f t="shared" si="6"/>
        <v>401</v>
      </c>
      <c r="M5" s="40">
        <f t="shared" si="6"/>
        <v>401</v>
      </c>
      <c r="N5" s="76">
        <f t="shared" si="4"/>
        <v>395</v>
      </c>
      <c r="O5" s="57">
        <f t="shared" si="5"/>
        <v>4806</v>
      </c>
      <c r="Q5" s="18">
        <f>+'2.SZ.TÁBL. BEVÉTELEK'!D8+'2.SZ.TÁBL. BEVÉTELEK'!D31+'2.SZ.TÁBL. BEVÉTELEK'!D50</f>
        <v>4806</v>
      </c>
      <c r="R5" s="20">
        <f t="shared" si="1"/>
        <v>400.5</v>
      </c>
      <c r="S5" s="46">
        <v>401</v>
      </c>
      <c r="U5" s="18">
        <f t="shared" si="2"/>
        <v>395</v>
      </c>
    </row>
    <row r="6" spans="1:23">
      <c r="A6" s="39" t="s">
        <v>7</v>
      </c>
      <c r="B6" s="57">
        <f>+'[3]7.SZ.TÁBL. PÉNZE. ÁTAD - ÁTVÉT'!$O$6</f>
        <v>2413</v>
      </c>
      <c r="C6" s="41">
        <f>+$S$6</f>
        <v>219</v>
      </c>
      <c r="D6" s="40">
        <f t="shared" ref="D6:M6" si="7">+$S$6</f>
        <v>219</v>
      </c>
      <c r="E6" s="40">
        <f t="shared" si="7"/>
        <v>219</v>
      </c>
      <c r="F6" s="40">
        <f t="shared" si="7"/>
        <v>219</v>
      </c>
      <c r="G6" s="40">
        <f t="shared" si="7"/>
        <v>219</v>
      </c>
      <c r="H6" s="40">
        <f t="shared" si="7"/>
        <v>219</v>
      </c>
      <c r="I6" s="40">
        <f t="shared" si="7"/>
        <v>219</v>
      </c>
      <c r="J6" s="40">
        <f t="shared" si="7"/>
        <v>219</v>
      </c>
      <c r="K6" s="40">
        <f t="shared" si="7"/>
        <v>219</v>
      </c>
      <c r="L6" s="40">
        <f t="shared" si="7"/>
        <v>219</v>
      </c>
      <c r="M6" s="40">
        <f t="shared" si="7"/>
        <v>219</v>
      </c>
      <c r="N6" s="76">
        <f t="shared" si="4"/>
        <v>216</v>
      </c>
      <c r="O6" s="57">
        <f t="shared" si="5"/>
        <v>2625</v>
      </c>
      <c r="Q6" s="18">
        <f>+'2.SZ.TÁBL. BEVÉTELEK'!D10+'2.SZ.TÁBL. BEVÉTELEK'!D23+'2.SZ.TÁBL. BEVÉTELEK'!D33+'2.SZ.TÁBL. BEVÉTELEK'!D42+'2.SZ.TÁBL. BEVÉTELEK'!D52</f>
        <v>2625</v>
      </c>
      <c r="R6" s="20">
        <f t="shared" si="1"/>
        <v>218.75</v>
      </c>
      <c r="S6" s="46">
        <v>219</v>
      </c>
      <c r="U6" s="18">
        <f t="shared" si="2"/>
        <v>216</v>
      </c>
    </row>
    <row r="7" spans="1:23">
      <c r="A7" s="39" t="s">
        <v>8</v>
      </c>
      <c r="B7" s="57">
        <f>+'[3]7.SZ.TÁBL. PÉNZE. ÁTAD - ÁTVÉT'!$O$7</f>
        <v>11005</v>
      </c>
      <c r="C7" s="41">
        <f>+$S$7</f>
        <v>1092</v>
      </c>
      <c r="D7" s="40">
        <f t="shared" ref="D7:M7" si="8">+$S$7</f>
        <v>1092</v>
      </c>
      <c r="E7" s="40">
        <f t="shared" si="8"/>
        <v>1092</v>
      </c>
      <c r="F7" s="40">
        <f t="shared" si="8"/>
        <v>1092</v>
      </c>
      <c r="G7" s="40">
        <f t="shared" si="8"/>
        <v>1092</v>
      </c>
      <c r="H7" s="40">
        <f t="shared" si="8"/>
        <v>1092</v>
      </c>
      <c r="I7" s="40">
        <f t="shared" si="8"/>
        <v>1092</v>
      </c>
      <c r="J7" s="40">
        <f t="shared" si="8"/>
        <v>1092</v>
      </c>
      <c r="K7" s="40">
        <f t="shared" si="8"/>
        <v>1092</v>
      </c>
      <c r="L7" s="40">
        <f t="shared" si="8"/>
        <v>1092</v>
      </c>
      <c r="M7" s="40">
        <f t="shared" si="8"/>
        <v>1092</v>
      </c>
      <c r="N7" s="76">
        <f t="shared" si="4"/>
        <v>1095</v>
      </c>
      <c r="O7" s="57">
        <f t="shared" si="5"/>
        <v>13107</v>
      </c>
      <c r="P7" s="18"/>
      <c r="Q7" s="18">
        <f>+'2.SZ.TÁBL. BEVÉTELEK'!D11+'2.SZ.TÁBL. BEVÉTELEK'!D24+'2.SZ.TÁBL. BEVÉTELEK'!D34+'2.SZ.TÁBL. BEVÉTELEK'!D43+'2.SZ.TÁBL. BEVÉTELEK'!D58</f>
        <v>13107</v>
      </c>
      <c r="R7" s="20">
        <f t="shared" si="1"/>
        <v>1092.25</v>
      </c>
      <c r="S7" s="46">
        <v>1092</v>
      </c>
      <c r="U7" s="18">
        <f t="shared" si="2"/>
        <v>1095</v>
      </c>
    </row>
    <row r="8" spans="1:23">
      <c r="A8" s="39" t="s">
        <v>9</v>
      </c>
      <c r="B8" s="57">
        <f>+'[3]7.SZ.TÁBL. PÉNZE. ÁTAD - ÁTVÉT'!$O$8</f>
        <v>6296</v>
      </c>
      <c r="C8" s="41">
        <f>+$S$8</f>
        <v>651</v>
      </c>
      <c r="D8" s="40">
        <f t="shared" ref="D8:M8" si="9">+$S$8</f>
        <v>651</v>
      </c>
      <c r="E8" s="40">
        <f t="shared" si="9"/>
        <v>651</v>
      </c>
      <c r="F8" s="40">
        <f t="shared" si="9"/>
        <v>651</v>
      </c>
      <c r="G8" s="40">
        <f t="shared" si="9"/>
        <v>651</v>
      </c>
      <c r="H8" s="40">
        <f t="shared" si="9"/>
        <v>651</v>
      </c>
      <c r="I8" s="40">
        <f t="shared" si="9"/>
        <v>651</v>
      </c>
      <c r="J8" s="40">
        <f t="shared" si="9"/>
        <v>651</v>
      </c>
      <c r="K8" s="40">
        <f t="shared" si="9"/>
        <v>651</v>
      </c>
      <c r="L8" s="40">
        <f t="shared" si="9"/>
        <v>651</v>
      </c>
      <c r="M8" s="40">
        <f t="shared" si="9"/>
        <v>651</v>
      </c>
      <c r="N8" s="76">
        <f t="shared" si="4"/>
        <v>653</v>
      </c>
      <c r="O8" s="57">
        <f t="shared" si="5"/>
        <v>7814</v>
      </c>
      <c r="P8" s="18"/>
      <c r="Q8" s="18">
        <f>+'2.SZ.TÁBL. BEVÉTELEK'!D12+'2.SZ.TÁBL. BEVÉTELEK'!D25+'2.SZ.TÁBL. BEVÉTELEK'!D35+'2.SZ.TÁBL. BEVÉTELEK'!D44+'2.SZ.TÁBL. BEVÉTELEK'!D53</f>
        <v>7814</v>
      </c>
      <c r="R8" s="20">
        <f t="shared" si="1"/>
        <v>651.16666666666663</v>
      </c>
      <c r="S8" s="46">
        <v>651</v>
      </c>
      <c r="U8" s="18">
        <f t="shared" si="2"/>
        <v>653</v>
      </c>
    </row>
    <row r="9" spans="1:23">
      <c r="A9" s="564" t="s">
        <v>10</v>
      </c>
      <c r="B9" s="563">
        <f>+'[3]7.SZ.TÁBL. PÉNZE. ÁTAD - ÁTVÉT'!$O$9</f>
        <v>7010</v>
      </c>
      <c r="C9" s="565">
        <f>+$S$9</f>
        <v>918</v>
      </c>
      <c r="D9" s="429">
        <f t="shared" ref="D9:M9" si="10">+$S$9</f>
        <v>918</v>
      </c>
      <c r="E9" s="429">
        <f t="shared" si="10"/>
        <v>918</v>
      </c>
      <c r="F9" s="429">
        <f t="shared" si="10"/>
        <v>918</v>
      </c>
      <c r="G9" s="429">
        <f t="shared" si="10"/>
        <v>918</v>
      </c>
      <c r="H9" s="429">
        <f t="shared" si="10"/>
        <v>918</v>
      </c>
      <c r="I9" s="429">
        <f t="shared" si="10"/>
        <v>918</v>
      </c>
      <c r="J9" s="429">
        <f t="shared" si="10"/>
        <v>918</v>
      </c>
      <c r="K9" s="429">
        <f t="shared" si="10"/>
        <v>918</v>
      </c>
      <c r="L9" s="429">
        <f t="shared" si="10"/>
        <v>918</v>
      </c>
      <c r="M9" s="429">
        <f t="shared" si="10"/>
        <v>918</v>
      </c>
      <c r="N9" s="430">
        <f t="shared" si="4"/>
        <v>921</v>
      </c>
      <c r="O9" s="58">
        <f t="shared" si="5"/>
        <v>11019</v>
      </c>
      <c r="P9" s="18"/>
      <c r="Q9" s="18">
        <f>+'2.SZ.TÁBL. BEVÉTELEK'!D13+'2.SZ.TÁBL. BEVÉTELEK'!D18+'2.SZ.TÁBL. BEVÉTELEK'!D26+'2.SZ.TÁBL. BEVÉTELEK'!D36+'2.SZ.TÁBL. BEVÉTELEK'!D45+'2.SZ.TÁBL. BEVÉTELEK'!D54</f>
        <v>11019</v>
      </c>
      <c r="R9" s="20">
        <f t="shared" si="1"/>
        <v>918.25</v>
      </c>
      <c r="S9" s="46">
        <v>918</v>
      </c>
      <c r="U9" s="18">
        <f t="shared" si="2"/>
        <v>921</v>
      </c>
    </row>
    <row r="10" spans="1:23" ht="13.5" thickBot="1">
      <c r="A10" s="42" t="s">
        <v>343</v>
      </c>
      <c r="B10" s="89">
        <f>+'[3]7.SZ.TÁBL. PÉNZE. ÁTAD - ÁTVÉT'!$O$10</f>
        <v>3035</v>
      </c>
      <c r="C10" s="565">
        <f>+$S$10</f>
        <v>372</v>
      </c>
      <c r="D10" s="429">
        <f t="shared" ref="D10:M10" si="11">+$S$10</f>
        <v>372</v>
      </c>
      <c r="E10" s="429">
        <f t="shared" si="11"/>
        <v>372</v>
      </c>
      <c r="F10" s="429">
        <f t="shared" si="11"/>
        <v>372</v>
      </c>
      <c r="G10" s="429">
        <f t="shared" si="11"/>
        <v>372</v>
      </c>
      <c r="H10" s="429">
        <f t="shared" si="11"/>
        <v>372</v>
      </c>
      <c r="I10" s="429">
        <f t="shared" si="11"/>
        <v>372</v>
      </c>
      <c r="J10" s="429">
        <f t="shared" si="11"/>
        <v>372</v>
      </c>
      <c r="K10" s="429">
        <f t="shared" si="11"/>
        <v>372</v>
      </c>
      <c r="L10" s="429">
        <f t="shared" si="11"/>
        <v>372</v>
      </c>
      <c r="M10" s="429">
        <f t="shared" si="11"/>
        <v>372</v>
      </c>
      <c r="N10" s="430">
        <f t="shared" ref="N10" si="12">+U10</f>
        <v>367</v>
      </c>
      <c r="O10" s="563">
        <f t="shared" ref="O10" si="13">SUM(C10:N10)</f>
        <v>4459</v>
      </c>
      <c r="P10" s="18"/>
      <c r="Q10" s="18">
        <f>+'2.SZ.TÁBL. BEVÉTELEK'!D27+'2.SZ.TÁBL. BEVÉTELEK'!D37+'2.SZ.TÁBL. BEVÉTELEK'!D46+'2.SZ.TÁBL. BEVÉTELEK'!D55</f>
        <v>4459</v>
      </c>
      <c r="R10" s="20">
        <f t="shared" si="1"/>
        <v>371.58333333333331</v>
      </c>
      <c r="S10" s="46">
        <v>372</v>
      </c>
      <c r="U10" s="18">
        <f t="shared" si="2"/>
        <v>367</v>
      </c>
    </row>
    <row r="11" spans="1:23" ht="13.5" thickBot="1">
      <c r="A11" s="43" t="s">
        <v>23</v>
      </c>
      <c r="B11" s="59">
        <f>SUM(B3:B10)</f>
        <v>50081</v>
      </c>
      <c r="C11" s="45">
        <f>SUM(C3:C10)</f>
        <v>5992</v>
      </c>
      <c r="D11" s="44">
        <f t="shared" ref="D11:N11" si="14">SUM(D3:D10)</f>
        <v>5992</v>
      </c>
      <c r="E11" s="44">
        <f t="shared" si="14"/>
        <v>5992</v>
      </c>
      <c r="F11" s="44">
        <f t="shared" si="14"/>
        <v>5992</v>
      </c>
      <c r="G11" s="44">
        <f t="shared" si="14"/>
        <v>5992</v>
      </c>
      <c r="H11" s="44">
        <f t="shared" si="14"/>
        <v>5992</v>
      </c>
      <c r="I11" s="44">
        <f t="shared" si="14"/>
        <v>5992</v>
      </c>
      <c r="J11" s="44">
        <f t="shared" si="14"/>
        <v>5992</v>
      </c>
      <c r="K11" s="44">
        <f t="shared" si="14"/>
        <v>5992</v>
      </c>
      <c r="L11" s="44">
        <f t="shared" si="14"/>
        <v>5992</v>
      </c>
      <c r="M11" s="44">
        <f t="shared" si="14"/>
        <v>5992</v>
      </c>
      <c r="N11" s="44">
        <f t="shared" si="14"/>
        <v>5980</v>
      </c>
      <c r="O11" s="59">
        <f>SUM(O3:O10)</f>
        <v>71892</v>
      </c>
      <c r="Q11" s="20"/>
      <c r="R11" s="20"/>
      <c r="S11" s="20"/>
      <c r="T11" s="20"/>
      <c r="U11" s="20"/>
    </row>
    <row r="12" spans="1:23" s="714" customFormat="1" ht="17.45" customHeight="1">
      <c r="A12" s="887" t="s">
        <v>479</v>
      </c>
      <c r="B12" s="888"/>
      <c r="C12" s="889"/>
      <c r="D12" s="890">
        <v>2000</v>
      </c>
      <c r="E12" s="890"/>
      <c r="F12" s="890"/>
      <c r="G12" s="890"/>
      <c r="H12" s="890"/>
      <c r="I12" s="890"/>
      <c r="J12" s="890"/>
      <c r="K12" s="890"/>
      <c r="L12" s="890"/>
      <c r="M12" s="890"/>
      <c r="N12" s="891"/>
      <c r="O12" s="892">
        <f t="shared" ref="O12:O13" si="15">SUM(C12:N12)</f>
        <v>2000</v>
      </c>
      <c r="Q12" s="792"/>
      <c r="R12" s="792"/>
      <c r="S12" s="792"/>
      <c r="T12" s="792"/>
      <c r="U12" s="792"/>
    </row>
    <row r="13" spans="1:23" s="525" customFormat="1" ht="19.149999999999999" customHeight="1">
      <c r="A13" s="566" t="s">
        <v>406</v>
      </c>
      <c r="B13" s="563">
        <f>+'[3]7.SZ.TÁBL. PÉNZE. ÁTAD - ÁTVÉT'!$O$12</f>
        <v>223803</v>
      </c>
      <c r="C13" s="576">
        <f>+$S$13</f>
        <v>18339</v>
      </c>
      <c r="D13" s="577">
        <f t="shared" ref="D13:M13" si="16">+$S$13</f>
        <v>18339</v>
      </c>
      <c r="E13" s="577">
        <f t="shared" si="16"/>
        <v>18339</v>
      </c>
      <c r="F13" s="577">
        <f t="shared" si="16"/>
        <v>18339</v>
      </c>
      <c r="G13" s="577">
        <f t="shared" si="16"/>
        <v>18339</v>
      </c>
      <c r="H13" s="577">
        <f t="shared" si="16"/>
        <v>18339</v>
      </c>
      <c r="I13" s="577">
        <f t="shared" si="16"/>
        <v>18339</v>
      </c>
      <c r="J13" s="577">
        <f t="shared" si="16"/>
        <v>18339</v>
      </c>
      <c r="K13" s="577">
        <f t="shared" si="16"/>
        <v>18339</v>
      </c>
      <c r="L13" s="577">
        <f t="shared" si="16"/>
        <v>18339</v>
      </c>
      <c r="M13" s="577">
        <f t="shared" si="16"/>
        <v>18339</v>
      </c>
      <c r="N13" s="578">
        <f>+U13</f>
        <v>18340</v>
      </c>
      <c r="O13" s="575">
        <f t="shared" si="15"/>
        <v>220069</v>
      </c>
      <c r="Q13" s="52">
        <f>+'2.SZ.TÁBL. BEVÉTELEK'!D60</f>
        <v>220069</v>
      </c>
      <c r="R13" s="53">
        <f>+Q13/12</f>
        <v>18339.083333333332</v>
      </c>
      <c r="S13" s="525">
        <v>18339</v>
      </c>
      <c r="U13" s="51">
        <f t="shared" si="2"/>
        <v>18340</v>
      </c>
      <c r="V13" s="52"/>
    </row>
    <row r="14" spans="1:23" ht="21" customHeight="1" thickBot="1">
      <c r="A14" s="567" t="s">
        <v>407</v>
      </c>
      <c r="B14" s="568">
        <f t="shared" ref="B14:O14" si="17">SUM(B13)</f>
        <v>223803</v>
      </c>
      <c r="C14" s="569">
        <f t="shared" si="17"/>
        <v>18339</v>
      </c>
      <c r="D14" s="569">
        <f t="shared" si="17"/>
        <v>18339</v>
      </c>
      <c r="E14" s="569">
        <f t="shared" si="17"/>
        <v>18339</v>
      </c>
      <c r="F14" s="569">
        <f t="shared" si="17"/>
        <v>18339</v>
      </c>
      <c r="G14" s="569">
        <f t="shared" si="17"/>
        <v>18339</v>
      </c>
      <c r="H14" s="569">
        <f t="shared" si="17"/>
        <v>18339</v>
      </c>
      <c r="I14" s="569">
        <f t="shared" si="17"/>
        <v>18339</v>
      </c>
      <c r="J14" s="569">
        <f t="shared" si="17"/>
        <v>18339</v>
      </c>
      <c r="K14" s="569">
        <f t="shared" si="17"/>
        <v>18339</v>
      </c>
      <c r="L14" s="569">
        <f t="shared" si="17"/>
        <v>18339</v>
      </c>
      <c r="M14" s="569">
        <f t="shared" si="17"/>
        <v>18339</v>
      </c>
      <c r="N14" s="569">
        <f t="shared" si="17"/>
        <v>18340</v>
      </c>
      <c r="O14" s="568">
        <f t="shared" si="17"/>
        <v>220069</v>
      </c>
      <c r="Q14" s="52"/>
      <c r="R14" s="53"/>
      <c r="S14" s="525"/>
      <c r="T14" s="525"/>
      <c r="U14" s="51"/>
      <c r="V14" s="52"/>
      <c r="W14" s="525"/>
    </row>
    <row r="15" spans="1:23" ht="22.5" customHeight="1" thickBot="1">
      <c r="A15" s="570" t="s">
        <v>408</v>
      </c>
      <c r="B15" s="571">
        <f>+B11+B14</f>
        <v>273884</v>
      </c>
      <c r="C15" s="572">
        <f>+C11+C14+C12</f>
        <v>24331</v>
      </c>
      <c r="D15" s="573">
        <f t="shared" ref="D15:N15" si="18">+D11+D14+D12</f>
        <v>26331</v>
      </c>
      <c r="E15" s="573">
        <f t="shared" si="18"/>
        <v>24331</v>
      </c>
      <c r="F15" s="573">
        <f t="shared" si="18"/>
        <v>24331</v>
      </c>
      <c r="G15" s="573">
        <f t="shared" si="18"/>
        <v>24331</v>
      </c>
      <c r="H15" s="573">
        <f t="shared" si="18"/>
        <v>24331</v>
      </c>
      <c r="I15" s="573">
        <f t="shared" si="18"/>
        <v>24331</v>
      </c>
      <c r="J15" s="573">
        <f t="shared" si="18"/>
        <v>24331</v>
      </c>
      <c r="K15" s="573">
        <f t="shared" si="18"/>
        <v>24331</v>
      </c>
      <c r="L15" s="573">
        <f t="shared" si="18"/>
        <v>24331</v>
      </c>
      <c r="M15" s="573">
        <f t="shared" si="18"/>
        <v>24331</v>
      </c>
      <c r="N15" s="574">
        <f t="shared" si="18"/>
        <v>24320</v>
      </c>
      <c r="O15" s="571">
        <f>+O11+O14+O12</f>
        <v>293961</v>
      </c>
      <c r="Q15" s="52"/>
      <c r="R15" s="53"/>
      <c r="S15" s="525"/>
      <c r="T15" s="525"/>
      <c r="U15" s="51"/>
      <c r="V15" s="52"/>
      <c r="W15" s="525"/>
    </row>
    <row r="16" spans="1:23" ht="28.5" customHeight="1" thickBot="1">
      <c r="A16" s="136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Q16" s="52"/>
      <c r="R16" s="53"/>
      <c r="S16" s="525"/>
      <c r="T16" s="525"/>
      <c r="U16" s="51"/>
      <c r="V16" s="52"/>
      <c r="W16" s="525"/>
    </row>
    <row r="17" spans="1:22" ht="37.5" customHeight="1">
      <c r="A17" s="125" t="s">
        <v>60</v>
      </c>
      <c r="B17" s="12"/>
      <c r="C17" s="132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130"/>
      <c r="O17" s="82"/>
    </row>
    <row r="18" spans="1:22" ht="13.5" thickBot="1">
      <c r="A18" s="126" t="s">
        <v>92</v>
      </c>
      <c r="B18" s="57">
        <f>+'[3]7.SZ.TÁBL. PÉNZE. ÁTAD - ÁTVÉT'!$O$17</f>
        <v>6301</v>
      </c>
      <c r="C18" s="41">
        <f>+$S$18</f>
        <v>551</v>
      </c>
      <c r="D18" s="40">
        <f t="shared" ref="D18:M18" si="19">+$S$18</f>
        <v>551</v>
      </c>
      <c r="E18" s="40">
        <f t="shared" si="19"/>
        <v>551</v>
      </c>
      <c r="F18" s="40">
        <f t="shared" si="19"/>
        <v>551</v>
      </c>
      <c r="G18" s="40">
        <f t="shared" si="19"/>
        <v>551</v>
      </c>
      <c r="H18" s="40">
        <f t="shared" si="19"/>
        <v>551</v>
      </c>
      <c r="I18" s="40">
        <f t="shared" si="19"/>
        <v>551</v>
      </c>
      <c r="J18" s="40">
        <f t="shared" si="19"/>
        <v>551</v>
      </c>
      <c r="K18" s="40">
        <f t="shared" si="19"/>
        <v>551</v>
      </c>
      <c r="L18" s="40">
        <f t="shared" si="19"/>
        <v>551</v>
      </c>
      <c r="M18" s="40">
        <f t="shared" si="19"/>
        <v>551</v>
      </c>
      <c r="N18" s="131">
        <f>+U18</f>
        <v>549</v>
      </c>
      <c r="O18" s="57">
        <f>SUM(C18:N18)</f>
        <v>6610</v>
      </c>
      <c r="Q18" s="21">
        <f>+'1.1.SZ.TÁBL. BEV - KIAD'!P86</f>
        <v>6610</v>
      </c>
      <c r="R18" s="20">
        <f>+Q18/12</f>
        <v>550.83333333333337</v>
      </c>
      <c r="S18" s="18">
        <v>551</v>
      </c>
      <c r="T18" s="18"/>
      <c r="U18" s="18">
        <f>+Q18-SUM(C18:M18)</f>
        <v>549</v>
      </c>
    </row>
    <row r="19" spans="1:22" ht="13.5" thickBot="1">
      <c r="A19" s="43" t="s">
        <v>23</v>
      </c>
      <c r="B19" s="59">
        <f>SUM(B18)</f>
        <v>6301</v>
      </c>
      <c r="C19" s="45">
        <f>SUM(C18)</f>
        <v>551</v>
      </c>
      <c r="D19" s="44">
        <f t="shared" ref="D19:N19" si="20">SUM(D18)</f>
        <v>551</v>
      </c>
      <c r="E19" s="44">
        <f t="shared" si="20"/>
        <v>551</v>
      </c>
      <c r="F19" s="44">
        <f t="shared" si="20"/>
        <v>551</v>
      </c>
      <c r="G19" s="44">
        <f t="shared" si="20"/>
        <v>551</v>
      </c>
      <c r="H19" s="44">
        <f t="shared" si="20"/>
        <v>551</v>
      </c>
      <c r="I19" s="44">
        <f t="shared" si="20"/>
        <v>551</v>
      </c>
      <c r="J19" s="44">
        <f t="shared" si="20"/>
        <v>551</v>
      </c>
      <c r="K19" s="44">
        <f t="shared" si="20"/>
        <v>551</v>
      </c>
      <c r="L19" s="44">
        <f t="shared" si="20"/>
        <v>551</v>
      </c>
      <c r="M19" s="44">
        <f t="shared" si="20"/>
        <v>551</v>
      </c>
      <c r="N19" s="88">
        <f t="shared" si="20"/>
        <v>549</v>
      </c>
      <c r="O19" s="59">
        <f>SUM(O18)</f>
        <v>6610</v>
      </c>
      <c r="Q19" s="21"/>
      <c r="R19" s="18"/>
      <c r="S19" s="18"/>
      <c r="T19" s="18"/>
      <c r="U19" s="18"/>
      <c r="V19" s="18"/>
    </row>
    <row r="20" spans="1:22" ht="37.5" customHeight="1">
      <c r="A20" s="125" t="s">
        <v>114</v>
      </c>
      <c r="B20" s="82"/>
      <c r="C20" s="132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0"/>
      <c r="O20" s="82"/>
      <c r="Q20" s="21"/>
      <c r="R20" s="20"/>
      <c r="S20" s="18"/>
      <c r="T20" s="18"/>
      <c r="U20" s="18"/>
      <c r="V20" s="18"/>
    </row>
    <row r="21" spans="1:22">
      <c r="A21" s="127" t="s">
        <v>391</v>
      </c>
      <c r="B21" s="58">
        <f>+'[3]7.SZ.TÁBL. PÉNZE. ÁTAD - ÁTVÉT'!$O$20</f>
        <v>4498</v>
      </c>
      <c r="C21" s="41">
        <f>+$S$21</f>
        <v>0</v>
      </c>
      <c r="D21" s="129">
        <f t="shared" ref="D21:M21" si="21">+$S$21</f>
        <v>0</v>
      </c>
      <c r="E21" s="129">
        <f t="shared" si="21"/>
        <v>0</v>
      </c>
      <c r="F21" s="129">
        <f t="shared" si="21"/>
        <v>0</v>
      </c>
      <c r="G21" s="129">
        <f t="shared" si="21"/>
        <v>0</v>
      </c>
      <c r="H21" s="129">
        <f t="shared" si="21"/>
        <v>0</v>
      </c>
      <c r="I21" s="129">
        <f t="shared" si="21"/>
        <v>0</v>
      </c>
      <c r="J21" s="129">
        <f t="shared" si="21"/>
        <v>0</v>
      </c>
      <c r="K21" s="129">
        <f t="shared" si="21"/>
        <v>0</v>
      </c>
      <c r="L21" s="129">
        <f t="shared" si="21"/>
        <v>0</v>
      </c>
      <c r="M21" s="129">
        <f t="shared" si="21"/>
        <v>0</v>
      </c>
      <c r="N21" s="131">
        <f>+U21</f>
        <v>0</v>
      </c>
      <c r="O21" s="57">
        <f>SUM(C21:N21)</f>
        <v>0</v>
      </c>
      <c r="Q21" s="21">
        <f>+'4.SZ.TÁBL. ÓVODA'!I90</f>
        <v>0</v>
      </c>
      <c r="R21" s="46">
        <f>+Q21/12</f>
        <v>0</v>
      </c>
      <c r="S21" s="46">
        <v>0</v>
      </c>
      <c r="T21" s="18"/>
      <c r="U21" s="18">
        <f>+Q21-SUM(C21:M21)</f>
        <v>0</v>
      </c>
    </row>
    <row r="22" spans="1:22" ht="13.5" thickBot="1">
      <c r="A22" s="127" t="s">
        <v>392</v>
      </c>
      <c r="B22" s="58">
        <f>+'[3]7.SZ.TÁBL. PÉNZE. ÁTAD - ÁTVÉT'!$O$21</f>
        <v>7776</v>
      </c>
      <c r="C22" s="41">
        <f>+$S$22</f>
        <v>676</v>
      </c>
      <c r="D22" s="129">
        <f t="shared" ref="D22:M22" si="22">+$S$22</f>
        <v>676</v>
      </c>
      <c r="E22" s="129">
        <f t="shared" si="22"/>
        <v>676</v>
      </c>
      <c r="F22" s="129">
        <f t="shared" si="22"/>
        <v>676</v>
      </c>
      <c r="G22" s="129">
        <f t="shared" si="22"/>
        <v>676</v>
      </c>
      <c r="H22" s="129">
        <f t="shared" si="22"/>
        <v>676</v>
      </c>
      <c r="I22" s="129">
        <f t="shared" si="22"/>
        <v>676</v>
      </c>
      <c r="J22" s="129">
        <f t="shared" si="22"/>
        <v>676</v>
      </c>
      <c r="K22" s="129">
        <f t="shared" si="22"/>
        <v>676</v>
      </c>
      <c r="L22" s="129">
        <f t="shared" si="22"/>
        <v>676</v>
      </c>
      <c r="M22" s="129">
        <f t="shared" si="22"/>
        <v>676</v>
      </c>
      <c r="N22" s="131">
        <f>+U22</f>
        <v>671</v>
      </c>
      <c r="O22" s="57">
        <f>SUM(C22:N22)</f>
        <v>8107</v>
      </c>
      <c r="Q22" s="21">
        <f>+'4.SZ.TÁBL. ÓVODA'!L90</f>
        <v>8107</v>
      </c>
      <c r="R22" s="46">
        <f>+Q22/12</f>
        <v>675.58333333333337</v>
      </c>
      <c r="S22" s="46">
        <v>676</v>
      </c>
      <c r="T22" s="18"/>
      <c r="U22" s="18">
        <f>+Q22-SUM(C22:M22)</f>
        <v>671</v>
      </c>
    </row>
    <row r="23" spans="1:22" ht="13.5" thickBot="1">
      <c r="A23" s="128" t="s">
        <v>23</v>
      </c>
      <c r="B23" s="59">
        <f>SUM(B21:B22)</f>
        <v>12274</v>
      </c>
      <c r="C23" s="45">
        <f t="shared" ref="C23:O23" si="23">SUM(C21:C22)</f>
        <v>676</v>
      </c>
      <c r="D23" s="44">
        <f t="shared" si="23"/>
        <v>676</v>
      </c>
      <c r="E23" s="44">
        <f t="shared" si="23"/>
        <v>676</v>
      </c>
      <c r="F23" s="44">
        <f t="shared" si="23"/>
        <v>676</v>
      </c>
      <c r="G23" s="44">
        <f t="shared" si="23"/>
        <v>676</v>
      </c>
      <c r="H23" s="44">
        <f t="shared" si="23"/>
        <v>676</v>
      </c>
      <c r="I23" s="44">
        <f t="shared" si="23"/>
        <v>676</v>
      </c>
      <c r="J23" s="44">
        <f t="shared" si="23"/>
        <v>676</v>
      </c>
      <c r="K23" s="44">
        <f t="shared" si="23"/>
        <v>676</v>
      </c>
      <c r="L23" s="44">
        <f t="shared" si="23"/>
        <v>676</v>
      </c>
      <c r="M23" s="44">
        <f t="shared" si="23"/>
        <v>676</v>
      </c>
      <c r="N23" s="88">
        <f t="shared" si="23"/>
        <v>671</v>
      </c>
      <c r="O23" s="59">
        <f t="shared" si="23"/>
        <v>8107</v>
      </c>
      <c r="Q23" s="21">
        <f>SUM(Q18:Q22)</f>
        <v>14717</v>
      </c>
    </row>
    <row r="91" spans="1:5">
      <c r="A91" s="24"/>
      <c r="B91" s="24"/>
      <c r="C91" s="24"/>
      <c r="D91" s="24"/>
      <c r="E91" s="24"/>
    </row>
  </sheetData>
  <phoneticPr fontId="34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landscape" r:id="rId1"/>
  <headerFooter alignWithMargins="0">
    <oddHeader>&amp;L&amp;"Times New Roman,Félkövér"&amp;13Szent László Völgye TKT&amp;C&amp;"Times New Roman,Félkövér"&amp;14
&amp;16 2016. ÉVI KÖLTSÉGVETÉS&amp;14
&amp;R7. sz. táblázat
PÉNZESZKÖZ ÁTADÁS - ÁTVÉTEL
Adatok: eFt</oddHeader>
    <oddFooter>&amp;L&amp;F&amp;R&amp;P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Q90"/>
  <sheetViews>
    <sheetView workbookViewId="0">
      <selection activeCell="J20" sqref="J20"/>
    </sheetView>
  </sheetViews>
  <sheetFormatPr defaultColWidth="9.140625" defaultRowHeight="15"/>
  <cols>
    <col min="1" max="1" width="32.42578125" style="26" customWidth="1"/>
    <col min="2" max="2" width="9.7109375" style="609" customWidth="1"/>
    <col min="3" max="10" width="8" style="609" bestFit="1" customWidth="1"/>
    <col min="11" max="11" width="10.140625" style="609" bestFit="1" customWidth="1"/>
    <col min="12" max="12" width="8" style="609" bestFit="1" customWidth="1"/>
    <col min="13" max="13" width="8.7109375" style="609" customWidth="1"/>
    <col min="14" max="14" width="8.85546875" style="610" bestFit="1" customWidth="1"/>
    <col min="15" max="15" width="9.7109375" style="609" customWidth="1"/>
    <col min="16" max="16" width="11.5703125" style="26" bestFit="1" customWidth="1"/>
    <col min="17" max="16384" width="9.140625" style="26"/>
  </cols>
  <sheetData>
    <row r="1" spans="1:17" ht="24.75" customHeight="1">
      <c r="A1" s="587" t="s">
        <v>204</v>
      </c>
      <c r="B1" s="580" t="s">
        <v>409</v>
      </c>
      <c r="C1" s="600" t="s">
        <v>62</v>
      </c>
      <c r="D1" s="579" t="s">
        <v>63</v>
      </c>
      <c r="E1" s="579" t="s">
        <v>64</v>
      </c>
      <c r="F1" s="579" t="s">
        <v>65</v>
      </c>
      <c r="G1" s="579" t="s">
        <v>66</v>
      </c>
      <c r="H1" s="579" t="s">
        <v>67</v>
      </c>
      <c r="I1" s="579" t="s">
        <v>68</v>
      </c>
      <c r="J1" s="579" t="s">
        <v>410</v>
      </c>
      <c r="K1" s="579" t="s">
        <v>69</v>
      </c>
      <c r="L1" s="579" t="s">
        <v>70</v>
      </c>
      <c r="M1" s="579" t="s">
        <v>71</v>
      </c>
      <c r="N1" s="604" t="s">
        <v>72</v>
      </c>
      <c r="O1" s="581" t="s">
        <v>411</v>
      </c>
    </row>
    <row r="2" spans="1:17" ht="23.25" customHeight="1">
      <c r="A2" s="588" t="s">
        <v>45</v>
      </c>
      <c r="B2" s="603"/>
      <c r="C2" s="601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605"/>
      <c r="O2" s="607"/>
    </row>
    <row r="3" spans="1:17" ht="15" customHeight="1">
      <c r="A3" s="589" t="s">
        <v>420</v>
      </c>
      <c r="B3" s="615">
        <f>+'1.1.SZ.TÁBL. BEV - KIAD'!T7</f>
        <v>321181</v>
      </c>
      <c r="C3" s="616">
        <v>26790</v>
      </c>
      <c r="D3" s="616">
        <v>26791</v>
      </c>
      <c r="E3" s="616">
        <v>26790</v>
      </c>
      <c r="F3" s="616">
        <v>26791</v>
      </c>
      <c r="G3" s="616">
        <v>26790</v>
      </c>
      <c r="H3" s="616">
        <v>26791</v>
      </c>
      <c r="I3" s="616">
        <v>26790</v>
      </c>
      <c r="J3" s="616">
        <v>26486</v>
      </c>
      <c r="K3" s="616">
        <v>26790</v>
      </c>
      <c r="L3" s="616">
        <v>26791</v>
      </c>
      <c r="M3" s="616">
        <v>26790</v>
      </c>
      <c r="N3" s="616">
        <v>26791</v>
      </c>
      <c r="O3" s="617">
        <f>SUM(C3:N3)</f>
        <v>321181</v>
      </c>
      <c r="P3" s="27"/>
    </row>
    <row r="4" spans="1:17" ht="15" customHeight="1">
      <c r="A4" s="589" t="s">
        <v>156</v>
      </c>
      <c r="B4" s="615">
        <f>+'1.1.SZ.TÁBL. BEV - KIAD'!T21</f>
        <v>9020</v>
      </c>
      <c r="C4" s="616">
        <v>751</v>
      </c>
      <c r="D4" s="618">
        <v>752</v>
      </c>
      <c r="E4" s="618">
        <v>752</v>
      </c>
      <c r="F4" s="618">
        <v>751</v>
      </c>
      <c r="G4" s="618">
        <v>752</v>
      </c>
      <c r="H4" s="618">
        <v>752</v>
      </c>
      <c r="I4" s="618">
        <v>752</v>
      </c>
      <c r="J4" s="618">
        <v>751</v>
      </c>
      <c r="K4" s="618">
        <v>752</v>
      </c>
      <c r="L4" s="618">
        <v>751</v>
      </c>
      <c r="M4" s="618">
        <v>752</v>
      </c>
      <c r="N4" s="619">
        <v>752</v>
      </c>
      <c r="O4" s="617">
        <f t="shared" ref="O4:O5" si="0">SUM(C4:N4)</f>
        <v>9020</v>
      </c>
    </row>
    <row r="5" spans="1:17" ht="15" customHeight="1">
      <c r="A5" s="590" t="s">
        <v>416</v>
      </c>
      <c r="B5" s="620"/>
      <c r="C5" s="621"/>
      <c r="D5" s="622"/>
      <c r="E5" s="622"/>
      <c r="F5" s="622"/>
      <c r="G5" s="622"/>
      <c r="H5" s="622"/>
      <c r="I5" s="622"/>
      <c r="J5" s="622"/>
      <c r="K5" s="622"/>
      <c r="L5" s="622"/>
      <c r="M5" s="622"/>
      <c r="N5" s="623"/>
      <c r="O5" s="624">
        <f t="shared" si="0"/>
        <v>0</v>
      </c>
    </row>
    <row r="6" spans="1:17" ht="15" customHeight="1">
      <c r="A6" s="591" t="s">
        <v>418</v>
      </c>
      <c r="B6" s="625">
        <f>+SUM(B3:B5)</f>
        <v>330201</v>
      </c>
      <c r="C6" s="626">
        <f t="shared" ref="C6:O6" si="1">+SUM(C3:C5)</f>
        <v>27541</v>
      </c>
      <c r="D6" s="627">
        <f t="shared" si="1"/>
        <v>27543</v>
      </c>
      <c r="E6" s="627">
        <f t="shared" si="1"/>
        <v>27542</v>
      </c>
      <c r="F6" s="627">
        <f t="shared" si="1"/>
        <v>27542</v>
      </c>
      <c r="G6" s="627">
        <f t="shared" si="1"/>
        <v>27542</v>
      </c>
      <c r="H6" s="627">
        <f t="shared" si="1"/>
        <v>27543</v>
      </c>
      <c r="I6" s="627">
        <f t="shared" si="1"/>
        <v>27542</v>
      </c>
      <c r="J6" s="627">
        <f t="shared" si="1"/>
        <v>27237</v>
      </c>
      <c r="K6" s="627">
        <f t="shared" si="1"/>
        <v>27542</v>
      </c>
      <c r="L6" s="627">
        <f t="shared" si="1"/>
        <v>27542</v>
      </c>
      <c r="M6" s="627">
        <f t="shared" si="1"/>
        <v>27542</v>
      </c>
      <c r="N6" s="628">
        <f t="shared" si="1"/>
        <v>27543</v>
      </c>
      <c r="O6" s="629">
        <f t="shared" si="1"/>
        <v>330201</v>
      </c>
    </row>
    <row r="7" spans="1:17" s="60" customFormat="1" ht="15" customHeight="1">
      <c r="A7" s="592" t="s">
        <v>417</v>
      </c>
      <c r="B7" s="630">
        <f>+'1.SZ.TÁBL. TÁRSULÁS KON. MÉRLEG'!C11</f>
        <v>2000</v>
      </c>
      <c r="C7" s="631"/>
      <c r="D7" s="632">
        <v>2000</v>
      </c>
      <c r="E7" s="632"/>
      <c r="F7" s="632"/>
      <c r="G7" s="632"/>
      <c r="H7" s="632"/>
      <c r="I7" s="632"/>
      <c r="J7" s="632"/>
      <c r="K7" s="632"/>
      <c r="L7" s="632"/>
      <c r="M7" s="632"/>
      <c r="N7" s="633"/>
      <c r="O7" s="634">
        <f>SUM(C7:N7)</f>
        <v>2000</v>
      </c>
    </row>
    <row r="8" spans="1:17" ht="15" customHeight="1">
      <c r="A8" s="589" t="s">
        <v>157</v>
      </c>
      <c r="B8" s="615"/>
      <c r="C8" s="616"/>
      <c r="D8" s="618"/>
      <c r="E8" s="618"/>
      <c r="F8" s="618"/>
      <c r="G8" s="618"/>
      <c r="H8" s="618"/>
      <c r="I8" s="618"/>
      <c r="J8" s="618"/>
      <c r="K8" s="618"/>
      <c r="L8" s="618"/>
      <c r="M8" s="618"/>
      <c r="N8" s="619"/>
      <c r="O8" s="635">
        <f t="shared" ref="O8:O9" si="2">SUM(C8:N8)</f>
        <v>0</v>
      </c>
      <c r="P8" s="27"/>
    </row>
    <row r="9" spans="1:17" ht="15" customHeight="1">
      <c r="A9" s="590" t="s">
        <v>419</v>
      </c>
      <c r="B9" s="620"/>
      <c r="C9" s="621"/>
      <c r="D9" s="622"/>
      <c r="E9" s="622"/>
      <c r="F9" s="622"/>
      <c r="G9" s="622"/>
      <c r="H9" s="622"/>
      <c r="I9" s="622"/>
      <c r="J9" s="622"/>
      <c r="K9" s="622"/>
      <c r="L9" s="622"/>
      <c r="M9" s="622"/>
      <c r="N9" s="623"/>
      <c r="O9" s="636">
        <f t="shared" si="2"/>
        <v>0</v>
      </c>
      <c r="P9" s="27"/>
      <c r="Q9" s="27"/>
    </row>
    <row r="10" spans="1:17" ht="15" customHeight="1">
      <c r="A10" s="591" t="s">
        <v>421</v>
      </c>
      <c r="B10" s="625">
        <f>+SUM(B7:B9)</f>
        <v>2000</v>
      </c>
      <c r="C10" s="626">
        <f t="shared" ref="C10:N10" si="3">+SUM(C7:C9)</f>
        <v>0</v>
      </c>
      <c r="D10" s="627">
        <f t="shared" si="3"/>
        <v>2000</v>
      </c>
      <c r="E10" s="627">
        <f t="shared" si="3"/>
        <v>0</v>
      </c>
      <c r="F10" s="627">
        <f t="shared" si="3"/>
        <v>0</v>
      </c>
      <c r="G10" s="627">
        <f t="shared" si="3"/>
        <v>0</v>
      </c>
      <c r="H10" s="627">
        <f t="shared" si="3"/>
        <v>0</v>
      </c>
      <c r="I10" s="627">
        <f t="shared" si="3"/>
        <v>0</v>
      </c>
      <c r="J10" s="627">
        <f t="shared" si="3"/>
        <v>0</v>
      </c>
      <c r="K10" s="627">
        <f t="shared" si="3"/>
        <v>0</v>
      </c>
      <c r="L10" s="627">
        <f t="shared" si="3"/>
        <v>0</v>
      </c>
      <c r="M10" s="627">
        <f t="shared" si="3"/>
        <v>0</v>
      </c>
      <c r="N10" s="628">
        <f t="shared" si="3"/>
        <v>0</v>
      </c>
      <c r="O10" s="629">
        <f>+SUM(O7:O9)</f>
        <v>2000</v>
      </c>
      <c r="Q10" s="27"/>
    </row>
    <row r="11" spans="1:17" ht="15" customHeight="1">
      <c r="A11" s="592" t="s">
        <v>412</v>
      </c>
      <c r="B11" s="630"/>
      <c r="C11" s="631"/>
      <c r="D11" s="632"/>
      <c r="E11" s="632"/>
      <c r="F11" s="632"/>
      <c r="G11" s="632"/>
      <c r="H11" s="632"/>
      <c r="I11" s="632"/>
      <c r="J11" s="632"/>
      <c r="K11" s="632"/>
      <c r="L11" s="632"/>
      <c r="M11" s="632"/>
      <c r="N11" s="633"/>
      <c r="O11" s="634"/>
      <c r="P11" s="27"/>
      <c r="Q11" s="27"/>
    </row>
    <row r="12" spans="1:17" ht="15" customHeight="1">
      <c r="A12" s="589" t="s">
        <v>124</v>
      </c>
      <c r="B12" s="615"/>
      <c r="C12" s="616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9"/>
      <c r="O12" s="635">
        <f>SUM(C12:N12)</f>
        <v>0</v>
      </c>
      <c r="P12" s="27"/>
    </row>
    <row r="13" spans="1:17" ht="15" customHeight="1">
      <c r="A13" s="590" t="s">
        <v>130</v>
      </c>
      <c r="B13" s="620"/>
      <c r="C13" s="621"/>
      <c r="D13" s="622"/>
      <c r="E13" s="622"/>
      <c r="F13" s="622"/>
      <c r="G13" s="622"/>
      <c r="H13" s="622"/>
      <c r="I13" s="622"/>
      <c r="J13" s="622"/>
      <c r="K13" s="622"/>
      <c r="L13" s="622"/>
      <c r="M13" s="622"/>
      <c r="N13" s="623"/>
      <c r="O13" s="636">
        <f>SUM(C13:N13)</f>
        <v>0</v>
      </c>
      <c r="P13" s="27"/>
    </row>
    <row r="14" spans="1:17" ht="15" customHeight="1">
      <c r="A14" s="191" t="s">
        <v>161</v>
      </c>
      <c r="B14" s="625">
        <f>+B13+B12</f>
        <v>0</v>
      </c>
      <c r="C14" s="626">
        <f t="shared" ref="C14:O14" si="4">+C13+C12</f>
        <v>0</v>
      </c>
      <c r="D14" s="627">
        <f t="shared" si="4"/>
        <v>0</v>
      </c>
      <c r="E14" s="627">
        <f t="shared" si="4"/>
        <v>0</v>
      </c>
      <c r="F14" s="627">
        <f t="shared" si="4"/>
        <v>0</v>
      </c>
      <c r="G14" s="627">
        <f t="shared" si="4"/>
        <v>0</v>
      </c>
      <c r="H14" s="627">
        <f t="shared" si="4"/>
        <v>0</v>
      </c>
      <c r="I14" s="627">
        <f t="shared" si="4"/>
        <v>0</v>
      </c>
      <c r="J14" s="627">
        <f t="shared" si="4"/>
        <v>0</v>
      </c>
      <c r="K14" s="627">
        <f t="shared" si="4"/>
        <v>0</v>
      </c>
      <c r="L14" s="627">
        <f t="shared" si="4"/>
        <v>0</v>
      </c>
      <c r="M14" s="627">
        <f t="shared" si="4"/>
        <v>0</v>
      </c>
      <c r="N14" s="628">
        <f t="shared" si="4"/>
        <v>0</v>
      </c>
      <c r="O14" s="629">
        <f t="shared" si="4"/>
        <v>0</v>
      </c>
    </row>
    <row r="15" spans="1:17" s="60" customFormat="1" ht="15" customHeight="1">
      <c r="A15" s="191" t="s">
        <v>413</v>
      </c>
      <c r="B15" s="625">
        <f>+B14</f>
        <v>0</v>
      </c>
      <c r="C15" s="626">
        <f t="shared" ref="C15:O15" si="5">+C14</f>
        <v>0</v>
      </c>
      <c r="D15" s="627">
        <f t="shared" si="5"/>
        <v>0</v>
      </c>
      <c r="E15" s="627">
        <f t="shared" si="5"/>
        <v>0</v>
      </c>
      <c r="F15" s="627">
        <f t="shared" si="5"/>
        <v>0</v>
      </c>
      <c r="G15" s="627">
        <f t="shared" si="5"/>
        <v>0</v>
      </c>
      <c r="H15" s="627">
        <f t="shared" si="5"/>
        <v>0</v>
      </c>
      <c r="I15" s="627">
        <f t="shared" si="5"/>
        <v>0</v>
      </c>
      <c r="J15" s="627">
        <f t="shared" si="5"/>
        <v>0</v>
      </c>
      <c r="K15" s="627">
        <f t="shared" si="5"/>
        <v>0</v>
      </c>
      <c r="L15" s="627">
        <f t="shared" si="5"/>
        <v>0</v>
      </c>
      <c r="M15" s="627">
        <f t="shared" si="5"/>
        <v>0</v>
      </c>
      <c r="N15" s="628">
        <f t="shared" si="5"/>
        <v>0</v>
      </c>
      <c r="O15" s="629">
        <f t="shared" si="5"/>
        <v>0</v>
      </c>
    </row>
    <row r="16" spans="1:17" ht="16.5" customHeight="1">
      <c r="A16" s="593" t="s">
        <v>0</v>
      </c>
      <c r="B16" s="637">
        <f>+B15+B10+B6</f>
        <v>332201</v>
      </c>
      <c r="C16" s="638">
        <f t="shared" ref="C16:O16" si="6">+C15+C10+C6</f>
        <v>27541</v>
      </c>
      <c r="D16" s="639">
        <f t="shared" si="6"/>
        <v>29543</v>
      </c>
      <c r="E16" s="639">
        <f t="shared" si="6"/>
        <v>27542</v>
      </c>
      <c r="F16" s="639">
        <f t="shared" si="6"/>
        <v>27542</v>
      </c>
      <c r="G16" s="639">
        <f t="shared" si="6"/>
        <v>27542</v>
      </c>
      <c r="H16" s="639">
        <f t="shared" si="6"/>
        <v>27543</v>
      </c>
      <c r="I16" s="639">
        <f t="shared" si="6"/>
        <v>27542</v>
      </c>
      <c r="J16" s="639">
        <f t="shared" si="6"/>
        <v>27237</v>
      </c>
      <c r="K16" s="639">
        <f t="shared" si="6"/>
        <v>27542</v>
      </c>
      <c r="L16" s="639">
        <f t="shared" si="6"/>
        <v>27542</v>
      </c>
      <c r="M16" s="639">
        <f t="shared" si="6"/>
        <v>27542</v>
      </c>
      <c r="N16" s="640">
        <f t="shared" si="6"/>
        <v>27543</v>
      </c>
      <c r="O16" s="641">
        <f t="shared" si="6"/>
        <v>332201</v>
      </c>
    </row>
    <row r="17" spans="1:15" ht="23.25" customHeight="1">
      <c r="A17" s="588" t="s">
        <v>91</v>
      </c>
      <c r="B17" s="642"/>
      <c r="C17" s="643"/>
      <c r="D17" s="644"/>
      <c r="E17" s="644"/>
      <c r="F17" s="644"/>
      <c r="G17" s="644"/>
      <c r="H17" s="644"/>
      <c r="I17" s="644"/>
      <c r="J17" s="644"/>
      <c r="K17" s="644"/>
      <c r="L17" s="644"/>
      <c r="M17" s="644"/>
      <c r="N17" s="645"/>
      <c r="O17" s="646"/>
    </row>
    <row r="18" spans="1:15" s="28" customFormat="1">
      <c r="A18" s="594" t="s">
        <v>165</v>
      </c>
      <c r="B18" s="615">
        <f>+'1.SZ.TÁBL. TÁRSULÁS KON. MÉRLEG'!I2</f>
        <v>177103</v>
      </c>
      <c r="C18" s="616">
        <v>14778</v>
      </c>
      <c r="D18" s="616">
        <v>14779</v>
      </c>
      <c r="E18" s="616">
        <v>14778</v>
      </c>
      <c r="F18" s="616">
        <v>14779</v>
      </c>
      <c r="G18" s="616">
        <v>14778</v>
      </c>
      <c r="H18" s="616">
        <v>14779</v>
      </c>
      <c r="I18" s="616">
        <v>14778</v>
      </c>
      <c r="J18" s="616">
        <v>14539</v>
      </c>
      <c r="K18" s="616">
        <v>14778</v>
      </c>
      <c r="L18" s="616">
        <v>14779</v>
      </c>
      <c r="M18" s="616">
        <v>14779</v>
      </c>
      <c r="N18" s="619">
        <v>14779</v>
      </c>
      <c r="O18" s="617">
        <f>SUM(C18:N18)</f>
        <v>177103</v>
      </c>
    </row>
    <row r="19" spans="1:15" s="28" customFormat="1" ht="25.5">
      <c r="A19" s="594" t="s">
        <v>166</v>
      </c>
      <c r="B19" s="615">
        <f>+'1.SZ.TÁBL. TÁRSULÁS KON. MÉRLEG'!I3</f>
        <v>51677</v>
      </c>
      <c r="C19" s="616">
        <v>4312</v>
      </c>
      <c r="D19" s="618">
        <v>4312</v>
      </c>
      <c r="E19" s="618">
        <v>4311</v>
      </c>
      <c r="F19" s="618">
        <v>4312</v>
      </c>
      <c r="G19" s="618">
        <v>4312</v>
      </c>
      <c r="H19" s="618">
        <v>4311</v>
      </c>
      <c r="I19" s="618">
        <v>4312</v>
      </c>
      <c r="J19" s="618">
        <v>4247</v>
      </c>
      <c r="K19" s="618">
        <v>4312</v>
      </c>
      <c r="L19" s="618">
        <v>4312</v>
      </c>
      <c r="M19" s="618">
        <v>4312</v>
      </c>
      <c r="N19" s="618">
        <v>4312</v>
      </c>
      <c r="O19" s="617">
        <f t="shared" ref="O19:O23" si="7">SUM(C19:N19)</f>
        <v>51677</v>
      </c>
    </row>
    <row r="20" spans="1:15" s="28" customFormat="1">
      <c r="A20" s="594" t="s">
        <v>172</v>
      </c>
      <c r="B20" s="615">
        <f>+'1.SZ.TÁBL. TÁRSULÁS KON. MÉRLEG'!I4</f>
        <v>83858</v>
      </c>
      <c r="C20" s="616">
        <v>6988</v>
      </c>
      <c r="D20" s="618">
        <v>6988</v>
      </c>
      <c r="E20" s="618">
        <v>6988</v>
      </c>
      <c r="F20" s="618">
        <v>6988</v>
      </c>
      <c r="G20" s="618">
        <v>6988</v>
      </c>
      <c r="H20" s="618">
        <v>6988</v>
      </c>
      <c r="I20" s="618">
        <v>6989</v>
      </c>
      <c r="J20" s="618">
        <v>6988</v>
      </c>
      <c r="K20" s="618">
        <v>6988</v>
      </c>
      <c r="L20" s="618">
        <v>6988</v>
      </c>
      <c r="M20" s="618">
        <v>6989</v>
      </c>
      <c r="N20" s="618">
        <v>6988</v>
      </c>
      <c r="O20" s="617">
        <f t="shared" si="7"/>
        <v>83858</v>
      </c>
    </row>
    <row r="21" spans="1:15">
      <c r="A21" s="595" t="s">
        <v>414</v>
      </c>
      <c r="B21" s="615"/>
      <c r="C21" s="616"/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9"/>
      <c r="O21" s="617">
        <f t="shared" si="7"/>
        <v>0</v>
      </c>
    </row>
    <row r="22" spans="1:15">
      <c r="A22" s="594" t="s">
        <v>173</v>
      </c>
      <c r="B22" s="615">
        <f>+'1.SZ.TÁBL. TÁRSULÁS KON. MÉRLEG'!I6</f>
        <v>14717</v>
      </c>
      <c r="C22" s="616">
        <v>1226</v>
      </c>
      <c r="D22" s="618">
        <v>1227</v>
      </c>
      <c r="E22" s="618">
        <v>1226</v>
      </c>
      <c r="F22" s="618">
        <v>1227</v>
      </c>
      <c r="G22" s="618">
        <v>1226</v>
      </c>
      <c r="H22" s="618">
        <v>1227</v>
      </c>
      <c r="I22" s="618">
        <v>1226</v>
      </c>
      <c r="J22" s="618">
        <v>1227</v>
      </c>
      <c r="K22" s="618">
        <v>1226</v>
      </c>
      <c r="L22" s="618">
        <v>1227</v>
      </c>
      <c r="M22" s="618">
        <v>1226</v>
      </c>
      <c r="N22" s="618">
        <v>1226</v>
      </c>
      <c r="O22" s="617">
        <f t="shared" si="7"/>
        <v>14717</v>
      </c>
    </row>
    <row r="23" spans="1:15">
      <c r="A23" s="596" t="s">
        <v>46</v>
      </c>
      <c r="B23" s="620">
        <f>+'1.SZ.TÁBL. TÁRSULÁS KON. MÉRLEG'!I7</f>
        <v>2147</v>
      </c>
      <c r="C23" s="621"/>
      <c r="D23" s="622"/>
      <c r="E23" s="622"/>
      <c r="F23" s="622"/>
      <c r="G23" s="622"/>
      <c r="H23" s="622"/>
      <c r="I23" s="622"/>
      <c r="J23" s="622"/>
      <c r="K23" s="622">
        <v>1073</v>
      </c>
      <c r="L23" s="622"/>
      <c r="M23" s="622">
        <v>1074</v>
      </c>
      <c r="N23" s="623"/>
      <c r="O23" s="624">
        <f t="shared" si="7"/>
        <v>2147</v>
      </c>
    </row>
    <row r="24" spans="1:15">
      <c r="A24" s="591" t="s">
        <v>422</v>
      </c>
      <c r="B24" s="583">
        <f>SUM(B18:B23)</f>
        <v>329502</v>
      </c>
      <c r="C24" s="602">
        <f>SUM(C18:C23)</f>
        <v>27304</v>
      </c>
      <c r="D24" s="586">
        <f t="shared" ref="D24:N24" si="8">SUM(D18:D23)</f>
        <v>27306</v>
      </c>
      <c r="E24" s="586">
        <f t="shared" si="8"/>
        <v>27303</v>
      </c>
      <c r="F24" s="586">
        <f t="shared" si="8"/>
        <v>27306</v>
      </c>
      <c r="G24" s="586">
        <f t="shared" si="8"/>
        <v>27304</v>
      </c>
      <c r="H24" s="586">
        <f t="shared" si="8"/>
        <v>27305</v>
      </c>
      <c r="I24" s="586">
        <f t="shared" si="8"/>
        <v>27305</v>
      </c>
      <c r="J24" s="586">
        <f t="shared" si="8"/>
        <v>27001</v>
      </c>
      <c r="K24" s="586">
        <f t="shared" si="8"/>
        <v>28377</v>
      </c>
      <c r="L24" s="586">
        <f t="shared" si="8"/>
        <v>27306</v>
      </c>
      <c r="M24" s="586">
        <f t="shared" si="8"/>
        <v>28380</v>
      </c>
      <c r="N24" s="606">
        <f t="shared" si="8"/>
        <v>27305</v>
      </c>
      <c r="O24" s="584">
        <f>SUM(O18:O23)</f>
        <v>329502</v>
      </c>
    </row>
    <row r="25" spans="1:15">
      <c r="A25" s="597" t="s">
        <v>128</v>
      </c>
      <c r="B25" s="630">
        <f>+'1.SZ.TÁBL. TÁRSULÁS KON. MÉRLEG'!I11</f>
        <v>2699</v>
      </c>
      <c r="C25" s="631"/>
      <c r="D25" s="632">
        <v>2000</v>
      </c>
      <c r="E25" s="632"/>
      <c r="F25" s="632"/>
      <c r="G25" s="632"/>
      <c r="H25" s="632"/>
      <c r="I25" s="632"/>
      <c r="J25" s="632">
        <v>699</v>
      </c>
      <c r="K25" s="632"/>
      <c r="L25" s="632"/>
      <c r="M25" s="632"/>
      <c r="N25" s="633"/>
      <c r="O25" s="646">
        <f>SUM(C25:N25)</f>
        <v>2699</v>
      </c>
    </row>
    <row r="26" spans="1:15">
      <c r="A26" s="594" t="s">
        <v>174</v>
      </c>
      <c r="B26" s="615"/>
      <c r="C26" s="616"/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9"/>
      <c r="O26" s="617">
        <f>SUM(C26:N26)</f>
        <v>0</v>
      </c>
    </row>
    <row r="27" spans="1:15">
      <c r="A27" s="596" t="s">
        <v>175</v>
      </c>
      <c r="B27" s="620"/>
      <c r="C27" s="621"/>
      <c r="D27" s="622"/>
      <c r="E27" s="622"/>
      <c r="F27" s="622"/>
      <c r="G27" s="622"/>
      <c r="H27" s="622"/>
      <c r="I27" s="622"/>
      <c r="J27" s="622"/>
      <c r="K27" s="622"/>
      <c r="L27" s="622"/>
      <c r="M27" s="622"/>
      <c r="N27" s="623"/>
      <c r="O27" s="624">
        <f>SUM(C27:N27)</f>
        <v>0</v>
      </c>
    </row>
    <row r="28" spans="1:15">
      <c r="A28" s="591" t="s">
        <v>423</v>
      </c>
      <c r="B28" s="625">
        <f>SUM(B25:B27)</f>
        <v>2699</v>
      </c>
      <c r="C28" s="626">
        <f t="shared" ref="C28:O28" si="9">SUM(C25:C27)</f>
        <v>0</v>
      </c>
      <c r="D28" s="627">
        <f t="shared" si="9"/>
        <v>2000</v>
      </c>
      <c r="E28" s="627">
        <f t="shared" si="9"/>
        <v>0</v>
      </c>
      <c r="F28" s="627">
        <f t="shared" si="9"/>
        <v>0</v>
      </c>
      <c r="G28" s="627">
        <f t="shared" si="9"/>
        <v>0</v>
      </c>
      <c r="H28" s="627">
        <f t="shared" si="9"/>
        <v>0</v>
      </c>
      <c r="I28" s="627">
        <f t="shared" si="9"/>
        <v>0</v>
      </c>
      <c r="J28" s="627">
        <f t="shared" si="9"/>
        <v>699</v>
      </c>
      <c r="K28" s="627">
        <f t="shared" si="9"/>
        <v>0</v>
      </c>
      <c r="L28" s="627">
        <f t="shared" si="9"/>
        <v>0</v>
      </c>
      <c r="M28" s="627">
        <f t="shared" si="9"/>
        <v>0</v>
      </c>
      <c r="N28" s="628">
        <f t="shared" si="9"/>
        <v>0</v>
      </c>
      <c r="O28" s="629">
        <f t="shared" si="9"/>
        <v>2699</v>
      </c>
    </row>
    <row r="29" spans="1:15">
      <c r="A29" s="598" t="s">
        <v>177</v>
      </c>
      <c r="B29" s="625"/>
      <c r="C29" s="647"/>
      <c r="D29" s="648"/>
      <c r="E29" s="648"/>
      <c r="F29" s="648"/>
      <c r="G29" s="648"/>
      <c r="H29" s="648"/>
      <c r="I29" s="648"/>
      <c r="J29" s="648"/>
      <c r="K29" s="648"/>
      <c r="L29" s="648"/>
      <c r="M29" s="648"/>
      <c r="N29" s="649"/>
      <c r="O29" s="641">
        <f>SUM(C29:N29)</f>
        <v>0</v>
      </c>
    </row>
    <row r="30" spans="1:15" ht="15.75" thickBot="1">
      <c r="A30" s="599" t="s">
        <v>337</v>
      </c>
      <c r="B30" s="650">
        <f>+B29+B28+B24</f>
        <v>332201</v>
      </c>
      <c r="C30" s="651">
        <f>+C29+C28+C24</f>
        <v>27304</v>
      </c>
      <c r="D30" s="652">
        <f t="shared" ref="D30:O30" si="10">+D29+D28+D24</f>
        <v>29306</v>
      </c>
      <c r="E30" s="652">
        <f t="shared" si="10"/>
        <v>27303</v>
      </c>
      <c r="F30" s="652">
        <f t="shared" si="10"/>
        <v>27306</v>
      </c>
      <c r="G30" s="652">
        <f t="shared" si="10"/>
        <v>27304</v>
      </c>
      <c r="H30" s="652">
        <f t="shared" si="10"/>
        <v>27305</v>
      </c>
      <c r="I30" s="652">
        <f t="shared" si="10"/>
        <v>27305</v>
      </c>
      <c r="J30" s="652">
        <f t="shared" si="10"/>
        <v>27700</v>
      </c>
      <c r="K30" s="652">
        <f t="shared" si="10"/>
        <v>28377</v>
      </c>
      <c r="L30" s="652">
        <f t="shared" si="10"/>
        <v>27306</v>
      </c>
      <c r="M30" s="652">
        <f t="shared" si="10"/>
        <v>28380</v>
      </c>
      <c r="N30" s="653">
        <f t="shared" si="10"/>
        <v>27305</v>
      </c>
      <c r="O30" s="654">
        <f t="shared" si="10"/>
        <v>332201</v>
      </c>
    </row>
    <row r="31" spans="1:15">
      <c r="A31" s="582"/>
      <c r="B31" s="655"/>
      <c r="C31" s="655"/>
      <c r="D31" s="655"/>
      <c r="E31" s="655"/>
      <c r="F31" s="655"/>
      <c r="G31" s="655"/>
      <c r="H31" s="655"/>
      <c r="I31" s="655"/>
      <c r="J31" s="655"/>
      <c r="K31" s="655"/>
      <c r="L31" s="655"/>
      <c r="M31" s="655"/>
      <c r="N31" s="655"/>
      <c r="O31" s="655"/>
    </row>
    <row r="32" spans="1:15">
      <c r="A32" s="608" t="s">
        <v>415</v>
      </c>
      <c r="B32" s="637">
        <f t="shared" ref="B32:O32" si="11">+B16-B30</f>
        <v>0</v>
      </c>
      <c r="C32" s="637">
        <f t="shared" si="11"/>
        <v>237</v>
      </c>
      <c r="D32" s="637">
        <f t="shared" si="11"/>
        <v>237</v>
      </c>
      <c r="E32" s="637">
        <f t="shared" si="11"/>
        <v>239</v>
      </c>
      <c r="F32" s="637">
        <f t="shared" si="11"/>
        <v>236</v>
      </c>
      <c r="G32" s="637">
        <f t="shared" si="11"/>
        <v>238</v>
      </c>
      <c r="H32" s="637">
        <f t="shared" si="11"/>
        <v>238</v>
      </c>
      <c r="I32" s="637">
        <f t="shared" si="11"/>
        <v>237</v>
      </c>
      <c r="J32" s="637">
        <f t="shared" si="11"/>
        <v>-463</v>
      </c>
      <c r="K32" s="637">
        <f t="shared" si="11"/>
        <v>-835</v>
      </c>
      <c r="L32" s="637">
        <f t="shared" si="11"/>
        <v>236</v>
      </c>
      <c r="M32" s="637">
        <f t="shared" si="11"/>
        <v>-838</v>
      </c>
      <c r="N32" s="637">
        <f t="shared" si="11"/>
        <v>238</v>
      </c>
      <c r="O32" s="637">
        <f t="shared" si="11"/>
        <v>0</v>
      </c>
    </row>
    <row r="73" spans="1:4">
      <c r="A73" s="28"/>
      <c r="B73" s="611"/>
      <c r="C73" s="611"/>
      <c r="D73" s="611"/>
    </row>
    <row r="86" spans="1:8">
      <c r="A86" s="61"/>
      <c r="B86" s="612"/>
      <c r="C86" s="612"/>
      <c r="D86" s="612"/>
      <c r="E86" s="612"/>
      <c r="F86" s="612"/>
      <c r="G86" s="612"/>
      <c r="H86" s="612"/>
    </row>
    <row r="87" spans="1:8">
      <c r="A87" s="62"/>
      <c r="B87" s="613"/>
      <c r="C87" s="613"/>
      <c r="D87" s="613"/>
      <c r="E87" s="613"/>
      <c r="F87" s="613"/>
      <c r="G87" s="613"/>
      <c r="H87" s="613"/>
    </row>
    <row r="88" spans="1:8">
      <c r="A88" s="62"/>
      <c r="B88" s="613"/>
      <c r="C88" s="613"/>
      <c r="D88" s="613"/>
      <c r="E88" s="613"/>
      <c r="F88" s="613"/>
      <c r="G88" s="613"/>
      <c r="H88" s="613"/>
    </row>
    <row r="89" spans="1:8">
      <c r="A89" s="62"/>
      <c r="B89" s="613"/>
      <c r="C89" s="613"/>
      <c r="D89" s="613"/>
      <c r="E89" s="613"/>
      <c r="F89" s="613"/>
      <c r="G89" s="613"/>
      <c r="H89" s="613"/>
    </row>
    <row r="90" spans="1:8">
      <c r="A90" s="63"/>
      <c r="B90" s="614"/>
      <c r="C90" s="614"/>
      <c r="D90" s="614"/>
      <c r="E90" s="614"/>
      <c r="F90" s="614"/>
      <c r="G90" s="614"/>
      <c r="H90" s="614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7" orientation="landscape" r:id="rId1"/>
  <headerFooter alignWithMargins="0">
    <oddHeader>&amp;L&amp;"Times New Roman,Félkövér"&amp;13Szent László Völgye TKT&amp;C&amp;"Times New Roman,Félkövér"&amp;14
&amp;16 2016. ÉVI KÖLTSÉGVETÉS&amp;14
&amp;R8. sz. táblázat
ELŐIRÁNYZAT FELHASZNÁLÁS
Adatok: eFt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14</vt:i4>
      </vt:variant>
    </vt:vector>
  </HeadingPairs>
  <TitlesOfParts>
    <vt:vector size="24" baseType="lpstr">
      <vt:lpstr>1.SZ.TÁBL. TÁRSULÁS KON. MÉRLEG</vt:lpstr>
      <vt:lpstr>1.1.SZ.TÁBL. BEV - KIAD</vt:lpstr>
      <vt:lpstr>2.SZ.TÁBL. BEVÉTELEK</vt:lpstr>
      <vt:lpstr>3.SZ.TÁBL. SEGÍTŐ SZOLGÁLAT</vt:lpstr>
      <vt:lpstr>4.SZ.TÁBL. ÓVODA</vt:lpstr>
      <vt:lpstr>5.SZ.TÁBL. ÓVODAI NORMATÍVA</vt:lpstr>
      <vt:lpstr>6.SZ.TÁBL. SZOCIÁLIS NORMATÍVA</vt:lpstr>
      <vt:lpstr>7.SZ.TÁBL. PÉNZE. ÁTAD - ÁTVÉT</vt:lpstr>
      <vt:lpstr>8.SZ.TÁBL. ELŐIRÁNYZAT FELHASZN</vt:lpstr>
      <vt:lpstr>9.SZ.TÁBL. LÉTSZÁMADATOK</vt:lpstr>
      <vt:lpstr>'1.1.SZ.TÁBL. BEV - KIAD'!Nyomtatási_cím</vt:lpstr>
      <vt:lpstr>'2.SZ.TÁBL. BEVÉTELEK'!Nyomtatási_cím</vt:lpstr>
      <vt:lpstr>'3.SZ.TÁBL. SEGÍTŐ SZOLGÁLAT'!Nyomtatási_cím</vt:lpstr>
      <vt:lpstr>'4.SZ.TÁBL. ÓVODA'!Nyomtatási_cím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ÓVODA'!Nyomtatási_terület</vt:lpstr>
      <vt:lpstr>'5.SZ.TÁBL. ÓVODAI NORMATÍVA'!Nyomtatási_terület</vt:lpstr>
      <vt:lpstr>'6.SZ.TÁBL. SZOCIÁLIS NORMATÍVA'!Nyomtatási_terület</vt:lpstr>
      <vt:lpstr>'7.SZ.TÁBL. PÉNZE. ÁTAD - ÁTVÉT'!Nyomtatási_terület</vt:lpstr>
      <vt:lpstr>'8.SZ.TÁBL. ELŐIRÁNYZAT FELHASZN'!Nyomtatási_terület</vt:lpstr>
      <vt:lpstr>'9.SZ.TÁBL. LÉTSZÁMADATOK'!Nyomtatási_terület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2016-01-29T13:41:27Z</cp:lastPrinted>
  <dcterms:created xsi:type="dcterms:W3CDTF">2011-02-23T07:11:55Z</dcterms:created>
  <dcterms:modified xsi:type="dcterms:W3CDTF">2016-02-05T09:53:28Z</dcterms:modified>
</cp:coreProperties>
</file>