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 firstSheet="5" activeTab="6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KIAD'!$A$1:$V$111</definedName>
    <definedName name="_xlnm.Print_Area" localSheetId="0">'1.SZ.TÁBL. TÁRSULÁS KON. MÉRLEG'!$A$1:$L$17</definedName>
    <definedName name="_xlnm.Print_Area" localSheetId="2">'2.SZ.TÁBL. BEVÉTELEK'!$A$3:$G$90</definedName>
    <definedName name="_xlnm.Print_Area" localSheetId="3">'3.SZ.TÁBL. SEGÍTŐ SZOLGÁLAT'!$A$1:$AC$118</definedName>
    <definedName name="_xlnm.Print_Area" localSheetId="4">'4.SZ.TÁBL. ÓVODA'!$A$1:$T$115</definedName>
    <definedName name="_xlnm.Print_Area" localSheetId="5">'5.SZ.TÁBL. ÓVODAI NORMATÍVA'!$A$2:$M$16</definedName>
    <definedName name="_xlnm.Print_Area" localSheetId="6">'6.SZ.TÁBL. SZOCIÁLIS NORMATÍVA'!$A$1:$B$12</definedName>
    <definedName name="_xlnm.Print_Area" localSheetId="7">'7.SZ.TÁBL. PÉNZE. ÁTAD - ÁTVÉT'!$A$1:$O$23</definedName>
    <definedName name="_xlnm.Print_Area" localSheetId="8">'8.SZ.TÁBL. ELŐIRÁNYZAT FELHASZN'!$A$1:$O$32</definedName>
    <definedName name="_xlnm.Print_Area" localSheetId="9">'9.SZ.TÁBL. LÉTSZÁMADATOK'!$A$1:$G$26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B10" i="18"/>
  <c r="H82" i="1"/>
  <c r="D61" i="2"/>
  <c r="D60" s="1"/>
  <c r="D62"/>
  <c r="C61"/>
  <c r="C60" s="1"/>
  <c r="C62"/>
  <c r="C12" i="18" l="1"/>
  <c r="Q22" i="21" l="1"/>
  <c r="P90" i="1"/>
  <c r="P73"/>
  <c r="P72"/>
  <c r="L47" i="2"/>
  <c r="L46"/>
  <c r="L45"/>
  <c r="L43"/>
  <c r="L42"/>
  <c r="L41"/>
  <c r="Q41"/>
  <c r="L14"/>
  <c r="D20" i="1"/>
  <c r="D19"/>
  <c r="D18"/>
  <c r="D17"/>
  <c r="D16"/>
  <c r="D15"/>
  <c r="D14"/>
  <c r="D13"/>
  <c r="D12"/>
  <c r="D75" i="2"/>
  <c r="S16" i="10"/>
  <c r="D72" i="2"/>
  <c r="D18"/>
  <c r="D17"/>
  <c r="P33" i="10"/>
  <c r="P34"/>
  <c r="P32"/>
  <c r="M91"/>
  <c r="D33" l="1"/>
  <c r="D34"/>
  <c r="D32"/>
  <c r="P31" l="1"/>
  <c r="M31"/>
  <c r="J31"/>
  <c r="G31"/>
  <c r="S31" s="1"/>
  <c r="D31"/>
  <c r="P30"/>
  <c r="M30"/>
  <c r="J30"/>
  <c r="J29" s="1"/>
  <c r="J35" s="1"/>
  <c r="J36" s="1"/>
  <c r="G30"/>
  <c r="D30"/>
  <c r="D29" s="1"/>
  <c r="D35" s="1"/>
  <c r="D36" s="1"/>
  <c r="S34"/>
  <c r="S33"/>
  <c r="S32"/>
  <c r="D16" i="2" s="1"/>
  <c r="O34" i="10"/>
  <c r="O33"/>
  <c r="O32"/>
  <c r="O31" s="1"/>
  <c r="O30"/>
  <c r="L34"/>
  <c r="L33"/>
  <c r="L32"/>
  <c r="L30"/>
  <c r="I34"/>
  <c r="I33"/>
  <c r="I32"/>
  <c r="I31" s="1"/>
  <c r="I30"/>
  <c r="F34"/>
  <c r="F33"/>
  <c r="F32"/>
  <c r="F31" s="1"/>
  <c r="F30"/>
  <c r="C30"/>
  <c r="C33"/>
  <c r="C34"/>
  <c r="C32"/>
  <c r="V16" i="9"/>
  <c r="P29" i="10" l="1"/>
  <c r="P35" s="1"/>
  <c r="P36" s="1"/>
  <c r="M29"/>
  <c r="M35" s="1"/>
  <c r="M36" s="1"/>
  <c r="L31"/>
  <c r="G29"/>
  <c r="G35" s="1"/>
  <c r="G36" s="1"/>
  <c r="S30"/>
  <c r="S29" s="1"/>
  <c r="H29" i="1" s="1"/>
  <c r="K15" i="15" l="1"/>
  <c r="K13"/>
  <c r="K12"/>
  <c r="K14" s="1"/>
  <c r="K11"/>
  <c r="K10"/>
  <c r="K9"/>
  <c r="K8"/>
  <c r="K7"/>
  <c r="K5"/>
  <c r="K4"/>
  <c r="K6" s="1"/>
  <c r="K16" s="1"/>
  <c r="I15"/>
  <c r="I13"/>
  <c r="I12"/>
  <c r="I10"/>
  <c r="I9"/>
  <c r="I8"/>
  <c r="I7"/>
  <c r="I5"/>
  <c r="I4"/>
  <c r="G15"/>
  <c r="G13"/>
  <c r="G12"/>
  <c r="G10"/>
  <c r="G9"/>
  <c r="G11" s="1"/>
  <c r="G8"/>
  <c r="G7"/>
  <c r="G5"/>
  <c r="G4"/>
  <c r="E15"/>
  <c r="E13"/>
  <c r="E12"/>
  <c r="E10"/>
  <c r="E9"/>
  <c r="E8"/>
  <c r="E7"/>
  <c r="E5"/>
  <c r="E4"/>
  <c r="C15"/>
  <c r="C13"/>
  <c r="C12"/>
  <c r="C10"/>
  <c r="C9"/>
  <c r="C8"/>
  <c r="C7"/>
  <c r="C5"/>
  <c r="C4"/>
  <c r="I6" l="1"/>
  <c r="I11"/>
  <c r="E6"/>
  <c r="G14"/>
  <c r="E14"/>
  <c r="I14"/>
  <c r="E11"/>
  <c r="G6"/>
  <c r="G16" s="1"/>
  <c r="I16"/>
  <c r="D27" i="2"/>
  <c r="D26"/>
  <c r="D25"/>
  <c r="D24"/>
  <c r="D23"/>
  <c r="D22"/>
  <c r="P38" i="9"/>
  <c r="P37"/>
  <c r="P36"/>
  <c r="P35"/>
  <c r="P34"/>
  <c r="P33"/>
  <c r="AB33" s="1"/>
  <c r="P32"/>
  <c r="M38"/>
  <c r="M37"/>
  <c r="M36"/>
  <c r="AB36" s="1"/>
  <c r="M35"/>
  <c r="M34"/>
  <c r="M33"/>
  <c r="M32"/>
  <c r="J38"/>
  <c r="J37"/>
  <c r="J36"/>
  <c r="J35"/>
  <c r="AB35" s="1"/>
  <c r="J34"/>
  <c r="J33"/>
  <c r="J32"/>
  <c r="G33"/>
  <c r="G34"/>
  <c r="G35"/>
  <c r="G36"/>
  <c r="G37"/>
  <c r="G38"/>
  <c r="G32"/>
  <c r="S32"/>
  <c r="Y35"/>
  <c r="AB38"/>
  <c r="AB34"/>
  <c r="AB20"/>
  <c r="AB19"/>
  <c r="AB18"/>
  <c r="AB17"/>
  <c r="AB16"/>
  <c r="AB15"/>
  <c r="AB14"/>
  <c r="AB13"/>
  <c r="AB12"/>
  <c r="C144"/>
  <c r="C153"/>
  <c r="D38"/>
  <c r="D37"/>
  <c r="D36"/>
  <c r="D35"/>
  <c r="D34"/>
  <c r="D33"/>
  <c r="D32"/>
  <c r="E16" i="15" l="1"/>
  <c r="AB32" i="9"/>
  <c r="D21" i="2" s="1"/>
  <c r="AB37" i="9"/>
  <c r="Y30"/>
  <c r="V30"/>
  <c r="S30"/>
  <c r="P30"/>
  <c r="M30"/>
  <c r="J30"/>
  <c r="G30"/>
  <c r="D30" l="1"/>
  <c r="AB30" s="1"/>
  <c r="AB31"/>
  <c r="Y31"/>
  <c r="V31"/>
  <c r="S31"/>
  <c r="P31"/>
  <c r="M31"/>
  <c r="J31"/>
  <c r="G31"/>
  <c r="X38"/>
  <c r="X37"/>
  <c r="X36"/>
  <c r="X35"/>
  <c r="X34"/>
  <c r="X33"/>
  <c r="X32"/>
  <c r="R38"/>
  <c r="R37"/>
  <c r="R36"/>
  <c r="R35"/>
  <c r="R34"/>
  <c r="R33"/>
  <c r="R32"/>
  <c r="O38"/>
  <c r="O37"/>
  <c r="O36"/>
  <c r="O35"/>
  <c r="O34"/>
  <c r="O33"/>
  <c r="O32"/>
  <c r="L38"/>
  <c r="L37"/>
  <c r="L36"/>
  <c r="L35"/>
  <c r="L34"/>
  <c r="L33"/>
  <c r="L32"/>
  <c r="I38"/>
  <c r="I33"/>
  <c r="I34"/>
  <c r="I35"/>
  <c r="I36"/>
  <c r="I37"/>
  <c r="I32"/>
  <c r="F37"/>
  <c r="F38"/>
  <c r="F33"/>
  <c r="F34"/>
  <c r="F35"/>
  <c r="F36"/>
  <c r="F32"/>
  <c r="C38"/>
  <c r="C33"/>
  <c r="C34"/>
  <c r="C35"/>
  <c r="C36"/>
  <c r="C37"/>
  <c r="C32"/>
  <c r="D31"/>
  <c r="X87"/>
  <c r="X30"/>
  <c r="U30"/>
  <c r="R30"/>
  <c r="O30"/>
  <c r="L30"/>
  <c r="I30"/>
  <c r="F30"/>
  <c r="C30"/>
  <c r="AB29" l="1"/>
  <c r="D29" i="1" s="1"/>
  <c r="D12" i="18"/>
  <c r="I12"/>
  <c r="I11"/>
  <c r="I10"/>
  <c r="I9"/>
  <c r="H8"/>
  <c r="I8" s="1"/>
  <c r="I7"/>
  <c r="I6"/>
  <c r="I5"/>
  <c r="I4"/>
  <c r="I3"/>
  <c r="Y107" i="9" l="1"/>
  <c r="Y99"/>
  <c r="Y61"/>
  <c r="Y60"/>
  <c r="Y59"/>
  <c r="Y55"/>
  <c r="Y29"/>
  <c r="Y39" s="1"/>
  <c r="Y24"/>
  <c r="Y21"/>
  <c r="Y11"/>
  <c r="Y7"/>
  <c r="V112"/>
  <c r="V107"/>
  <c r="V99"/>
  <c r="S112"/>
  <c r="S107"/>
  <c r="S99"/>
  <c r="P107"/>
  <c r="P99"/>
  <c r="M107"/>
  <c r="M99"/>
  <c r="J112"/>
  <c r="J107"/>
  <c r="J99"/>
  <c r="G112"/>
  <c r="G107"/>
  <c r="G99"/>
  <c r="D112"/>
  <c r="D107"/>
  <c r="D99"/>
  <c r="Y27" l="1"/>
  <c r="Y40" s="1"/>
  <c r="M109" i="10" l="1"/>
  <c r="M104"/>
  <c r="M96"/>
  <c r="S110" l="1"/>
  <c r="S109"/>
  <c r="S108"/>
  <c r="S107"/>
  <c r="S106"/>
  <c r="S105"/>
  <c r="S102"/>
  <c r="S101"/>
  <c r="R101"/>
  <c r="R102"/>
  <c r="R105"/>
  <c r="R106"/>
  <c r="R107"/>
  <c r="R108"/>
  <c r="R109"/>
  <c r="R110"/>
  <c r="R112"/>
  <c r="S98"/>
  <c r="S97"/>
  <c r="S96"/>
  <c r="S95"/>
  <c r="S94"/>
  <c r="S93"/>
  <c r="S92"/>
  <c r="S91"/>
  <c r="S81"/>
  <c r="S76"/>
  <c r="S75"/>
  <c r="S72"/>
  <c r="S65"/>
  <c r="S21"/>
  <c r="S11"/>
  <c r="S7"/>
  <c r="P103"/>
  <c r="P99"/>
  <c r="S99" s="1"/>
  <c r="P96"/>
  <c r="P83"/>
  <c r="P80"/>
  <c r="P82" s="1"/>
  <c r="P78"/>
  <c r="P77"/>
  <c r="P73"/>
  <c r="P79" s="1"/>
  <c r="P68"/>
  <c r="P67"/>
  <c r="P69" s="1"/>
  <c r="P64"/>
  <c r="P63"/>
  <c r="P66" s="1"/>
  <c r="M83"/>
  <c r="M82"/>
  <c r="M77"/>
  <c r="M79" s="1"/>
  <c r="M68"/>
  <c r="M69" s="1"/>
  <c r="M64"/>
  <c r="M63"/>
  <c r="M66" s="1"/>
  <c r="J109"/>
  <c r="J104"/>
  <c r="D96"/>
  <c r="G96"/>
  <c r="J96"/>
  <c r="J83"/>
  <c r="J77"/>
  <c r="J82"/>
  <c r="J79"/>
  <c r="J68"/>
  <c r="J69" s="1"/>
  <c r="J64"/>
  <c r="J63"/>
  <c r="J66" s="1"/>
  <c r="G103"/>
  <c r="G100"/>
  <c r="G104" s="1"/>
  <c r="G83"/>
  <c r="G80"/>
  <c r="G82" s="1"/>
  <c r="G78"/>
  <c r="G77"/>
  <c r="G73"/>
  <c r="G70"/>
  <c r="G79" s="1"/>
  <c r="G68"/>
  <c r="G69" s="1"/>
  <c r="G64"/>
  <c r="G63"/>
  <c r="G66" s="1"/>
  <c r="D103"/>
  <c r="S103" s="1"/>
  <c r="D100"/>
  <c r="D104" s="1"/>
  <c r="D83"/>
  <c r="S83" s="1"/>
  <c r="D80"/>
  <c r="D82" s="1"/>
  <c r="D78"/>
  <c r="S78" s="1"/>
  <c r="D77"/>
  <c r="S77" s="1"/>
  <c r="D73"/>
  <c r="S73" s="1"/>
  <c r="D71"/>
  <c r="S71" s="1"/>
  <c r="D70"/>
  <c r="S70" s="1"/>
  <c r="S79" s="1"/>
  <c r="D69"/>
  <c r="D68"/>
  <c r="S68" s="1"/>
  <c r="D64"/>
  <c r="S64" s="1"/>
  <c r="D63"/>
  <c r="D66" s="1"/>
  <c r="S104" l="1"/>
  <c r="P104"/>
  <c r="S63"/>
  <c r="S66" s="1"/>
  <c r="S67"/>
  <c r="S69" s="1"/>
  <c r="S80"/>
  <c r="S82" s="1"/>
  <c r="S100"/>
  <c r="D79"/>
  <c r="S74"/>
  <c r="J37" l="1"/>
  <c r="H96" i="1"/>
  <c r="H97"/>
  <c r="H98"/>
  <c r="H99"/>
  <c r="H95"/>
  <c r="H86"/>
  <c r="H85"/>
  <c r="H79"/>
  <c r="H80"/>
  <c r="H81"/>
  <c r="H78"/>
  <c r="H75"/>
  <c r="H66"/>
  <c r="H67"/>
  <c r="H68"/>
  <c r="H69"/>
  <c r="H70"/>
  <c r="H71"/>
  <c r="H72"/>
  <c r="H73"/>
  <c r="H65"/>
  <c r="H63"/>
  <c r="H62"/>
  <c r="H58"/>
  <c r="H59"/>
  <c r="H60"/>
  <c r="H56"/>
  <c r="H47"/>
  <c r="H33"/>
  <c r="H34"/>
  <c r="H36"/>
  <c r="H39"/>
  <c r="H41"/>
  <c r="H42"/>
  <c r="H43"/>
  <c r="H44"/>
  <c r="H45"/>
  <c r="R88" i="10"/>
  <c r="R87" s="1"/>
  <c r="S61"/>
  <c r="P54"/>
  <c r="P55" s="1"/>
  <c r="S52"/>
  <c r="S50"/>
  <c r="S49"/>
  <c r="S48"/>
  <c r="S47"/>
  <c r="S46"/>
  <c r="S44"/>
  <c r="S41"/>
  <c r="S39"/>
  <c r="S38"/>
  <c r="S35"/>
  <c r="S36" s="1"/>
  <c r="S26"/>
  <c r="S24"/>
  <c r="P88"/>
  <c r="P87" s="1"/>
  <c r="P89" s="1"/>
  <c r="P90" s="1"/>
  <c r="P62"/>
  <c r="P60"/>
  <c r="P59"/>
  <c r="P58"/>
  <c r="P45"/>
  <c r="P43"/>
  <c r="P42"/>
  <c r="P40"/>
  <c r="P37"/>
  <c r="M88"/>
  <c r="M87" s="1"/>
  <c r="M89" s="1"/>
  <c r="M90" s="1"/>
  <c r="M62"/>
  <c r="M60"/>
  <c r="M59"/>
  <c r="M58"/>
  <c r="M55"/>
  <c r="M45"/>
  <c r="M43"/>
  <c r="M40"/>
  <c r="M37"/>
  <c r="J88"/>
  <c r="J62"/>
  <c r="J60"/>
  <c r="J59"/>
  <c r="J58"/>
  <c r="J45"/>
  <c r="J43"/>
  <c r="J40"/>
  <c r="G88"/>
  <c r="G87" s="1"/>
  <c r="G89" s="1"/>
  <c r="G90" s="1"/>
  <c r="D88"/>
  <c r="J87"/>
  <c r="J89" s="1"/>
  <c r="J90" s="1"/>
  <c r="F87"/>
  <c r="G62"/>
  <c r="G60"/>
  <c r="G59"/>
  <c r="G58"/>
  <c r="G54"/>
  <c r="G53"/>
  <c r="G45"/>
  <c r="G43"/>
  <c r="G42"/>
  <c r="S42" s="1"/>
  <c r="H37" i="1" s="1"/>
  <c r="G40" i="10"/>
  <c r="G37"/>
  <c r="O87"/>
  <c r="L87"/>
  <c r="I87"/>
  <c r="C87"/>
  <c r="D62"/>
  <c r="D60"/>
  <c r="D59"/>
  <c r="D58"/>
  <c r="D54"/>
  <c r="D55" s="1"/>
  <c r="D45"/>
  <c r="D43"/>
  <c r="S43" s="1"/>
  <c r="H38" i="1" s="1"/>
  <c r="D40" i="10"/>
  <c r="D37"/>
  <c r="S45" l="1"/>
  <c r="H40" i="1" s="1"/>
  <c r="S88" i="10"/>
  <c r="S87" s="1"/>
  <c r="J51"/>
  <c r="J56" s="1"/>
  <c r="M51"/>
  <c r="M56" s="1"/>
  <c r="P51"/>
  <c r="P56" s="1"/>
  <c r="S37"/>
  <c r="S59"/>
  <c r="H54" i="1" s="1"/>
  <c r="S89" i="10"/>
  <c r="S90" s="1"/>
  <c r="S62"/>
  <c r="H57" i="1" s="1"/>
  <c r="G55" i="10"/>
  <c r="G57"/>
  <c r="S40"/>
  <c r="H35" i="1" s="1"/>
  <c r="S58" i="10"/>
  <c r="H53" i="1" s="1"/>
  <c r="S60" i="10"/>
  <c r="H55" i="1" s="1"/>
  <c r="D87" i="10"/>
  <c r="D89" s="1"/>
  <c r="D90" s="1"/>
  <c r="H32" i="1"/>
  <c r="G51" i="10"/>
  <c r="S54"/>
  <c r="S53"/>
  <c r="H48" i="1" s="1"/>
  <c r="P57" i="10"/>
  <c r="P111" s="1"/>
  <c r="P113" s="1"/>
  <c r="P115" s="1"/>
  <c r="M57"/>
  <c r="M111" s="1"/>
  <c r="M113" s="1"/>
  <c r="M115" s="1"/>
  <c r="J57"/>
  <c r="J111" s="1"/>
  <c r="J113" s="1"/>
  <c r="J115" s="1"/>
  <c r="D51"/>
  <c r="D56" s="1"/>
  <c r="D57"/>
  <c r="G56" l="1"/>
  <c r="G111" s="1"/>
  <c r="G113" s="1"/>
  <c r="G115" s="1"/>
  <c r="D111"/>
  <c r="S51"/>
  <c r="S57"/>
  <c r="S55"/>
  <c r="H49" i="1"/>
  <c r="D97"/>
  <c r="D98"/>
  <c r="Y86" i="9"/>
  <c r="S92"/>
  <c r="P92"/>
  <c r="M92"/>
  <c r="J92"/>
  <c r="G92"/>
  <c r="D92"/>
  <c r="Y87"/>
  <c r="Y94" s="1"/>
  <c r="V87"/>
  <c r="S87"/>
  <c r="P87"/>
  <c r="M87"/>
  <c r="J87"/>
  <c r="G87"/>
  <c r="D87"/>
  <c r="V84"/>
  <c r="V86" s="1"/>
  <c r="S84"/>
  <c r="S86" s="1"/>
  <c r="P84"/>
  <c r="P86" s="1"/>
  <c r="M84"/>
  <c r="M86" s="1"/>
  <c r="J84"/>
  <c r="J86" s="1"/>
  <c r="G84"/>
  <c r="G86" s="1"/>
  <c r="D84"/>
  <c r="D86" s="1"/>
  <c r="V82"/>
  <c r="S82"/>
  <c r="P82"/>
  <c r="M82"/>
  <c r="J82"/>
  <c r="G82"/>
  <c r="D82"/>
  <c r="P81"/>
  <c r="M81"/>
  <c r="J81"/>
  <c r="G81"/>
  <c r="D81"/>
  <c r="S77"/>
  <c r="P77"/>
  <c r="M77"/>
  <c r="J77"/>
  <c r="G77"/>
  <c r="D77"/>
  <c r="Y75"/>
  <c r="Y83" s="1"/>
  <c r="D75"/>
  <c r="V74"/>
  <c r="V83" s="1"/>
  <c r="S74"/>
  <c r="S83" s="1"/>
  <c r="P74"/>
  <c r="M74"/>
  <c r="M83" s="1"/>
  <c r="J74"/>
  <c r="G74"/>
  <c r="G83" s="1"/>
  <c r="D74"/>
  <c r="Y72"/>
  <c r="Y73" s="1"/>
  <c r="V72"/>
  <c r="V73" s="1"/>
  <c r="S72"/>
  <c r="S73" s="1"/>
  <c r="P72"/>
  <c r="P73" s="1"/>
  <c r="M72"/>
  <c r="J72"/>
  <c r="J73" s="1"/>
  <c r="G72"/>
  <c r="G73" s="1"/>
  <c r="D72"/>
  <c r="M71"/>
  <c r="M73" s="1"/>
  <c r="Y68"/>
  <c r="Y70" s="1"/>
  <c r="Y95" s="1"/>
  <c r="Y114" s="1"/>
  <c r="Y116" s="1"/>
  <c r="Y118" s="1"/>
  <c r="V68"/>
  <c r="S68"/>
  <c r="P68"/>
  <c r="M68"/>
  <c r="J68"/>
  <c r="G68"/>
  <c r="D68"/>
  <c r="V67"/>
  <c r="S67"/>
  <c r="P67"/>
  <c r="M67"/>
  <c r="J67"/>
  <c r="G67"/>
  <c r="D67"/>
  <c r="S111" i="10" l="1"/>
  <c r="S56"/>
  <c r="D113"/>
  <c r="G70" i="9"/>
  <c r="M70"/>
  <c r="S70"/>
  <c r="D70"/>
  <c r="J70"/>
  <c r="P70"/>
  <c r="V70"/>
  <c r="AB72"/>
  <c r="D63" i="1" s="1"/>
  <c r="D83" i="9"/>
  <c r="J83"/>
  <c r="P83"/>
  <c r="AB92"/>
  <c r="D73"/>
  <c r="S113" i="10" l="1"/>
  <c r="S115" s="1"/>
  <c r="D115"/>
  <c r="AB106" i="9"/>
  <c r="D99" i="1" s="1"/>
  <c r="AB103" i="9"/>
  <c r="D96" i="1" s="1"/>
  <c r="AB102" i="9"/>
  <c r="AB90"/>
  <c r="D81" i="1" s="1"/>
  <c r="AB89" i="9"/>
  <c r="D80" i="1" s="1"/>
  <c r="AB88" i="9"/>
  <c r="D79" i="1" s="1"/>
  <c r="AB87" i="9"/>
  <c r="D78" i="1" s="1"/>
  <c r="AB85" i="9"/>
  <c r="AB84"/>
  <c r="AB82"/>
  <c r="D73" i="1" s="1"/>
  <c r="AB81" i="9"/>
  <c r="D72" i="1" s="1"/>
  <c r="AB80" i="9"/>
  <c r="D71" i="1" s="1"/>
  <c r="AB79" i="9"/>
  <c r="AB77"/>
  <c r="D68" i="1" s="1"/>
  <c r="AB76" i="9"/>
  <c r="D67" i="1" s="1"/>
  <c r="AB75" i="9"/>
  <c r="D66" i="1" s="1"/>
  <c r="AB74" i="9"/>
  <c r="AB71"/>
  <c r="D62" i="1" s="1"/>
  <c r="AB69" i="9"/>
  <c r="D60" i="1" s="1"/>
  <c r="AB68" i="9"/>
  <c r="D59" i="1" s="1"/>
  <c r="AB67" i="9"/>
  <c r="D58" i="1" s="1"/>
  <c r="AB65" i="9"/>
  <c r="D56" i="1" s="1"/>
  <c r="AB54" i="9"/>
  <c r="D45" i="1" s="1"/>
  <c r="AB53" i="9"/>
  <c r="D44" i="1" s="1"/>
  <c r="AB52" i="9"/>
  <c r="D43" i="1" s="1"/>
  <c r="AB51" i="9"/>
  <c r="D42" i="1" s="1"/>
  <c r="AB50" i="9"/>
  <c r="D41" i="1" s="1"/>
  <c r="AB48" i="9"/>
  <c r="D39" i="1" s="1"/>
  <c r="AB45" i="9"/>
  <c r="D36" i="1" s="1"/>
  <c r="AB43" i="9"/>
  <c r="D34" i="1" s="1"/>
  <c r="AB42" i="9"/>
  <c r="D33" i="1" s="1"/>
  <c r="AB39" i="9"/>
  <c r="AB26"/>
  <c r="AB24"/>
  <c r="AB21"/>
  <c r="AB11"/>
  <c r="AB7"/>
  <c r="V93"/>
  <c r="V91" s="1"/>
  <c r="V94" s="1"/>
  <c r="V95" s="1"/>
  <c r="V66"/>
  <c r="V64"/>
  <c r="V63"/>
  <c r="V62"/>
  <c r="V59"/>
  <c r="V49"/>
  <c r="V47"/>
  <c r="V46"/>
  <c r="V44"/>
  <c r="V41"/>
  <c r="V29"/>
  <c r="V39" s="1"/>
  <c r="V21"/>
  <c r="V11"/>
  <c r="V7"/>
  <c r="S93"/>
  <c r="S91" s="1"/>
  <c r="S94" s="1"/>
  <c r="S95" s="1"/>
  <c r="S66"/>
  <c r="S64"/>
  <c r="S63"/>
  <c r="S62"/>
  <c r="S57"/>
  <c r="S59" s="1"/>
  <c r="S47"/>
  <c r="S41"/>
  <c r="S29"/>
  <c r="S39" s="1"/>
  <c r="S26"/>
  <c r="S24"/>
  <c r="S21"/>
  <c r="S11"/>
  <c r="S7"/>
  <c r="P93"/>
  <c r="P91" s="1"/>
  <c r="P94" s="1"/>
  <c r="P95" s="1"/>
  <c r="P66"/>
  <c r="P64"/>
  <c r="P63"/>
  <c r="P62"/>
  <c r="P58"/>
  <c r="P59" s="1"/>
  <c r="P49"/>
  <c r="P47"/>
  <c r="P44"/>
  <c r="P41"/>
  <c r="P29"/>
  <c r="P39" s="1"/>
  <c r="P24"/>
  <c r="P21"/>
  <c r="P11"/>
  <c r="P7"/>
  <c r="M93"/>
  <c r="M91" s="1"/>
  <c r="M94" s="1"/>
  <c r="M95" s="1"/>
  <c r="M66"/>
  <c r="M64"/>
  <c r="M63"/>
  <c r="M62"/>
  <c r="M58"/>
  <c r="M57"/>
  <c r="M49"/>
  <c r="M47"/>
  <c r="M46"/>
  <c r="AB46" s="1"/>
  <c r="D37" i="1" s="1"/>
  <c r="M41" i="9"/>
  <c r="M29"/>
  <c r="M39" s="1"/>
  <c r="M26"/>
  <c r="M24"/>
  <c r="M21"/>
  <c r="M11"/>
  <c r="M7"/>
  <c r="J93"/>
  <c r="J91" s="1"/>
  <c r="J94" s="1"/>
  <c r="J95" s="1"/>
  <c r="J66"/>
  <c r="J64"/>
  <c r="J63"/>
  <c r="J62"/>
  <c r="J58"/>
  <c r="J57"/>
  <c r="J49"/>
  <c r="J47"/>
  <c r="J44"/>
  <c r="J41"/>
  <c r="J29"/>
  <c r="J39" s="1"/>
  <c r="J21"/>
  <c r="J11"/>
  <c r="J7"/>
  <c r="AA93"/>
  <c r="G93"/>
  <c r="G91" s="1"/>
  <c r="G94" s="1"/>
  <c r="G95" s="1"/>
  <c r="D93"/>
  <c r="G66"/>
  <c r="G64"/>
  <c r="G63"/>
  <c r="G62"/>
  <c r="G58"/>
  <c r="G57"/>
  <c r="G49"/>
  <c r="G47"/>
  <c r="G44"/>
  <c r="G41"/>
  <c r="G29"/>
  <c r="G39" s="1"/>
  <c r="G26"/>
  <c r="G24"/>
  <c r="G21"/>
  <c r="G11"/>
  <c r="G7"/>
  <c r="G27" s="1"/>
  <c r="D11"/>
  <c r="D7"/>
  <c r="D59"/>
  <c r="D29"/>
  <c r="D39" s="1"/>
  <c r="D21"/>
  <c r="R92"/>
  <c r="R91" s="1"/>
  <c r="O92"/>
  <c r="O91" s="1"/>
  <c r="I92"/>
  <c r="I91" s="1"/>
  <c r="F92"/>
  <c r="F91" s="1"/>
  <c r="C92"/>
  <c r="C91" s="1"/>
  <c r="AB27" l="1"/>
  <c r="AB40" s="1"/>
  <c r="V27"/>
  <c r="D94"/>
  <c r="D95" s="1"/>
  <c r="D91"/>
  <c r="S27"/>
  <c r="S40" s="1"/>
  <c r="V40"/>
  <c r="AB78"/>
  <c r="D69" i="1" s="1"/>
  <c r="D70"/>
  <c r="AB107" i="9"/>
  <c r="D95" i="1"/>
  <c r="P27" i="9"/>
  <c r="P40" s="1"/>
  <c r="D65" i="1"/>
  <c r="AB83" i="9"/>
  <c r="AB86"/>
  <c r="D75" i="1"/>
  <c r="G55" i="9"/>
  <c r="G59"/>
  <c r="G61"/>
  <c r="P55"/>
  <c r="P60" s="1"/>
  <c r="S55"/>
  <c r="S60" s="1"/>
  <c r="AB44"/>
  <c r="D35" i="1" s="1"/>
  <c r="AB58" i="9"/>
  <c r="D49" i="1" s="1"/>
  <c r="V55" i="9"/>
  <c r="V60" s="1"/>
  <c r="AB57"/>
  <c r="AA91"/>
  <c r="J27"/>
  <c r="J55"/>
  <c r="J59"/>
  <c r="J61"/>
  <c r="M27"/>
  <c r="M40" s="1"/>
  <c r="M55"/>
  <c r="M59"/>
  <c r="M61"/>
  <c r="AB70"/>
  <c r="AB73"/>
  <c r="V61"/>
  <c r="S61"/>
  <c r="P61"/>
  <c r="G40"/>
  <c r="J40"/>
  <c r="AB91"/>
  <c r="AA92"/>
  <c r="AB93"/>
  <c r="D27"/>
  <c r="D40" s="1"/>
  <c r="D66"/>
  <c r="AB66" s="1"/>
  <c r="D57" i="1" s="1"/>
  <c r="D64" i="9"/>
  <c r="AB64" s="1"/>
  <c r="D55" i="1" s="1"/>
  <c r="D63" i="9"/>
  <c r="AB63" s="1"/>
  <c r="D54" i="1" s="1"/>
  <c r="D62" i="9"/>
  <c r="D49"/>
  <c r="AB49" s="1"/>
  <c r="D40" i="1" s="1"/>
  <c r="D47" i="9"/>
  <c r="AB47" s="1"/>
  <c r="D38" i="1" s="1"/>
  <c r="D41" i="9"/>
  <c r="AB41" s="1"/>
  <c r="D32" i="1" s="1"/>
  <c r="B22" i="21"/>
  <c r="B21"/>
  <c r="B18"/>
  <c r="B13"/>
  <c r="B12"/>
  <c r="B10"/>
  <c r="B9"/>
  <c r="B8"/>
  <c r="B7"/>
  <c r="B6"/>
  <c r="B5"/>
  <c r="B4"/>
  <c r="B3"/>
  <c r="J10" i="15"/>
  <c r="J9"/>
  <c r="J8"/>
  <c r="J7"/>
  <c r="J5"/>
  <c r="J4"/>
  <c r="H14"/>
  <c r="H13"/>
  <c r="H12"/>
  <c r="H10"/>
  <c r="H9"/>
  <c r="H8"/>
  <c r="H7"/>
  <c r="H5"/>
  <c r="H4"/>
  <c r="F13"/>
  <c r="F12"/>
  <c r="F10"/>
  <c r="F9"/>
  <c r="F8"/>
  <c r="F7"/>
  <c r="F5"/>
  <c r="F4"/>
  <c r="D13"/>
  <c r="D12"/>
  <c r="D10"/>
  <c r="D9"/>
  <c r="D8"/>
  <c r="D7"/>
  <c r="D5"/>
  <c r="D4"/>
  <c r="B15"/>
  <c r="B13"/>
  <c r="B12"/>
  <c r="B10"/>
  <c r="B9"/>
  <c r="B8"/>
  <c r="B7"/>
  <c r="B5"/>
  <c r="B4"/>
  <c r="C75" i="2"/>
  <c r="C72"/>
  <c r="C69"/>
  <c r="C55"/>
  <c r="C54"/>
  <c r="C53"/>
  <c r="C52"/>
  <c r="C51"/>
  <c r="C50"/>
  <c r="C49"/>
  <c r="C46"/>
  <c r="C45"/>
  <c r="C44"/>
  <c r="C43"/>
  <c r="C42"/>
  <c r="C41"/>
  <c r="C40"/>
  <c r="C37"/>
  <c r="C36"/>
  <c r="C35"/>
  <c r="C34"/>
  <c r="C33"/>
  <c r="C32"/>
  <c r="C31"/>
  <c r="C30"/>
  <c r="C27"/>
  <c r="C26"/>
  <c r="C25"/>
  <c r="C24"/>
  <c r="C23"/>
  <c r="C22"/>
  <c r="C21"/>
  <c r="C18"/>
  <c r="C17"/>
  <c r="C16"/>
  <c r="C13"/>
  <c r="C12"/>
  <c r="C11"/>
  <c r="C10"/>
  <c r="C9"/>
  <c r="C8"/>
  <c r="C7"/>
  <c r="C4"/>
  <c r="O108" i="1"/>
  <c r="O90"/>
  <c r="O88"/>
  <c r="O86"/>
  <c r="O82"/>
  <c r="O78"/>
  <c r="O73"/>
  <c r="O72"/>
  <c r="O10"/>
  <c r="O9"/>
  <c r="O6"/>
  <c r="O5"/>
  <c r="G99"/>
  <c r="G96"/>
  <c r="G95"/>
  <c r="G86"/>
  <c r="G85" s="1"/>
  <c r="G78"/>
  <c r="G75"/>
  <c r="G73"/>
  <c r="G72"/>
  <c r="G68"/>
  <c r="G66"/>
  <c r="G65"/>
  <c r="G63"/>
  <c r="G62"/>
  <c r="G59"/>
  <c r="G58"/>
  <c r="G57"/>
  <c r="G55"/>
  <c r="G54"/>
  <c r="G53"/>
  <c r="G49"/>
  <c r="G48"/>
  <c r="G40"/>
  <c r="G38"/>
  <c r="G37"/>
  <c r="G35"/>
  <c r="G32"/>
  <c r="G29"/>
  <c r="G30"/>
  <c r="G16"/>
  <c r="C99"/>
  <c r="C96"/>
  <c r="C95"/>
  <c r="C82"/>
  <c r="C78"/>
  <c r="C75"/>
  <c r="C73"/>
  <c r="C72"/>
  <c r="C68"/>
  <c r="C66"/>
  <c r="C65"/>
  <c r="C63"/>
  <c r="C62"/>
  <c r="C59"/>
  <c r="C58"/>
  <c r="C57"/>
  <c r="C55"/>
  <c r="C54"/>
  <c r="C53"/>
  <c r="C49"/>
  <c r="C48"/>
  <c r="C40"/>
  <c r="C38"/>
  <c r="C37"/>
  <c r="C35"/>
  <c r="C32"/>
  <c r="C30"/>
  <c r="C16"/>
  <c r="C13"/>
  <c r="C6" i="2" l="1"/>
  <c r="J11" i="15"/>
  <c r="S118" i="9"/>
  <c r="V114"/>
  <c r="V116" s="1"/>
  <c r="V118" s="1"/>
  <c r="P114"/>
  <c r="P116" s="1"/>
  <c r="P118" s="1"/>
  <c r="S114"/>
  <c r="S116" s="1"/>
  <c r="G60"/>
  <c r="G114" s="1"/>
  <c r="G116" s="1"/>
  <c r="G118" s="1"/>
  <c r="AB94"/>
  <c r="AB95" s="1"/>
  <c r="D82" i="1"/>
  <c r="AB59" i="9"/>
  <c r="D48" i="1"/>
  <c r="M60" i="9"/>
  <c r="M114" s="1"/>
  <c r="M116" s="1"/>
  <c r="M118" s="1"/>
  <c r="J60"/>
  <c r="J114" s="1"/>
  <c r="J116" s="1"/>
  <c r="J118" s="1"/>
  <c r="D61"/>
  <c r="AB62"/>
  <c r="AB55"/>
  <c r="AB60" s="1"/>
  <c r="D55"/>
  <c r="D60" s="1"/>
  <c r="O12" i="21"/>
  <c r="O3" i="20"/>
  <c r="F103" i="9"/>
  <c r="P10" i="1"/>
  <c r="AB114" i="9" l="1"/>
  <c r="D114"/>
  <c r="D116" s="1"/>
  <c r="D118" s="1"/>
  <c r="AB61"/>
  <c r="D53" i="1"/>
  <c r="C21" i="9"/>
  <c r="AB116" l="1"/>
  <c r="AB118" s="1"/>
  <c r="O89" i="1"/>
  <c r="O91"/>
  <c r="O85"/>
  <c r="R78"/>
  <c r="R73"/>
  <c r="R72"/>
  <c r="G108"/>
  <c r="G106"/>
  <c r="G104"/>
  <c r="G103"/>
  <c r="G102"/>
  <c r="G101"/>
  <c r="G98"/>
  <c r="G97"/>
  <c r="G94"/>
  <c r="G93"/>
  <c r="G91"/>
  <c r="K91" s="1"/>
  <c r="G90"/>
  <c r="G89"/>
  <c r="G88"/>
  <c r="G87"/>
  <c r="G82"/>
  <c r="G81"/>
  <c r="G80"/>
  <c r="G79"/>
  <c r="G76"/>
  <c r="G71"/>
  <c r="G70"/>
  <c r="G69"/>
  <c r="G67"/>
  <c r="G60"/>
  <c r="G56"/>
  <c r="G47"/>
  <c r="G33"/>
  <c r="G34"/>
  <c r="G36"/>
  <c r="G39"/>
  <c r="G41"/>
  <c r="G42"/>
  <c r="G43"/>
  <c r="G44"/>
  <c r="G45"/>
  <c r="G21"/>
  <c r="G27" s="1"/>
  <c r="C108"/>
  <c r="C106"/>
  <c r="C29"/>
  <c r="C104"/>
  <c r="C103"/>
  <c r="C102"/>
  <c r="K102" s="1"/>
  <c r="S102" s="1"/>
  <c r="C101"/>
  <c r="C98"/>
  <c r="C97"/>
  <c r="K96"/>
  <c r="S96" s="1"/>
  <c r="C94"/>
  <c r="C93"/>
  <c r="C91"/>
  <c r="C90"/>
  <c r="C89"/>
  <c r="C88"/>
  <c r="C87"/>
  <c r="C86"/>
  <c r="K86" s="1"/>
  <c r="C85"/>
  <c r="K85" s="1"/>
  <c r="C81"/>
  <c r="C80"/>
  <c r="K80" s="1"/>
  <c r="S80" s="1"/>
  <c r="C79"/>
  <c r="C76"/>
  <c r="C71"/>
  <c r="C70"/>
  <c r="C69"/>
  <c r="C67"/>
  <c r="C60"/>
  <c r="K60" s="1"/>
  <c r="S60" s="1"/>
  <c r="K59"/>
  <c r="S59" s="1"/>
  <c r="K57"/>
  <c r="S57" s="1"/>
  <c r="C56"/>
  <c r="K55"/>
  <c r="S55" s="1"/>
  <c r="K53"/>
  <c r="S53" s="1"/>
  <c r="K49"/>
  <c r="S49" s="1"/>
  <c r="K48"/>
  <c r="S48" s="1"/>
  <c r="C47"/>
  <c r="C45"/>
  <c r="C44"/>
  <c r="K44" s="1"/>
  <c r="S44" s="1"/>
  <c r="C43"/>
  <c r="C42"/>
  <c r="C41"/>
  <c r="K41" s="1"/>
  <c r="S41" s="1"/>
  <c r="K40"/>
  <c r="S40" s="1"/>
  <c r="C39"/>
  <c r="K37"/>
  <c r="S37" s="1"/>
  <c r="C36"/>
  <c r="K36" s="1"/>
  <c r="S36" s="1"/>
  <c r="K35"/>
  <c r="S35" s="1"/>
  <c r="C34"/>
  <c r="C33"/>
  <c r="K33" s="1"/>
  <c r="S33" s="1"/>
  <c r="K32"/>
  <c r="S32" s="1"/>
  <c r="C20"/>
  <c r="K20" s="1"/>
  <c r="S20" s="1"/>
  <c r="C19"/>
  <c r="K19" s="1"/>
  <c r="S19" s="1"/>
  <c r="C18"/>
  <c r="K18" s="1"/>
  <c r="S18" s="1"/>
  <c r="C17"/>
  <c r="K17" s="1"/>
  <c r="S17" s="1"/>
  <c r="C15"/>
  <c r="C14"/>
  <c r="K14" s="1"/>
  <c r="S14" s="1"/>
  <c r="K13"/>
  <c r="S13" s="1"/>
  <c r="C12"/>
  <c r="K12" s="1"/>
  <c r="S12" s="1"/>
  <c r="S28"/>
  <c r="S30" s="1"/>
  <c r="S26"/>
  <c r="S25"/>
  <c r="S24"/>
  <c r="S23"/>
  <c r="S22"/>
  <c r="S10"/>
  <c r="S9" s="1"/>
  <c r="S8"/>
  <c r="S6"/>
  <c r="S5"/>
  <c r="S3"/>
  <c r="O105"/>
  <c r="O100"/>
  <c r="O77"/>
  <c r="O64"/>
  <c r="O61"/>
  <c r="O52"/>
  <c r="O50"/>
  <c r="O51" s="1"/>
  <c r="O30"/>
  <c r="O26"/>
  <c r="O24"/>
  <c r="O21"/>
  <c r="O11"/>
  <c r="K90"/>
  <c r="K28"/>
  <c r="K26"/>
  <c r="K24"/>
  <c r="G26"/>
  <c r="G24"/>
  <c r="K104"/>
  <c r="S104" s="1"/>
  <c r="K99"/>
  <c r="S99" s="1"/>
  <c r="K95"/>
  <c r="S95" s="1"/>
  <c r="C92"/>
  <c r="K82"/>
  <c r="S82" s="1"/>
  <c r="K78"/>
  <c r="K76"/>
  <c r="S76" s="1"/>
  <c r="K75"/>
  <c r="K73"/>
  <c r="K72"/>
  <c r="K70"/>
  <c r="S70" s="1"/>
  <c r="K68"/>
  <c r="S68" s="1"/>
  <c r="K67"/>
  <c r="S67" s="1"/>
  <c r="K66"/>
  <c r="K65"/>
  <c r="S65" s="1"/>
  <c r="K63"/>
  <c r="S63" s="1"/>
  <c r="K58"/>
  <c r="S58" s="1"/>
  <c r="K54"/>
  <c r="S54" s="1"/>
  <c r="K38"/>
  <c r="S38" s="1"/>
  <c r="C26"/>
  <c r="C24"/>
  <c r="K15"/>
  <c r="S15" s="1"/>
  <c r="K45" l="1"/>
  <c r="S45" s="1"/>
  <c r="K97"/>
  <c r="S97" s="1"/>
  <c r="K103"/>
  <c r="S103" s="1"/>
  <c r="O87"/>
  <c r="K87"/>
  <c r="K94"/>
  <c r="S94" s="1"/>
  <c r="K43"/>
  <c r="S43" s="1"/>
  <c r="K56"/>
  <c r="S56" s="1"/>
  <c r="S52" s="1"/>
  <c r="H3" i="22" s="1"/>
  <c r="K101" i="1"/>
  <c r="S101" s="1"/>
  <c r="K93"/>
  <c r="S93" s="1"/>
  <c r="K98"/>
  <c r="S98" s="1"/>
  <c r="K42"/>
  <c r="S42" s="1"/>
  <c r="K34"/>
  <c r="S34" s="1"/>
  <c r="K47"/>
  <c r="S47" s="1"/>
  <c r="S50" s="1"/>
  <c r="K69"/>
  <c r="S69" s="1"/>
  <c r="K71"/>
  <c r="S71" s="1"/>
  <c r="K79"/>
  <c r="S79" s="1"/>
  <c r="K81"/>
  <c r="S81" s="1"/>
  <c r="K39"/>
  <c r="S39" s="1"/>
  <c r="K89"/>
  <c r="S73"/>
  <c r="S91"/>
  <c r="K16"/>
  <c r="K21" s="1"/>
  <c r="S89"/>
  <c r="K108"/>
  <c r="S72"/>
  <c r="S78"/>
  <c r="O74"/>
  <c r="O83"/>
  <c r="O4"/>
  <c r="O7" s="1"/>
  <c r="O27" s="1"/>
  <c r="S16"/>
  <c r="S21" s="1"/>
  <c r="B3" i="22" s="1"/>
  <c r="S61" i="1"/>
  <c r="S105"/>
  <c r="K106"/>
  <c r="S106" s="1"/>
  <c r="S90"/>
  <c r="S4"/>
  <c r="S7" s="1"/>
  <c r="B2" i="22" s="1"/>
  <c r="G31" i="1"/>
  <c r="K77"/>
  <c r="S66"/>
  <c r="S75"/>
  <c r="S86"/>
  <c r="S85" s="1"/>
  <c r="H6" i="22" s="1"/>
  <c r="S11" i="1"/>
  <c r="B11" i="22" s="1"/>
  <c r="C64" i="1"/>
  <c r="G77"/>
  <c r="O92"/>
  <c r="K61"/>
  <c r="K105"/>
  <c r="G61"/>
  <c r="G74"/>
  <c r="G83"/>
  <c r="G92"/>
  <c r="G105"/>
  <c r="K88"/>
  <c r="S88" s="1"/>
  <c r="C46"/>
  <c r="C74"/>
  <c r="C77"/>
  <c r="G64"/>
  <c r="K29"/>
  <c r="G100"/>
  <c r="K62"/>
  <c r="C83"/>
  <c r="C100"/>
  <c r="C105"/>
  <c r="G52"/>
  <c r="C52"/>
  <c r="G46"/>
  <c r="G50"/>
  <c r="C21"/>
  <c r="C50"/>
  <c r="C61"/>
  <c r="K52" l="1"/>
  <c r="K50"/>
  <c r="K83"/>
  <c r="S100"/>
  <c r="H11" i="22" s="1"/>
  <c r="K74" i="1"/>
  <c r="K100"/>
  <c r="S83"/>
  <c r="S46"/>
  <c r="S51" s="1"/>
  <c r="H2" i="22" s="1"/>
  <c r="K46" i="1"/>
  <c r="O84"/>
  <c r="S87"/>
  <c r="H7" i="22" s="1"/>
  <c r="S74" i="1"/>
  <c r="S77"/>
  <c r="O31"/>
  <c r="C27"/>
  <c r="K92"/>
  <c r="K27"/>
  <c r="G84"/>
  <c r="K64"/>
  <c r="S62"/>
  <c r="S27"/>
  <c r="S31" s="1"/>
  <c r="K30"/>
  <c r="C51"/>
  <c r="C84"/>
  <c r="G51"/>
  <c r="K51" l="1"/>
  <c r="O107"/>
  <c r="O109" s="1"/>
  <c r="S92"/>
  <c r="S64"/>
  <c r="C31"/>
  <c r="G107"/>
  <c r="K84"/>
  <c r="K31"/>
  <c r="C107"/>
  <c r="K107" l="1"/>
  <c r="K109" s="1"/>
  <c r="S84"/>
  <c r="H4" i="22" s="1"/>
  <c r="C109" i="1"/>
  <c r="G109"/>
  <c r="S107" l="1"/>
  <c r="S109" s="1"/>
  <c r="G25" i="13"/>
  <c r="G16"/>
  <c r="G5"/>
  <c r="G6"/>
  <c r="G7"/>
  <c r="G8"/>
  <c r="G9"/>
  <c r="G10"/>
  <c r="G11"/>
  <c r="G12"/>
  <c r="G13"/>
  <c r="G14"/>
  <c r="G15"/>
  <c r="G18"/>
  <c r="G19"/>
  <c r="G20"/>
  <c r="G21"/>
  <c r="G22"/>
  <c r="G23"/>
  <c r="G24"/>
  <c r="G4"/>
  <c r="F26"/>
  <c r="F25"/>
  <c r="F16"/>
  <c r="F5"/>
  <c r="F6"/>
  <c r="F7"/>
  <c r="F8"/>
  <c r="F9"/>
  <c r="F10"/>
  <c r="F11"/>
  <c r="F12"/>
  <c r="F13"/>
  <c r="F14"/>
  <c r="F15"/>
  <c r="F18"/>
  <c r="F19"/>
  <c r="F20"/>
  <c r="F21"/>
  <c r="F22"/>
  <c r="F23"/>
  <c r="F24"/>
  <c r="F4"/>
  <c r="E25"/>
  <c r="E26" s="1"/>
  <c r="C26"/>
  <c r="C16"/>
  <c r="F127" i="10"/>
  <c r="C127"/>
  <c r="D126"/>
  <c r="E126" s="1"/>
  <c r="D125"/>
  <c r="E125" s="1"/>
  <c r="D124"/>
  <c r="E124" s="1"/>
  <c r="D123"/>
  <c r="D127" s="1"/>
  <c r="E123" l="1"/>
  <c r="E127" s="1"/>
  <c r="O103" l="1"/>
  <c r="O99"/>
  <c r="O83"/>
  <c r="O80"/>
  <c r="O78"/>
  <c r="O77"/>
  <c r="O73"/>
  <c r="O68"/>
  <c r="O67"/>
  <c r="O64"/>
  <c r="O63"/>
  <c r="L92"/>
  <c r="L83"/>
  <c r="L77"/>
  <c r="L68"/>
  <c r="I83"/>
  <c r="I68"/>
  <c r="F103"/>
  <c r="F100"/>
  <c r="F83"/>
  <c r="F80"/>
  <c r="F78"/>
  <c r="F77"/>
  <c r="F73"/>
  <c r="F70"/>
  <c r="F68"/>
  <c r="F64"/>
  <c r="F63"/>
  <c r="R103" l="1"/>
  <c r="C83"/>
  <c r="C80"/>
  <c r="C78"/>
  <c r="C77"/>
  <c r="C73"/>
  <c r="C71"/>
  <c r="C70"/>
  <c r="C68"/>
  <c r="C64"/>
  <c r="C63"/>
  <c r="O62" l="1"/>
  <c r="O61"/>
  <c r="O60"/>
  <c r="O59"/>
  <c r="O58"/>
  <c r="O54"/>
  <c r="O53"/>
  <c r="O52"/>
  <c r="O50"/>
  <c r="O49"/>
  <c r="O48"/>
  <c r="O47"/>
  <c r="O46"/>
  <c r="O45"/>
  <c r="O44"/>
  <c r="O43"/>
  <c r="O42"/>
  <c r="O41"/>
  <c r="O40"/>
  <c r="O39"/>
  <c r="O38"/>
  <c r="O37"/>
  <c r="L62"/>
  <c r="L61"/>
  <c r="L60"/>
  <c r="L59"/>
  <c r="L58"/>
  <c r="L54"/>
  <c r="L53"/>
  <c r="L52"/>
  <c r="L50"/>
  <c r="L49"/>
  <c r="L48"/>
  <c r="L47"/>
  <c r="L46"/>
  <c r="L45"/>
  <c r="L44"/>
  <c r="L43"/>
  <c r="L42"/>
  <c r="L41"/>
  <c r="L40"/>
  <c r="L39"/>
  <c r="L38"/>
  <c r="L37"/>
  <c r="I62"/>
  <c r="I61"/>
  <c r="I60"/>
  <c r="I59"/>
  <c r="I58"/>
  <c r="I54"/>
  <c r="I53"/>
  <c r="I52"/>
  <c r="I50"/>
  <c r="I49"/>
  <c r="I48"/>
  <c r="I47"/>
  <c r="I46"/>
  <c r="I45"/>
  <c r="I44"/>
  <c r="I43"/>
  <c r="I42"/>
  <c r="I41"/>
  <c r="I40"/>
  <c r="I39"/>
  <c r="I38"/>
  <c r="I37"/>
  <c r="F62"/>
  <c r="F61"/>
  <c r="F60"/>
  <c r="F59"/>
  <c r="F58"/>
  <c r="F54"/>
  <c r="F53"/>
  <c r="F52"/>
  <c r="F50"/>
  <c r="F49"/>
  <c r="F48"/>
  <c r="F47"/>
  <c r="F46"/>
  <c r="F45"/>
  <c r="F44"/>
  <c r="F43"/>
  <c r="F42"/>
  <c r="F41"/>
  <c r="F40"/>
  <c r="F39"/>
  <c r="F38"/>
  <c r="F37"/>
  <c r="C62"/>
  <c r="C61"/>
  <c r="C60"/>
  <c r="C59"/>
  <c r="C58"/>
  <c r="C54"/>
  <c r="C53"/>
  <c r="C52"/>
  <c r="C50"/>
  <c r="C49"/>
  <c r="C48"/>
  <c r="C47"/>
  <c r="C46"/>
  <c r="C45"/>
  <c r="C44"/>
  <c r="C43"/>
  <c r="C42"/>
  <c r="C41"/>
  <c r="C40"/>
  <c r="C39"/>
  <c r="C38"/>
  <c r="C37"/>
  <c r="M17" i="15" l="1"/>
  <c r="AA20" i="9" l="1"/>
  <c r="AA19"/>
  <c r="AA18"/>
  <c r="AA17"/>
  <c r="AA16"/>
  <c r="AA15"/>
  <c r="AA14"/>
  <c r="X75"/>
  <c r="X83" s="1"/>
  <c r="X72"/>
  <c r="X73" s="1"/>
  <c r="X68"/>
  <c r="X70" s="1"/>
  <c r="U87"/>
  <c r="U94" s="1"/>
  <c r="U84"/>
  <c r="U86" s="1"/>
  <c r="U82"/>
  <c r="U74"/>
  <c r="U72"/>
  <c r="U73" s="1"/>
  <c r="U68"/>
  <c r="U67"/>
  <c r="R87"/>
  <c r="R94" s="1"/>
  <c r="R82"/>
  <c r="R77"/>
  <c r="R72"/>
  <c r="R73" s="1"/>
  <c r="R68"/>
  <c r="R70" s="1"/>
  <c r="O87"/>
  <c r="O94" s="1"/>
  <c r="O84"/>
  <c r="O86" s="1"/>
  <c r="O82"/>
  <c r="O77"/>
  <c r="O74"/>
  <c r="O72"/>
  <c r="O73" s="1"/>
  <c r="O68"/>
  <c r="O70" s="1"/>
  <c r="F87"/>
  <c r="F84"/>
  <c r="F86" s="1"/>
  <c r="F82"/>
  <c r="F81"/>
  <c r="F77"/>
  <c r="F74"/>
  <c r="F72"/>
  <c r="F73" s="1"/>
  <c r="F68"/>
  <c r="F67"/>
  <c r="I87"/>
  <c r="I94" s="1"/>
  <c r="I84"/>
  <c r="I86" s="1"/>
  <c r="I82"/>
  <c r="I77"/>
  <c r="I74"/>
  <c r="I72"/>
  <c r="I73" s="1"/>
  <c r="I68"/>
  <c r="I67"/>
  <c r="L87"/>
  <c r="L94" s="1"/>
  <c r="L84"/>
  <c r="L86" s="1"/>
  <c r="L82"/>
  <c r="L81"/>
  <c r="L74"/>
  <c r="L72"/>
  <c r="L71"/>
  <c r="L68"/>
  <c r="L67"/>
  <c r="F96"/>
  <c r="F99" s="1"/>
  <c r="F107"/>
  <c r="F112"/>
  <c r="I96"/>
  <c r="I99" s="1"/>
  <c r="I107"/>
  <c r="I112"/>
  <c r="L96"/>
  <c r="L99" s="1"/>
  <c r="L107"/>
  <c r="M112"/>
  <c r="O96"/>
  <c r="O99" s="1"/>
  <c r="O107"/>
  <c r="O112"/>
  <c r="R86"/>
  <c r="R96"/>
  <c r="R99" s="1"/>
  <c r="R107"/>
  <c r="R112"/>
  <c r="U96"/>
  <c r="U99" s="1"/>
  <c r="U107"/>
  <c r="U112"/>
  <c r="X86"/>
  <c r="X94" s="1"/>
  <c r="X99"/>
  <c r="X107"/>
  <c r="X112"/>
  <c r="C87"/>
  <c r="C84"/>
  <c r="C77"/>
  <c r="C75"/>
  <c r="C72"/>
  <c r="C68"/>
  <c r="C67"/>
  <c r="C82"/>
  <c r="C74"/>
  <c r="F70" l="1"/>
  <c r="O83"/>
  <c r="O95" s="1"/>
  <c r="R83"/>
  <c r="R95" s="1"/>
  <c r="U70"/>
  <c r="U83"/>
  <c r="L70"/>
  <c r="L73"/>
  <c r="L95" s="1"/>
  <c r="L83"/>
  <c r="I70"/>
  <c r="I83"/>
  <c r="AA30"/>
  <c r="X95"/>
  <c r="U95"/>
  <c r="F94"/>
  <c r="F83"/>
  <c r="X66"/>
  <c r="X65"/>
  <c r="X64"/>
  <c r="X63"/>
  <c r="X62"/>
  <c r="X58"/>
  <c r="X57"/>
  <c r="X56"/>
  <c r="X54"/>
  <c r="X53"/>
  <c r="X52"/>
  <c r="X51"/>
  <c r="X50"/>
  <c r="X49"/>
  <c r="X48"/>
  <c r="X47"/>
  <c r="X46"/>
  <c r="X45"/>
  <c r="X44"/>
  <c r="X43"/>
  <c r="X42"/>
  <c r="X41"/>
  <c r="U66"/>
  <c r="U65"/>
  <c r="U64"/>
  <c r="U63"/>
  <c r="U62"/>
  <c r="U58"/>
  <c r="U57"/>
  <c r="U56"/>
  <c r="U54"/>
  <c r="U53"/>
  <c r="U52"/>
  <c r="U51"/>
  <c r="U50"/>
  <c r="U49"/>
  <c r="U48"/>
  <c r="U47"/>
  <c r="U46"/>
  <c r="U45"/>
  <c r="U44"/>
  <c r="U43"/>
  <c r="U42"/>
  <c r="U41"/>
  <c r="R66"/>
  <c r="R65"/>
  <c r="R64"/>
  <c r="R63"/>
  <c r="R62"/>
  <c r="R58"/>
  <c r="R57"/>
  <c r="R56"/>
  <c r="R54"/>
  <c r="R53"/>
  <c r="R52"/>
  <c r="R51"/>
  <c r="R50"/>
  <c r="R49"/>
  <c r="R48"/>
  <c r="R47"/>
  <c r="R46"/>
  <c r="R45"/>
  <c r="R44"/>
  <c r="R43"/>
  <c r="R42"/>
  <c r="R41"/>
  <c r="O66"/>
  <c r="O65"/>
  <c r="O64"/>
  <c r="O63"/>
  <c r="O62"/>
  <c r="O58"/>
  <c r="O57"/>
  <c r="O56"/>
  <c r="O54"/>
  <c r="O53"/>
  <c r="O52"/>
  <c r="O51"/>
  <c r="O50"/>
  <c r="O49"/>
  <c r="O48"/>
  <c r="O47"/>
  <c r="O46"/>
  <c r="O45"/>
  <c r="O44"/>
  <c r="O43"/>
  <c r="O42"/>
  <c r="O41"/>
  <c r="L66"/>
  <c r="L65"/>
  <c r="L64"/>
  <c r="L63"/>
  <c r="L62"/>
  <c r="L58"/>
  <c r="L57"/>
  <c r="L56"/>
  <c r="L54"/>
  <c r="L53"/>
  <c r="L52"/>
  <c r="L51"/>
  <c r="L50"/>
  <c r="L49"/>
  <c r="L48"/>
  <c r="L47"/>
  <c r="L46"/>
  <c r="L45"/>
  <c r="L44"/>
  <c r="L43"/>
  <c r="L42"/>
  <c r="L41"/>
  <c r="I66"/>
  <c r="I65"/>
  <c r="I64"/>
  <c r="I63"/>
  <c r="I62"/>
  <c r="I58"/>
  <c r="I57"/>
  <c r="I56"/>
  <c r="I54"/>
  <c r="I53"/>
  <c r="I52"/>
  <c r="I51"/>
  <c r="I50"/>
  <c r="I49"/>
  <c r="I48"/>
  <c r="I47"/>
  <c r="I46"/>
  <c r="I45"/>
  <c r="I44"/>
  <c r="I43"/>
  <c r="I42"/>
  <c r="I41"/>
  <c r="F66"/>
  <c r="F65"/>
  <c r="F64"/>
  <c r="F63"/>
  <c r="F62"/>
  <c r="F58"/>
  <c r="F57"/>
  <c r="F56"/>
  <c r="F54"/>
  <c r="F53"/>
  <c r="F52"/>
  <c r="F51"/>
  <c r="F50"/>
  <c r="F49"/>
  <c r="F48"/>
  <c r="F47"/>
  <c r="F46"/>
  <c r="F45"/>
  <c r="F44"/>
  <c r="F43"/>
  <c r="F42"/>
  <c r="F41"/>
  <c r="C66"/>
  <c r="C65"/>
  <c r="C64"/>
  <c r="C63"/>
  <c r="C62"/>
  <c r="C58"/>
  <c r="C57"/>
  <c r="C56"/>
  <c r="C42"/>
  <c r="C43"/>
  <c r="C44"/>
  <c r="C45"/>
  <c r="C46"/>
  <c r="C47"/>
  <c r="C48"/>
  <c r="C49"/>
  <c r="C50"/>
  <c r="C51"/>
  <c r="C52"/>
  <c r="C53"/>
  <c r="C54"/>
  <c r="C41"/>
  <c r="I95" l="1"/>
  <c r="F95"/>
  <c r="O13"/>
  <c r="AA13" s="1"/>
  <c r="J14" i="15"/>
  <c r="J6"/>
  <c r="H11"/>
  <c r="H6"/>
  <c r="F14"/>
  <c r="F11"/>
  <c r="F6"/>
  <c r="D14"/>
  <c r="D11"/>
  <c r="D6"/>
  <c r="B14"/>
  <c r="B11"/>
  <c r="B6"/>
  <c r="L8"/>
  <c r="L7"/>
  <c r="J16" l="1"/>
  <c r="H16"/>
  <c r="F16"/>
  <c r="L10"/>
  <c r="L15"/>
  <c r="D16"/>
  <c r="L4"/>
  <c r="L13"/>
  <c r="B16"/>
  <c r="L5"/>
  <c r="L9"/>
  <c r="L12"/>
  <c r="M15"/>
  <c r="J11" i="18"/>
  <c r="B11"/>
  <c r="K10"/>
  <c r="J10"/>
  <c r="B9"/>
  <c r="J9"/>
  <c r="J8"/>
  <c r="B8"/>
  <c r="K7"/>
  <c r="B7"/>
  <c r="J6"/>
  <c r="J5"/>
  <c r="B5"/>
  <c r="J4"/>
  <c r="B4"/>
  <c r="J3"/>
  <c r="B3"/>
  <c r="L14" i="15" l="1"/>
  <c r="L11"/>
  <c r="K9" i="18"/>
  <c r="L6" i="15"/>
  <c r="M5"/>
  <c r="M10"/>
  <c r="C6"/>
  <c r="M4"/>
  <c r="M7"/>
  <c r="M8"/>
  <c r="M13"/>
  <c r="M12"/>
  <c r="B6" i="18"/>
  <c r="B12" s="1"/>
  <c r="J7"/>
  <c r="K6"/>
  <c r="L16" i="15" l="1"/>
  <c r="M6"/>
  <c r="C14"/>
  <c r="M14"/>
  <c r="C11" l="1"/>
  <c r="C16" s="1"/>
  <c r="M9"/>
  <c r="M11" s="1"/>
  <c r="M16" s="1"/>
  <c r="AA115" i="9" l="1"/>
  <c r="AA113"/>
  <c r="AA111"/>
  <c r="AA110"/>
  <c r="AA109"/>
  <c r="AA108"/>
  <c r="AA106"/>
  <c r="AA105"/>
  <c r="AA104"/>
  <c r="AA103"/>
  <c r="AA102"/>
  <c r="AA101"/>
  <c r="AA100"/>
  <c r="AA98"/>
  <c r="AA97"/>
  <c r="AA90"/>
  <c r="AA89"/>
  <c r="AA88"/>
  <c r="AA87"/>
  <c r="AA85"/>
  <c r="AA84"/>
  <c r="AA82"/>
  <c r="AA81"/>
  <c r="AA80"/>
  <c r="AA79"/>
  <c r="AA77"/>
  <c r="AA76"/>
  <c r="AA75"/>
  <c r="AA74"/>
  <c r="AA72"/>
  <c r="AA71"/>
  <c r="AA69"/>
  <c r="AA68"/>
  <c r="AA67"/>
  <c r="AA66"/>
  <c r="AA65"/>
  <c r="AA64"/>
  <c r="AA63"/>
  <c r="AA62"/>
  <c r="AA58"/>
  <c r="AA57"/>
  <c r="AA56"/>
  <c r="AA54"/>
  <c r="AA53"/>
  <c r="AA52"/>
  <c r="AA51"/>
  <c r="AA50"/>
  <c r="AA49"/>
  <c r="AA48"/>
  <c r="AA47"/>
  <c r="AA46"/>
  <c r="AA45"/>
  <c r="AA44"/>
  <c r="AA43"/>
  <c r="AA42"/>
  <c r="AA12"/>
  <c r="AA41"/>
  <c r="U134" l="1"/>
  <c r="U61"/>
  <c r="U59"/>
  <c r="U55"/>
  <c r="U31"/>
  <c r="U29" s="1"/>
  <c r="U39" s="1"/>
  <c r="U26"/>
  <c r="U24"/>
  <c r="U21"/>
  <c r="U11"/>
  <c r="U7"/>
  <c r="C58" i="2"/>
  <c r="D57"/>
  <c r="H12" i="22"/>
  <c r="H13"/>
  <c r="H14"/>
  <c r="H5"/>
  <c r="B5"/>
  <c r="B4"/>
  <c r="U60" i="9" l="1"/>
  <c r="U114" s="1"/>
  <c r="U116" s="1"/>
  <c r="U27"/>
  <c r="U40" s="1"/>
  <c r="U121"/>
  <c r="C57" i="2"/>
  <c r="U118" i="9" l="1"/>
  <c r="B14" i="21"/>
  <c r="B11" l="1"/>
  <c r="B15" s="1"/>
  <c r="B23"/>
  <c r="D25" i="13"/>
  <c r="D26" s="1"/>
  <c r="B16"/>
  <c r="B26" s="1"/>
  <c r="G26" l="1"/>
  <c r="C103" i="10"/>
  <c r="C134" i="9" l="1"/>
  <c r="P88" i="1" l="1"/>
  <c r="C79" i="10" l="1"/>
  <c r="J4" i="2" l="1"/>
  <c r="D4" s="1"/>
  <c r="J6" s="1"/>
  <c r="Q42" l="1"/>
  <c r="Q43" s="1"/>
  <c r="D55" l="1"/>
  <c r="G55" s="1"/>
  <c r="C80" l="1"/>
  <c r="G4"/>
  <c r="C89"/>
  <c r="C85"/>
  <c r="C83"/>
  <c r="C68"/>
  <c r="C70" s="1"/>
  <c r="C48"/>
  <c r="C39"/>
  <c r="C29"/>
  <c r="C20"/>
  <c r="H16" i="22"/>
  <c r="H9"/>
  <c r="B16"/>
  <c r="B9"/>
  <c r="B17" l="1"/>
  <c r="H17"/>
  <c r="C15" i="2"/>
  <c r="C64" s="1"/>
  <c r="C24" i="20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O13"/>
  <c r="O12"/>
  <c r="B14"/>
  <c r="B15" s="1"/>
  <c r="O9"/>
  <c r="O8"/>
  <c r="O7"/>
  <c r="O5"/>
  <c r="O4"/>
  <c r="C66" i="2" l="1"/>
  <c r="C86" s="1"/>
  <c r="C90" s="1"/>
  <c r="C3"/>
  <c r="O10" i="20"/>
  <c r="O24"/>
  <c r="O30" s="1"/>
  <c r="O6"/>
  <c r="O14"/>
  <c r="O15" s="1"/>
  <c r="C30"/>
  <c r="D30"/>
  <c r="E30"/>
  <c r="F30"/>
  <c r="G30"/>
  <c r="H30"/>
  <c r="I30"/>
  <c r="J30"/>
  <c r="K30"/>
  <c r="L30"/>
  <c r="M30"/>
  <c r="N30"/>
  <c r="C16"/>
  <c r="D16"/>
  <c r="E16"/>
  <c r="F16"/>
  <c r="F32" s="1"/>
  <c r="G16"/>
  <c r="H16"/>
  <c r="H32" s="1"/>
  <c r="I16"/>
  <c r="J16"/>
  <c r="K16"/>
  <c r="K32" s="1"/>
  <c r="L16"/>
  <c r="M16"/>
  <c r="N16"/>
  <c r="N32" s="1"/>
  <c r="D32" l="1"/>
  <c r="L32"/>
  <c r="M32"/>
  <c r="J32"/>
  <c r="G32"/>
  <c r="I32"/>
  <c r="E32"/>
  <c r="C32"/>
  <c r="O16"/>
  <c r="O32" s="1"/>
  <c r="M13" i="21"/>
  <c r="L13"/>
  <c r="K13"/>
  <c r="J13"/>
  <c r="I13"/>
  <c r="I14" s="1"/>
  <c r="H13"/>
  <c r="G13"/>
  <c r="G14" s="1"/>
  <c r="F13"/>
  <c r="E13"/>
  <c r="E14" s="1"/>
  <c r="D13"/>
  <c r="C13"/>
  <c r="C14" s="1"/>
  <c r="H14"/>
  <c r="F14"/>
  <c r="D14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E5"/>
  <c r="D5"/>
  <c r="M4"/>
  <c r="L4"/>
  <c r="K4"/>
  <c r="J4"/>
  <c r="I4"/>
  <c r="H4"/>
  <c r="G4"/>
  <c r="F4"/>
  <c r="E4"/>
  <c r="D4"/>
  <c r="M3"/>
  <c r="L3"/>
  <c r="L11" s="1"/>
  <c r="K3"/>
  <c r="J3"/>
  <c r="J11" s="1"/>
  <c r="I3"/>
  <c r="H3"/>
  <c r="H11" s="1"/>
  <c r="H15" s="1"/>
  <c r="G3"/>
  <c r="F3"/>
  <c r="F11" s="1"/>
  <c r="F15" s="1"/>
  <c r="E3"/>
  <c r="E11" s="1"/>
  <c r="E15" s="1"/>
  <c r="D3"/>
  <c r="D11" s="1"/>
  <c r="D15" s="1"/>
  <c r="C10"/>
  <c r="C9"/>
  <c r="C8"/>
  <c r="C7"/>
  <c r="C6"/>
  <c r="C5"/>
  <c r="C4"/>
  <c r="C3"/>
  <c r="B19"/>
  <c r="X134" i="9"/>
  <c r="AA134"/>
  <c r="M18" i="21"/>
  <c r="L18"/>
  <c r="K18"/>
  <c r="J18"/>
  <c r="I18"/>
  <c r="H18"/>
  <c r="G18"/>
  <c r="F18"/>
  <c r="E18"/>
  <c r="D18"/>
  <c r="C18"/>
  <c r="C19" s="1"/>
  <c r="M53" i="2"/>
  <c r="M52"/>
  <c r="M51"/>
  <c r="K11" i="21" l="1"/>
  <c r="I11"/>
  <c r="I15" s="1"/>
  <c r="G11"/>
  <c r="G15" s="1"/>
  <c r="M11"/>
  <c r="C11"/>
  <c r="C15" s="1"/>
  <c r="Q127" i="10"/>
  <c r="N127"/>
  <c r="O126" s="1"/>
  <c r="P126" s="1"/>
  <c r="R95"/>
  <c r="H89" i="1" s="1"/>
  <c r="L89" s="1"/>
  <c r="T89" s="1"/>
  <c r="R94" i="10"/>
  <c r="H88" i="1" s="1"/>
  <c r="L88" s="1"/>
  <c r="O93" i="10"/>
  <c r="L93"/>
  <c r="I93"/>
  <c r="F93"/>
  <c r="C93"/>
  <c r="L91" i="1"/>
  <c r="T91" s="1"/>
  <c r="L90"/>
  <c r="D87"/>
  <c r="M22" i="21"/>
  <c r="L22"/>
  <c r="K22"/>
  <c r="J22"/>
  <c r="I22"/>
  <c r="H22"/>
  <c r="G22"/>
  <c r="F22"/>
  <c r="E22"/>
  <c r="D22"/>
  <c r="M21"/>
  <c r="L21"/>
  <c r="K21"/>
  <c r="J21"/>
  <c r="I21"/>
  <c r="H21"/>
  <c r="G21"/>
  <c r="F21"/>
  <c r="E21"/>
  <c r="D21"/>
  <c r="C22"/>
  <c r="C21"/>
  <c r="D41" i="2"/>
  <c r="G41" s="1"/>
  <c r="D42"/>
  <c r="D43"/>
  <c r="G43" s="1"/>
  <c r="D44"/>
  <c r="G44" s="1"/>
  <c r="D45"/>
  <c r="G45" s="1"/>
  <c r="D46"/>
  <c r="G46" s="1"/>
  <c r="D40"/>
  <c r="G40" s="1"/>
  <c r="N48"/>
  <c r="M44"/>
  <c r="M47"/>
  <c r="D54"/>
  <c r="G54" s="1"/>
  <c r="D53"/>
  <c r="G53" s="1"/>
  <c r="D52"/>
  <c r="G52" s="1"/>
  <c r="D51"/>
  <c r="G51" s="1"/>
  <c r="D50"/>
  <c r="G50" s="1"/>
  <c r="D49"/>
  <c r="P5" i="1"/>
  <c r="P30"/>
  <c r="P26"/>
  <c r="P24"/>
  <c r="P21"/>
  <c r="P9"/>
  <c r="P11" s="1"/>
  <c r="T25"/>
  <c r="T26" s="1"/>
  <c r="C12" i="22" s="1"/>
  <c r="T23" i="1"/>
  <c r="T24" s="1"/>
  <c r="C4" i="22" s="1"/>
  <c r="T22" i="1"/>
  <c r="T10"/>
  <c r="T9" s="1"/>
  <c r="T8"/>
  <c r="T3"/>
  <c r="L73" i="2"/>
  <c r="M67" s="1"/>
  <c r="N67" s="1"/>
  <c r="L63"/>
  <c r="O73"/>
  <c r="O63"/>
  <c r="M54"/>
  <c r="N54"/>
  <c r="L54"/>
  <c r="N38"/>
  <c r="D37"/>
  <c r="G37" s="1"/>
  <c r="M37"/>
  <c r="L38"/>
  <c r="D31"/>
  <c r="G31" s="1"/>
  <c r="D32"/>
  <c r="G32" s="1"/>
  <c r="D33"/>
  <c r="G33" s="1"/>
  <c r="D34"/>
  <c r="G34" s="1"/>
  <c r="D35"/>
  <c r="G35" s="1"/>
  <c r="D36"/>
  <c r="G36" s="1"/>
  <c r="D30"/>
  <c r="M31"/>
  <c r="M32"/>
  <c r="M33"/>
  <c r="M34"/>
  <c r="M35"/>
  <c r="M36"/>
  <c r="M30"/>
  <c r="D8"/>
  <c r="D9"/>
  <c r="G9" s="1"/>
  <c r="D10"/>
  <c r="G10" s="1"/>
  <c r="D11"/>
  <c r="G11" s="1"/>
  <c r="D12"/>
  <c r="G12" s="1"/>
  <c r="D13"/>
  <c r="G13" s="1"/>
  <c r="D7"/>
  <c r="O14"/>
  <c r="M8"/>
  <c r="P105" i="1"/>
  <c r="P100"/>
  <c r="P83"/>
  <c r="R83" s="1"/>
  <c r="P77"/>
  <c r="P74"/>
  <c r="R74" s="1"/>
  <c r="P64"/>
  <c r="P61"/>
  <c r="P52"/>
  <c r="P50"/>
  <c r="P51" s="1"/>
  <c r="L28"/>
  <c r="T28" s="1"/>
  <c r="C5" i="22" s="1"/>
  <c r="L26" i="1"/>
  <c r="L24"/>
  <c r="H26"/>
  <c r="H24"/>
  <c r="D26"/>
  <c r="D24"/>
  <c r="D89" i="2"/>
  <c r="D85"/>
  <c r="D83"/>
  <c r="D68"/>
  <c r="D70" s="1"/>
  <c r="D148" i="9"/>
  <c r="O138" s="1"/>
  <c r="F134"/>
  <c r="P144"/>
  <c r="M144"/>
  <c r="J144"/>
  <c r="G144"/>
  <c r="D128"/>
  <c r="E128" s="1"/>
  <c r="D129"/>
  <c r="E129" s="1"/>
  <c r="D130"/>
  <c r="E130" s="1"/>
  <c r="D131"/>
  <c r="E131" s="1"/>
  <c r="D132"/>
  <c r="E132" s="1"/>
  <c r="D127"/>
  <c r="E127" s="1"/>
  <c r="E134" l="1"/>
  <c r="T5" i="1"/>
  <c r="V5" s="1"/>
  <c r="R5"/>
  <c r="T11"/>
  <c r="C11" i="22" s="1"/>
  <c r="B7" i="20" s="1"/>
  <c r="B10" s="1"/>
  <c r="AA38" i="9"/>
  <c r="AA37"/>
  <c r="G26" i="2" s="1"/>
  <c r="AA33" i="9"/>
  <c r="G22" i="2" s="1"/>
  <c r="AA36" i="9"/>
  <c r="Q8" i="21" s="1"/>
  <c r="R8" s="1"/>
  <c r="AA35" i="9"/>
  <c r="G24" i="2" s="1"/>
  <c r="AA34" i="9"/>
  <c r="Q6" i="21" s="1"/>
  <c r="R6" s="1"/>
  <c r="AA32" i="9"/>
  <c r="G21" i="2" s="1"/>
  <c r="M62"/>
  <c r="N62" s="1"/>
  <c r="M57"/>
  <c r="N57" s="1"/>
  <c r="M58"/>
  <c r="N58" s="1"/>
  <c r="M59"/>
  <c r="N59" s="1"/>
  <c r="D39"/>
  <c r="G39" s="1"/>
  <c r="G42"/>
  <c r="M38"/>
  <c r="C23" i="21"/>
  <c r="T88" i="1"/>
  <c r="H87"/>
  <c r="D6" i="2"/>
  <c r="G6" s="1"/>
  <c r="G7"/>
  <c r="Q5" i="21"/>
  <c r="R5" s="1"/>
  <c r="G8" i="2"/>
  <c r="D29"/>
  <c r="G30"/>
  <c r="D48"/>
  <c r="P86" i="1" s="1"/>
  <c r="R86" s="1"/>
  <c r="G49" i="2"/>
  <c r="O123" i="10"/>
  <c r="P123" s="1"/>
  <c r="O124"/>
  <c r="P124" s="1"/>
  <c r="O125"/>
  <c r="P125" s="1"/>
  <c r="P84" i="1"/>
  <c r="R84" s="1"/>
  <c r="M41" i="2"/>
  <c r="M42"/>
  <c r="M43"/>
  <c r="M45"/>
  <c r="M46"/>
  <c r="M66"/>
  <c r="N66" s="1"/>
  <c r="M72"/>
  <c r="N72" s="1"/>
  <c r="M71"/>
  <c r="N71" s="1"/>
  <c r="M70"/>
  <c r="N70" s="1"/>
  <c r="M69"/>
  <c r="N69" s="1"/>
  <c r="M68"/>
  <c r="N68" s="1"/>
  <c r="M61"/>
  <c r="N61" s="1"/>
  <c r="M60"/>
  <c r="N60" s="1"/>
  <c r="M9"/>
  <c r="N9" s="1"/>
  <c r="M10"/>
  <c r="N10" s="1"/>
  <c r="M11"/>
  <c r="N11" s="1"/>
  <c r="M12"/>
  <c r="N12" s="1"/>
  <c r="M13"/>
  <c r="N13" s="1"/>
  <c r="M7"/>
  <c r="N7" s="1"/>
  <c r="N8"/>
  <c r="D147" i="9"/>
  <c r="O137" s="1"/>
  <c r="D152"/>
  <c r="O142" s="1"/>
  <c r="D151"/>
  <c r="O141" s="1"/>
  <c r="D150"/>
  <c r="O140" s="1"/>
  <c r="D149"/>
  <c r="O139" s="1"/>
  <c r="D137"/>
  <c r="D143"/>
  <c r="D142"/>
  <c r="D141"/>
  <c r="D140"/>
  <c r="D139"/>
  <c r="D138"/>
  <c r="D134"/>
  <c r="L20" i="1"/>
  <c r="T20" s="1"/>
  <c r="L19"/>
  <c r="T19" s="1"/>
  <c r="L18"/>
  <c r="T18" s="1"/>
  <c r="L17"/>
  <c r="T17" s="1"/>
  <c r="L14"/>
  <c r="T14" s="1"/>
  <c r="L12"/>
  <c r="T12" s="1"/>
  <c r="G72" i="2"/>
  <c r="D108" i="1"/>
  <c r="D106"/>
  <c r="D104"/>
  <c r="D103"/>
  <c r="D102"/>
  <c r="D101"/>
  <c r="D94"/>
  <c r="D93"/>
  <c r="D86"/>
  <c r="F82"/>
  <c r="F78"/>
  <c r="D76"/>
  <c r="F75"/>
  <c r="F73"/>
  <c r="F72"/>
  <c r="F68"/>
  <c r="F66"/>
  <c r="F65"/>
  <c r="F63"/>
  <c r="F62"/>
  <c r="F59"/>
  <c r="F58"/>
  <c r="X61" i="9"/>
  <c r="X59"/>
  <c r="X55"/>
  <c r="R61"/>
  <c r="R59"/>
  <c r="R55"/>
  <c r="O61"/>
  <c r="O59"/>
  <c r="O55"/>
  <c r="L61"/>
  <c r="L59"/>
  <c r="L55"/>
  <c r="I61"/>
  <c r="I59"/>
  <c r="I55"/>
  <c r="F61"/>
  <c r="F59"/>
  <c r="F55"/>
  <c r="F57" i="1"/>
  <c r="F55"/>
  <c r="F54"/>
  <c r="C61" i="9"/>
  <c r="F49" i="1"/>
  <c r="F48"/>
  <c r="F35"/>
  <c r="F37"/>
  <c r="F38"/>
  <c r="F40"/>
  <c r="G62" i="2"/>
  <c r="AA112" i="9"/>
  <c r="AA107"/>
  <c r="AA94"/>
  <c r="AA78"/>
  <c r="AA83" s="1"/>
  <c r="AA70"/>
  <c r="AA26"/>
  <c r="AA24"/>
  <c r="AA11"/>
  <c r="AA7"/>
  <c r="X31"/>
  <c r="X29" s="1"/>
  <c r="X39" s="1"/>
  <c r="X26"/>
  <c r="X24"/>
  <c r="X21"/>
  <c r="X11"/>
  <c r="X7"/>
  <c r="R31"/>
  <c r="R29" s="1"/>
  <c r="R39" s="1"/>
  <c r="R26"/>
  <c r="R24"/>
  <c r="R21"/>
  <c r="R11"/>
  <c r="R7"/>
  <c r="O31"/>
  <c r="O29" s="1"/>
  <c r="O39" s="1"/>
  <c r="O26"/>
  <c r="O24"/>
  <c r="O21"/>
  <c r="O11"/>
  <c r="O7"/>
  <c r="L31"/>
  <c r="L29" s="1"/>
  <c r="L39" s="1"/>
  <c r="L26"/>
  <c r="L24"/>
  <c r="L21"/>
  <c r="L11"/>
  <c r="L7"/>
  <c r="I31"/>
  <c r="I29" s="1"/>
  <c r="I39" s="1"/>
  <c r="I26"/>
  <c r="I24"/>
  <c r="I21"/>
  <c r="I11"/>
  <c r="I7"/>
  <c r="F31"/>
  <c r="F29" s="1"/>
  <c r="F39" s="1"/>
  <c r="F26"/>
  <c r="F24"/>
  <c r="F21"/>
  <c r="F11"/>
  <c r="F7"/>
  <c r="F27" s="1"/>
  <c r="C112"/>
  <c r="C107"/>
  <c r="C96"/>
  <c r="C94"/>
  <c r="C86"/>
  <c r="C83"/>
  <c r="C73"/>
  <c r="C70"/>
  <c r="C59"/>
  <c r="C55"/>
  <c r="C31"/>
  <c r="C29" s="1"/>
  <c r="C39" s="1"/>
  <c r="C26"/>
  <c r="C24"/>
  <c r="C11"/>
  <c r="C7"/>
  <c r="L27" l="1"/>
  <c r="L40" s="1"/>
  <c r="C99"/>
  <c r="AA96"/>
  <c r="D85" i="1" s="1"/>
  <c r="D92" s="1"/>
  <c r="O60" i="9"/>
  <c r="O114" s="1"/>
  <c r="O116" s="1"/>
  <c r="R90" i="1"/>
  <c r="P87"/>
  <c r="R87" s="1"/>
  <c r="R27" i="9"/>
  <c r="R40" s="1"/>
  <c r="D105" i="1"/>
  <c r="D100"/>
  <c r="Q10" i="21"/>
  <c r="G27" i="2"/>
  <c r="G48"/>
  <c r="G25"/>
  <c r="Q7" i="21"/>
  <c r="R7" s="1"/>
  <c r="G23" i="2"/>
  <c r="AA31" i="9"/>
  <c r="AA29" s="1"/>
  <c r="D20" i="2"/>
  <c r="G20" s="1"/>
  <c r="AA86" i="9"/>
  <c r="AA73"/>
  <c r="F60"/>
  <c r="F114" s="1"/>
  <c r="F116" s="1"/>
  <c r="X60"/>
  <c r="X114" s="1"/>
  <c r="X116" s="1"/>
  <c r="R60"/>
  <c r="R114" s="1"/>
  <c r="L60"/>
  <c r="L114" s="1"/>
  <c r="I60"/>
  <c r="I114" s="1"/>
  <c r="C60"/>
  <c r="P85" i="1"/>
  <c r="R85" s="1"/>
  <c r="Q18" i="21"/>
  <c r="I27" i="9"/>
  <c r="I40" s="1"/>
  <c r="O27"/>
  <c r="O40" s="1"/>
  <c r="X27"/>
  <c r="X40" s="1"/>
  <c r="F40"/>
  <c r="D74" i="1"/>
  <c r="F74" s="1"/>
  <c r="AA99" i="9"/>
  <c r="G29" i="2"/>
  <c r="L15" i="1"/>
  <c r="T15" s="1"/>
  <c r="F16"/>
  <c r="P127" i="10"/>
  <c r="O127"/>
  <c r="M48" i="2"/>
  <c r="M73"/>
  <c r="M63"/>
  <c r="AA55" i="9"/>
  <c r="F32" i="1"/>
  <c r="AA59" i="9"/>
  <c r="D47" i="1"/>
  <c r="AA61" i="9"/>
  <c r="F53" i="1"/>
  <c r="D61"/>
  <c r="F61" s="1"/>
  <c r="D64"/>
  <c r="F64" s="1"/>
  <c r="D77"/>
  <c r="F77" s="1"/>
  <c r="D83"/>
  <c r="F83" s="1"/>
  <c r="AA21" i="9"/>
  <c r="AA27" s="1"/>
  <c r="F13" i="1"/>
  <c r="N73" i="2"/>
  <c r="N63"/>
  <c r="N14"/>
  <c r="L138" i="9"/>
  <c r="I138"/>
  <c r="F138"/>
  <c r="L139"/>
  <c r="I139"/>
  <c r="F139"/>
  <c r="L140"/>
  <c r="I140"/>
  <c r="F140"/>
  <c r="L141"/>
  <c r="I141"/>
  <c r="F141"/>
  <c r="L142"/>
  <c r="I142"/>
  <c r="F142"/>
  <c r="L143"/>
  <c r="I143"/>
  <c r="F143"/>
  <c r="O144"/>
  <c r="L137"/>
  <c r="I137"/>
  <c r="F137"/>
  <c r="D144"/>
  <c r="C27"/>
  <c r="C40" s="1"/>
  <c r="C95"/>
  <c r="D153"/>
  <c r="C121"/>
  <c r="F121"/>
  <c r="I121"/>
  <c r="L121"/>
  <c r="O121"/>
  <c r="R121"/>
  <c r="X121"/>
  <c r="R33" i="10"/>
  <c r="R34"/>
  <c r="L91"/>
  <c r="R22" i="21" s="1"/>
  <c r="I91" i="10"/>
  <c r="Q21" i="21" s="1"/>
  <c r="R21" s="1"/>
  <c r="O119" i="10"/>
  <c r="L119"/>
  <c r="I119"/>
  <c r="F104"/>
  <c r="F119"/>
  <c r="O96"/>
  <c r="F96"/>
  <c r="R28"/>
  <c r="R16"/>
  <c r="H16" i="1" s="1"/>
  <c r="R26" i="10"/>
  <c r="R24"/>
  <c r="R11"/>
  <c r="R7"/>
  <c r="O26"/>
  <c r="O24"/>
  <c r="O21"/>
  <c r="O11"/>
  <c r="O7"/>
  <c r="L26"/>
  <c r="L24"/>
  <c r="L21"/>
  <c r="L11"/>
  <c r="L7"/>
  <c r="I26"/>
  <c r="I24"/>
  <c r="I21"/>
  <c r="I11"/>
  <c r="I7"/>
  <c r="F26"/>
  <c r="F24"/>
  <c r="F21"/>
  <c r="F11"/>
  <c r="F7"/>
  <c r="C96"/>
  <c r="R92"/>
  <c r="C31"/>
  <c r="C26"/>
  <c r="C24"/>
  <c r="C11"/>
  <c r="C7"/>
  <c r="C21"/>
  <c r="O104"/>
  <c r="L104"/>
  <c r="I104"/>
  <c r="C119"/>
  <c r="C66"/>
  <c r="R104" l="1"/>
  <c r="I27"/>
  <c r="O27"/>
  <c r="C114" i="9"/>
  <c r="C116" s="1"/>
  <c r="L86" i="1"/>
  <c r="J86"/>
  <c r="H21"/>
  <c r="D30"/>
  <c r="F30" s="1"/>
  <c r="F29"/>
  <c r="L96" i="10"/>
  <c r="I144" i="9"/>
  <c r="R116"/>
  <c r="R118" s="1"/>
  <c r="L116"/>
  <c r="L118" s="1"/>
  <c r="AA39"/>
  <c r="AA40" s="1"/>
  <c r="Q23" i="21"/>
  <c r="R18"/>
  <c r="R10"/>
  <c r="U10"/>
  <c r="N10" s="1"/>
  <c r="O10" s="1"/>
  <c r="X118" i="9"/>
  <c r="O118"/>
  <c r="L144"/>
  <c r="F118"/>
  <c r="F144"/>
  <c r="AA95"/>
  <c r="I116"/>
  <c r="I118" s="1"/>
  <c r="R21" i="10"/>
  <c r="S27" s="1"/>
  <c r="R91"/>
  <c r="I96"/>
  <c r="F27"/>
  <c r="L27"/>
  <c r="Q9" i="21"/>
  <c r="R9" s="1"/>
  <c r="G18" i="2"/>
  <c r="Q4" i="21"/>
  <c r="R4" s="1"/>
  <c r="G17" i="2"/>
  <c r="T90" i="1"/>
  <c r="P92"/>
  <c r="C27" i="10"/>
  <c r="L16" i="1"/>
  <c r="D52"/>
  <c r="F52" s="1"/>
  <c r="D50"/>
  <c r="F50" s="1"/>
  <c r="D46"/>
  <c r="F46" s="1"/>
  <c r="AA60" i="9"/>
  <c r="L13" i="1"/>
  <c r="N13" s="1"/>
  <c r="D21"/>
  <c r="D84"/>
  <c r="F84" s="1"/>
  <c r="C118" i="9"/>
  <c r="R31" i="10"/>
  <c r="R32"/>
  <c r="G16" i="2" s="1"/>
  <c r="C104" i="10"/>
  <c r="D27" i="1" l="1"/>
  <c r="F21"/>
  <c r="H27"/>
  <c r="T86"/>
  <c r="N86"/>
  <c r="T16"/>
  <c r="V16" s="1"/>
  <c r="N16"/>
  <c r="T87"/>
  <c r="V90"/>
  <c r="L85"/>
  <c r="N85" s="1"/>
  <c r="J85"/>
  <c r="P107"/>
  <c r="R107" s="1"/>
  <c r="R92"/>
  <c r="AA114" i="9"/>
  <c r="AA116" s="1"/>
  <c r="AA118" s="1"/>
  <c r="D51" i="1"/>
  <c r="G75" i="2"/>
  <c r="D80"/>
  <c r="G80" s="1"/>
  <c r="D15"/>
  <c r="G15" s="1"/>
  <c r="Q3" i="21"/>
  <c r="R3" s="1"/>
  <c r="L21" i="1"/>
  <c r="T13"/>
  <c r="H108"/>
  <c r="L108" s="1"/>
  <c r="H106"/>
  <c r="L106" s="1"/>
  <c r="T106" s="1"/>
  <c r="I13" i="22" s="1"/>
  <c r="H104" i="1"/>
  <c r="L104" s="1"/>
  <c r="T104" s="1"/>
  <c r="H103"/>
  <c r="L103" s="1"/>
  <c r="T103" s="1"/>
  <c r="H102"/>
  <c r="L102" s="1"/>
  <c r="T102" s="1"/>
  <c r="H101"/>
  <c r="L98"/>
  <c r="T98" s="1"/>
  <c r="L97"/>
  <c r="T97" s="1"/>
  <c r="R100" i="10"/>
  <c r="J96" i="1" s="1"/>
  <c r="R99" i="10"/>
  <c r="L95" i="1" s="1"/>
  <c r="T95" s="1"/>
  <c r="R98" i="10"/>
  <c r="H94" i="1" s="1"/>
  <c r="L94" s="1"/>
  <c r="T94" s="1"/>
  <c r="R97" i="10"/>
  <c r="R93"/>
  <c r="L82" i="1"/>
  <c r="R86" i="10"/>
  <c r="L81" i="1" s="1"/>
  <c r="T81" s="1"/>
  <c r="R85" i="10"/>
  <c r="L80" i="1" s="1"/>
  <c r="T80" s="1"/>
  <c r="R84" i="10"/>
  <c r="L79" i="1" s="1"/>
  <c r="T79" s="1"/>
  <c r="R83" i="10"/>
  <c r="J78" i="1" s="1"/>
  <c r="R81" i="10"/>
  <c r="H76" i="1" s="1"/>
  <c r="L76" s="1"/>
  <c r="T76" s="1"/>
  <c r="R80" i="10"/>
  <c r="J75" i="1" s="1"/>
  <c r="R78" i="10"/>
  <c r="R77"/>
  <c r="R76"/>
  <c r="L71" i="1" s="1"/>
  <c r="T71" s="1"/>
  <c r="R75" i="10"/>
  <c r="L70" i="1" s="1"/>
  <c r="T70" s="1"/>
  <c r="R73" i="10"/>
  <c r="R72"/>
  <c r="L67" i="1" s="1"/>
  <c r="T67" s="1"/>
  <c r="R71" i="10"/>
  <c r="R70"/>
  <c r="R68"/>
  <c r="R67"/>
  <c r="J62" i="1" s="1"/>
  <c r="R65" i="10"/>
  <c r="L60" i="1" s="1"/>
  <c r="T60" s="1"/>
  <c r="R64" i="10"/>
  <c r="R63"/>
  <c r="J58" i="1" s="1"/>
  <c r="R74" i="10"/>
  <c r="O109"/>
  <c r="O89"/>
  <c r="O82"/>
  <c r="O79"/>
  <c r="O69"/>
  <c r="O66"/>
  <c r="O57"/>
  <c r="O55"/>
  <c r="O51"/>
  <c r="L109"/>
  <c r="L89"/>
  <c r="L82"/>
  <c r="L79"/>
  <c r="L69"/>
  <c r="L66"/>
  <c r="L57"/>
  <c r="L55"/>
  <c r="L51"/>
  <c r="I109"/>
  <c r="I89"/>
  <c r="I82"/>
  <c r="I79"/>
  <c r="I69"/>
  <c r="I66"/>
  <c r="I57"/>
  <c r="I55"/>
  <c r="I51"/>
  <c r="F109"/>
  <c r="F89"/>
  <c r="F82"/>
  <c r="F79"/>
  <c r="F69"/>
  <c r="F66"/>
  <c r="F57"/>
  <c r="F55"/>
  <c r="F51"/>
  <c r="C109"/>
  <c r="C89"/>
  <c r="C82"/>
  <c r="C69"/>
  <c r="R62"/>
  <c r="R61"/>
  <c r="L56" i="1" s="1"/>
  <c r="T56" s="1"/>
  <c r="R60" i="10"/>
  <c r="R59"/>
  <c r="R58"/>
  <c r="R54"/>
  <c r="R53"/>
  <c r="R52"/>
  <c r="R38"/>
  <c r="L33" i="1" s="1"/>
  <c r="T33" s="1"/>
  <c r="R39" i="10"/>
  <c r="L34" i="1" s="1"/>
  <c r="T34" s="1"/>
  <c r="R40" i="10"/>
  <c r="R41"/>
  <c r="L36" i="1" s="1"/>
  <c r="T36" s="1"/>
  <c r="R42" i="10"/>
  <c r="L37" i="1" s="1"/>
  <c r="R43" i="10"/>
  <c r="R44"/>
  <c r="L39" i="1" s="1"/>
  <c r="T39" s="1"/>
  <c r="R45" i="10"/>
  <c r="R46"/>
  <c r="L41" i="1" s="1"/>
  <c r="T41" s="1"/>
  <c r="R47" i="10"/>
  <c r="L42" i="1" s="1"/>
  <c r="T42" s="1"/>
  <c r="R48" i="10"/>
  <c r="L43" i="1" s="1"/>
  <c r="T43" s="1"/>
  <c r="R49" i="10"/>
  <c r="L44" i="1" s="1"/>
  <c r="T44" s="1"/>
  <c r="R50" i="10"/>
  <c r="L45" i="1" s="1"/>
  <c r="T45" s="1"/>
  <c r="R37" i="10"/>
  <c r="O29"/>
  <c r="O35" s="1"/>
  <c r="O36" s="1"/>
  <c r="L29"/>
  <c r="L35" s="1"/>
  <c r="L36" s="1"/>
  <c r="I29"/>
  <c r="I35" s="1"/>
  <c r="I36" s="1"/>
  <c r="F29"/>
  <c r="F35" s="1"/>
  <c r="F36" s="1"/>
  <c r="L59" i="1" l="1"/>
  <c r="J59"/>
  <c r="L72"/>
  <c r="J72"/>
  <c r="T82"/>
  <c r="V82" s="1"/>
  <c r="N82"/>
  <c r="L99"/>
  <c r="T99" s="1"/>
  <c r="V99" s="1"/>
  <c r="J99"/>
  <c r="L27"/>
  <c r="N27" s="1"/>
  <c r="N21"/>
  <c r="V87"/>
  <c r="V86"/>
  <c r="T85"/>
  <c r="T92" s="1"/>
  <c r="V92" s="1"/>
  <c r="D31"/>
  <c r="F31" s="1"/>
  <c r="F27"/>
  <c r="L63"/>
  <c r="J63"/>
  <c r="L66"/>
  <c r="J66"/>
  <c r="L68"/>
  <c r="J68"/>
  <c r="L73"/>
  <c r="J73"/>
  <c r="T21"/>
  <c r="V21" s="1"/>
  <c r="V13"/>
  <c r="L57"/>
  <c r="N57" s="1"/>
  <c r="J57"/>
  <c r="L38"/>
  <c r="T38" s="1"/>
  <c r="V38" s="1"/>
  <c r="J38"/>
  <c r="L49"/>
  <c r="T49" s="1"/>
  <c r="V49" s="1"/>
  <c r="J49"/>
  <c r="L35"/>
  <c r="T35" s="1"/>
  <c r="V35" s="1"/>
  <c r="J35"/>
  <c r="L48"/>
  <c r="T48" s="1"/>
  <c r="V48" s="1"/>
  <c r="J48"/>
  <c r="L55"/>
  <c r="T55" s="1"/>
  <c r="V55" s="1"/>
  <c r="J55"/>
  <c r="L40"/>
  <c r="T40" s="1"/>
  <c r="V40" s="1"/>
  <c r="J40"/>
  <c r="L54"/>
  <c r="T54" s="1"/>
  <c r="V54" s="1"/>
  <c r="J54"/>
  <c r="T57"/>
  <c r="V57" s="1"/>
  <c r="T37"/>
  <c r="V37" s="1"/>
  <c r="N37"/>
  <c r="N38"/>
  <c r="N49"/>
  <c r="D107"/>
  <c r="F51"/>
  <c r="D64" i="2"/>
  <c r="G61"/>
  <c r="R79" i="10"/>
  <c r="R82"/>
  <c r="O90"/>
  <c r="O117" s="1"/>
  <c r="L90"/>
  <c r="L117" s="1"/>
  <c r="I90"/>
  <c r="I117" s="1"/>
  <c r="R89"/>
  <c r="F90"/>
  <c r="F117" s="1"/>
  <c r="R66"/>
  <c r="R69"/>
  <c r="F56"/>
  <c r="L56"/>
  <c r="I56"/>
  <c r="O56"/>
  <c r="C3" i="22"/>
  <c r="F3" s="1"/>
  <c r="L69" i="1"/>
  <c r="T69" s="1"/>
  <c r="H83"/>
  <c r="J83" s="1"/>
  <c r="L78"/>
  <c r="N78" s="1"/>
  <c r="H93"/>
  <c r="L93" s="1"/>
  <c r="T93" s="1"/>
  <c r="H105"/>
  <c r="L101"/>
  <c r="R51" i="10"/>
  <c r="J32" i="1"/>
  <c r="R55" i="10"/>
  <c r="R57"/>
  <c r="J53" i="1"/>
  <c r="H61"/>
  <c r="J61" s="1"/>
  <c r="L58"/>
  <c r="N58" s="1"/>
  <c r="H64"/>
  <c r="J64" s="1"/>
  <c r="L62"/>
  <c r="N62" s="1"/>
  <c r="H77"/>
  <c r="J77" s="1"/>
  <c r="L75"/>
  <c r="N75" s="1"/>
  <c r="L96"/>
  <c r="N96" s="1"/>
  <c r="R96" i="10"/>
  <c r="C29"/>
  <c r="C35" s="1"/>
  <c r="C36" s="1"/>
  <c r="R30"/>
  <c r="R29" s="1"/>
  <c r="C90"/>
  <c r="C117" s="1"/>
  <c r="C51"/>
  <c r="C55"/>
  <c r="C57"/>
  <c r="B4" i="20" l="1"/>
  <c r="N40" i="1"/>
  <c r="N48"/>
  <c r="N54"/>
  <c r="N55"/>
  <c r="N35"/>
  <c r="N99"/>
  <c r="T73"/>
  <c r="V73" s="1"/>
  <c r="N73"/>
  <c r="T68"/>
  <c r="V68" s="1"/>
  <c r="N68"/>
  <c r="T66"/>
  <c r="V66" s="1"/>
  <c r="N66"/>
  <c r="T63"/>
  <c r="V63" s="1"/>
  <c r="N63"/>
  <c r="T72"/>
  <c r="V72" s="1"/>
  <c r="N72"/>
  <c r="T59"/>
  <c r="V59" s="1"/>
  <c r="N59"/>
  <c r="L65"/>
  <c r="N65" s="1"/>
  <c r="J65"/>
  <c r="V85"/>
  <c r="I6" i="22"/>
  <c r="D109" i="1"/>
  <c r="F107"/>
  <c r="H100"/>
  <c r="J100" s="1"/>
  <c r="H74"/>
  <c r="J74" s="1"/>
  <c r="O111" i="10"/>
  <c r="O113" s="1"/>
  <c r="O115" s="1"/>
  <c r="I111"/>
  <c r="I113" s="1"/>
  <c r="I115" s="1"/>
  <c r="Q13" i="21"/>
  <c r="R13" s="1"/>
  <c r="G60" i="2"/>
  <c r="R90" i="10"/>
  <c r="L111"/>
  <c r="L113" s="1"/>
  <c r="L115" s="1"/>
  <c r="F111"/>
  <c r="G64" i="2"/>
  <c r="D66"/>
  <c r="D3"/>
  <c r="P6" i="1"/>
  <c r="R6" s="1"/>
  <c r="T101"/>
  <c r="T105" s="1"/>
  <c r="I12" i="22" s="1"/>
  <c r="L105" i="1"/>
  <c r="T78"/>
  <c r="L83"/>
  <c r="N83" s="1"/>
  <c r="R35" i="10"/>
  <c r="R36" s="1"/>
  <c r="J29" i="1"/>
  <c r="T96"/>
  <c r="L100"/>
  <c r="N100" s="1"/>
  <c r="L77"/>
  <c r="N77" s="1"/>
  <c r="T75"/>
  <c r="L64"/>
  <c r="N64" s="1"/>
  <c r="T62"/>
  <c r="L61"/>
  <c r="N61" s="1"/>
  <c r="T58"/>
  <c r="H52"/>
  <c r="J52" s="1"/>
  <c r="L53"/>
  <c r="N53" s="1"/>
  <c r="H50"/>
  <c r="J50" s="1"/>
  <c r="L47"/>
  <c r="H46"/>
  <c r="J46" s="1"/>
  <c r="L32"/>
  <c r="N32" s="1"/>
  <c r="R56" i="10"/>
  <c r="L87" i="1"/>
  <c r="H92"/>
  <c r="J92" s="1"/>
  <c r="C56" i="10"/>
  <c r="C111" s="1"/>
  <c r="C113" s="1"/>
  <c r="C115" s="1"/>
  <c r="F113" l="1"/>
  <c r="R111"/>
  <c r="H84" i="1"/>
  <c r="J84" s="1"/>
  <c r="T65"/>
  <c r="V65" s="1"/>
  <c r="L74"/>
  <c r="N74" s="1"/>
  <c r="T61"/>
  <c r="V61" s="1"/>
  <c r="V58"/>
  <c r="T64"/>
  <c r="V64" s="1"/>
  <c r="V62"/>
  <c r="T74"/>
  <c r="V74" s="1"/>
  <c r="T77"/>
  <c r="V77" s="1"/>
  <c r="V75"/>
  <c r="T83"/>
  <c r="V83" s="1"/>
  <c r="V78"/>
  <c r="L6" i="22"/>
  <c r="B22" i="20"/>
  <c r="T100" i="1"/>
  <c r="V100" s="1"/>
  <c r="V96"/>
  <c r="D111"/>
  <c r="F109"/>
  <c r="H51"/>
  <c r="J51" s="1"/>
  <c r="D86" i="2"/>
  <c r="G66"/>
  <c r="P4" i="1"/>
  <c r="T6"/>
  <c r="L46"/>
  <c r="N46" s="1"/>
  <c r="T32"/>
  <c r="L50"/>
  <c r="N50" s="1"/>
  <c r="T47"/>
  <c r="T50" s="1"/>
  <c r="V50" s="1"/>
  <c r="L52"/>
  <c r="N52" s="1"/>
  <c r="T53"/>
  <c r="H30"/>
  <c r="H31" s="1"/>
  <c r="L29"/>
  <c r="N29" s="1"/>
  <c r="L92"/>
  <c r="N92" s="1"/>
  <c r="H107" l="1"/>
  <c r="H109" s="1"/>
  <c r="J109" s="1"/>
  <c r="F115" i="10"/>
  <c r="R113"/>
  <c r="R115" s="1"/>
  <c r="L84" i="1"/>
  <c r="N84" s="1"/>
  <c r="T84"/>
  <c r="I4" i="22" s="1"/>
  <c r="L4" s="1"/>
  <c r="J31" i="1"/>
  <c r="J30"/>
  <c r="I11" i="22"/>
  <c r="B25" i="20" s="1"/>
  <c r="B28" s="1"/>
  <c r="T52" i="1"/>
  <c r="V53"/>
  <c r="T46"/>
  <c r="V46" s="1"/>
  <c r="V32"/>
  <c r="P7"/>
  <c r="R4"/>
  <c r="T4"/>
  <c r="V6"/>
  <c r="D90" i="2"/>
  <c r="G90" s="1"/>
  <c r="G86"/>
  <c r="L30" i="1"/>
  <c r="P108"/>
  <c r="R108" s="1"/>
  <c r="T30"/>
  <c r="L51"/>
  <c r="I7" i="22"/>
  <c r="J107" i="1" l="1"/>
  <c r="V84"/>
  <c r="H111"/>
  <c r="B20" i="20"/>
  <c r="T51" i="1"/>
  <c r="V51" s="1"/>
  <c r="L31"/>
  <c r="N31" s="1"/>
  <c r="N30"/>
  <c r="I3" i="22"/>
  <c r="V52" i="1"/>
  <c r="L107"/>
  <c r="N51"/>
  <c r="P27"/>
  <c r="R7"/>
  <c r="T7"/>
  <c r="V4"/>
  <c r="B23" i="20"/>
  <c r="L7" i="22"/>
  <c r="P109" i="1"/>
  <c r="I16" i="22"/>
  <c r="C16"/>
  <c r="T107" i="1" l="1"/>
  <c r="V107" s="1"/>
  <c r="I2" i="22"/>
  <c r="L109" i="1"/>
  <c r="N107"/>
  <c r="B19" i="20"/>
  <c r="L3" i="22"/>
  <c r="P31" i="1"/>
  <c r="R31" s="1"/>
  <c r="R27"/>
  <c r="V7"/>
  <c r="B3" i="20"/>
  <c r="B6" s="1"/>
  <c r="B16" s="1"/>
  <c r="C2" i="22"/>
  <c r="T27" i="1"/>
  <c r="R109"/>
  <c r="D23" i="21"/>
  <c r="E23"/>
  <c r="F23"/>
  <c r="G23"/>
  <c r="H23"/>
  <c r="I23"/>
  <c r="J23"/>
  <c r="K23"/>
  <c r="L23"/>
  <c r="M23"/>
  <c r="U22"/>
  <c r="N22" s="1"/>
  <c r="O22" s="1"/>
  <c r="U21"/>
  <c r="N21" s="1"/>
  <c r="O21" s="1"/>
  <c r="D19"/>
  <c r="E19"/>
  <c r="F19"/>
  <c r="G19"/>
  <c r="H19"/>
  <c r="I19"/>
  <c r="J19"/>
  <c r="K19"/>
  <c r="L19"/>
  <c r="M19"/>
  <c r="U9"/>
  <c r="N9" s="1"/>
  <c r="O9" s="1"/>
  <c r="U8"/>
  <c r="N8" s="1"/>
  <c r="O8" s="1"/>
  <c r="U7"/>
  <c r="N7" s="1"/>
  <c r="O7" s="1"/>
  <c r="U6"/>
  <c r="N6" s="1"/>
  <c r="O6" s="1"/>
  <c r="U5"/>
  <c r="N5" s="1"/>
  <c r="O5" s="1"/>
  <c r="U4"/>
  <c r="N4" s="1"/>
  <c r="O4" s="1"/>
  <c r="U3"/>
  <c r="N3" s="1"/>
  <c r="U18"/>
  <c r="N18" s="1"/>
  <c r="T109" i="1" l="1"/>
  <c r="V109" s="1"/>
  <c r="L2" i="22"/>
  <c r="I9"/>
  <c r="B18" i="20"/>
  <c r="B24" s="1"/>
  <c r="B30" s="1"/>
  <c r="B32" s="1"/>
  <c r="N109" i="1"/>
  <c r="L111"/>
  <c r="P111"/>
  <c r="F2" i="22"/>
  <c r="C9"/>
  <c r="V27" i="1"/>
  <c r="T31"/>
  <c r="N11" i="21"/>
  <c r="O3"/>
  <c r="O11" s="1"/>
  <c r="O23"/>
  <c r="O18"/>
  <c r="O19" s="1"/>
  <c r="N19"/>
  <c r="N23"/>
  <c r="L9" i="22" l="1"/>
  <c r="I17"/>
  <c r="L17" s="1"/>
  <c r="F9"/>
  <c r="C17"/>
  <c r="F17" s="1"/>
  <c r="V31" i="1"/>
  <c r="T111"/>
  <c r="J14" i="21"/>
  <c r="J15" s="1"/>
  <c r="K14"/>
  <c r="K15" s="1"/>
  <c r="L14"/>
  <c r="L15" s="1"/>
  <c r="M14"/>
  <c r="M15" s="1"/>
  <c r="U13"/>
  <c r="N13" s="1"/>
  <c r="N14" s="1"/>
  <c r="N15" s="1"/>
  <c r="O13" l="1"/>
  <c r="O14" s="1"/>
  <c r="O15" s="1"/>
</calcChain>
</file>

<file path=xl/comments1.xml><?xml version="1.0" encoding="utf-8"?>
<comments xmlns="http://schemas.openxmlformats.org/spreadsheetml/2006/main">
  <authors>
    <author>Tompai Judit</author>
  </authors>
  <commentList>
    <comment ref="O73" authorId="0">
      <text>
        <r>
          <rPr>
            <b/>
            <sz val="8"/>
            <color indexed="81"/>
            <rFont val="Tahoma"/>
            <family val="2"/>
            <charset val="238"/>
          </rPr>
          <t>Tompai Judit:</t>
        </r>
        <r>
          <rPr>
            <sz val="8"/>
            <color indexed="81"/>
            <rFont val="Tahoma"/>
            <family val="2"/>
            <charset val="238"/>
          </rPr>
          <t xml:space="preserve">
ált.fel.bizt: 23eFt
bankktg: 500eFt</t>
        </r>
      </text>
    </comment>
    <comment ref="P73" authorId="0">
      <text>
        <r>
          <rPr>
            <b/>
            <sz val="8"/>
            <color indexed="81"/>
            <rFont val="Tahoma"/>
            <family val="2"/>
            <charset val="238"/>
          </rPr>
          <t>Tompai Judit:</t>
        </r>
        <r>
          <rPr>
            <sz val="8"/>
            <color indexed="81"/>
            <rFont val="Tahoma"/>
            <family val="2"/>
            <charset val="238"/>
          </rPr>
          <t xml:space="preserve">
ált.fel.bizt: 23eFt
bankktg: 500eFt</t>
        </r>
      </text>
    </comment>
  </commentList>
</comments>
</file>

<file path=xl/sharedStrings.xml><?xml version="1.0" encoding="utf-8"?>
<sst xmlns="http://schemas.openxmlformats.org/spreadsheetml/2006/main" count="1123" uniqueCount="435">
  <si>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</si>
  <si>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</si>
  <si>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</si>
  <si>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</si>
  <si>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</si>
  <si>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</si>
  <si>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</si>
  <si>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</si>
  <si>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</si>
  <si>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</si>
  <si>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</si>
  <si>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</si>
  <si>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</si>
  <si>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</si>
  <si>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</si>
  <si>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</si>
  <si>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</si>
  <si>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fajlagos összeg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</si>
  <si>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</si>
  <si>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</si>
  <si>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</si>
  <si>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</si>
  <si>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</si>
  <si>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</si>
  <si>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</si>
  <si>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</si>
  <si>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</si>
  <si>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</si>
  <si>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</si>
  <si>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</si>
  <si>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</si>
  <si>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</si>
  <si>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</si>
  <si>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</si>
  <si>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</si>
  <si>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</si>
  <si>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</si>
  <si>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</si>
  <si>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</si>
  <si>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</si>
  <si>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</si>
  <si>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</si>
  <si>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</si>
  <si>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</si>
  <si>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</si>
  <si>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</si>
  <si>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</si>
  <si>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</si>
  <si>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</si>
  <si>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</si>
  <si>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</si>
  <si>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</si>
  <si>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</si>
  <si>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</si>
  <si>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</si>
  <si>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</si>
  <si>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</si>
  <si>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</si>
  <si>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</si>
  <si>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</si>
  <si>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</si>
  <si>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</si>
  <si>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</si>
  <si>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</si>
  <si>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</si>
  <si>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</si>
  <si>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</si>
  <si>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</si>
  <si>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</si>
  <si>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</si>
  <si>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</si>
  <si>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</si>
  <si>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</si>
  <si>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</si>
  <si>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</si>
  <si>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</si>
  <si>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</si>
  <si>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</si>
  <si>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</si>
  <si>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</si>
  <si>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</si>
  <si>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</si>
  <si>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</si>
  <si>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</si>
  <si>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</si>
  <si>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</si>
  <si>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 xml:space="preserve">     Idősek klubja - társulási kiegészítéssel (163.500 Ft/fő)</t>
  </si>
  <si>
    <r>
      <t>Óvoda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</si>
  <si>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</si>
  <si>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</si>
  <si>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</si>
  <si>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</si>
  <si>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</si>
  <si>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</si>
  <si>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</si>
  <si>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</si>
  <si>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</si>
  <si>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</si>
  <si>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</si>
  <si>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</si>
  <si>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</si>
  <si>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</si>
  <si>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</si>
  <si>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</si>
  <si>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</si>
  <si>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</si>
  <si>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</si>
  <si>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</si>
  <si>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</si>
  <si>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</si>
  <si>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</si>
  <si>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</si>
  <si>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</si>
  <si>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</si>
  <si>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</si>
  <si>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</si>
  <si>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</si>
  <si>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</si>
  <si>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</si>
  <si>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</si>
  <si>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</si>
  <si>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</si>
  <si>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</si>
  <si>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</si>
  <si>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</si>
  <si>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</si>
  <si>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</si>
  <si>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</si>
  <si>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</si>
  <si>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</si>
  <si>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</si>
  <si>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</si>
  <si>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</si>
  <si>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</si>
  <si>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</si>
  <si>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</si>
  <si>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</si>
  <si>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</si>
  <si>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</si>
  <si>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</si>
  <si>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</si>
  <si>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</si>
  <si>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</si>
  <si>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</si>
  <si>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</si>
  <si>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</si>
  <si>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</si>
  <si>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</si>
  <si>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</si>
  <si>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</si>
  <si>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</si>
  <si>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</si>
  <si>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</si>
  <si>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</si>
  <si>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</si>
  <si>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</si>
  <si>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</si>
  <si>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</si>
  <si>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</si>
  <si>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</si>
  <si>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</si>
  <si>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</si>
  <si>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</si>
  <si>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</si>
  <si>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</si>
  <si>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</si>
  <si>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</si>
  <si>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</si>
  <si>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</si>
  <si>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</si>
  <si>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</si>
  <si>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</si>
  <si>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</si>
  <si>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</si>
  <si>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</si>
  <si>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</si>
  <si>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</si>
  <si>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</si>
  <si>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</si>
  <si>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</si>
  <si>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</si>
  <si>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</si>
  <si>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</si>
  <si>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</si>
  <si>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</si>
  <si>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</si>
  <si>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</si>
  <si>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</si>
  <si>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</si>
  <si>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</si>
  <si>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</si>
  <si>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</si>
  <si>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</si>
  <si>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</si>
  <si>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</si>
  <si>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</si>
  <si>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</si>
  <si>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</si>
  <si>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</si>
  <si>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</si>
  <si>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</si>
  <si>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</si>
  <si>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</si>
  <si>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</si>
  <si>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</si>
  <si>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</si>
  <si>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</si>
  <si>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</si>
  <si>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</si>
  <si>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</si>
  <si>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</si>
  <si>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</si>
  <si>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</si>
  <si>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</si>
  <si>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</si>
  <si>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</si>
  <si>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</si>
  <si>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</si>
  <si>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</si>
  <si>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</si>
  <si>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</si>
  <si>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</si>
  <si>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</si>
  <si>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</si>
  <si>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</si>
  <si>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</si>
  <si>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</si>
  <si>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</si>
  <si>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</si>
  <si>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</si>
  <si>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</si>
  <si>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</si>
  <si>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</si>
  <si>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</si>
  <si>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</si>
  <si>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</si>
  <si>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</si>
  <si>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</si>
  <si>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</si>
  <si>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</si>
  <si>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</si>
  <si>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</si>
  <si>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</si>
  <si>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</si>
  <si>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</si>
  <si>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</si>
  <si>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</si>
  <si>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</si>
  <si>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</si>
  <si>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</si>
  <si>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</si>
  <si>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</si>
  <si>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</si>
  <si>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</si>
  <si>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</si>
  <si>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</si>
  <si>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</si>
  <si>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</si>
  <si>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</si>
  <si>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</si>
  <si>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</si>
  <si>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</si>
  <si>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</si>
  <si>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</si>
  <si>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</si>
  <si>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</si>
  <si>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</si>
  <si>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</si>
  <si>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</si>
  <si>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</si>
  <si>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</si>
  <si>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</si>
  <si>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</si>
  <si>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</si>
  <si>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</si>
  <si>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</si>
  <si>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</si>
  <si>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</si>
  <si>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</si>
  <si>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</si>
  <si>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</si>
  <si>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</si>
  <si>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</si>
  <si>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</si>
  <si>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</si>
  <si>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</si>
  <si>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</si>
  <si>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</si>
  <si>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</si>
  <si>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</si>
  <si>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</si>
  <si>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</si>
  <si>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</si>
  <si>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eredeti Ft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</si>
  <si>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</si>
  <si>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</si>
  <si>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</si>
  <si>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</si>
  <si>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</si>
  <si>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</si>
  <si>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</si>
  <si>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</si>
  <si>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</si>
  <si>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</si>
  <si>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</si>
  <si>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</si>
  <si>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</si>
  <si>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</si>
  <si>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</si>
  <si>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</si>
  <si>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</si>
  <si>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</si>
  <si>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</si>
  <si>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</si>
  <si>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</si>
  <si>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</si>
  <si>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</si>
  <si>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</si>
  <si>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</si>
  <si>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</si>
  <si>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</si>
  <si>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</si>
  <si>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</si>
  <si>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</si>
  <si>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</si>
  <si>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</si>
  <si>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</si>
  <si>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</si>
  <si>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</si>
  <si>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</si>
  <si>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</si>
  <si>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</si>
  <si>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</si>
  <si>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</si>
  <si>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</si>
  <si>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</si>
  <si>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</si>
  <si>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</si>
  <si>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</si>
  <si>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</si>
  <si>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</si>
  <si>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</si>
  <si>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</si>
  <si>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</si>
  <si>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</si>
  <si>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</si>
  <si>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</si>
  <si>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</si>
  <si>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</si>
  <si>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</si>
  <si>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</si>
  <si>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</si>
  <si>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</si>
  <si>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</si>
  <si>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</si>
  <si>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</si>
  <si>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</si>
  <si>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</si>
  <si>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</si>
  <si>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</si>
  <si>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</si>
  <si>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</si>
  <si>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</si>
  <si>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</si>
  <si>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</si>
  <si>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</si>
  <si>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</si>
  <si>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</si>
  <si>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</si>
  <si>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</si>
  <si>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</si>
  <si>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</si>
  <si>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</si>
  <si>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</si>
  <si>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</si>
  <si>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</si>
  <si>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</si>
  <si>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</si>
  <si>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</si>
  <si>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</si>
  <si>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</si>
  <si>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</si>
  <si>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</si>
  <si>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</si>
  <si>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</si>
  <si>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</si>
  <si>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Intézményvezető-helyettes</t>
  </si>
  <si>
    <t>Kieg.tám. Óvodaped. Minősítéshez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</si>
  <si>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</si>
  <si>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</si>
  <si>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</si>
  <si>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</si>
  <si>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</si>
  <si>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</si>
  <si>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2016. évi eredeti előirányzat</t>
  </si>
  <si>
    <t>CSALÁD- ÉS GYERMEKJÓLÉTI KÖZPONT</t>
  </si>
  <si>
    <t>CSALÁD- ÉS GYERMEKJÓLÉTI SZOLGÁLAT</t>
  </si>
  <si>
    <t>SZOCIÁLIS ÉTKEZTETÉS</t>
  </si>
  <si>
    <t>Összeg Ft</t>
  </si>
  <si>
    <t>júniusi lemondás</t>
  </si>
  <si>
    <t>októberi lemondás</t>
  </si>
  <si>
    <t>júniusi lemondás Ft</t>
  </si>
  <si>
    <t>októberi lemondás Ft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</si>
  <si>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</si>
  <si>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</si>
  <si>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</si>
  <si>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</si>
  <si>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</si>
  <si>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>kerekítés</t>
  </si>
  <si>
    <t>2015/2016 8 hó</t>
  </si>
  <si>
    <t>2016/2017 4 hó</t>
  </si>
  <si>
    <t>2016. évi eredeti ei</t>
  </si>
  <si>
    <t>2016. évi</t>
  </si>
  <si>
    <t>2016. évi eredeti ei.</t>
  </si>
  <si>
    <t>Martonvásár beruházási pe. Átadás</t>
  </si>
  <si>
    <t>2017. évi eredeti előirányzat</t>
  </si>
  <si>
    <t>2017. évi módosított előirányzat</t>
  </si>
  <si>
    <t>2017.évi teljesítés</t>
  </si>
  <si>
    <t>2017. évi eredeti ei</t>
  </si>
  <si>
    <t>2017. évi mód. ei</t>
  </si>
  <si>
    <t>2017. évi teljesítés</t>
  </si>
  <si>
    <t>2017. évi eredeti ei.</t>
  </si>
  <si>
    <t>2017. évi</t>
  </si>
  <si>
    <t xml:space="preserve">Egyéb dologi kiadások </t>
  </si>
  <si>
    <t>ebből: biztosítás,műszaki vizsga</t>
  </si>
  <si>
    <t>ebből: járulékkülönbözet vissazfizetés</t>
  </si>
  <si>
    <t>CSALÁDI BÖLCSŐDE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</si>
  <si>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</si>
  <si>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</si>
  <si>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Családi bölcsöde</t>
  </si>
  <si>
    <t>ebből: járulékkülönbözet visszafizetés</t>
  </si>
  <si>
    <t>2016.évi eredeti ei</t>
  </si>
  <si>
    <t>IDŐSEK - SZOC ÉKT</t>
  </si>
  <si>
    <t>lakosszám 2016.01.01.</t>
  </si>
  <si>
    <t xml:space="preserve">2016. évi 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</si>
</sst>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9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11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0" fontId="21" fillId="0" borderId="58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9" xfId="0" applyFont="1" applyFill="1" applyBorder="1"/>
    <xf numFmtId="0" fontId="28" fillId="0" borderId="14" xfId="0" applyFont="1" applyFill="1" applyBorder="1"/>
    <xf numFmtId="3" fontId="28" fillId="0" borderId="60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9" xfId="0" applyNumberFormat="1" applyFont="1" applyFill="1" applyBorder="1"/>
    <xf numFmtId="3" fontId="21" fillId="0" borderId="5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3" fontId="21" fillId="0" borderId="65" xfId="0" applyNumberFormat="1" applyFont="1" applyFill="1" applyBorder="1"/>
    <xf numFmtId="3" fontId="21" fillId="0" borderId="58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80" xfId="0" applyNumberFormat="1" applyFont="1" applyFill="1" applyBorder="1"/>
    <xf numFmtId="3" fontId="21" fillId="0" borderId="28" xfId="0" applyNumberFormat="1" applyFont="1" applyFill="1" applyBorder="1"/>
    <xf numFmtId="0" fontId="21" fillId="0" borderId="55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5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9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69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69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69" fontId="26" fillId="0" borderId="50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70" xfId="0" applyFont="1" applyFill="1" applyBorder="1" applyAlignment="1">
      <alignment wrapText="1"/>
    </xf>
    <xf numFmtId="0" fontId="21" fillId="0" borderId="16" xfId="0" applyFont="1" applyFill="1" applyBorder="1"/>
    <xf numFmtId="0" fontId="21" fillId="0" borderId="13" xfId="0" applyFont="1" applyFill="1" applyBorder="1"/>
    <xf numFmtId="0" fontId="28" fillId="0" borderId="25" xfId="0" applyFont="1" applyFill="1" applyBorder="1"/>
    <xf numFmtId="3" fontId="21" fillId="0" borderId="73" xfId="0" applyNumberFormat="1" applyFont="1" applyFill="1" applyBorder="1"/>
    <xf numFmtId="3" fontId="21" fillId="0" borderId="90" xfId="0" applyNumberFormat="1" applyFont="1" applyFill="1" applyBorder="1"/>
    <xf numFmtId="3" fontId="21" fillId="0" borderId="82" xfId="0" applyNumberFormat="1" applyFont="1" applyFill="1" applyBorder="1"/>
    <xf numFmtId="3" fontId="21" fillId="0" borderId="31" xfId="0" applyNumberFormat="1" applyFont="1" applyFill="1" applyBorder="1"/>
    <xf numFmtId="3" fontId="21" fillId="0" borderId="101" xfId="0" applyNumberFormat="1" applyFont="1" applyFill="1" applyBorder="1"/>
    <xf numFmtId="3" fontId="28" fillId="0" borderId="78" xfId="0" applyNumberFormat="1" applyFont="1" applyFill="1" applyBorder="1"/>
    <xf numFmtId="0" fontId="28" fillId="0" borderId="78" xfId="0" applyFont="1" applyFill="1" applyBorder="1"/>
    <xf numFmtId="0" fontId="19" fillId="0" borderId="0" xfId="77" applyFont="1" applyBorder="1"/>
    <xf numFmtId="3" fontId="21" fillId="0" borderId="103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8" fillId="28" borderId="75" xfId="0" applyNumberFormat="1" applyFont="1" applyFill="1" applyBorder="1" applyAlignment="1">
      <alignment vertical="center"/>
    </xf>
    <xf numFmtId="168" fontId="28" fillId="28" borderId="75" xfId="54" applyNumberFormat="1" applyFont="1" applyFill="1" applyBorder="1" applyAlignment="1">
      <alignment vertical="center"/>
    </xf>
    <xf numFmtId="0" fontId="28" fillId="0" borderId="109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10" xfId="0" applyFont="1" applyFill="1" applyBorder="1" applyAlignment="1">
      <alignment horizontal="center" vertical="center" wrapText="1"/>
    </xf>
    <xf numFmtId="3" fontId="21" fillId="0" borderId="52" xfId="0" applyNumberFormat="1" applyFont="1" applyBorder="1"/>
    <xf numFmtId="3" fontId="21" fillId="0" borderId="68" xfId="0" applyNumberFormat="1" applyFont="1" applyBorder="1"/>
    <xf numFmtId="3" fontId="21" fillId="0" borderId="68" xfId="0" applyNumberFormat="1" applyFont="1" applyFill="1" applyBorder="1"/>
    <xf numFmtId="0" fontId="28" fillId="27" borderId="111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3" fontId="21" fillId="0" borderId="49" xfId="0" applyNumberFormat="1" applyFont="1" applyBorder="1"/>
    <xf numFmtId="0" fontId="21" fillId="27" borderId="18" xfId="0" applyFont="1" applyFill="1" applyBorder="1"/>
    <xf numFmtId="3" fontId="21" fillId="27" borderId="67" xfId="0" applyNumberFormat="1" applyFont="1" applyFill="1" applyBorder="1"/>
    <xf numFmtId="3" fontId="21" fillId="27" borderId="50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8" fillId="0" borderId="104" xfId="0" applyNumberFormat="1" applyFont="1" applyBorder="1" applyAlignment="1">
      <alignment vertical="center"/>
    </xf>
    <xf numFmtId="3" fontId="21" fillId="0" borderId="68" xfId="0" applyNumberFormat="1" applyFont="1" applyBorder="1" applyAlignment="1">
      <alignment wrapText="1"/>
    </xf>
    <xf numFmtId="0" fontId="35" fillId="27" borderId="67" xfId="0" applyFont="1" applyFill="1" applyBorder="1"/>
    <xf numFmtId="3" fontId="21" fillId="0" borderId="49" xfId="0" applyNumberFormat="1" applyFont="1" applyBorder="1" applyAlignment="1">
      <alignment wrapText="1"/>
    </xf>
    <xf numFmtId="3" fontId="21" fillId="0" borderId="50" xfId="0" applyNumberFormat="1" applyFont="1" applyBorder="1"/>
    <xf numFmtId="9" fontId="28" fillId="0" borderId="11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52" xfId="54" applyNumberFormat="1" applyFont="1" applyBorder="1" applyAlignment="1"/>
    <xf numFmtId="168" fontId="21" fillId="0" borderId="68" xfId="54" applyNumberFormat="1" applyFont="1" applyBorder="1" applyAlignment="1"/>
    <xf numFmtId="168" fontId="21" fillId="0" borderId="68" xfId="54" applyNumberFormat="1" applyFont="1" applyBorder="1" applyAlignment="1">
      <alignment horizontal="right"/>
    </xf>
    <xf numFmtId="168" fontId="21" fillId="0" borderId="48" xfId="54" applyNumberFormat="1" applyFont="1" applyBorder="1" applyAlignment="1"/>
    <xf numFmtId="168" fontId="21" fillId="0" borderId="49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2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7" xfId="0" applyNumberFormat="1" applyFont="1" applyFill="1" applyBorder="1"/>
    <xf numFmtId="168" fontId="21" fillId="0" borderId="67" xfId="54" applyNumberFormat="1" applyFont="1" applyBorder="1" applyAlignment="1"/>
    <xf numFmtId="168" fontId="21" fillId="0" borderId="50" xfId="54" applyNumberFormat="1" applyFont="1" applyBorder="1" applyAlignment="1"/>
    <xf numFmtId="168" fontId="28" fillId="0" borderId="99" xfId="54" applyNumberFormat="1" applyFont="1" applyBorder="1" applyAlignment="1">
      <alignment vertical="center"/>
    </xf>
    <xf numFmtId="168" fontId="28" fillId="0" borderId="104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0" fontId="21" fillId="0" borderId="33" xfId="0" applyFont="1" applyFill="1" applyBorder="1" applyAlignment="1">
      <alignment wrapText="1"/>
    </xf>
    <xf numFmtId="168" fontId="21" fillId="0" borderId="33" xfId="54" applyNumberFormat="1" applyFont="1" applyFill="1" applyBorder="1" applyAlignment="1">
      <alignment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1" fillId="0" borderId="106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29" fillId="0" borderId="96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6" xfId="0" applyFont="1" applyFill="1" applyBorder="1" applyAlignment="1">
      <alignment horizontal="left" vertical="center"/>
    </xf>
    <xf numFmtId="0" fontId="21" fillId="0" borderId="120" xfId="0" applyFont="1" applyFill="1" applyBorder="1" applyAlignment="1">
      <alignment horizontal="left" vertical="center"/>
    </xf>
    <xf numFmtId="3" fontId="21" fillId="0" borderId="103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2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103" xfId="0" applyNumberFormat="1" applyFont="1" applyFill="1" applyBorder="1" applyAlignment="1">
      <alignment wrapText="1"/>
    </xf>
    <xf numFmtId="0" fontId="28" fillId="0" borderId="122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8" xfId="75" applyNumberFormat="1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wrapText="1"/>
    </xf>
    <xf numFmtId="168" fontId="21" fillId="0" borderId="34" xfId="54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wrapText="1"/>
    </xf>
    <xf numFmtId="0" fontId="21" fillId="0" borderId="36" xfId="0" applyFont="1" applyFill="1" applyBorder="1" applyAlignment="1">
      <alignment wrapText="1"/>
    </xf>
    <xf numFmtId="168" fontId="21" fillId="0" borderId="3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0" fontId="28" fillId="0" borderId="60" xfId="0" applyFont="1" applyFill="1" applyBorder="1" applyAlignment="1">
      <alignment wrapText="1"/>
    </xf>
    <xf numFmtId="168" fontId="28" fillId="0" borderId="60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0" fontId="36" fillId="0" borderId="95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6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6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1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166" fontId="21" fillId="0" borderId="123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166" fontId="21" fillId="0" borderId="13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8" fillId="0" borderId="140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166" fontId="21" fillId="0" borderId="144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4" xfId="0" applyFont="1" applyFill="1" applyBorder="1" applyAlignment="1">
      <alignment horizontal="left" vertical="center" wrapText="1"/>
    </xf>
    <xf numFmtId="3" fontId="21" fillId="0" borderId="103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166" fontId="21" fillId="0" borderId="152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20" xfId="0" applyFont="1" applyFill="1" applyBorder="1" applyAlignment="1">
      <alignment horizontal="left" vertical="center" wrapText="1"/>
    </xf>
    <xf numFmtId="0" fontId="28" fillId="0" borderId="94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1" fontId="38" fillId="0" borderId="87" xfId="75" applyNumberFormat="1" applyFont="1" applyFill="1" applyBorder="1" applyAlignment="1">
      <alignment horizontal="left" vertical="center" wrapText="1"/>
    </xf>
    <xf numFmtId="171" fontId="38" fillId="0" borderId="86" xfId="75" applyNumberFormat="1" applyFont="1" applyFill="1" applyBorder="1" applyAlignment="1">
      <alignment horizontal="left" vertical="center" wrapText="1"/>
    </xf>
    <xf numFmtId="0" fontId="28" fillId="0" borderId="122" xfId="0" applyFont="1" applyFill="1" applyBorder="1" applyAlignment="1">
      <alignment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166" fontId="21" fillId="0" borderId="76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4" xfId="0" applyNumberFormat="1" applyFont="1" applyFill="1" applyBorder="1" applyAlignment="1">
      <alignment vertical="center" wrapText="1"/>
    </xf>
    <xf numFmtId="166" fontId="21" fillId="0" borderId="77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166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3" fontId="21" fillId="0" borderId="165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166" fontId="21" fillId="0" borderId="166" xfId="0" applyNumberFormat="1" applyFont="1" applyFill="1" applyBorder="1" applyAlignment="1">
      <alignment vertical="center" wrapText="1"/>
    </xf>
    <xf numFmtId="3" fontId="21" fillId="0" borderId="167" xfId="0" applyNumberFormat="1" applyFont="1" applyFill="1" applyBorder="1" applyAlignment="1">
      <alignment vertical="center" wrapText="1"/>
    </xf>
    <xf numFmtId="3" fontId="21" fillId="0" borderId="168" xfId="0" applyNumberFormat="1" applyFont="1" applyFill="1" applyBorder="1" applyAlignment="1">
      <alignment vertical="center" wrapText="1"/>
    </xf>
    <xf numFmtId="0" fontId="28" fillId="0" borderId="99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6" xfId="0" applyNumberFormat="1" applyFont="1" applyFill="1" applyBorder="1" applyAlignment="1">
      <alignment vertical="center" wrapText="1"/>
    </xf>
    <xf numFmtId="3" fontId="29" fillId="0" borderId="123" xfId="0" applyNumberFormat="1" applyFont="1" applyFill="1" applyBorder="1" applyAlignment="1">
      <alignment vertical="center" wrapText="1"/>
    </xf>
    <xf numFmtId="166" fontId="29" fillId="0" borderId="123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57" xfId="0" applyNumberFormat="1" applyFont="1" applyFill="1" applyBorder="1" applyAlignment="1">
      <alignment vertical="center" wrapText="1"/>
    </xf>
    <xf numFmtId="3" fontId="29" fillId="0" borderId="160" xfId="0" applyNumberFormat="1" applyFont="1" applyFill="1" applyBorder="1" applyAlignment="1">
      <alignment vertical="center" wrapText="1"/>
    </xf>
    <xf numFmtId="3" fontId="29" fillId="0" borderId="156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0" fontId="28" fillId="0" borderId="97" xfId="0" applyFont="1" applyFill="1" applyBorder="1" applyAlignment="1">
      <alignment horizontal="left" vertical="center" wrapText="1"/>
    </xf>
    <xf numFmtId="0" fontId="28" fillId="0" borderId="169" xfId="0" applyFont="1" applyFill="1" applyBorder="1" applyAlignment="1">
      <alignment horizontal="left" vertical="center"/>
    </xf>
    <xf numFmtId="166" fontId="21" fillId="0" borderId="168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166" fontId="29" fillId="0" borderId="158" xfId="0" applyNumberFormat="1" applyFont="1" applyFill="1" applyBorder="1" applyAlignment="1">
      <alignment vertical="center"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42" xfId="0" applyNumberFormat="1" applyFont="1" applyFill="1" applyBorder="1" applyAlignment="1">
      <alignment vertical="center" wrapText="1"/>
    </xf>
    <xf numFmtId="166" fontId="29" fillId="0" borderId="54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70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3" fontId="28" fillId="0" borderId="172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166" fontId="28" fillId="0" borderId="172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8" xfId="0" applyNumberFormat="1" applyFont="1" applyFill="1" applyBorder="1" applyAlignment="1">
      <alignment vertical="center" wrapText="1"/>
    </xf>
    <xf numFmtId="166" fontId="29" fillId="0" borderId="76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166" fontId="28" fillId="0" borderId="77" xfId="0" applyNumberFormat="1" applyFont="1" applyFill="1" applyBorder="1" applyAlignment="1">
      <alignment vertical="center" wrapText="1"/>
    </xf>
    <xf numFmtId="0" fontId="36" fillId="0" borderId="96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166" fontId="28" fillId="0" borderId="148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166" fontId="28" fillId="0" borderId="152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166" fontId="28" fillId="0" borderId="153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5" xfId="0" applyNumberFormat="1" applyFont="1" applyFill="1" applyBorder="1" applyAlignment="1">
      <alignment vertical="center" wrapText="1"/>
    </xf>
    <xf numFmtId="3" fontId="21" fillId="0" borderId="127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41" xfId="54" applyNumberFormat="1" applyFont="1" applyFill="1" applyBorder="1"/>
    <xf numFmtId="3" fontId="21" fillId="0" borderId="34" xfId="0" applyNumberFormat="1" applyFont="1" applyFill="1" applyBorder="1"/>
    <xf numFmtId="3" fontId="21" fillId="0" borderId="5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41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5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5" xfId="54" applyNumberFormat="1" applyFont="1" applyFill="1" applyBorder="1"/>
    <xf numFmtId="3" fontId="28" fillId="0" borderId="35" xfId="0" applyNumberFormat="1" applyFont="1" applyFill="1" applyBorder="1"/>
    <xf numFmtId="3" fontId="21" fillId="0" borderId="149" xfId="54" applyNumberFormat="1" applyFont="1" applyFill="1" applyBorder="1"/>
    <xf numFmtId="3" fontId="21" fillId="0" borderId="103" xfId="0" applyNumberFormat="1" applyFont="1" applyFill="1" applyBorder="1"/>
    <xf numFmtId="0" fontId="28" fillId="0" borderId="98" xfId="0" applyFont="1" applyFill="1" applyBorder="1" applyAlignment="1">
      <alignment horizontal="left" vertical="center"/>
    </xf>
    <xf numFmtId="3" fontId="39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77" xfId="54" applyNumberFormat="1" applyFont="1" applyFill="1" applyBorder="1"/>
    <xf numFmtId="3" fontId="28" fillId="0" borderId="171" xfId="0" applyNumberFormat="1" applyFont="1" applyFill="1" applyBorder="1"/>
    <xf numFmtId="3" fontId="28" fillId="0" borderId="64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3" fontId="28" fillId="0" borderId="27" xfId="54" applyNumberFormat="1" applyFont="1" applyFill="1" applyBorder="1" applyAlignment="1">
      <alignment horizontal="right"/>
    </xf>
    <xf numFmtId="3" fontId="28" fillId="0" borderId="103" xfId="54" applyNumberFormat="1" applyFont="1" applyFill="1" applyBorder="1" applyAlignment="1">
      <alignment horizontal="right"/>
    </xf>
    <xf numFmtId="3" fontId="28" fillId="0" borderId="103" xfId="0" applyNumberFormat="1" applyFont="1" applyFill="1" applyBorder="1" applyAlignment="1">
      <alignment horizontal="right"/>
    </xf>
    <xf numFmtId="3" fontId="28" fillId="0" borderId="10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0" fontId="29" fillId="0" borderId="33" xfId="0" applyFont="1" applyFill="1" applyBorder="1" applyAlignment="1">
      <alignment wrapText="1"/>
    </xf>
    <xf numFmtId="168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0" fontId="29" fillId="0" borderId="34" xfId="0" applyFont="1" applyFill="1" applyBorder="1" applyAlignment="1">
      <alignment wrapText="1"/>
    </xf>
    <xf numFmtId="168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35" xfId="0" applyFont="1" applyFill="1" applyBorder="1" applyAlignment="1">
      <alignment wrapText="1"/>
    </xf>
    <xf numFmtId="168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7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4" xfId="75" applyFont="1" applyFill="1" applyBorder="1" applyAlignment="1">
      <alignment horizontal="left" vertical="center" wrapText="1"/>
    </xf>
    <xf numFmtId="3" fontId="29" fillId="0" borderId="157" xfId="54" applyNumberFormat="1" applyFont="1" applyFill="1" applyBorder="1" applyAlignment="1">
      <alignment wrapText="1"/>
    </xf>
    <xf numFmtId="0" fontId="29" fillId="0" borderId="157" xfId="0" applyFont="1" applyFill="1" applyBorder="1" applyAlignment="1">
      <alignment wrapText="1"/>
    </xf>
    <xf numFmtId="168" fontId="29" fillId="0" borderId="157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6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168" fontId="28" fillId="29" borderId="34" xfId="54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79" xfId="0" applyNumberFormat="1" applyFont="1" applyFill="1" applyBorder="1"/>
    <xf numFmtId="0" fontId="21" fillId="0" borderId="180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81" xfId="0" applyNumberFormat="1" applyFont="1" applyFill="1" applyBorder="1" applyAlignment="1">
      <alignment vertical="center"/>
    </xf>
    <xf numFmtId="3" fontId="28" fillId="0" borderId="171" xfId="0" applyNumberFormat="1" applyFont="1" applyFill="1" applyBorder="1" applyAlignment="1">
      <alignment vertical="center"/>
    </xf>
    <xf numFmtId="0" fontId="28" fillId="0" borderId="182" xfId="0" applyFont="1" applyFill="1" applyBorder="1" applyAlignment="1">
      <alignment vertical="center"/>
    </xf>
    <xf numFmtId="3" fontId="28" fillId="0" borderId="81" xfId="0" applyNumberFormat="1" applyFont="1" applyFill="1" applyBorder="1" applyAlignment="1">
      <alignment vertical="center"/>
    </xf>
    <xf numFmtId="3" fontId="28" fillId="0" borderId="183" xfId="0" applyNumberFormat="1" applyFont="1" applyFill="1" applyBorder="1" applyAlignment="1">
      <alignment vertical="center"/>
    </xf>
    <xf numFmtId="3" fontId="28" fillId="0" borderId="178" xfId="0" applyNumberFormat="1" applyFont="1" applyFill="1" applyBorder="1" applyAlignment="1">
      <alignment vertical="center"/>
    </xf>
    <xf numFmtId="3" fontId="28" fillId="0" borderId="184" xfId="0" applyNumberFormat="1" applyFont="1" applyFill="1" applyBorder="1" applyAlignment="1">
      <alignment vertical="center"/>
    </xf>
    <xf numFmtId="3" fontId="21" fillId="0" borderId="179" xfId="0" applyNumberFormat="1" applyFont="1" applyFill="1" applyBorder="1" applyAlignment="1"/>
    <xf numFmtId="3" fontId="21" fillId="0" borderId="149" xfId="0" applyNumberFormat="1" applyFont="1" applyFill="1" applyBorder="1" applyAlignment="1"/>
    <xf numFmtId="3" fontId="21" fillId="0" borderId="103" xfId="0" applyNumberFormat="1" applyFont="1" applyFill="1" applyBorder="1" applyAlignment="1"/>
    <xf numFmtId="3" fontId="21" fillId="0" borderId="150" xfId="0" applyNumberFormat="1" applyFont="1" applyFill="1" applyBorder="1" applyAlignment="1"/>
    <xf numFmtId="3" fontId="28" fillId="0" borderId="110" xfId="91" applyNumberFormat="1" applyFont="1" applyFill="1" applyBorder="1" applyAlignment="1" applyProtection="1">
      <alignment horizontal="center" vertical="center"/>
    </xf>
    <xf numFmtId="3" fontId="28" fillId="0" borderId="110" xfId="91" applyNumberFormat="1" applyFont="1" applyFill="1" applyBorder="1" applyAlignment="1" applyProtection="1">
      <alignment horizontal="center" vertical="center" wrapText="1"/>
    </xf>
    <xf numFmtId="3" fontId="28" fillId="0" borderId="112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82" xfId="91" applyNumberFormat="1" applyFont="1" applyFill="1" applyBorder="1" applyAlignment="1" applyProtection="1">
      <alignment vertical="center"/>
    </xf>
    <xf numFmtId="3" fontId="28" fillId="0" borderId="185" xfId="91" applyNumberFormat="1" applyFont="1" applyFill="1" applyBorder="1" applyAlignment="1" applyProtection="1">
      <alignment horizontal="center" vertical="center"/>
    </xf>
    <xf numFmtId="3" fontId="28" fillId="0" borderId="127" xfId="91" applyNumberFormat="1" applyFont="1" applyFill="1" applyBorder="1" applyAlignment="1" applyProtection="1">
      <alignment horizontal="center" vertical="center"/>
    </xf>
    <xf numFmtId="3" fontId="28" fillId="0" borderId="145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4" xfId="91" applyNumberFormat="1" applyFont="1" applyFill="1" applyBorder="1" applyAlignment="1" applyProtection="1">
      <alignment horizontal="center" vertical="center"/>
    </xf>
    <xf numFmtId="3" fontId="28" fillId="0" borderId="128" xfId="91" applyNumberFormat="1" applyFont="1" applyFill="1" applyBorder="1" applyAlignment="1" applyProtection="1">
      <alignment horizontal="center" vertical="center"/>
    </xf>
    <xf numFmtId="3" fontId="28" fillId="0" borderId="146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41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5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6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8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5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6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8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5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6" xfId="91" applyNumberFormat="1" applyFont="1" applyFill="1" applyBorder="1" applyAlignment="1" applyProtection="1">
      <alignment horizontal="right" vertical="center"/>
      <protection locked="0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183" xfId="91" applyNumberFormat="1" applyFont="1" applyFill="1" applyBorder="1" applyAlignment="1" applyProtection="1">
      <alignment horizontal="right" vertical="center"/>
    </xf>
    <xf numFmtId="3" fontId="28" fillId="0" borderId="178" xfId="91" applyNumberFormat="1" applyFont="1" applyFill="1" applyBorder="1" applyAlignment="1" applyProtection="1">
      <alignment horizontal="right" vertical="center"/>
    </xf>
    <xf numFmtId="3" fontId="28" fillId="0" borderId="184" xfId="91" applyNumberFormat="1" applyFont="1" applyFill="1" applyBorder="1" applyAlignment="1" applyProtection="1">
      <alignment horizontal="right" vertical="center"/>
    </xf>
    <xf numFmtId="3" fontId="28" fillId="0" borderId="116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4" xfId="0" applyNumberFormat="1" applyFont="1" applyBorder="1" applyAlignment="1">
      <alignment horizontal="center" vertical="center" wrapText="1"/>
    </xf>
    <xf numFmtId="9" fontId="21" fillId="0" borderId="87" xfId="0" applyNumberFormat="1" applyFont="1" applyBorder="1"/>
    <xf numFmtId="9" fontId="21" fillId="0" borderId="86" xfId="0" applyNumberFormat="1" applyFont="1" applyBorder="1"/>
    <xf numFmtId="9" fontId="21" fillId="0" borderId="88" xfId="0" applyNumberFormat="1" applyFont="1" applyBorder="1"/>
    <xf numFmtId="9" fontId="21" fillId="0" borderId="89" xfId="0" applyNumberFormat="1" applyFont="1" applyBorder="1"/>
    <xf numFmtId="9" fontId="21" fillId="0" borderId="92" xfId="0" applyNumberFormat="1" applyFont="1" applyBorder="1"/>
    <xf numFmtId="9" fontId="21" fillId="0" borderId="169" xfId="0" applyNumberFormat="1" applyFont="1" applyBorder="1"/>
    <xf numFmtId="9" fontId="21" fillId="0" borderId="186" xfId="0" applyNumberFormat="1" applyFont="1" applyBorder="1"/>
    <xf numFmtId="0" fontId="28" fillId="0" borderId="117" xfId="0" applyFont="1" applyBorder="1" applyAlignment="1">
      <alignment horizontal="center" vertical="center"/>
    </xf>
    <xf numFmtId="0" fontId="21" fillId="0" borderId="95" xfId="0" applyFont="1" applyBorder="1"/>
    <xf numFmtId="0" fontId="21" fillId="0" borderId="84" xfId="0" applyFont="1" applyBorder="1"/>
    <xf numFmtId="0" fontId="21" fillId="0" borderId="84" xfId="0" applyFont="1" applyFill="1" applyBorder="1"/>
    <xf numFmtId="0" fontId="35" fillId="27" borderId="96" xfId="0" applyFont="1" applyFill="1" applyBorder="1"/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1" fillId="0" borderId="96" xfId="0" applyFont="1" applyBorder="1"/>
    <xf numFmtId="0" fontId="28" fillId="0" borderId="97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166" fontId="21" fillId="0" borderId="87" xfId="0" applyNumberFormat="1" applyFont="1" applyBorder="1"/>
    <xf numFmtId="166" fontId="21" fillId="0" borderId="86" xfId="0" applyNumberFormat="1" applyFont="1" applyBorder="1"/>
    <xf numFmtId="166" fontId="21" fillId="0" borderId="88" xfId="0" applyNumberFormat="1" applyFont="1" applyBorder="1"/>
    <xf numFmtId="166" fontId="28" fillId="0" borderId="89" xfId="0" applyNumberFormat="1" applyFont="1" applyBorder="1"/>
    <xf numFmtId="166" fontId="21" fillId="0" borderId="92" xfId="0" applyNumberFormat="1" applyFont="1" applyBorder="1"/>
    <xf numFmtId="166" fontId="21" fillId="0" borderId="169" xfId="0" applyNumberFormat="1" applyFont="1" applyBorder="1"/>
    <xf numFmtId="166" fontId="28" fillId="0" borderId="186" xfId="0" applyNumberFormat="1" applyFont="1" applyBorder="1"/>
    <xf numFmtId="166" fontId="21" fillId="0" borderId="53" xfId="0" applyNumberFormat="1" applyFont="1" applyBorder="1"/>
    <xf numFmtId="166" fontId="21" fillId="0" borderId="51" xfId="0" applyNumberFormat="1" applyFont="1" applyBorder="1"/>
    <xf numFmtId="166" fontId="21" fillId="0" borderId="69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100" xfId="0" applyNumberFormat="1" applyFont="1" applyBorder="1"/>
    <xf numFmtId="166" fontId="28" fillId="0" borderId="38" xfId="0" applyNumberFormat="1" applyFont="1" applyBorder="1"/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42" xfId="0" applyNumberFormat="1" applyFont="1" applyFill="1" applyBorder="1"/>
    <xf numFmtId="3" fontId="21" fillId="0" borderId="142" xfId="0" applyNumberFormat="1" applyFont="1" applyFill="1" applyBorder="1"/>
    <xf numFmtId="3" fontId="28" fillId="0" borderId="146" xfId="0" applyNumberFormat="1" applyFont="1" applyFill="1" applyBorder="1" applyAlignment="1">
      <alignment vertical="center"/>
    </xf>
    <xf numFmtId="3" fontId="21" fillId="0" borderId="128" xfId="0" applyNumberFormat="1" applyFont="1" applyFill="1" applyBorder="1"/>
    <xf numFmtId="3" fontId="28" fillId="0" borderId="146" xfId="0" applyNumberFormat="1" applyFont="1" applyFill="1" applyBorder="1"/>
    <xf numFmtId="3" fontId="29" fillId="0" borderId="82" xfId="54" applyNumberFormat="1" applyFont="1" applyFill="1" applyBorder="1"/>
    <xf numFmtId="3" fontId="21" fillId="0" borderId="150" xfId="0" applyNumberFormat="1" applyFont="1" applyFill="1" applyBorder="1"/>
    <xf numFmtId="3" fontId="39" fillId="0" borderId="146" xfId="54" applyNumberFormat="1" applyFont="1" applyFill="1" applyBorder="1"/>
    <xf numFmtId="3" fontId="28" fillId="0" borderId="146" xfId="54" applyNumberFormat="1" applyFont="1" applyFill="1" applyBorder="1"/>
    <xf numFmtId="3" fontId="28" fillId="0" borderId="173" xfId="0" applyNumberFormat="1" applyFont="1" applyFill="1" applyBorder="1"/>
    <xf numFmtId="3" fontId="28" fillId="0" borderId="154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166" fontId="29" fillId="0" borderId="51" xfId="0" applyNumberFormat="1" applyFont="1" applyFill="1" applyBorder="1"/>
    <xf numFmtId="166" fontId="29" fillId="0" borderId="69" xfId="0" applyNumberFormat="1" applyFont="1" applyFill="1" applyBorder="1"/>
    <xf numFmtId="166" fontId="21" fillId="0" borderId="69" xfId="0" applyNumberFormat="1" applyFont="1" applyFill="1" applyBorder="1"/>
    <xf numFmtId="166" fontId="21" fillId="0" borderId="53" xfId="0" applyNumberFormat="1" applyFont="1" applyFill="1" applyBorder="1"/>
    <xf numFmtId="166" fontId="21" fillId="0" borderId="51" xfId="0" applyNumberFormat="1" applyFont="1" applyFill="1" applyBorder="1"/>
    <xf numFmtId="166" fontId="28" fillId="0" borderId="41" xfId="0" applyNumberFormat="1" applyFont="1" applyFill="1" applyBorder="1"/>
    <xf numFmtId="166" fontId="21" fillId="0" borderId="189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100" xfId="0" applyNumberFormat="1" applyFont="1" applyFill="1" applyBorder="1"/>
    <xf numFmtId="0" fontId="28" fillId="0" borderId="0" xfId="0" applyFont="1" applyFill="1"/>
    <xf numFmtId="0" fontId="21" fillId="0" borderId="39" xfId="0" applyFont="1" applyFill="1" applyBorder="1"/>
    <xf numFmtId="165" fontId="21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3" fontId="28" fillId="0" borderId="0" xfId="0" applyNumberFormat="1" applyFont="1" applyFill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32" fillId="0" borderId="109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90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26" fillId="0" borderId="191" xfId="0" applyNumberFormat="1" applyFont="1" applyFill="1" applyBorder="1" applyAlignment="1">
      <alignment horizontal="center" vertical="center" wrapText="1"/>
    </xf>
    <xf numFmtId="164" fontId="32" fillId="0" borderId="192" xfId="0" applyNumberFormat="1" applyFont="1" applyFill="1" applyBorder="1" applyAlignment="1">
      <alignment horizontal="center" vertical="center" wrapText="1"/>
    </xf>
    <xf numFmtId="164" fontId="26" fillId="0" borderId="193" xfId="0" applyNumberFormat="1" applyFont="1" applyFill="1" applyBorder="1" applyAlignment="1">
      <alignment vertical="center" wrapText="1"/>
    </xf>
    <xf numFmtId="164" fontId="32" fillId="0" borderId="193" xfId="0" applyNumberFormat="1" applyFont="1" applyFill="1" applyBorder="1" applyAlignment="1">
      <alignment vertical="center" wrapText="1"/>
    </xf>
    <xf numFmtId="164" fontId="32" fillId="0" borderId="194" xfId="0" applyNumberFormat="1" applyFont="1" applyFill="1" applyBorder="1" applyAlignment="1">
      <alignment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95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0" fontId="21" fillId="0" borderId="61" xfId="0" applyFont="1" applyFill="1" applyBorder="1"/>
    <xf numFmtId="3" fontId="21" fillId="0" borderId="52" xfId="0" applyNumberFormat="1" applyFont="1" applyFill="1" applyBorder="1"/>
    <xf numFmtId="3" fontId="21" fillId="0" borderId="87" xfId="0" applyNumberFormat="1" applyFont="1" applyFill="1" applyBorder="1"/>
    <xf numFmtId="3" fontId="21" fillId="0" borderId="53" xfId="0" applyNumberFormat="1" applyFont="1" applyFill="1" applyBorder="1"/>
    <xf numFmtId="17" fontId="21" fillId="0" borderId="62" xfId="0" applyNumberFormat="1" applyFont="1" applyFill="1" applyBorder="1"/>
    <xf numFmtId="3" fontId="21" fillId="0" borderId="44" xfId="0" applyNumberFormat="1" applyFont="1" applyFill="1" applyBorder="1"/>
    <xf numFmtId="3" fontId="21" fillId="0" borderId="122" xfId="0" applyNumberFormat="1" applyFont="1" applyFill="1" applyBorder="1"/>
    <xf numFmtId="3" fontId="21" fillId="0" borderId="40" xfId="0" applyNumberFormat="1" applyFont="1" applyFill="1" applyBorder="1"/>
    <xf numFmtId="3" fontId="21" fillId="0" borderId="89" xfId="0" applyNumberFormat="1" applyFont="1" applyFill="1" applyBorder="1"/>
    <xf numFmtId="3" fontId="21" fillId="0" borderId="41" xfId="0" applyNumberFormat="1" applyFont="1" applyFill="1" applyBorder="1"/>
    <xf numFmtId="0" fontId="21" fillId="0" borderId="95" xfId="0" applyFont="1" applyFill="1" applyBorder="1"/>
    <xf numFmtId="3" fontId="21" fillId="0" borderId="85" xfId="0" applyNumberFormat="1" applyFont="1" applyFill="1" applyBorder="1"/>
    <xf numFmtId="0" fontId="21" fillId="0" borderId="63" xfId="0" applyFont="1" applyFill="1" applyBorder="1"/>
    <xf numFmtId="3" fontId="21" fillId="0" borderId="42" xfId="0" applyNumberFormat="1" applyFont="1" applyFill="1" applyBorder="1"/>
    <xf numFmtId="3" fontId="21" fillId="0" borderId="92" xfId="0" applyNumberFormat="1" applyFont="1" applyFill="1" applyBorder="1"/>
    <xf numFmtId="0" fontId="21" fillId="0" borderId="47" xfId="0" applyFont="1" applyFill="1" applyBorder="1"/>
    <xf numFmtId="3" fontId="21" fillId="0" borderId="45" xfId="0" applyNumberFormat="1" applyFont="1" applyFill="1" applyBorder="1"/>
    <xf numFmtId="3" fontId="21" fillId="0" borderId="93" xfId="0" applyNumberFormat="1" applyFont="1" applyFill="1" applyBorder="1"/>
    <xf numFmtId="0" fontId="28" fillId="0" borderId="66" xfId="0" applyFont="1" applyFill="1" applyBorder="1" applyAlignment="1">
      <alignment wrapText="1"/>
    </xf>
    <xf numFmtId="3" fontId="28" fillId="0" borderId="37" xfId="0" applyNumberFormat="1" applyFont="1" applyFill="1" applyBorder="1"/>
    <xf numFmtId="4" fontId="21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21" fillId="0" borderId="48" xfId="0" applyFont="1" applyFill="1" applyBorder="1"/>
    <xf numFmtId="3" fontId="21" fillId="0" borderId="48" xfId="0" applyNumberFormat="1" applyFont="1" applyFill="1" applyBorder="1"/>
    <xf numFmtId="4" fontId="21" fillId="0" borderId="48" xfId="0" applyNumberFormat="1" applyFont="1" applyFill="1" applyBorder="1"/>
    <xf numFmtId="0" fontId="21" fillId="0" borderId="49" xfId="0" applyFont="1" applyFill="1" applyBorder="1"/>
    <xf numFmtId="4" fontId="21" fillId="0" borderId="49" xfId="0" applyNumberFormat="1" applyFont="1" applyFill="1" applyBorder="1"/>
    <xf numFmtId="0" fontId="21" fillId="0" borderId="50" xfId="0" applyFont="1" applyFill="1" applyBorder="1"/>
    <xf numFmtId="4" fontId="21" fillId="0" borderId="50" xfId="0" applyNumberFormat="1" applyFont="1" applyFill="1" applyBorder="1"/>
    <xf numFmtId="165" fontId="21" fillId="0" borderId="0" xfId="0" applyNumberFormat="1" applyFont="1" applyFill="1" applyAlignment="1">
      <alignment horizontal="right"/>
    </xf>
    <xf numFmtId="3" fontId="21" fillId="0" borderId="46" xfId="0" applyNumberFormat="1" applyFont="1" applyFill="1" applyBorder="1"/>
    <xf numFmtId="3" fontId="28" fillId="0" borderId="38" xfId="0" applyNumberFormat="1" applyFont="1" applyFill="1" applyBorder="1"/>
    <xf numFmtId="0" fontId="28" fillId="0" borderId="199" xfId="0" applyFont="1" applyFill="1" applyBorder="1" applyAlignment="1">
      <alignment horizontal="center" vertical="center" wrapText="1"/>
    </xf>
    <xf numFmtId="3" fontId="21" fillId="0" borderId="198" xfId="0" applyNumberFormat="1" applyFont="1" applyFill="1" applyBorder="1"/>
    <xf numFmtId="3" fontId="21" fillId="0" borderId="176" xfId="0" applyNumberFormat="1" applyFont="1" applyFill="1" applyBorder="1"/>
    <xf numFmtId="3" fontId="21" fillId="0" borderId="199" xfId="0" applyNumberFormat="1" applyFont="1" applyFill="1" applyBorder="1"/>
    <xf numFmtId="3" fontId="21" fillId="0" borderId="200" xfId="0" applyNumberFormat="1" applyFont="1" applyFill="1" applyBorder="1"/>
    <xf numFmtId="3" fontId="21" fillId="0" borderId="201" xfId="0" applyNumberFormat="1" applyFont="1" applyFill="1" applyBorder="1"/>
    <xf numFmtId="3" fontId="28" fillId="0" borderId="124" xfId="0" applyNumberFormat="1" applyFont="1" applyFill="1" applyBorder="1"/>
    <xf numFmtId="0" fontId="29" fillId="0" borderId="96" xfId="0" applyFont="1" applyFill="1" applyBorder="1" applyAlignment="1">
      <alignment horizontal="left"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9" fillId="0" borderId="144" xfId="0" applyNumberFormat="1" applyFont="1" applyFill="1" applyBorder="1" applyAlignment="1">
      <alignment vertical="center" wrapText="1"/>
    </xf>
    <xf numFmtId="166" fontId="29" fillId="0" borderId="144" xfId="0" applyNumberFormat="1" applyFont="1" applyFill="1" applyBorder="1" applyAlignment="1">
      <alignment vertical="center" wrapText="1"/>
    </xf>
    <xf numFmtId="3" fontId="28" fillId="0" borderId="203" xfId="0" applyNumberFormat="1" applyFont="1" applyFill="1" applyBorder="1" applyAlignment="1">
      <alignment vertical="center" wrapText="1"/>
    </xf>
    <xf numFmtId="166" fontId="28" fillId="0" borderId="203" xfId="0" applyNumberFormat="1" applyFont="1" applyFill="1" applyBorder="1" applyAlignment="1">
      <alignment vertical="center" wrapText="1"/>
    </xf>
    <xf numFmtId="0" fontId="28" fillId="0" borderId="75" xfId="0" applyFont="1" applyFill="1" applyBorder="1" applyAlignment="1">
      <alignment horizontal="center" vertical="center" wrapText="1"/>
    </xf>
    <xf numFmtId="164" fontId="32" fillId="0" borderId="48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vertical="center" wrapText="1"/>
    </xf>
    <xf numFmtId="164" fontId="33" fillId="0" borderId="49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164" fontId="26" fillId="0" borderId="89" xfId="0" applyNumberFormat="1" applyFont="1" applyFill="1" applyBorder="1" applyAlignment="1">
      <alignment horizontal="center" vertical="center" wrapText="1"/>
    </xf>
    <xf numFmtId="164" fontId="26" fillId="0" borderId="86" xfId="0" applyNumberFormat="1" applyFont="1" applyFill="1" applyBorder="1" applyAlignment="1">
      <alignment vertical="center"/>
    </xf>
    <xf numFmtId="164" fontId="33" fillId="0" borderId="204" xfId="0" applyNumberFormat="1" applyFont="1" applyFill="1" applyBorder="1" applyAlignment="1">
      <alignment vertical="center"/>
    </xf>
    <xf numFmtId="164" fontId="32" fillId="0" borderId="186" xfId="0" applyNumberFormat="1" applyFont="1" applyFill="1" applyBorder="1" applyAlignment="1">
      <alignment vertical="center"/>
    </xf>
    <xf numFmtId="164" fontId="26" fillId="0" borderId="39" xfId="0" applyNumberFormat="1" applyFont="1" applyFill="1" applyBorder="1" applyAlignment="1">
      <alignment horizontal="center" vertical="center" wrapText="1"/>
    </xf>
    <xf numFmtId="164" fontId="32" fillId="0" borderId="95" xfId="0" applyNumberFormat="1" applyFont="1" applyFill="1" applyBorder="1" applyAlignment="1">
      <alignment horizontal="center" vertical="center" wrapText="1"/>
    </xf>
    <xf numFmtId="164" fontId="32" fillId="0" borderId="84" xfId="0" applyNumberFormat="1" applyFont="1" applyFill="1" applyBorder="1" applyAlignment="1">
      <alignment vertical="center" wrapText="1"/>
    </xf>
    <xf numFmtId="164" fontId="32" fillId="0" borderId="66" xfId="0" applyNumberFormat="1" applyFont="1" applyFill="1" applyBorder="1" applyAlignment="1">
      <alignment vertical="center"/>
    </xf>
    <xf numFmtId="164" fontId="26" fillId="0" borderId="84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103" xfId="0" applyNumberFormat="1" applyFont="1" applyFill="1" applyBorder="1" applyAlignment="1">
      <alignment vertical="center" wrapText="1"/>
    </xf>
    <xf numFmtId="3" fontId="28" fillId="0" borderId="75" xfId="0" applyNumberFormat="1" applyFont="1" applyFill="1" applyBorder="1" applyAlignment="1">
      <alignment vertical="center" wrapText="1"/>
    </xf>
    <xf numFmtId="3" fontId="28" fillId="29" borderId="103" xfId="54" applyNumberFormat="1" applyFont="1" applyFill="1" applyBorder="1" applyAlignment="1">
      <alignment horizontal="right"/>
    </xf>
    <xf numFmtId="3" fontId="28" fillId="29" borderId="34" xfId="54" applyNumberFormat="1" applyFont="1" applyFill="1" applyBorder="1" applyAlignment="1">
      <alignment horizontal="right"/>
    </xf>
    <xf numFmtId="3" fontId="21" fillId="0" borderId="156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6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17" xfId="90" applyNumberFormat="1" applyFont="1" applyFill="1" applyBorder="1" applyAlignment="1">
      <alignment horizontal="right"/>
    </xf>
    <xf numFmtId="166" fontId="29" fillId="0" borderId="54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4" xfId="90" applyNumberFormat="1" applyFont="1" applyFill="1" applyBorder="1" applyAlignment="1">
      <alignment horizontal="right"/>
    </xf>
    <xf numFmtId="166" fontId="21" fillId="0" borderId="77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7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6" xfId="90" applyNumberFormat="1" applyFont="1" applyFill="1" applyBorder="1" applyAlignment="1">
      <alignment wrapText="1"/>
    </xf>
    <xf numFmtId="166" fontId="21" fillId="0" borderId="54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4" xfId="90" applyNumberFormat="1" applyFont="1" applyFill="1" applyBorder="1" applyAlignment="1">
      <alignment wrapText="1"/>
    </xf>
    <xf numFmtId="166" fontId="29" fillId="0" borderId="158" xfId="90" applyNumberFormat="1" applyFont="1" applyFill="1" applyBorder="1" applyAlignment="1">
      <alignment wrapText="1"/>
    </xf>
    <xf numFmtId="166" fontId="28" fillId="29" borderId="54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53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3" fontId="28" fillId="29" borderId="20" xfId="0" applyNumberFormat="1" applyFont="1" applyFill="1" applyBorder="1" applyAlignment="1">
      <alignment vertical="center" wrapText="1"/>
    </xf>
    <xf numFmtId="166" fontId="21" fillId="0" borderId="15" xfId="90" applyNumberFormat="1" applyFont="1" applyFill="1" applyBorder="1" applyAlignment="1">
      <alignment horizontal="right"/>
    </xf>
    <xf numFmtId="166" fontId="21" fillId="29" borderId="77" xfId="90" applyNumberFormat="1" applyFont="1" applyFill="1" applyBorder="1" applyAlignment="1">
      <alignment horizontal="right"/>
    </xf>
    <xf numFmtId="166" fontId="21" fillId="0" borderId="77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7" xfId="90" applyNumberFormat="1" applyFont="1" applyFill="1" applyBorder="1" applyAlignment="1">
      <alignment wrapText="1"/>
    </xf>
    <xf numFmtId="166" fontId="29" fillId="0" borderId="76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166" fontId="21" fillId="0" borderId="158" xfId="90" applyNumberFormat="1" applyFont="1" applyFill="1" applyBorder="1" applyAlignment="1">
      <alignment wrapText="1"/>
    </xf>
    <xf numFmtId="0" fontId="28" fillId="0" borderId="109" xfId="0" applyFont="1" applyFill="1" applyBorder="1"/>
    <xf numFmtId="3" fontId="28" fillId="0" borderId="205" xfId="0" applyNumberFormat="1" applyFont="1" applyFill="1" applyBorder="1"/>
    <xf numFmtId="3" fontId="28" fillId="0" borderId="135" xfId="0" applyNumberFormat="1" applyFont="1" applyFill="1" applyBorder="1"/>
    <xf numFmtId="3" fontId="28" fillId="0" borderId="132" xfId="0" applyNumberFormat="1" applyFont="1" applyFill="1" applyBorder="1"/>
    <xf numFmtId="3" fontId="28" fillId="0" borderId="133" xfId="0" applyNumberFormat="1" applyFont="1" applyFill="1" applyBorder="1"/>
    <xf numFmtId="3" fontId="28" fillId="0" borderId="205" xfId="0" applyNumberFormat="1" applyFont="1" applyFill="1" applyBorder="1" applyAlignment="1"/>
    <xf numFmtId="0" fontId="36" fillId="0" borderId="120" xfId="75" applyFont="1" applyFill="1" applyBorder="1" applyAlignment="1">
      <alignment horizontal="left" vertical="center"/>
    </xf>
    <xf numFmtId="0" fontId="38" fillId="0" borderId="94" xfId="75" applyFont="1" applyFill="1" applyBorder="1" applyAlignment="1">
      <alignment vertical="center" wrapText="1"/>
    </xf>
    <xf numFmtId="0" fontId="38" fillId="30" borderId="94" xfId="75" applyFont="1" applyFill="1" applyBorder="1" applyAlignment="1">
      <alignment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0" fontId="26" fillId="0" borderId="206" xfId="0" applyFont="1" applyFill="1" applyBorder="1" applyAlignment="1">
      <alignment vertical="center" wrapText="1"/>
    </xf>
    <xf numFmtId="0" fontId="32" fillId="0" borderId="70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0" fontId="26" fillId="0" borderId="207" xfId="0" applyFont="1" applyFill="1" applyBorder="1" applyAlignment="1">
      <alignment vertical="center" wrapText="1"/>
    </xf>
    <xf numFmtId="0" fontId="32" fillId="0" borderId="29" xfId="0" applyFont="1" applyFill="1" applyBorder="1" applyAlignment="1">
      <alignment vertical="center" wrapText="1"/>
    </xf>
    <xf numFmtId="1" fontId="26" fillId="0" borderId="38" xfId="0" applyNumberFormat="1" applyFont="1" applyFill="1" applyBorder="1" applyAlignment="1">
      <alignment horizontal="center" vertical="center" wrapText="1"/>
    </xf>
    <xf numFmtId="3" fontId="26" fillId="0" borderId="208" xfId="0" applyNumberFormat="1" applyFont="1" applyFill="1" applyBorder="1" applyAlignment="1">
      <alignment horizontal="right" vertical="center"/>
    </xf>
    <xf numFmtId="3" fontId="26" fillId="0" borderId="53" xfId="0" applyNumberFormat="1" applyFont="1" applyFill="1" applyBorder="1" applyAlignment="1">
      <alignment horizontal="right" vertical="center"/>
    </xf>
    <xf numFmtId="3" fontId="26" fillId="0" borderId="189" xfId="0" applyNumberFormat="1" applyFont="1" applyFill="1" applyBorder="1" applyAlignment="1">
      <alignment horizontal="right" vertical="center"/>
    </xf>
    <xf numFmtId="3" fontId="26" fillId="0" borderId="209" xfId="0" applyNumberFormat="1" applyFont="1" applyFill="1" applyBorder="1" applyAlignment="1">
      <alignment horizontal="right" vertical="center"/>
    </xf>
    <xf numFmtId="3" fontId="32" fillId="0" borderId="100" xfId="0" applyNumberFormat="1" applyFont="1" applyFill="1" applyBorder="1" applyAlignment="1">
      <alignment horizontal="right" vertical="center"/>
    </xf>
    <xf numFmtId="0" fontId="28" fillId="0" borderId="151" xfId="0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166" fontId="21" fillId="0" borderId="158" xfId="0" applyNumberFormat="1" applyFont="1" applyFill="1" applyBorder="1" applyAlignment="1">
      <alignment vertical="center" wrapText="1"/>
    </xf>
    <xf numFmtId="3" fontId="44" fillId="0" borderId="68" xfId="0" applyNumberFormat="1" applyFont="1" applyBorder="1"/>
    <xf numFmtId="0" fontId="28" fillId="0" borderId="0" xfId="0" applyFont="1" applyFill="1" applyAlignment="1">
      <alignment horizontal="justify"/>
    </xf>
    <xf numFmtId="0" fontId="21" fillId="0" borderId="0" xfId="0" applyFont="1" applyFill="1" applyAlignment="1">
      <alignment horizontal="right" vertical="center"/>
    </xf>
    <xf numFmtId="0" fontId="21" fillId="0" borderId="68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3" fontId="44" fillId="0" borderId="68" xfId="0" applyNumberFormat="1" applyFont="1" applyFill="1" applyBorder="1"/>
    <xf numFmtId="0" fontId="21" fillId="0" borderId="67" xfId="0" applyFont="1" applyFill="1" applyBorder="1" applyAlignment="1">
      <alignment horizontal="left" indent="6"/>
    </xf>
    <xf numFmtId="0" fontId="21" fillId="0" borderId="56" xfId="0" applyFont="1" applyFill="1" applyBorder="1" applyAlignment="1">
      <alignment horizontal="left" indent="6"/>
    </xf>
    <xf numFmtId="0" fontId="26" fillId="0" borderId="97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center" vertical="center" wrapText="1"/>
    </xf>
    <xf numFmtId="3" fontId="26" fillId="0" borderId="39" xfId="0" applyNumberFormat="1" applyFont="1" applyFill="1" applyBorder="1" applyAlignment="1">
      <alignment horizontal="right" vertical="center" wrapText="1"/>
    </xf>
    <xf numFmtId="3" fontId="26" fillId="0" borderId="39" xfId="0" applyNumberFormat="1" applyFont="1" applyFill="1" applyBorder="1" applyAlignment="1">
      <alignment horizontal="right" wrapText="1"/>
    </xf>
    <xf numFmtId="3" fontId="32" fillId="0" borderId="39" xfId="0" applyNumberFormat="1" applyFont="1" applyFill="1" applyBorder="1" applyAlignment="1">
      <alignment horizontal="right" vertical="center" wrapText="1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5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3" fontId="28" fillId="0" borderId="107" xfId="0" applyNumberFormat="1" applyFont="1" applyFill="1" applyBorder="1" applyAlignment="1">
      <alignment horizontal="center" vertical="center" wrapText="1"/>
    </xf>
    <xf numFmtId="3" fontId="28" fillId="0" borderId="132" xfId="0" applyNumberFormat="1" applyFont="1" applyFill="1" applyBorder="1" applyAlignment="1">
      <alignment horizontal="center" vertical="center" wrapText="1"/>
    </xf>
    <xf numFmtId="3" fontId="28" fillId="0" borderId="108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53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7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/>
    </xf>
    <xf numFmtId="0" fontId="28" fillId="0" borderId="119" xfId="0" applyFont="1" applyFill="1" applyBorder="1" applyAlignment="1">
      <alignment horizontal="center" vertical="center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7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59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8" xfId="54" applyNumberFormat="1" applyFont="1" applyFill="1" applyBorder="1" applyAlignment="1">
      <alignment horizontal="center" vertical="center" wrapText="1"/>
    </xf>
    <xf numFmtId="165" fontId="28" fillId="0" borderId="188" xfId="54" applyNumberFormat="1" applyFont="1" applyFill="1" applyBorder="1" applyAlignment="1">
      <alignment horizontal="center" vertical="center" wrapText="1"/>
    </xf>
    <xf numFmtId="3" fontId="28" fillId="0" borderId="187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6" xfId="0" applyFont="1" applyFill="1" applyBorder="1" applyAlignment="1">
      <alignment horizontal="center" vertical="center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134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166" fontId="28" fillId="0" borderId="134" xfId="0" applyNumberFormat="1" applyFont="1" applyFill="1" applyBorder="1" applyAlignment="1">
      <alignment horizontal="center" vertical="center" wrapText="1"/>
    </xf>
    <xf numFmtId="166" fontId="28" fillId="0" borderId="108" xfId="0" applyNumberFormat="1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31" xfId="0" applyNumberFormat="1" applyFont="1" applyFill="1" applyBorder="1" applyAlignment="1">
      <alignment horizontal="center" vertical="center" wrapText="1"/>
    </xf>
    <xf numFmtId="3" fontId="28" fillId="0" borderId="133" xfId="0" applyNumberFormat="1" applyFont="1" applyFill="1" applyBorder="1" applyAlignment="1">
      <alignment horizontal="center" vertical="center" wrapText="1"/>
    </xf>
    <xf numFmtId="0" fontId="28" fillId="0" borderId="109" xfId="0" applyFont="1" applyFill="1" applyBorder="1" applyAlignment="1">
      <alignment horizontal="center" vertical="center" wrapText="1"/>
    </xf>
    <xf numFmtId="0" fontId="28" fillId="0" borderId="111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54" xfId="0" applyFont="1" applyFill="1" applyBorder="1" applyAlignment="1">
      <alignment horizontal="center" vertical="center" wrapText="1"/>
    </xf>
    <xf numFmtId="0" fontId="28" fillId="0" borderId="202" xfId="0" applyFont="1" applyFill="1" applyBorder="1" applyAlignment="1">
      <alignment horizontal="center" vertical="center"/>
    </xf>
    <xf numFmtId="3" fontId="28" fillId="0" borderId="117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0" fontId="28" fillId="0" borderId="196" xfId="0" applyFont="1" applyFill="1" applyBorder="1" applyAlignment="1">
      <alignment horizontal="center" vertical="center"/>
    </xf>
    <xf numFmtId="4" fontId="28" fillId="0" borderId="196" xfId="0" applyNumberFormat="1" applyFont="1" applyFill="1" applyBorder="1" applyAlignment="1">
      <alignment horizontal="center" vertical="center"/>
    </xf>
    <xf numFmtId="0" fontId="28" fillId="0" borderId="197" xfId="0" applyFont="1" applyFill="1" applyBorder="1" applyAlignment="1">
      <alignment horizontal="center" vertical="center"/>
    </xf>
    <xf numFmtId="0" fontId="32" fillId="0" borderId="114" xfId="0" applyFont="1" applyFill="1" applyBorder="1" applyAlignment="1">
      <alignment horizontal="center" vertical="center" wrapText="1"/>
    </xf>
    <xf numFmtId="0" fontId="32" fillId="0" borderId="185" xfId="0" applyFont="1" applyFill="1" applyBorder="1" applyAlignment="1">
      <alignment horizontal="center" vertical="center" wrapText="1"/>
    </xf>
    <xf numFmtId="0" fontId="32" fillId="0" borderId="111" xfId="0" applyFont="1" applyFill="1" applyBorder="1" applyAlignment="1">
      <alignment horizontal="center" vertical="center" wrapText="1"/>
    </xf>
    <xf numFmtId="0" fontId="32" fillId="0" borderId="109" xfId="0" applyFont="1" applyFill="1" applyBorder="1" applyAlignment="1">
      <alignment horizontal="center" vertical="center" wrapText="1"/>
    </xf>
    <xf numFmtId="0" fontId="32" fillId="0" borderId="113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B&#243;bita%20&#211;voda%202017.&#233;vi%20k&#246;lts&#233;gvet&#233;s\2017%20%20szem&#233;lyi%20B&#243;bita%20&#211;vi%20%202016120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2NJKEV2N\2017%20%20szem&#233;lyi%20B&#243;bita%20&#211;vi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K&#246;lts&#233;gvet&#233;s%20tervez&#337;%20_B&#243;bita%20&#211;vi%20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B&#243;bita%20&#211;voda%202017.&#233;vi%20k&#246;lts&#233;gvet&#233;s\B&#243;bita%20&#211;voda%20dologi%20v&#233;gleg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TKT%20normat&#237;va%20sz&#225;m&#237;t&#225;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Szent%20L&#225;szl&#243;%20V&#246;lgye%20TKT%202016.&#233;vi%20k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2016.%20szem&#233;lyi%20Seg&#237;t&#337;%20S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Seg&#237;t&#337;%20Szolg&#225;lat%202017.&#233;vi%20k&#246;lts&#233;gvet&#233;s\2017%20%20szem&#233;lyi%20kiad&#225;sok%2020161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K&#246;lts&#233;gvet&#233;s%20Seg&#237;t&#337;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Seg&#237;t&#337;%20Szolg&#225;lat%202017.&#233;vi%20k&#246;lts&#233;gvet&#233;s\K&#246;lts&#233;gvet&#233;s%20Seg&#237;t&#337;%202017_2016.12.0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2016.%20szem&#233;lyi%20B&#243;bita%20&#211;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/>
      <sheetData sheetId="1"/>
      <sheetData sheetId="2"/>
      <sheetData sheetId="3"/>
      <sheetData sheetId="4"/>
      <sheetData sheetId="5">
        <row r="16">
          <cell r="B16">
            <v>17407</v>
          </cell>
          <cell r="C16">
            <v>36815</v>
          </cell>
          <cell r="E16">
            <v>33985</v>
          </cell>
          <cell r="F16">
            <v>6295</v>
          </cell>
        </row>
        <row r="19">
          <cell r="B19">
            <v>307</v>
          </cell>
          <cell r="C19">
            <v>678</v>
          </cell>
          <cell r="D19">
            <v>307</v>
          </cell>
          <cell r="E19">
            <v>617</v>
          </cell>
          <cell r="F19">
            <v>91</v>
          </cell>
        </row>
        <row r="21">
          <cell r="C21">
            <v>903</v>
          </cell>
          <cell r="F21">
            <v>983</v>
          </cell>
        </row>
        <row r="22">
          <cell r="B22">
            <v>395</v>
          </cell>
          <cell r="C22">
            <v>807</v>
          </cell>
          <cell r="D22">
            <v>390</v>
          </cell>
          <cell r="E22">
            <v>735</v>
          </cell>
          <cell r="F22">
            <v>108</v>
          </cell>
        </row>
        <row r="24">
          <cell r="B24">
            <v>197</v>
          </cell>
          <cell r="C24">
            <v>314</v>
          </cell>
          <cell r="D24">
            <v>211</v>
          </cell>
          <cell r="E24">
            <v>351</v>
          </cell>
          <cell r="F24">
            <v>53</v>
          </cell>
        </row>
        <row r="32">
          <cell r="C32">
            <v>0</v>
          </cell>
        </row>
        <row r="33">
          <cell r="B33">
            <v>10</v>
          </cell>
          <cell r="C33">
            <v>30</v>
          </cell>
          <cell r="F33">
            <v>20</v>
          </cell>
        </row>
        <row r="37">
          <cell r="B37">
            <v>3897</v>
          </cell>
          <cell r="C37">
            <v>8447</v>
          </cell>
          <cell r="D37">
            <v>4195</v>
          </cell>
          <cell r="E37">
            <v>7612</v>
          </cell>
          <cell r="F37">
            <v>1621</v>
          </cell>
        </row>
        <row r="38">
          <cell r="B38">
            <v>317</v>
          </cell>
          <cell r="C38">
            <v>645</v>
          </cell>
          <cell r="D38">
            <v>293</v>
          </cell>
          <cell r="E38">
            <v>586</v>
          </cell>
          <cell r="F38">
            <v>88</v>
          </cell>
        </row>
        <row r="39">
          <cell r="B39">
            <v>127</v>
          </cell>
          <cell r="C39">
            <v>269</v>
          </cell>
          <cell r="D39">
            <v>125</v>
          </cell>
          <cell r="E39">
            <v>236</v>
          </cell>
          <cell r="F39">
            <v>41</v>
          </cell>
        </row>
        <row r="41">
          <cell r="B41">
            <v>71</v>
          </cell>
          <cell r="C41">
            <v>150</v>
          </cell>
          <cell r="D41">
            <v>70</v>
          </cell>
          <cell r="E41">
            <v>131</v>
          </cell>
          <cell r="F41">
            <v>23</v>
          </cell>
        </row>
        <row r="42">
          <cell r="B42">
            <v>886</v>
          </cell>
          <cell r="C42">
            <v>1920</v>
          </cell>
          <cell r="D42">
            <v>953</v>
          </cell>
          <cell r="E42">
            <v>1730</v>
          </cell>
          <cell r="F42">
            <v>369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6">
          <cell r="D16">
            <v>19053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9">
          <cell r="E9">
            <v>160</v>
          </cell>
          <cell r="G9">
            <v>531</v>
          </cell>
          <cell r="M9">
            <v>92</v>
          </cell>
        </row>
        <row r="16">
          <cell r="E16">
            <v>275</v>
          </cell>
          <cell r="G16">
            <v>430</v>
          </cell>
          <cell r="M16">
            <v>240</v>
          </cell>
        </row>
        <row r="25">
          <cell r="M25">
            <v>180</v>
          </cell>
        </row>
        <row r="28">
          <cell r="E28">
            <v>200</v>
          </cell>
          <cell r="G28">
            <v>150</v>
          </cell>
          <cell r="I28">
            <v>40</v>
          </cell>
          <cell r="K28">
            <v>40</v>
          </cell>
          <cell r="M28">
            <v>105</v>
          </cell>
        </row>
        <row r="32">
          <cell r="E32">
            <v>865</v>
          </cell>
          <cell r="G32">
            <v>2300</v>
          </cell>
        </row>
        <row r="34">
          <cell r="E34">
            <v>3083</v>
          </cell>
        </row>
        <row r="38">
          <cell r="E38">
            <v>100</v>
          </cell>
          <cell r="G38">
            <v>950</v>
          </cell>
          <cell r="M38">
            <v>100</v>
          </cell>
        </row>
        <row r="39">
          <cell r="K39">
            <v>494</v>
          </cell>
        </row>
        <row r="40">
          <cell r="E40">
            <v>570</v>
          </cell>
          <cell r="G40">
            <v>735</v>
          </cell>
          <cell r="M40">
            <v>250</v>
          </cell>
        </row>
        <row r="50">
          <cell r="E50">
            <v>100</v>
          </cell>
          <cell r="G50">
            <v>300</v>
          </cell>
          <cell r="M50">
            <v>1200</v>
          </cell>
        </row>
        <row r="51">
          <cell r="E51">
            <v>50</v>
          </cell>
          <cell r="G51">
            <v>50</v>
          </cell>
          <cell r="M51">
            <v>50</v>
          </cell>
        </row>
        <row r="54">
          <cell r="E54">
            <v>1445</v>
          </cell>
          <cell r="G54">
            <v>1457</v>
          </cell>
          <cell r="I54">
            <v>11</v>
          </cell>
          <cell r="K54">
            <v>144</v>
          </cell>
          <cell r="M54">
            <v>585</v>
          </cell>
        </row>
        <row r="61">
          <cell r="K61">
            <v>8107</v>
          </cell>
        </row>
        <row r="65">
          <cell r="M65">
            <v>150</v>
          </cell>
        </row>
        <row r="66">
          <cell r="G66">
            <v>400</v>
          </cell>
        </row>
        <row r="67">
          <cell r="G67">
            <v>108</v>
          </cell>
          <cell r="M67">
            <v>41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9">
          <cell r="E9">
            <v>160</v>
          </cell>
          <cell r="G9">
            <v>531</v>
          </cell>
          <cell r="I9">
            <v>0</v>
          </cell>
          <cell r="K9">
            <v>0</v>
          </cell>
          <cell r="M9">
            <v>92</v>
          </cell>
        </row>
        <row r="16">
          <cell r="E16">
            <v>275</v>
          </cell>
          <cell r="G16">
            <v>430</v>
          </cell>
          <cell r="I16">
            <v>0</v>
          </cell>
          <cell r="K16">
            <v>0</v>
          </cell>
          <cell r="M16">
            <v>240</v>
          </cell>
        </row>
        <row r="25">
          <cell r="M25">
            <v>180</v>
          </cell>
        </row>
        <row r="28">
          <cell r="E28">
            <v>200</v>
          </cell>
          <cell r="G28">
            <v>150</v>
          </cell>
          <cell r="I28">
            <v>40</v>
          </cell>
          <cell r="K28">
            <v>40</v>
          </cell>
          <cell r="M28">
            <v>105</v>
          </cell>
        </row>
        <row r="32">
          <cell r="E32">
            <v>865</v>
          </cell>
          <cell r="G32">
            <v>2300</v>
          </cell>
        </row>
        <row r="34">
          <cell r="E34">
            <v>3083</v>
          </cell>
        </row>
        <row r="38">
          <cell r="E38">
            <v>200</v>
          </cell>
          <cell r="G38">
            <v>800</v>
          </cell>
          <cell r="M38">
            <v>100</v>
          </cell>
        </row>
        <row r="40">
          <cell r="E40">
            <v>512</v>
          </cell>
          <cell r="G40">
            <v>1560</v>
          </cell>
          <cell r="I40">
            <v>600</v>
          </cell>
          <cell r="K40">
            <v>1600</v>
          </cell>
          <cell r="M40">
            <v>250</v>
          </cell>
        </row>
        <row r="50">
          <cell r="E50">
            <v>100</v>
          </cell>
          <cell r="G50">
            <v>338</v>
          </cell>
          <cell r="M50">
            <v>1380</v>
          </cell>
        </row>
        <row r="53">
          <cell r="E53">
            <v>50</v>
          </cell>
          <cell r="G53">
            <v>50</v>
          </cell>
          <cell r="M53">
            <v>50</v>
          </cell>
        </row>
        <row r="54">
          <cell r="E54">
            <v>1457</v>
          </cell>
          <cell r="G54">
            <v>1649</v>
          </cell>
          <cell r="I54">
            <v>173</v>
          </cell>
          <cell r="K54">
            <v>443</v>
          </cell>
          <cell r="M54">
            <v>350</v>
          </cell>
        </row>
        <row r="65">
          <cell r="M65">
            <v>150</v>
          </cell>
        </row>
        <row r="66">
          <cell r="E66">
            <v>500</v>
          </cell>
          <cell r="G66">
            <v>400</v>
          </cell>
        </row>
        <row r="67">
          <cell r="E67">
            <v>135</v>
          </cell>
          <cell r="G67">
            <v>108</v>
          </cell>
          <cell r="M67">
            <v>41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KT ÓVI NORMATÍVA 2017"/>
      <sheetName val="TKT SZOC NORMATÍVA 2017"/>
    </sheetNames>
    <sheetDataSet>
      <sheetData sheetId="0">
        <row r="32">
          <cell r="B32">
            <v>11323746.666666666</v>
          </cell>
          <cell r="D32">
            <v>22349500</v>
          </cell>
          <cell r="F32">
            <v>11025753.333333332</v>
          </cell>
          <cell r="H32">
            <v>22647493.333333332</v>
          </cell>
          <cell r="J32">
            <v>2383946.6666666665</v>
          </cell>
        </row>
        <row r="33">
          <cell r="B33">
            <v>5661873.333333333</v>
          </cell>
          <cell r="D33">
            <v>10280770</v>
          </cell>
          <cell r="F33">
            <v>5363880</v>
          </cell>
          <cell r="H33">
            <v>11323746.666666666</v>
          </cell>
          <cell r="J33">
            <v>1191973.3333333333</v>
          </cell>
        </row>
        <row r="35">
          <cell r="B35">
            <v>145160</v>
          </cell>
          <cell r="D35">
            <v>263580</v>
          </cell>
          <cell r="F35">
            <v>137520</v>
          </cell>
          <cell r="H35">
            <v>290320</v>
          </cell>
          <cell r="J35">
            <v>30560</v>
          </cell>
        </row>
        <row r="36">
          <cell r="B36">
            <v>0</v>
          </cell>
          <cell r="D36">
            <v>418900</v>
          </cell>
          <cell r="F36">
            <v>0</v>
          </cell>
          <cell r="H36">
            <v>418900</v>
          </cell>
          <cell r="J36">
            <v>418900</v>
          </cell>
        </row>
        <row r="37">
          <cell r="B37">
            <v>2400000</v>
          </cell>
          <cell r="D37">
            <v>6240000</v>
          </cell>
          <cell r="F37">
            <v>2400000</v>
          </cell>
          <cell r="H37">
            <v>6000000</v>
          </cell>
          <cell r="J37">
            <v>960000</v>
          </cell>
        </row>
        <row r="38">
          <cell r="B38">
            <v>1200000</v>
          </cell>
          <cell r="D38">
            <v>3120000</v>
          </cell>
          <cell r="F38">
            <v>1200000</v>
          </cell>
          <cell r="H38">
            <v>3000000</v>
          </cell>
          <cell r="J38">
            <v>480000</v>
          </cell>
        </row>
        <row r="40">
          <cell r="B40">
            <v>2346666.9966666666</v>
          </cell>
          <cell r="D40">
            <v>4320000</v>
          </cell>
          <cell r="F40">
            <v>2239999.67</v>
          </cell>
          <cell r="H40">
            <v>4693333.0033333329</v>
          </cell>
        </row>
        <row r="41">
          <cell r="B41">
            <v>1173333.3333333333</v>
          </cell>
          <cell r="D41">
            <v>2000000</v>
          </cell>
          <cell r="F41">
            <v>1093333.3333333333</v>
          </cell>
          <cell r="H41">
            <v>2346666.6666666665</v>
          </cell>
        </row>
        <row r="43">
          <cell r="B43">
            <v>3886228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</row>
        <row r="4">
          <cell r="C4">
            <v>0</v>
          </cell>
        </row>
        <row r="5">
          <cell r="C5">
            <v>0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5">
          <cell r="L5">
            <v>29220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9">
          <cell r="C29">
            <v>82753</v>
          </cell>
        </row>
        <row r="33">
          <cell r="C33">
            <v>0</v>
          </cell>
          <cell r="F33">
            <v>0</v>
          </cell>
        </row>
        <row r="34">
          <cell r="C34">
            <v>0</v>
          </cell>
          <cell r="F34">
            <v>0</v>
          </cell>
        </row>
        <row r="36">
          <cell r="C36">
            <v>0</v>
          </cell>
          <cell r="F36">
            <v>0</v>
          </cell>
        </row>
        <row r="39">
          <cell r="C39">
            <v>0</v>
          </cell>
          <cell r="F39">
            <v>0</v>
          </cell>
        </row>
        <row r="41">
          <cell r="C41">
            <v>0</v>
          </cell>
          <cell r="F41">
            <v>0</v>
          </cell>
        </row>
        <row r="42">
          <cell r="C42">
            <v>0</v>
          </cell>
          <cell r="F42">
            <v>0</v>
          </cell>
        </row>
        <row r="43">
          <cell r="C43">
            <v>0</v>
          </cell>
          <cell r="F43">
            <v>0</v>
          </cell>
        </row>
        <row r="44">
          <cell r="C44">
            <v>0</v>
          </cell>
          <cell r="F44">
            <v>0</v>
          </cell>
        </row>
        <row r="45">
          <cell r="C45">
            <v>0</v>
          </cell>
          <cell r="F45">
            <v>0</v>
          </cell>
        </row>
        <row r="47">
          <cell r="C47">
            <v>0</v>
          </cell>
          <cell r="F47">
            <v>0</v>
          </cell>
        </row>
        <row r="56">
          <cell r="C56">
            <v>0</v>
          </cell>
          <cell r="F56">
            <v>0</v>
          </cell>
        </row>
        <row r="60">
          <cell r="C60">
            <v>0</v>
          </cell>
          <cell r="F60">
            <v>0</v>
          </cell>
        </row>
        <row r="67">
          <cell r="C67">
            <v>0</v>
          </cell>
          <cell r="F67">
            <v>0</v>
          </cell>
        </row>
        <row r="69">
          <cell r="C69">
            <v>0</v>
          </cell>
          <cell r="F69">
            <v>0</v>
          </cell>
        </row>
        <row r="70">
          <cell r="C70">
            <v>0</v>
          </cell>
          <cell r="F70">
            <v>0</v>
          </cell>
        </row>
        <row r="71">
          <cell r="C71">
            <v>0</v>
          </cell>
          <cell r="F71">
            <v>0</v>
          </cell>
        </row>
        <row r="76">
          <cell r="C76">
            <v>0</v>
          </cell>
          <cell r="F76">
            <v>0</v>
          </cell>
        </row>
        <row r="79">
          <cell r="C79">
            <v>0</v>
          </cell>
          <cell r="F79">
            <v>0</v>
          </cell>
        </row>
        <row r="80">
          <cell r="C80">
            <v>0</v>
          </cell>
          <cell r="F80">
            <v>0</v>
          </cell>
        </row>
        <row r="81">
          <cell r="C81">
            <v>0</v>
          </cell>
          <cell r="F81">
            <v>0</v>
          </cell>
        </row>
        <row r="82">
          <cell r="F82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3">
          <cell r="C93">
            <v>0</v>
          </cell>
          <cell r="F93">
            <v>0</v>
          </cell>
        </row>
        <row r="94">
          <cell r="C94">
            <v>0</v>
          </cell>
          <cell r="F94">
            <v>0</v>
          </cell>
        </row>
        <row r="97">
          <cell r="C97">
            <v>0</v>
          </cell>
          <cell r="F97">
            <v>0</v>
          </cell>
        </row>
        <row r="98">
          <cell r="C98">
            <v>0</v>
          </cell>
          <cell r="F98">
            <v>0</v>
          </cell>
        </row>
        <row r="101">
          <cell r="C101">
            <v>0</v>
          </cell>
          <cell r="F101">
            <v>0</v>
          </cell>
        </row>
        <row r="102">
          <cell r="C102">
            <v>0</v>
          </cell>
          <cell r="F102">
            <v>0</v>
          </cell>
        </row>
        <row r="103">
          <cell r="C103">
            <v>0</v>
          </cell>
          <cell r="F103">
            <v>0</v>
          </cell>
        </row>
        <row r="104">
          <cell r="C104">
            <v>0</v>
          </cell>
          <cell r="F104">
            <v>0</v>
          </cell>
        </row>
        <row r="106">
          <cell r="C106">
            <v>0</v>
          </cell>
          <cell r="F106">
            <v>0</v>
          </cell>
        </row>
        <row r="108">
          <cell r="C108">
            <v>0</v>
          </cell>
          <cell r="F108">
            <v>0</v>
          </cell>
        </row>
      </sheetData>
      <sheetData sheetId="2">
        <row r="4">
          <cell r="D4">
            <v>29220</v>
          </cell>
        </row>
        <row r="58">
          <cell r="D5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O3">
            <v>11433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5">
          <cell r="P5">
            <v>29220</v>
          </cell>
        </row>
        <row r="6">
          <cell r="P6">
            <v>291961</v>
          </cell>
        </row>
        <row r="9">
          <cell r="P9">
            <v>2000</v>
          </cell>
        </row>
        <row r="10">
          <cell r="P10">
            <v>2000</v>
          </cell>
        </row>
        <row r="13">
          <cell r="D13">
            <v>1925</v>
          </cell>
        </row>
        <row r="16">
          <cell r="D16">
            <v>7095</v>
          </cell>
          <cell r="H16">
            <v>0</v>
          </cell>
        </row>
        <row r="29">
          <cell r="H29">
            <v>177864</v>
          </cell>
        </row>
        <row r="30">
          <cell r="D30">
            <v>93542</v>
          </cell>
          <cell r="H30">
            <v>177864</v>
          </cell>
        </row>
        <row r="32">
          <cell r="D32">
            <v>54945</v>
          </cell>
          <cell r="H32">
            <v>108347</v>
          </cell>
        </row>
        <row r="35">
          <cell r="D35">
            <v>712</v>
          </cell>
          <cell r="H35">
            <v>1966</v>
          </cell>
        </row>
        <row r="37">
          <cell r="D37">
            <v>545</v>
          </cell>
          <cell r="H37">
            <v>3543</v>
          </cell>
        </row>
        <row r="38">
          <cell r="D38">
            <v>1750</v>
          </cell>
          <cell r="H38">
            <v>2445</v>
          </cell>
        </row>
        <row r="40">
          <cell r="D40">
            <v>534</v>
          </cell>
          <cell r="H40">
            <v>898</v>
          </cell>
        </row>
        <row r="48">
          <cell r="D48">
            <v>550</v>
          </cell>
          <cell r="H48">
            <v>553</v>
          </cell>
        </row>
        <row r="49">
          <cell r="D49">
            <v>75</v>
          </cell>
          <cell r="H49">
            <v>240</v>
          </cell>
        </row>
        <row r="53">
          <cell r="D53">
            <v>15323</v>
          </cell>
          <cell r="H53">
            <v>30891</v>
          </cell>
        </row>
        <row r="54">
          <cell r="D54">
            <v>1929</v>
          </cell>
          <cell r="H54">
            <v>1929</v>
          </cell>
        </row>
        <row r="55">
          <cell r="D55">
            <v>316</v>
          </cell>
          <cell r="H55">
            <v>484</v>
          </cell>
        </row>
        <row r="57">
          <cell r="D57">
            <v>325</v>
          </cell>
          <cell r="H57">
            <v>480</v>
          </cell>
        </row>
        <row r="58">
          <cell r="D58">
            <v>58</v>
          </cell>
          <cell r="H58">
            <v>783</v>
          </cell>
        </row>
        <row r="59">
          <cell r="D59">
            <v>4355</v>
          </cell>
          <cell r="H59">
            <v>945</v>
          </cell>
        </row>
        <row r="62">
          <cell r="D62">
            <v>300</v>
          </cell>
          <cell r="H62">
            <v>180</v>
          </cell>
        </row>
        <row r="63">
          <cell r="D63">
            <v>727</v>
          </cell>
          <cell r="H63">
            <v>535</v>
          </cell>
        </row>
        <row r="65">
          <cell r="D65">
            <v>2330</v>
          </cell>
          <cell r="H65">
            <v>3165</v>
          </cell>
        </row>
        <row r="66">
          <cell r="D66">
            <v>2420</v>
          </cell>
          <cell r="H66">
            <v>3083</v>
          </cell>
        </row>
        <row r="68">
          <cell r="D68">
            <v>1840</v>
          </cell>
          <cell r="H68">
            <v>1150</v>
          </cell>
        </row>
        <row r="72">
          <cell r="D72">
            <v>1780</v>
          </cell>
          <cell r="H72">
            <v>2049</v>
          </cell>
          <cell r="P72">
            <v>41816</v>
          </cell>
        </row>
        <row r="73">
          <cell r="D73">
            <v>3918</v>
          </cell>
          <cell r="H73">
            <v>1600</v>
          </cell>
          <cell r="P73">
            <v>548</v>
          </cell>
        </row>
        <row r="75">
          <cell r="D75">
            <v>640</v>
          </cell>
          <cell r="H75">
            <v>150</v>
          </cell>
        </row>
        <row r="78">
          <cell r="D78">
            <v>4555</v>
          </cell>
          <cell r="H78">
            <v>3642</v>
          </cell>
          <cell r="P78">
            <v>630</v>
          </cell>
        </row>
        <row r="82">
          <cell r="D82">
            <v>635</v>
          </cell>
          <cell r="P82">
            <v>24</v>
          </cell>
        </row>
        <row r="86">
          <cell r="H86">
            <v>8107</v>
          </cell>
          <cell r="P86">
            <v>6610</v>
          </cell>
        </row>
        <row r="88">
          <cell r="P88">
            <v>0</v>
          </cell>
        </row>
        <row r="90">
          <cell r="P90">
            <v>2147</v>
          </cell>
        </row>
        <row r="95">
          <cell r="D95">
            <v>142</v>
          </cell>
          <cell r="H95">
            <v>150</v>
          </cell>
        </row>
        <row r="96">
          <cell r="D96">
            <v>1433</v>
          </cell>
          <cell r="H96">
            <v>400</v>
          </cell>
        </row>
        <row r="99">
          <cell r="D99">
            <v>425</v>
          </cell>
          <cell r="H99">
            <v>149</v>
          </cell>
        </row>
        <row r="108">
          <cell r="P108">
            <v>271406</v>
          </cell>
        </row>
      </sheetData>
      <sheetData sheetId="2">
        <row r="4">
          <cell r="D4">
            <v>29220</v>
          </cell>
        </row>
        <row r="7">
          <cell r="D7">
            <v>1147</v>
          </cell>
        </row>
        <row r="8">
          <cell r="D8">
            <v>3543</v>
          </cell>
        </row>
        <row r="9">
          <cell r="D9">
            <v>522</v>
          </cell>
        </row>
        <row r="10">
          <cell r="D10">
            <v>449</v>
          </cell>
        </row>
        <row r="11">
          <cell r="D11">
            <v>2343</v>
          </cell>
        </row>
        <row r="12">
          <cell r="D12">
            <v>1402</v>
          </cell>
        </row>
        <row r="13">
          <cell r="D13">
            <v>854</v>
          </cell>
        </row>
        <row r="16">
          <cell r="D16">
            <v>8172</v>
          </cell>
        </row>
        <row r="17">
          <cell r="D17">
            <v>5530</v>
          </cell>
        </row>
        <row r="18">
          <cell r="D18">
            <v>4675</v>
          </cell>
        </row>
        <row r="21">
          <cell r="D21">
            <v>6918</v>
          </cell>
        </row>
        <row r="22">
          <cell r="D22">
            <v>1841</v>
          </cell>
        </row>
        <row r="23">
          <cell r="D23">
            <v>1634</v>
          </cell>
        </row>
        <row r="24">
          <cell r="D24">
            <v>9306</v>
          </cell>
        </row>
        <row r="25">
          <cell r="D25">
            <v>4994</v>
          </cell>
        </row>
        <row r="26">
          <cell r="D26">
            <v>3011</v>
          </cell>
        </row>
        <row r="27">
          <cell r="D27">
            <v>3256</v>
          </cell>
        </row>
        <row r="30">
          <cell r="D30">
            <v>276</v>
          </cell>
        </row>
        <row r="31">
          <cell r="D31">
            <v>852</v>
          </cell>
        </row>
        <row r="32">
          <cell r="D32">
            <v>126</v>
          </cell>
        </row>
        <row r="33">
          <cell r="D33">
            <v>108</v>
          </cell>
        </row>
        <row r="34">
          <cell r="D34">
            <v>564</v>
          </cell>
        </row>
        <row r="35">
          <cell r="D35">
            <v>337</v>
          </cell>
        </row>
        <row r="36">
          <cell r="D36">
            <v>205</v>
          </cell>
        </row>
        <row r="37">
          <cell r="D37">
            <v>251</v>
          </cell>
        </row>
        <row r="40">
          <cell r="D40">
            <v>342</v>
          </cell>
        </row>
        <row r="41">
          <cell r="D41">
            <v>244</v>
          </cell>
        </row>
        <row r="42">
          <cell r="D42">
            <v>215</v>
          </cell>
        </row>
        <row r="43">
          <cell r="D43">
            <v>894</v>
          </cell>
        </row>
        <row r="44">
          <cell r="D44">
            <v>391</v>
          </cell>
        </row>
        <row r="45">
          <cell r="D45">
            <v>440</v>
          </cell>
        </row>
        <row r="46">
          <cell r="D46">
            <v>440</v>
          </cell>
        </row>
        <row r="49">
          <cell r="D49">
            <v>1980</v>
          </cell>
        </row>
        <row r="50">
          <cell r="D50">
            <v>411</v>
          </cell>
        </row>
        <row r="51">
          <cell r="D51">
            <v>964</v>
          </cell>
        </row>
        <row r="52">
          <cell r="D52">
            <v>219</v>
          </cell>
        </row>
        <row r="53">
          <cell r="D53">
            <v>690</v>
          </cell>
        </row>
        <row r="54">
          <cell r="D54">
            <v>1834</v>
          </cell>
        </row>
        <row r="55">
          <cell r="D55">
            <v>512</v>
          </cell>
        </row>
        <row r="61">
          <cell r="D61">
            <v>159487</v>
          </cell>
        </row>
        <row r="62">
          <cell r="D62">
            <v>60582</v>
          </cell>
        </row>
        <row r="69">
          <cell r="D69">
            <v>2000</v>
          </cell>
        </row>
        <row r="72">
          <cell r="D72">
            <v>1925</v>
          </cell>
        </row>
        <row r="75">
          <cell r="D75">
            <v>7095</v>
          </cell>
        </row>
      </sheetData>
      <sheetData sheetId="3">
        <row r="30">
          <cell r="C30">
            <v>1145</v>
          </cell>
          <cell r="F30">
            <v>11900</v>
          </cell>
          <cell r="I30">
            <v>20358</v>
          </cell>
          <cell r="L30">
            <v>15000</v>
          </cell>
          <cell r="O30">
            <v>8940</v>
          </cell>
          <cell r="R30">
            <v>2500</v>
          </cell>
          <cell r="U30">
            <v>1743</v>
          </cell>
          <cell r="X30">
            <v>996</v>
          </cell>
        </row>
        <row r="32">
          <cell r="C32">
            <v>50</v>
          </cell>
          <cell r="F32">
            <v>1119</v>
          </cell>
          <cell r="I32">
            <v>1479</v>
          </cell>
          <cell r="L32">
            <v>977</v>
          </cell>
          <cell r="O32">
            <v>472</v>
          </cell>
          <cell r="R32">
            <v>2821</v>
          </cell>
        </row>
        <row r="33">
          <cell r="C33">
            <v>0</v>
          </cell>
          <cell r="F33">
            <v>509</v>
          </cell>
          <cell r="I33">
            <v>673</v>
          </cell>
          <cell r="L33">
            <v>444</v>
          </cell>
          <cell r="O33">
            <v>215</v>
          </cell>
        </row>
        <row r="34">
          <cell r="C34">
            <v>50</v>
          </cell>
          <cell r="F34">
            <v>438</v>
          </cell>
          <cell r="I34">
            <v>579</v>
          </cell>
          <cell r="L34">
            <v>382</v>
          </cell>
          <cell r="O34">
            <v>185</v>
          </cell>
        </row>
        <row r="35">
          <cell r="C35">
            <v>346</v>
          </cell>
          <cell r="F35">
            <v>2286</v>
          </cell>
          <cell r="I35">
            <v>3020</v>
          </cell>
          <cell r="L35">
            <v>1996</v>
          </cell>
          <cell r="O35">
            <v>963</v>
          </cell>
          <cell r="X35">
            <v>695</v>
          </cell>
        </row>
        <row r="36">
          <cell r="C36">
            <v>50</v>
          </cell>
          <cell r="F36">
            <v>1367</v>
          </cell>
          <cell r="I36">
            <v>1807</v>
          </cell>
          <cell r="L36">
            <v>1194</v>
          </cell>
          <cell r="O36">
            <v>576</v>
          </cell>
        </row>
        <row r="37">
          <cell r="C37">
            <v>0</v>
          </cell>
          <cell r="F37">
            <v>833</v>
          </cell>
          <cell r="I37">
            <v>1100</v>
          </cell>
          <cell r="L37">
            <v>727</v>
          </cell>
          <cell r="O37">
            <v>351</v>
          </cell>
        </row>
        <row r="38">
          <cell r="C38">
            <v>0</v>
          </cell>
          <cell r="F38">
            <v>1019</v>
          </cell>
          <cell r="I38">
            <v>1347</v>
          </cell>
          <cell r="L38">
            <v>890</v>
          </cell>
          <cell r="O38">
            <v>0</v>
          </cell>
        </row>
        <row r="87">
          <cell r="X87">
            <v>629</v>
          </cell>
        </row>
        <row r="91">
          <cell r="C91">
            <v>20</v>
          </cell>
          <cell r="F91">
            <v>25</v>
          </cell>
          <cell r="I91">
            <v>70</v>
          </cell>
          <cell r="O91">
            <v>200</v>
          </cell>
          <cell r="R91">
            <v>320</v>
          </cell>
        </row>
      </sheetData>
      <sheetData sheetId="4">
        <row r="30">
          <cell r="C30">
            <v>27747</v>
          </cell>
          <cell r="F30">
            <v>50466</v>
          </cell>
          <cell r="I30">
            <v>25297</v>
          </cell>
          <cell r="L30">
            <v>50679</v>
          </cell>
          <cell r="O30">
            <v>5298</v>
          </cell>
        </row>
        <row r="32">
          <cell r="C32">
            <v>2376</v>
          </cell>
          <cell r="F32">
            <v>3497</v>
          </cell>
          <cell r="O32">
            <v>2299</v>
          </cell>
        </row>
        <row r="33">
          <cell r="C33">
            <v>1189</v>
          </cell>
          <cell r="I33">
            <v>3192</v>
          </cell>
          <cell r="O33">
            <v>1149</v>
          </cell>
        </row>
        <row r="34">
          <cell r="C34">
            <v>2376</v>
          </cell>
          <cell r="O34">
            <v>2299</v>
          </cell>
        </row>
      </sheetData>
      <sheetData sheetId="5">
        <row r="32">
          <cell r="C32">
            <v>10913600</v>
          </cell>
          <cell r="E32">
            <v>22114400</v>
          </cell>
          <cell r="G32">
            <v>11200800</v>
          </cell>
          <cell r="I32">
            <v>22688800</v>
          </cell>
          <cell r="K32">
            <v>2297600</v>
          </cell>
        </row>
        <row r="33">
          <cell r="C33">
            <v>5313200</v>
          </cell>
          <cell r="E33">
            <v>11344400</v>
          </cell>
          <cell r="G33">
            <v>6174800</v>
          </cell>
          <cell r="I33">
            <v>11057200</v>
          </cell>
          <cell r="K33">
            <v>1148800</v>
          </cell>
        </row>
        <row r="35">
          <cell r="C35">
            <v>129500</v>
          </cell>
          <cell r="E35">
            <v>276500</v>
          </cell>
          <cell r="G35">
            <v>150500</v>
          </cell>
          <cell r="I35">
            <v>269500</v>
          </cell>
          <cell r="K35">
            <v>28000</v>
          </cell>
        </row>
        <row r="36">
          <cell r="C36">
            <v>384000</v>
          </cell>
          <cell r="E36">
            <v>384000</v>
          </cell>
          <cell r="G36">
            <v>384000</v>
          </cell>
          <cell r="I36">
            <v>384000</v>
          </cell>
          <cell r="K36">
            <v>384000</v>
          </cell>
        </row>
        <row r="37">
          <cell r="C37">
            <v>2400000</v>
          </cell>
          <cell r="E37">
            <v>6240000</v>
          </cell>
          <cell r="G37">
            <v>2400000</v>
          </cell>
          <cell r="I37">
            <v>6000000</v>
          </cell>
          <cell r="K37">
            <v>960000</v>
          </cell>
        </row>
        <row r="38">
          <cell r="C38">
            <v>1200000</v>
          </cell>
          <cell r="E38">
            <v>3120000</v>
          </cell>
          <cell r="G38">
            <v>1200000</v>
          </cell>
          <cell r="I38">
            <v>3000000</v>
          </cell>
          <cell r="K38">
            <v>480000</v>
          </cell>
        </row>
        <row r="40">
          <cell r="C40">
            <v>2346666.9966666666</v>
          </cell>
          <cell r="E40">
            <v>4640000</v>
          </cell>
          <cell r="G40">
            <v>2453333.0033333329</v>
          </cell>
          <cell r="I40">
            <v>4853333.0033333329</v>
          </cell>
        </row>
        <row r="41">
          <cell r="C41">
            <v>1173333.3333333333</v>
          </cell>
          <cell r="E41">
            <v>2346666.6666666665</v>
          </cell>
          <cell r="G41">
            <v>1333333.3333333333</v>
          </cell>
          <cell r="I41">
            <v>2426666.6666666665</v>
          </cell>
        </row>
        <row r="42">
          <cell r="I42">
            <v>7279999.6699999999</v>
          </cell>
        </row>
        <row r="43">
          <cell r="C43">
            <v>3886228</v>
          </cell>
        </row>
      </sheetData>
      <sheetData sheetId="6" refreshError="1"/>
      <sheetData sheetId="7">
        <row r="3">
          <cell r="O3">
            <v>18835</v>
          </cell>
        </row>
        <row r="4">
          <cell r="O4">
            <v>9227</v>
          </cell>
        </row>
        <row r="5">
          <cell r="O5">
            <v>4806</v>
          </cell>
        </row>
        <row r="6">
          <cell r="O6">
            <v>2625</v>
          </cell>
        </row>
        <row r="7">
          <cell r="O7">
            <v>13107</v>
          </cell>
        </row>
        <row r="8">
          <cell r="O8">
            <v>7814</v>
          </cell>
        </row>
        <row r="9">
          <cell r="O9">
            <v>11019</v>
          </cell>
        </row>
        <row r="10">
          <cell r="O10">
            <v>4459</v>
          </cell>
        </row>
        <row r="12">
          <cell r="O12">
            <v>2000</v>
          </cell>
        </row>
        <row r="13">
          <cell r="O13">
            <v>220069</v>
          </cell>
        </row>
        <row r="18">
          <cell r="O18">
            <v>6610</v>
          </cell>
        </row>
        <row r="21">
          <cell r="O21">
            <v>0</v>
          </cell>
        </row>
        <row r="22">
          <cell r="O22">
            <v>8107</v>
          </cell>
        </row>
      </sheetData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Cs.napközi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767</v>
          </cell>
          <cell r="C17">
            <v>9020</v>
          </cell>
          <cell r="D17">
            <v>21203</v>
          </cell>
          <cell r="E17">
            <v>12609</v>
          </cell>
          <cell r="F17">
            <v>6591</v>
          </cell>
          <cell r="G17">
            <v>1781</v>
          </cell>
          <cell r="H17">
            <v>2974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537</v>
          </cell>
          <cell r="D20">
            <v>100</v>
          </cell>
          <cell r="E20">
            <v>0</v>
          </cell>
          <cell r="F20">
            <v>50</v>
          </cell>
          <cell r="G20">
            <v>0</v>
          </cell>
          <cell r="H20">
            <v>25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30</v>
          </cell>
          <cell r="C23">
            <v>240</v>
          </cell>
          <cell r="D23">
            <v>780</v>
          </cell>
          <cell r="E23">
            <v>340</v>
          </cell>
          <cell r="F23">
            <v>210</v>
          </cell>
          <cell r="G23">
            <v>60</v>
          </cell>
          <cell r="H23">
            <v>90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94</v>
          </cell>
          <cell r="D25">
            <v>47</v>
          </cell>
          <cell r="E25">
            <v>152</v>
          </cell>
          <cell r="F25">
            <v>235</v>
          </cell>
          <cell r="G25">
            <v>0</v>
          </cell>
          <cell r="H25">
            <v>6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150</v>
          </cell>
          <cell r="D33">
            <v>100</v>
          </cell>
          <cell r="E33">
            <v>150</v>
          </cell>
          <cell r="F33">
            <v>0</v>
          </cell>
          <cell r="G33">
            <v>150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25</v>
          </cell>
          <cell r="D34">
            <v>15</v>
          </cell>
          <cell r="E34">
            <v>25</v>
          </cell>
          <cell r="F34">
            <v>10</v>
          </cell>
          <cell r="G34">
            <v>0</v>
          </cell>
          <cell r="H34">
            <v>0</v>
          </cell>
          <cell r="I34">
            <v>0</v>
          </cell>
        </row>
        <row r="38">
          <cell r="B38">
            <v>207</v>
          </cell>
          <cell r="C38">
            <v>2621</v>
          </cell>
          <cell r="D38">
            <v>5779</v>
          </cell>
          <cell r="E38">
            <v>3592</v>
          </cell>
          <cell r="F38">
            <v>1793</v>
          </cell>
          <cell r="G38">
            <v>521</v>
          </cell>
          <cell r="H38">
            <v>810</v>
          </cell>
          <cell r="I38">
            <v>0</v>
          </cell>
        </row>
        <row r="39">
          <cell r="B39">
            <v>32</v>
          </cell>
          <cell r="C39">
            <v>253</v>
          </cell>
          <cell r="D39">
            <v>917</v>
          </cell>
          <cell r="E39">
            <v>348</v>
          </cell>
          <cell r="F39">
            <v>221</v>
          </cell>
          <cell r="G39">
            <v>63</v>
          </cell>
          <cell r="H39">
            <v>95</v>
          </cell>
          <cell r="I39">
            <v>0</v>
          </cell>
        </row>
        <row r="40">
          <cell r="B40">
            <v>5</v>
          </cell>
          <cell r="C40">
            <v>48</v>
          </cell>
          <cell r="D40">
            <v>135</v>
          </cell>
          <cell r="E40">
            <v>65</v>
          </cell>
          <cell r="F40">
            <v>38</v>
          </cell>
          <cell r="G40">
            <v>10</v>
          </cell>
          <cell r="H40">
            <v>15</v>
          </cell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5</v>
          </cell>
          <cell r="C42">
            <v>47</v>
          </cell>
          <cell r="D42">
            <v>142</v>
          </cell>
          <cell r="E42">
            <v>65</v>
          </cell>
          <cell r="F42">
            <v>39</v>
          </cell>
          <cell r="G42">
            <v>11</v>
          </cell>
          <cell r="H42">
            <v>16</v>
          </cell>
          <cell r="I4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Bölcsőde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1016</v>
          </cell>
          <cell r="C17">
            <v>10703</v>
          </cell>
          <cell r="D17">
            <v>23326</v>
          </cell>
          <cell r="E17">
            <v>12832</v>
          </cell>
          <cell r="F17">
            <v>7594</v>
          </cell>
          <cell r="G17">
            <v>2143</v>
          </cell>
          <cell r="H17">
            <v>8068</v>
          </cell>
        </row>
        <row r="20">
          <cell r="C20">
            <v>663</v>
          </cell>
          <cell r="D20">
            <v>100</v>
          </cell>
          <cell r="F20">
            <v>100</v>
          </cell>
          <cell r="H20">
            <v>40</v>
          </cell>
        </row>
        <row r="22">
          <cell r="E22">
            <v>313</v>
          </cell>
          <cell r="H22">
            <v>313</v>
          </cell>
        </row>
        <row r="23">
          <cell r="B23">
            <v>35</v>
          </cell>
          <cell r="C23">
            <v>240</v>
          </cell>
          <cell r="D23">
            <v>720</v>
          </cell>
          <cell r="E23">
            <v>330</v>
          </cell>
          <cell r="F23">
            <v>210</v>
          </cell>
          <cell r="G23">
            <v>60</v>
          </cell>
          <cell r="H23">
            <v>240</v>
          </cell>
        </row>
        <row r="25">
          <cell r="B25">
            <v>30</v>
          </cell>
          <cell r="C25">
            <v>98</v>
          </cell>
          <cell r="D25">
            <v>60</v>
          </cell>
          <cell r="E25">
            <v>168</v>
          </cell>
          <cell r="F25">
            <v>243</v>
          </cell>
          <cell r="H25">
            <v>12</v>
          </cell>
        </row>
        <row r="33">
          <cell r="C33">
            <v>150</v>
          </cell>
          <cell r="D33">
            <v>100</v>
          </cell>
          <cell r="E33">
            <v>150</v>
          </cell>
          <cell r="G33">
            <v>150</v>
          </cell>
        </row>
        <row r="34">
          <cell r="C34">
            <v>25</v>
          </cell>
          <cell r="D34">
            <v>15</v>
          </cell>
          <cell r="E34">
            <v>25</v>
          </cell>
          <cell r="F34">
            <v>10</v>
          </cell>
        </row>
        <row r="38">
          <cell r="B38">
            <v>224</v>
          </cell>
          <cell r="C38">
            <v>2500</v>
          </cell>
          <cell r="D38">
            <v>5154</v>
          </cell>
          <cell r="E38">
            <v>2892</v>
          </cell>
          <cell r="F38">
            <v>1693</v>
          </cell>
          <cell r="G38">
            <v>472</v>
          </cell>
          <cell r="H38">
            <v>1853</v>
          </cell>
        </row>
        <row r="39">
          <cell r="B39">
            <v>32</v>
          </cell>
          <cell r="C39">
            <v>253</v>
          </cell>
          <cell r="D39">
            <v>917</v>
          </cell>
          <cell r="E39">
            <v>348</v>
          </cell>
          <cell r="F39">
            <v>221</v>
          </cell>
          <cell r="G39">
            <v>63</v>
          </cell>
          <cell r="H39">
            <v>95</v>
          </cell>
        </row>
        <row r="40">
          <cell r="B40">
            <v>11</v>
          </cell>
          <cell r="C40">
            <v>77</v>
          </cell>
          <cell r="D40">
            <v>231</v>
          </cell>
          <cell r="E40">
            <v>106</v>
          </cell>
          <cell r="F40">
            <v>67</v>
          </cell>
          <cell r="G40">
            <v>19</v>
          </cell>
          <cell r="H40">
            <v>77</v>
          </cell>
        </row>
        <row r="42">
          <cell r="B42">
            <v>6</v>
          </cell>
          <cell r="C42">
            <v>43</v>
          </cell>
          <cell r="D42">
            <v>129</v>
          </cell>
          <cell r="E42">
            <v>59</v>
          </cell>
          <cell r="F42">
            <v>38</v>
          </cell>
          <cell r="G42">
            <v>11</v>
          </cell>
          <cell r="H42">
            <v>43</v>
          </cell>
        </row>
        <row r="43">
          <cell r="B43">
            <v>51</v>
          </cell>
          <cell r="C43">
            <v>568</v>
          </cell>
          <cell r="D43">
            <v>1171</v>
          </cell>
          <cell r="E43">
            <v>657</v>
          </cell>
          <cell r="F43">
            <v>385</v>
          </cell>
          <cell r="G43">
            <v>107</v>
          </cell>
          <cell r="H43">
            <v>421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10</v>
          </cell>
          <cell r="G10">
            <v>8</v>
          </cell>
          <cell r="I10">
            <v>0</v>
          </cell>
          <cell r="K10">
            <v>10</v>
          </cell>
          <cell r="Q10">
            <v>30</v>
          </cell>
        </row>
        <row r="17">
          <cell r="E17">
            <v>228</v>
          </cell>
          <cell r="G17">
            <v>225</v>
          </cell>
          <cell r="I17">
            <v>870</v>
          </cell>
          <cell r="K17">
            <v>420</v>
          </cell>
          <cell r="M17">
            <v>1280</v>
          </cell>
          <cell r="O17">
            <v>1252</v>
          </cell>
          <cell r="Q17">
            <v>75</v>
          </cell>
          <cell r="R17">
            <v>5</v>
          </cell>
        </row>
        <row r="26">
          <cell r="G26">
            <v>300</v>
          </cell>
        </row>
        <row r="29">
          <cell r="E29">
            <v>25</v>
          </cell>
          <cell r="G29">
            <v>175</v>
          </cell>
          <cell r="I29">
            <v>87</v>
          </cell>
          <cell r="K29">
            <v>267</v>
          </cell>
          <cell r="M29">
            <v>87</v>
          </cell>
          <cell r="O29">
            <v>12</v>
          </cell>
          <cell r="Q29">
            <v>50</v>
          </cell>
          <cell r="R29">
            <v>24</v>
          </cell>
        </row>
        <row r="33">
          <cell r="E33">
            <v>268</v>
          </cell>
          <cell r="G33">
            <v>430</v>
          </cell>
          <cell r="I33">
            <v>563</v>
          </cell>
          <cell r="K33">
            <v>430</v>
          </cell>
          <cell r="M33">
            <v>563</v>
          </cell>
          <cell r="Q33">
            <v>76</v>
          </cell>
        </row>
        <row r="35">
          <cell r="E35">
            <v>120</v>
          </cell>
          <cell r="R35">
            <v>2300</v>
          </cell>
        </row>
        <row r="39">
          <cell r="E39">
            <v>40</v>
          </cell>
          <cell r="I39">
            <v>200</v>
          </cell>
          <cell r="K39">
            <v>200</v>
          </cell>
          <cell r="M39">
            <v>400</v>
          </cell>
          <cell r="O39">
            <v>1000</v>
          </cell>
        </row>
        <row r="41">
          <cell r="G41">
            <v>980</v>
          </cell>
          <cell r="K41">
            <v>800</v>
          </cell>
        </row>
        <row r="51">
          <cell r="E51">
            <v>380</v>
          </cell>
          <cell r="G51">
            <v>625</v>
          </cell>
          <cell r="I51">
            <v>780</v>
          </cell>
          <cell r="K51">
            <v>1320</v>
          </cell>
          <cell r="M51">
            <v>713</v>
          </cell>
          <cell r="O51">
            <v>30</v>
          </cell>
          <cell r="Q51">
            <v>70</v>
          </cell>
        </row>
        <row r="52">
          <cell r="E52">
            <v>15</v>
          </cell>
          <cell r="G52">
            <v>280</v>
          </cell>
          <cell r="I52">
            <v>60</v>
          </cell>
          <cell r="K52">
            <v>200</v>
          </cell>
          <cell r="M52">
            <v>70</v>
          </cell>
          <cell r="Q52">
            <v>15</v>
          </cell>
        </row>
        <row r="55">
          <cell r="E55">
            <v>289</v>
          </cell>
          <cell r="G55">
            <v>696</v>
          </cell>
          <cell r="I55">
            <v>675</v>
          </cell>
          <cell r="K55">
            <v>764</v>
          </cell>
          <cell r="M55">
            <v>822</v>
          </cell>
          <cell r="O55">
            <v>611</v>
          </cell>
          <cell r="Q55">
            <v>69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  <cell r="G10">
            <v>18</v>
          </cell>
          <cell r="I10">
            <v>0</v>
          </cell>
          <cell r="K10">
            <v>25</v>
          </cell>
          <cell r="M10">
            <v>0</v>
          </cell>
          <cell r="O10">
            <v>0</v>
          </cell>
          <cell r="Q10">
            <v>30</v>
          </cell>
        </row>
        <row r="17">
          <cell r="E17">
            <v>27</v>
          </cell>
          <cell r="G17">
            <v>70</v>
          </cell>
          <cell r="I17">
            <v>525</v>
          </cell>
          <cell r="K17">
            <v>300</v>
          </cell>
          <cell r="M17">
            <v>1175</v>
          </cell>
          <cell r="O17">
            <v>1322</v>
          </cell>
          <cell r="Q17">
            <v>90</v>
          </cell>
          <cell r="S17">
            <v>5</v>
          </cell>
        </row>
        <row r="26">
          <cell r="G26">
            <v>300</v>
          </cell>
        </row>
        <row r="29">
          <cell r="E29">
            <v>47</v>
          </cell>
          <cell r="G29">
            <v>190</v>
          </cell>
          <cell r="I29">
            <v>90</v>
          </cell>
          <cell r="K29">
            <v>200</v>
          </cell>
          <cell r="M29">
            <v>90</v>
          </cell>
          <cell r="O29">
            <v>12</v>
          </cell>
          <cell r="Q29">
            <v>150</v>
          </cell>
          <cell r="S29">
            <v>29</v>
          </cell>
        </row>
        <row r="33">
          <cell r="E33">
            <v>273</v>
          </cell>
          <cell r="G33">
            <v>434</v>
          </cell>
          <cell r="I33">
            <v>563</v>
          </cell>
          <cell r="K33">
            <v>444</v>
          </cell>
          <cell r="M33">
            <v>563</v>
          </cell>
          <cell r="O33">
            <v>0</v>
          </cell>
          <cell r="Q33">
            <v>228</v>
          </cell>
        </row>
        <row r="35">
          <cell r="E35">
            <v>60</v>
          </cell>
          <cell r="S35">
            <v>1500</v>
          </cell>
        </row>
        <row r="39">
          <cell r="E39">
            <v>10</v>
          </cell>
          <cell r="G39">
            <v>0</v>
          </cell>
          <cell r="I39">
            <v>350</v>
          </cell>
          <cell r="K39">
            <v>200</v>
          </cell>
          <cell r="M39">
            <v>500</v>
          </cell>
          <cell r="O39">
            <v>1000</v>
          </cell>
        </row>
        <row r="41">
          <cell r="E41">
            <v>0</v>
          </cell>
          <cell r="G41">
            <v>1100</v>
          </cell>
          <cell r="I41">
            <v>0</v>
          </cell>
          <cell r="K41">
            <v>900</v>
          </cell>
          <cell r="M41">
            <v>65</v>
          </cell>
        </row>
        <row r="51">
          <cell r="E51">
            <v>380</v>
          </cell>
          <cell r="G51">
            <v>645</v>
          </cell>
          <cell r="I51">
            <v>780</v>
          </cell>
          <cell r="K51">
            <v>1320</v>
          </cell>
          <cell r="M51">
            <v>713</v>
          </cell>
          <cell r="O51">
            <v>50</v>
          </cell>
          <cell r="Q51">
            <v>210</v>
          </cell>
        </row>
        <row r="54">
          <cell r="E54">
            <v>0</v>
          </cell>
          <cell r="G54">
            <v>295</v>
          </cell>
          <cell r="I54">
            <v>60</v>
          </cell>
          <cell r="K54">
            <v>150</v>
          </cell>
          <cell r="M54">
            <v>75</v>
          </cell>
          <cell r="O54">
            <v>0</v>
          </cell>
          <cell r="Q54">
            <v>0</v>
          </cell>
        </row>
        <row r="55">
          <cell r="E55">
            <v>222</v>
          </cell>
          <cell r="G55">
            <v>744</v>
          </cell>
          <cell r="I55">
            <v>623</v>
          </cell>
          <cell r="K55">
            <v>753</v>
          </cell>
          <cell r="M55">
            <v>839</v>
          </cell>
          <cell r="O55">
            <v>644</v>
          </cell>
          <cell r="Q55">
            <v>191</v>
          </cell>
          <cell r="S55">
            <v>414</v>
          </cell>
        </row>
        <row r="57">
          <cell r="E57">
            <v>0</v>
          </cell>
          <cell r="I57">
            <v>70</v>
          </cell>
          <cell r="K57">
            <v>30</v>
          </cell>
          <cell r="M57">
            <v>220</v>
          </cell>
          <cell r="O57">
            <v>320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/>
      <sheetData sheetId="1"/>
      <sheetData sheetId="2"/>
      <sheetData sheetId="3"/>
      <sheetData sheetId="4"/>
      <sheetData sheetId="5">
        <row r="16">
          <cell r="B16">
            <v>18252</v>
          </cell>
          <cell r="C16">
            <v>34244</v>
          </cell>
          <cell r="D16">
            <v>19558</v>
          </cell>
          <cell r="E16">
            <v>30492</v>
          </cell>
          <cell r="F16">
            <v>5801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302</v>
          </cell>
          <cell r="C19">
            <v>665</v>
          </cell>
          <cell r="D19">
            <v>303</v>
          </cell>
          <cell r="E19">
            <v>605</v>
          </cell>
          <cell r="F19">
            <v>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1772</v>
          </cell>
          <cell r="C21">
            <v>0</v>
          </cell>
          <cell r="D21">
            <v>1771</v>
          </cell>
          <cell r="E21">
            <v>0</v>
          </cell>
          <cell r="F21">
            <v>0</v>
          </cell>
        </row>
        <row r="22">
          <cell r="B22">
            <v>410</v>
          </cell>
          <cell r="C22">
            <v>792</v>
          </cell>
          <cell r="D22">
            <v>415</v>
          </cell>
          <cell r="E22">
            <v>720</v>
          </cell>
          <cell r="F22">
            <v>108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142</v>
          </cell>
          <cell r="C24">
            <v>320</v>
          </cell>
          <cell r="D24">
            <v>114</v>
          </cell>
          <cell r="E24">
            <v>286</v>
          </cell>
          <cell r="F24">
            <v>36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112</v>
          </cell>
          <cell r="D32">
            <v>0</v>
          </cell>
          <cell r="E32">
            <v>441</v>
          </cell>
          <cell r="F32">
            <v>0</v>
          </cell>
        </row>
        <row r="33">
          <cell r="B33">
            <v>10</v>
          </cell>
          <cell r="C33">
            <v>30</v>
          </cell>
          <cell r="D33">
            <v>0</v>
          </cell>
          <cell r="E33">
            <v>0</v>
          </cell>
          <cell r="F33">
            <v>200</v>
          </cell>
        </row>
        <row r="37">
          <cell r="B37">
            <v>5488</v>
          </cell>
          <cell r="C37">
            <v>9456</v>
          </cell>
          <cell r="D37">
            <v>5841</v>
          </cell>
          <cell r="E37">
            <v>8515</v>
          </cell>
          <cell r="F37">
            <v>1591</v>
          </cell>
        </row>
        <row r="38">
          <cell r="B38">
            <v>317</v>
          </cell>
          <cell r="C38">
            <v>645</v>
          </cell>
          <cell r="D38">
            <v>293</v>
          </cell>
          <cell r="E38">
            <v>586</v>
          </cell>
          <cell r="F38">
            <v>88</v>
          </cell>
        </row>
        <row r="39">
          <cell r="B39">
            <v>72</v>
          </cell>
          <cell r="C39">
            <v>141</v>
          </cell>
          <cell r="D39">
            <v>69</v>
          </cell>
          <cell r="E39">
            <v>120</v>
          </cell>
          <cell r="F39">
            <v>82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75</v>
          </cell>
          <cell r="C41">
            <v>147</v>
          </cell>
          <cell r="D41">
            <v>74</v>
          </cell>
          <cell r="E41">
            <v>129</v>
          </cell>
          <cell r="F41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M26"/>
  <sheetViews>
    <sheetView workbookViewId="0">
      <selection activeCell="I6" sqref="I6"/>
    </sheetView>
  </sheetViews>
  <sheetFormatPr defaultColWidth="9.140625" defaultRowHeight="12.75"/>
  <cols>
    <col min="1" max="1" width="37.7109375" style="91" customWidth="1"/>
    <col min="2" max="5" width="11.28515625" style="91" customWidth="1"/>
    <col min="6" max="6" width="8" style="91" customWidth="1"/>
    <col min="7" max="7" width="37.7109375" style="91" customWidth="1"/>
    <col min="8" max="11" width="11.28515625" style="91" customWidth="1"/>
    <col min="12" max="12" width="7.85546875" style="91" customWidth="1"/>
    <col min="13" max="16384" width="9.140625" style="91"/>
  </cols>
  <sheetData>
    <row r="1" spans="1:13" ht="42.75" customHeight="1">
      <c r="A1" s="137" t="s">
        <v>43</v>
      </c>
      <c r="B1" s="140" t="s">
        <v>394</v>
      </c>
      <c r="C1" s="140" t="s">
        <v>415</v>
      </c>
      <c r="D1" s="144" t="s">
        <v>416</v>
      </c>
      <c r="E1" s="625" t="s">
        <v>417</v>
      </c>
      <c r="F1" s="625" t="s">
        <v>380</v>
      </c>
      <c r="G1" s="633" t="s">
        <v>84</v>
      </c>
      <c r="H1" s="140" t="s">
        <v>394</v>
      </c>
      <c r="I1" s="140" t="s">
        <v>415</v>
      </c>
      <c r="J1" s="144" t="s">
        <v>416</v>
      </c>
      <c r="K1" s="625" t="s">
        <v>417</v>
      </c>
      <c r="L1" s="157" t="s">
        <v>380</v>
      </c>
    </row>
    <row r="2" spans="1:13" ht="16.149999999999999" customHeight="1">
      <c r="A2" s="138" t="s">
        <v>90</v>
      </c>
      <c r="B2" s="141">
        <f>+'1.1.SZ.TÁBL. BEV - KIAD'!S7</f>
        <v>321181</v>
      </c>
      <c r="C2" s="141">
        <f>+'1.1.SZ.TÁBL. BEV - KIAD'!T7</f>
        <v>335639</v>
      </c>
      <c r="D2" s="145"/>
      <c r="E2" s="626"/>
      <c r="F2" s="643">
        <f>+C2/B2</f>
        <v>1.0450151160871908</v>
      </c>
      <c r="G2" s="634" t="s">
        <v>59</v>
      </c>
      <c r="H2" s="141">
        <f>+'1.1.SZ.TÁBL. BEV - KIAD'!S51</f>
        <v>177103</v>
      </c>
      <c r="I2" s="141">
        <f>+'1.1.SZ.TÁBL. BEV - KIAD'!T51</f>
        <v>191344</v>
      </c>
      <c r="J2" s="145"/>
      <c r="K2" s="626"/>
      <c r="L2" s="650">
        <f>+I2/H2</f>
        <v>1.0804108343732179</v>
      </c>
    </row>
    <row r="3" spans="1:13" ht="16.149999999999999" customHeight="1">
      <c r="A3" s="139" t="s">
        <v>92</v>
      </c>
      <c r="B3" s="141">
        <f>+'1.1.SZ.TÁBL. BEV - KIAD'!S21</f>
        <v>9020</v>
      </c>
      <c r="C3" s="142">
        <f>+'1.1.SZ.TÁBL. BEV - KIAD'!T21</f>
        <v>10656</v>
      </c>
      <c r="D3" s="146"/>
      <c r="E3" s="627"/>
      <c r="F3" s="644">
        <f>+C3/B3</f>
        <v>1.1813747228381375</v>
      </c>
      <c r="G3" s="635" t="s">
        <v>91</v>
      </c>
      <c r="H3" s="141">
        <f>+'1.1.SZ.TÁBL. BEV - KIAD'!S52</f>
        <v>51677</v>
      </c>
      <c r="I3" s="153">
        <f>+'1.1.SZ.TÁBL. BEV - KIAD'!T52</f>
        <v>46578</v>
      </c>
      <c r="J3" s="155"/>
      <c r="K3" s="627"/>
      <c r="L3" s="651">
        <f>+I3/H3</f>
        <v>0.90132941153704738</v>
      </c>
    </row>
    <row r="4" spans="1:13" ht="16.149999999999999" customHeight="1">
      <c r="A4" s="139" t="s">
        <v>350</v>
      </c>
      <c r="B4" s="141">
        <f>+'[3]1.SZ.TÁBL. TÁRSULÁS KON. MÉRLEG'!$C$4</f>
        <v>0</v>
      </c>
      <c r="C4" s="143">
        <f>+'1.1.SZ.TÁBL. BEV - KIAD'!T24</f>
        <v>0</v>
      </c>
      <c r="D4" s="46"/>
      <c r="E4" s="627"/>
      <c r="F4" s="644"/>
      <c r="G4" s="635" t="s">
        <v>93</v>
      </c>
      <c r="H4" s="141">
        <f>+'1.1.SZ.TÁBL. BEV - KIAD'!S84</f>
        <v>83858</v>
      </c>
      <c r="I4" s="142">
        <f>+'1.1.SZ.TÁBL. BEV - KIAD'!T84</f>
        <v>95260</v>
      </c>
      <c r="J4" s="146"/>
      <c r="K4" s="627"/>
      <c r="L4" s="651">
        <f>+I4/H4</f>
        <v>1.1359679458131604</v>
      </c>
    </row>
    <row r="5" spans="1:13" ht="16.149999999999999" customHeight="1">
      <c r="A5" s="139" t="s">
        <v>95</v>
      </c>
      <c r="B5" s="141">
        <f>+'[3]1.SZ.TÁBL. TÁRSULÁS KON. MÉRLEG'!$C$5</f>
        <v>0</v>
      </c>
      <c r="C5" s="143">
        <f>+'1.1.SZ.TÁBL. BEV - KIAD'!T28</f>
        <v>0</v>
      </c>
      <c r="D5" s="46"/>
      <c r="E5" s="627"/>
      <c r="F5" s="644"/>
      <c r="G5" s="636" t="s">
        <v>94</v>
      </c>
      <c r="H5" s="141">
        <f>+'[3]1.SZ.TÁBL. TÁRSULÁS KON. MÉRLEG'!$I5</f>
        <v>0</v>
      </c>
      <c r="I5" s="143"/>
      <c r="J5" s="46"/>
      <c r="K5" s="627"/>
      <c r="L5" s="651"/>
    </row>
    <row r="6" spans="1:13" ht="16.149999999999999" customHeight="1">
      <c r="A6" s="139"/>
      <c r="B6" s="143"/>
      <c r="C6" s="143"/>
      <c r="D6" s="46"/>
      <c r="E6" s="627"/>
      <c r="F6" s="644"/>
      <c r="G6" s="635" t="s">
        <v>96</v>
      </c>
      <c r="H6" s="141">
        <f>+'1.1.SZ.TÁBL. BEV - KIAD'!S85</f>
        <v>14717</v>
      </c>
      <c r="I6" s="142">
        <f>+'1.1.SZ.TÁBL. BEV - KIAD'!T85</f>
        <v>9580</v>
      </c>
      <c r="J6" s="46"/>
      <c r="K6" s="627"/>
      <c r="L6" s="651">
        <f>+I6/H6</f>
        <v>0.65094788340014953</v>
      </c>
    </row>
    <row r="7" spans="1:13" ht="16.149999999999999" customHeight="1">
      <c r="A7" s="139"/>
      <c r="B7" s="143"/>
      <c r="C7" s="143"/>
      <c r="D7" s="46"/>
      <c r="E7" s="627"/>
      <c r="F7" s="644"/>
      <c r="G7" s="636" t="s">
        <v>97</v>
      </c>
      <c r="H7" s="141">
        <f>+'1.1.SZ.TÁBL. BEV - KIAD'!S87</f>
        <v>2147</v>
      </c>
      <c r="I7" s="143">
        <f>+'1.1.SZ.TÁBL. BEV - KIAD'!T87</f>
        <v>2199</v>
      </c>
      <c r="J7" s="146"/>
      <c r="K7" s="627"/>
      <c r="L7" s="651">
        <f>+I7/H7</f>
        <v>1.024219841639497</v>
      </c>
    </row>
    <row r="8" spans="1:13" ht="16.149999999999999" customHeight="1">
      <c r="A8" s="147"/>
      <c r="B8" s="148"/>
      <c r="C8" s="148"/>
      <c r="D8" s="149"/>
      <c r="E8" s="628"/>
      <c r="F8" s="645"/>
      <c r="G8" s="637"/>
      <c r="H8" s="154"/>
      <c r="I8" s="154"/>
      <c r="J8" s="156"/>
      <c r="K8" s="628"/>
      <c r="L8" s="652"/>
    </row>
    <row r="9" spans="1:13" ht="16.149999999999999" customHeight="1">
      <c r="A9" s="158" t="s">
        <v>105</v>
      </c>
      <c r="B9" s="159">
        <f>SUM(B2:B8)</f>
        <v>330201</v>
      </c>
      <c r="C9" s="159">
        <f>SUM(C2:C8)</f>
        <v>346295</v>
      </c>
      <c r="D9" s="160"/>
      <c r="E9" s="629"/>
      <c r="F9" s="646">
        <f>+C9/B9</f>
        <v>1.0487400098727744</v>
      </c>
      <c r="G9" s="638" t="s">
        <v>107</v>
      </c>
      <c r="H9" s="159">
        <f>SUM(H2:H7)</f>
        <v>329502</v>
      </c>
      <c r="I9" s="159">
        <f>SUM(I2:I7)</f>
        <v>344961</v>
      </c>
      <c r="J9" s="160"/>
      <c r="K9" s="629"/>
      <c r="L9" s="653">
        <f>+I9/H9</f>
        <v>1.0469162554400278</v>
      </c>
    </row>
    <row r="10" spans="1:13" ht="16.149999999999999" customHeight="1">
      <c r="A10" s="170"/>
      <c r="B10" s="171"/>
      <c r="C10" s="171"/>
      <c r="D10" s="172"/>
      <c r="E10" s="630"/>
      <c r="F10" s="647"/>
      <c r="G10" s="639"/>
      <c r="H10" s="171"/>
      <c r="I10" s="171"/>
      <c r="J10" s="172"/>
      <c r="K10" s="630"/>
      <c r="L10" s="654"/>
    </row>
    <row r="11" spans="1:13" ht="16.149999999999999" customHeight="1">
      <c r="A11" s="138" t="s">
        <v>98</v>
      </c>
      <c r="B11" s="141">
        <f>+'1.1.SZ.TÁBL. BEV - KIAD'!S11</f>
        <v>2000</v>
      </c>
      <c r="C11" s="141">
        <f>+'1.1.SZ.TÁBL. BEV - KIAD'!T11</f>
        <v>0</v>
      </c>
      <c r="D11" s="145"/>
      <c r="E11" s="626"/>
      <c r="F11" s="643"/>
      <c r="G11" s="634" t="s">
        <v>99</v>
      </c>
      <c r="H11" s="141">
        <f>+'1.1.SZ.TÁBL. BEV - KIAD'!S100</f>
        <v>2699</v>
      </c>
      <c r="I11" s="162">
        <f>+'1.1.SZ.TÁBL. BEV - KIAD'!T100</f>
        <v>1334</v>
      </c>
      <c r="J11" s="165"/>
      <c r="K11" s="626"/>
      <c r="L11" s="650"/>
      <c r="M11" s="132"/>
    </row>
    <row r="12" spans="1:13" ht="16.149999999999999" customHeight="1">
      <c r="A12" s="161" t="s">
        <v>351</v>
      </c>
      <c r="B12" s="142"/>
      <c r="C12" s="142">
        <f>+'1.1.SZ.TÁBL. BEV - KIAD'!T26</f>
        <v>0</v>
      </c>
      <c r="D12" s="146"/>
      <c r="E12" s="627"/>
      <c r="F12" s="644"/>
      <c r="G12" s="635" t="s">
        <v>100</v>
      </c>
      <c r="H12" s="141">
        <f>+'[3]1.SZ.TÁBL. TÁRSULÁS KON. MÉRLEG'!$I12</f>
        <v>0</v>
      </c>
      <c r="I12" s="163">
        <f>+'1.1.SZ.TÁBL. BEV - KIAD'!T105</f>
        <v>0</v>
      </c>
      <c r="J12" s="166"/>
      <c r="K12" s="627"/>
      <c r="L12" s="651"/>
      <c r="M12" s="132"/>
    </row>
    <row r="13" spans="1:13" ht="16.149999999999999" customHeight="1">
      <c r="A13" s="139" t="s">
        <v>101</v>
      </c>
      <c r="B13" s="142"/>
      <c r="C13" s="142"/>
      <c r="D13" s="146"/>
      <c r="E13" s="627"/>
      <c r="F13" s="644"/>
      <c r="G13" s="635" t="s">
        <v>102</v>
      </c>
      <c r="H13" s="141">
        <f>+'[3]1.SZ.TÁBL. TÁRSULÁS KON. MÉRLEG'!$I13</f>
        <v>0</v>
      </c>
      <c r="I13" s="163">
        <f>+'1.1.SZ.TÁBL. BEV - KIAD'!T106</f>
        <v>0</v>
      </c>
      <c r="J13" s="166"/>
      <c r="K13" s="627"/>
      <c r="L13" s="651"/>
      <c r="M13" s="132"/>
    </row>
    <row r="14" spans="1:13" ht="16.149999999999999" customHeight="1">
      <c r="A14" s="139"/>
      <c r="B14" s="143"/>
      <c r="C14" s="143"/>
      <c r="D14" s="46"/>
      <c r="E14" s="627"/>
      <c r="F14" s="644"/>
      <c r="G14" s="635" t="s">
        <v>103</v>
      </c>
      <c r="H14" s="141">
        <f>+'[3]1.SZ.TÁBL. TÁRSULÁS KON. MÉRLEG'!$I14</f>
        <v>0</v>
      </c>
      <c r="I14" s="164"/>
      <c r="J14" s="166"/>
      <c r="K14" s="627"/>
      <c r="L14" s="651"/>
      <c r="M14" s="132"/>
    </row>
    <row r="15" spans="1:13" ht="16.149999999999999" customHeight="1">
      <c r="A15" s="173"/>
      <c r="B15" s="174"/>
      <c r="C15" s="174"/>
      <c r="D15" s="47"/>
      <c r="E15" s="628"/>
      <c r="F15" s="645"/>
      <c r="G15" s="640"/>
      <c r="H15" s="175"/>
      <c r="I15" s="175"/>
      <c r="J15" s="176"/>
      <c r="K15" s="628"/>
      <c r="L15" s="652"/>
    </row>
    <row r="16" spans="1:13" ht="16.149999999999999" customHeight="1" thickBot="1">
      <c r="A16" s="150" t="s">
        <v>106</v>
      </c>
      <c r="B16" s="151">
        <f>SUM(B11:B15)</f>
        <v>2000</v>
      </c>
      <c r="C16" s="151">
        <f>SUM(C11:C15)</f>
        <v>0</v>
      </c>
      <c r="D16" s="152"/>
      <c r="E16" s="631"/>
      <c r="F16" s="648"/>
      <c r="G16" s="641" t="s">
        <v>108</v>
      </c>
      <c r="H16" s="177">
        <f>SUM(H11:H15)</f>
        <v>2699</v>
      </c>
      <c r="I16" s="177">
        <f>SUM(I11:I15)</f>
        <v>1334</v>
      </c>
      <c r="J16" s="178"/>
      <c r="K16" s="631"/>
      <c r="L16" s="655"/>
    </row>
    <row r="17" spans="1:13" ht="16.149999999999999" customHeight="1" thickBot="1">
      <c r="A17" s="167" t="s">
        <v>104</v>
      </c>
      <c r="B17" s="168">
        <f>B9+B16</f>
        <v>332201</v>
      </c>
      <c r="C17" s="168">
        <f>C9+C16</f>
        <v>346295</v>
      </c>
      <c r="D17" s="135"/>
      <c r="E17" s="632"/>
      <c r="F17" s="649">
        <f>+C17/B17</f>
        <v>1.0424261215348538</v>
      </c>
      <c r="G17" s="642" t="s">
        <v>104</v>
      </c>
      <c r="H17" s="169">
        <f>H9+H16</f>
        <v>332201</v>
      </c>
      <c r="I17" s="169">
        <f>I9+I16</f>
        <v>346295</v>
      </c>
      <c r="J17" s="136"/>
      <c r="K17" s="632"/>
      <c r="L17" s="656">
        <f>+I17/H17</f>
        <v>1.0424261215348538</v>
      </c>
      <c r="M17" s="132"/>
    </row>
    <row r="18" spans="1:13" ht="16.149999999999999" customHeight="1"/>
    <row r="19" spans="1:13" ht="16.149999999999999" customHeight="1"/>
    <row r="20" spans="1:13" ht="16.149999999999999" customHeight="1"/>
    <row r="21" spans="1:13" ht="16.149999999999999" customHeight="1"/>
    <row r="22" spans="1:13" ht="16.149999999999999" customHeight="1"/>
    <row r="23" spans="1:13" ht="16.149999999999999" customHeight="1"/>
    <row r="24" spans="1:13" ht="16.149999999999999" customHeight="1"/>
    <row r="25" spans="1:13" ht="16.149999999999999" customHeight="1"/>
    <row r="26" spans="1:13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2" orientation="landscape" r:id="rId1"/>
  <headerFooter>
    <oddHeader>&amp;L&amp;"Times New Roman,Félkövér"&amp;13Szent László Völgye TKT&amp;C&amp;"Times New Roman,Félkövér"&amp;16 2017. ÉVI KÖLTSÉGVETÉS&amp;R1.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G80"/>
  <sheetViews>
    <sheetView topLeftCell="A4" workbookViewId="0">
      <selection activeCell="H13" sqref="H13"/>
    </sheetView>
  </sheetViews>
  <sheetFormatPr defaultColWidth="9.140625" defaultRowHeight="15"/>
  <cols>
    <col min="1" max="1" width="29" style="25" customWidth="1"/>
    <col min="2" max="7" width="14" style="25" customWidth="1"/>
    <col min="8" max="16384" width="9.140625" style="25"/>
  </cols>
  <sheetData>
    <row r="1" spans="1:7" s="34" customFormat="1" ht="45" customHeight="1">
      <c r="A1" s="692" t="s">
        <v>20</v>
      </c>
      <c r="B1" s="906" t="s">
        <v>391</v>
      </c>
      <c r="C1" s="907"/>
      <c r="D1" s="906" t="s">
        <v>392</v>
      </c>
      <c r="E1" s="908"/>
      <c r="F1" s="909" t="s">
        <v>21</v>
      </c>
      <c r="G1" s="910"/>
    </row>
    <row r="2" spans="1:7" s="34" customFormat="1" ht="21.6" customHeight="1">
      <c r="A2" s="693" t="s">
        <v>22</v>
      </c>
      <c r="B2" s="706" t="s">
        <v>412</v>
      </c>
      <c r="C2" s="706" t="s">
        <v>422</v>
      </c>
      <c r="D2" s="706" t="s">
        <v>412</v>
      </c>
      <c r="E2" s="767" t="s">
        <v>422</v>
      </c>
      <c r="F2" s="771" t="s">
        <v>412</v>
      </c>
      <c r="G2" s="701" t="s">
        <v>422</v>
      </c>
    </row>
    <row r="3" spans="1:7" s="34" customFormat="1" ht="16.5" customHeight="1">
      <c r="A3" s="694" t="s">
        <v>23</v>
      </c>
      <c r="B3" s="707"/>
      <c r="C3" s="707"/>
      <c r="D3" s="707"/>
      <c r="E3" s="763"/>
      <c r="F3" s="772"/>
      <c r="G3" s="702"/>
    </row>
    <row r="4" spans="1:7" s="34" customFormat="1" ht="16.5" customHeight="1">
      <c r="A4" s="695" t="s">
        <v>24</v>
      </c>
      <c r="B4" s="708">
        <v>1</v>
      </c>
      <c r="C4" s="708">
        <v>1</v>
      </c>
      <c r="D4" s="710"/>
      <c r="E4" s="764"/>
      <c r="F4" s="775">
        <f>+B4+D4</f>
        <v>1</v>
      </c>
      <c r="G4" s="703">
        <f>+C4+E4</f>
        <v>1</v>
      </c>
    </row>
    <row r="5" spans="1:7" s="34" customFormat="1" ht="16.5" customHeight="1">
      <c r="A5" s="695" t="s">
        <v>25</v>
      </c>
      <c r="B5" s="708">
        <v>1</v>
      </c>
      <c r="C5" s="708">
        <v>1</v>
      </c>
      <c r="D5" s="710"/>
      <c r="E5" s="764"/>
      <c r="F5" s="775">
        <f t="shared" ref="F5:F24" si="0">+B5+D5</f>
        <v>1</v>
      </c>
      <c r="G5" s="703">
        <f t="shared" ref="G5:G24" si="1">+C5+E5</f>
        <v>1</v>
      </c>
    </row>
    <row r="6" spans="1:7" s="34" customFormat="1" ht="16.5" customHeight="1">
      <c r="A6" s="695" t="s">
        <v>26</v>
      </c>
      <c r="B6" s="708">
        <v>1</v>
      </c>
      <c r="C6" s="708">
        <v>1</v>
      </c>
      <c r="D6" s="710"/>
      <c r="E6" s="764"/>
      <c r="F6" s="775">
        <f t="shared" si="0"/>
        <v>1</v>
      </c>
      <c r="G6" s="703">
        <f t="shared" si="1"/>
        <v>1</v>
      </c>
    </row>
    <row r="7" spans="1:7" s="34" customFormat="1" ht="16.5" customHeight="1">
      <c r="A7" s="695" t="s">
        <v>27</v>
      </c>
      <c r="B7" s="708">
        <v>1</v>
      </c>
      <c r="C7" s="708">
        <v>1</v>
      </c>
      <c r="D7" s="710"/>
      <c r="E7" s="764"/>
      <c r="F7" s="775">
        <f t="shared" si="0"/>
        <v>1</v>
      </c>
      <c r="G7" s="703">
        <f t="shared" si="1"/>
        <v>1</v>
      </c>
    </row>
    <row r="8" spans="1:7" s="34" customFormat="1" ht="16.5" customHeight="1">
      <c r="A8" s="695" t="s">
        <v>28</v>
      </c>
      <c r="B8" s="708">
        <v>0.5</v>
      </c>
      <c r="C8" s="708">
        <v>0.5</v>
      </c>
      <c r="D8" s="710"/>
      <c r="E8" s="764"/>
      <c r="F8" s="775">
        <f t="shared" si="0"/>
        <v>0.5</v>
      </c>
      <c r="G8" s="703">
        <f t="shared" si="1"/>
        <v>0.5</v>
      </c>
    </row>
    <row r="9" spans="1:7" s="34" customFormat="1" ht="16.5" customHeight="1">
      <c r="A9" s="695" t="s">
        <v>71</v>
      </c>
      <c r="B9" s="708">
        <v>0.5</v>
      </c>
      <c r="C9" s="708">
        <v>0.5</v>
      </c>
      <c r="D9" s="710"/>
      <c r="E9" s="764"/>
      <c r="F9" s="775">
        <f t="shared" si="0"/>
        <v>0.5</v>
      </c>
      <c r="G9" s="703">
        <f t="shared" si="1"/>
        <v>0.5</v>
      </c>
    </row>
    <row r="10" spans="1:7" s="34" customFormat="1" ht="16.5" customHeight="1">
      <c r="A10" s="695" t="s">
        <v>29</v>
      </c>
      <c r="B10" s="708">
        <v>1.5</v>
      </c>
      <c r="C10" s="708">
        <v>1.5</v>
      </c>
      <c r="D10" s="710"/>
      <c r="E10" s="764"/>
      <c r="F10" s="775">
        <f t="shared" si="0"/>
        <v>1.5</v>
      </c>
      <c r="G10" s="703">
        <f t="shared" si="1"/>
        <v>1.5</v>
      </c>
    </row>
    <row r="11" spans="1:7" s="34" customFormat="1" ht="16.5" customHeight="1">
      <c r="A11" s="695" t="s">
        <v>30</v>
      </c>
      <c r="B11" s="708">
        <v>6</v>
      </c>
      <c r="C11" s="708">
        <v>6</v>
      </c>
      <c r="D11" s="710"/>
      <c r="E11" s="764"/>
      <c r="F11" s="775">
        <f t="shared" si="0"/>
        <v>6</v>
      </c>
      <c r="G11" s="703">
        <f t="shared" si="1"/>
        <v>6</v>
      </c>
    </row>
    <row r="12" spans="1:7" s="34" customFormat="1" ht="16.5" customHeight="1">
      <c r="A12" s="695" t="s">
        <v>72</v>
      </c>
      <c r="B12" s="708">
        <v>2</v>
      </c>
      <c r="C12" s="708">
        <v>1</v>
      </c>
      <c r="D12" s="710"/>
      <c r="E12" s="764"/>
      <c r="F12" s="775">
        <f t="shared" si="0"/>
        <v>2</v>
      </c>
      <c r="G12" s="703">
        <f t="shared" si="1"/>
        <v>1</v>
      </c>
    </row>
    <row r="13" spans="1:7" s="34" customFormat="1" ht="16.5" customHeight="1">
      <c r="A13" s="695" t="s">
        <v>31</v>
      </c>
      <c r="B13" s="708">
        <v>14</v>
      </c>
      <c r="C13" s="708">
        <v>14</v>
      </c>
      <c r="D13" s="710"/>
      <c r="E13" s="764"/>
      <c r="F13" s="775">
        <f t="shared" si="0"/>
        <v>14</v>
      </c>
      <c r="G13" s="703">
        <f t="shared" si="1"/>
        <v>14</v>
      </c>
    </row>
    <row r="14" spans="1:7" s="34" customFormat="1" ht="16.5" customHeight="1">
      <c r="A14" s="695" t="s">
        <v>32</v>
      </c>
      <c r="B14" s="708">
        <v>2</v>
      </c>
      <c r="C14" s="708">
        <v>2</v>
      </c>
      <c r="D14" s="710"/>
      <c r="E14" s="764"/>
      <c r="F14" s="775">
        <f t="shared" si="0"/>
        <v>2</v>
      </c>
      <c r="G14" s="703">
        <f t="shared" si="1"/>
        <v>2</v>
      </c>
    </row>
    <row r="15" spans="1:7" s="34" customFormat="1" ht="16.5" customHeight="1">
      <c r="A15" s="695" t="s">
        <v>83</v>
      </c>
      <c r="B15" s="708">
        <v>1</v>
      </c>
      <c r="C15" s="708">
        <v>1</v>
      </c>
      <c r="D15" s="710"/>
      <c r="E15" s="764"/>
      <c r="F15" s="775">
        <f t="shared" si="0"/>
        <v>1</v>
      </c>
      <c r="G15" s="703">
        <f t="shared" si="1"/>
        <v>1</v>
      </c>
    </row>
    <row r="16" spans="1:7" s="34" customFormat="1" ht="16.5" customHeight="1">
      <c r="A16" s="696" t="s">
        <v>33</v>
      </c>
      <c r="B16" s="709">
        <f>SUM(B4:B15)</f>
        <v>31.5</v>
      </c>
      <c r="C16" s="709">
        <f>SUM(C4:C15)</f>
        <v>30.5</v>
      </c>
      <c r="D16" s="709"/>
      <c r="E16" s="765"/>
      <c r="F16" s="773">
        <f>SUM(F4:F15)</f>
        <v>31.5</v>
      </c>
      <c r="G16" s="704">
        <f>SUM(G4:G15)</f>
        <v>30.5</v>
      </c>
    </row>
    <row r="17" spans="1:7" s="34" customFormat="1" ht="16.5" customHeight="1">
      <c r="A17" s="697" t="s">
        <v>304</v>
      </c>
      <c r="B17" s="710"/>
      <c r="C17" s="710"/>
      <c r="D17" s="710"/>
      <c r="E17" s="764"/>
      <c r="F17" s="775"/>
      <c r="G17" s="703"/>
    </row>
    <row r="18" spans="1:7" ht="16.5" customHeight="1">
      <c r="A18" s="698" t="s">
        <v>24</v>
      </c>
      <c r="B18" s="711"/>
      <c r="C18" s="711"/>
      <c r="D18" s="711">
        <v>1</v>
      </c>
      <c r="E18" s="768">
        <v>1</v>
      </c>
      <c r="F18" s="775">
        <f t="shared" si="0"/>
        <v>1</v>
      </c>
      <c r="G18" s="703">
        <f t="shared" si="1"/>
        <v>1</v>
      </c>
    </row>
    <row r="19" spans="1:7" ht="16.5" customHeight="1">
      <c r="A19" s="698" t="s">
        <v>386</v>
      </c>
      <c r="B19" s="711"/>
      <c r="C19" s="711"/>
      <c r="D19" s="711">
        <v>2</v>
      </c>
      <c r="E19" s="768">
        <v>2</v>
      </c>
      <c r="F19" s="775">
        <f t="shared" si="0"/>
        <v>2</v>
      </c>
      <c r="G19" s="703">
        <f t="shared" si="1"/>
        <v>2</v>
      </c>
    </row>
    <row r="20" spans="1:7" ht="16.5" customHeight="1">
      <c r="A20" s="698" t="s">
        <v>34</v>
      </c>
      <c r="B20" s="711"/>
      <c r="C20" s="711"/>
      <c r="D20" s="711">
        <v>3</v>
      </c>
      <c r="E20" s="768">
        <v>3</v>
      </c>
      <c r="F20" s="775">
        <f t="shared" si="0"/>
        <v>3</v>
      </c>
      <c r="G20" s="703">
        <f t="shared" si="1"/>
        <v>3</v>
      </c>
    </row>
    <row r="21" spans="1:7" ht="16.5" customHeight="1">
      <c r="A21" s="698" t="s">
        <v>35</v>
      </c>
      <c r="B21" s="711"/>
      <c r="C21" s="711"/>
      <c r="D21" s="711">
        <v>18</v>
      </c>
      <c r="E21" s="768">
        <v>18</v>
      </c>
      <c r="F21" s="775">
        <f t="shared" si="0"/>
        <v>18</v>
      </c>
      <c r="G21" s="703">
        <f t="shared" si="1"/>
        <v>18</v>
      </c>
    </row>
    <row r="22" spans="1:7" ht="16.5" customHeight="1">
      <c r="A22" s="698" t="s">
        <v>303</v>
      </c>
      <c r="B22" s="711"/>
      <c r="C22" s="711"/>
      <c r="D22" s="711">
        <v>12.5</v>
      </c>
      <c r="E22" s="768">
        <v>12.5</v>
      </c>
      <c r="F22" s="775">
        <f t="shared" si="0"/>
        <v>12.5</v>
      </c>
      <c r="G22" s="703">
        <f t="shared" si="1"/>
        <v>12.5</v>
      </c>
    </row>
    <row r="23" spans="1:7" ht="16.5" customHeight="1">
      <c r="A23" s="698" t="s">
        <v>393</v>
      </c>
      <c r="B23" s="711"/>
      <c r="C23" s="711"/>
      <c r="D23" s="711">
        <v>2</v>
      </c>
      <c r="E23" s="768">
        <v>2</v>
      </c>
      <c r="F23" s="775">
        <f t="shared" si="0"/>
        <v>2</v>
      </c>
      <c r="G23" s="703">
        <f t="shared" si="1"/>
        <v>2</v>
      </c>
    </row>
    <row r="24" spans="1:7" ht="16.5" customHeight="1">
      <c r="A24" s="698" t="s">
        <v>36</v>
      </c>
      <c r="B24" s="711"/>
      <c r="C24" s="711"/>
      <c r="D24" s="711">
        <v>1</v>
      </c>
      <c r="E24" s="768">
        <v>1</v>
      </c>
      <c r="F24" s="775">
        <f t="shared" si="0"/>
        <v>1</v>
      </c>
      <c r="G24" s="703">
        <f t="shared" si="1"/>
        <v>1</v>
      </c>
    </row>
    <row r="25" spans="1:7" ht="15.75" thickBot="1">
      <c r="A25" s="699" t="s">
        <v>305</v>
      </c>
      <c r="B25" s="712"/>
      <c r="C25" s="712"/>
      <c r="D25" s="712">
        <f>SUM(D18:D24)</f>
        <v>39.5</v>
      </c>
      <c r="E25" s="769">
        <f>SUM(E18:E24)</f>
        <v>39.5</v>
      </c>
      <c r="F25" s="773">
        <f>SUM(F18:F24)</f>
        <v>39.5</v>
      </c>
      <c r="G25" s="704">
        <f>SUM(G18:G24)</f>
        <v>39.5</v>
      </c>
    </row>
    <row r="26" spans="1:7" ht="15.75" thickBot="1">
      <c r="A26" s="700" t="s">
        <v>37</v>
      </c>
      <c r="B26" s="713">
        <f>SUM(B16+B25)</f>
        <v>31.5</v>
      </c>
      <c r="C26" s="713">
        <f>SUM(C16+C25)</f>
        <v>30.5</v>
      </c>
      <c r="D26" s="713">
        <f>SUM(D16+D25)</f>
        <v>39.5</v>
      </c>
      <c r="E26" s="770">
        <f>SUM(E16+E25)</f>
        <v>39.5</v>
      </c>
      <c r="F26" s="774">
        <f>+F16+F25</f>
        <v>71</v>
      </c>
      <c r="G26" s="705">
        <f>+G16+G25</f>
        <v>70</v>
      </c>
    </row>
    <row r="76" spans="1:6">
      <c r="A76" s="35"/>
      <c r="B76" s="35"/>
      <c r="C76" s="35"/>
      <c r="D76" s="35"/>
      <c r="E76" s="766"/>
      <c r="F76" s="766"/>
    </row>
    <row r="77" spans="1:6">
      <c r="A77" s="36"/>
      <c r="B77" s="36"/>
      <c r="C77" s="36"/>
      <c r="D77" s="36"/>
      <c r="E77" s="766"/>
      <c r="F77" s="766"/>
    </row>
    <row r="78" spans="1:6">
      <c r="A78" s="36"/>
      <c r="B78" s="36"/>
      <c r="C78" s="36"/>
      <c r="D78" s="36"/>
      <c r="E78" s="766"/>
      <c r="F78" s="766"/>
    </row>
    <row r="79" spans="1:6">
      <c r="A79" s="36"/>
      <c r="B79" s="36"/>
      <c r="C79" s="36"/>
      <c r="D79" s="36"/>
      <c r="E79" s="766"/>
      <c r="F79" s="766"/>
    </row>
    <row r="80" spans="1:6">
      <c r="A80" s="37"/>
      <c r="B80" s="37"/>
      <c r="C80" s="37"/>
      <c r="D80" s="37"/>
      <c r="E80" s="766"/>
      <c r="F80" s="766"/>
    </row>
  </sheetData>
  <mergeCells count="3">
    <mergeCell ref="B1:C1"/>
    <mergeCell ref="D1:E1"/>
    <mergeCell ref="F1:G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Roman,Félkövér"&amp;14
&amp;16 2017. ÉVI KÖLTSÉGVETÉS&amp;14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H113"/>
  <sheetViews>
    <sheetView workbookViewId="0">
      <pane xSplit="2" ySplit="2" topLeftCell="C93" activePane="bottomRight" state="frozen"/>
      <selection pane="topRight" activeCell="C1" sqref="C1"/>
      <selection pane="bottomLeft" activeCell="A3" sqref="A3"/>
      <selection pane="bottomRight" activeCell="P108" sqref="P108"/>
    </sheetView>
  </sheetViews>
  <sheetFormatPr defaultColWidth="8.85546875" defaultRowHeight="12.75"/>
  <cols>
    <col min="1" max="1" width="6.28515625" style="1" customWidth="1"/>
    <col min="2" max="2" width="48" style="31" customWidth="1"/>
    <col min="3" max="3" width="10.42578125" style="31" customWidth="1"/>
    <col min="4" max="5" width="10.42578125" style="32" customWidth="1"/>
    <col min="6" max="6" width="10.42578125" style="804" customWidth="1"/>
    <col min="7" max="7" width="10.42578125" style="32" customWidth="1"/>
    <col min="8" max="9" width="10.42578125" style="31" customWidth="1"/>
    <col min="10" max="10" width="10.42578125" style="804" customWidth="1"/>
    <col min="11" max="11" width="10.42578125" style="31" customWidth="1"/>
    <col min="12" max="15" width="10.42578125" style="33" customWidth="1"/>
    <col min="16" max="17" width="10.42578125" style="14" customWidth="1"/>
    <col min="18" max="18" width="10.42578125" style="804" customWidth="1"/>
    <col min="19" max="21" width="10.42578125" style="14" customWidth="1"/>
    <col min="22" max="22" width="10.42578125" style="804" customWidth="1"/>
    <col min="23" max="23" width="8.85546875" style="1"/>
    <col min="24" max="24" width="10.85546875" style="2" bestFit="1" customWidth="1"/>
    <col min="25" max="16384" width="8.85546875" style="1"/>
  </cols>
  <sheetData>
    <row r="1" spans="1:24" s="181" customFormat="1" ht="45.75" customHeight="1">
      <c r="A1" s="865" t="s">
        <v>150</v>
      </c>
      <c r="B1" s="867" t="s">
        <v>175</v>
      </c>
      <c r="C1" s="853" t="s">
        <v>88</v>
      </c>
      <c r="D1" s="854"/>
      <c r="E1" s="854"/>
      <c r="F1" s="855"/>
      <c r="G1" s="856" t="s">
        <v>109</v>
      </c>
      <c r="H1" s="857"/>
      <c r="I1" s="857"/>
      <c r="J1" s="858"/>
      <c r="K1" s="856" t="s">
        <v>73</v>
      </c>
      <c r="L1" s="857"/>
      <c r="M1" s="857"/>
      <c r="N1" s="858"/>
      <c r="O1" s="856" t="s">
        <v>89</v>
      </c>
      <c r="P1" s="857"/>
      <c r="Q1" s="857"/>
      <c r="R1" s="858"/>
      <c r="S1" s="856" t="s">
        <v>74</v>
      </c>
      <c r="T1" s="857"/>
      <c r="U1" s="857"/>
      <c r="V1" s="858"/>
      <c r="X1" s="182"/>
    </row>
    <row r="2" spans="1:24" s="183" customFormat="1" ht="29.45" customHeight="1">
      <c r="A2" s="866"/>
      <c r="B2" s="868"/>
      <c r="C2" s="192" t="s">
        <v>411</v>
      </c>
      <c r="D2" s="193" t="s">
        <v>418</v>
      </c>
      <c r="E2" s="193" t="s">
        <v>419</v>
      </c>
      <c r="F2" s="782" t="s">
        <v>380</v>
      </c>
      <c r="G2" s="192" t="s">
        <v>411</v>
      </c>
      <c r="H2" s="193" t="s">
        <v>418</v>
      </c>
      <c r="I2" s="193" t="s">
        <v>419</v>
      </c>
      <c r="J2" s="782" t="s">
        <v>380</v>
      </c>
      <c r="K2" s="192" t="s">
        <v>411</v>
      </c>
      <c r="L2" s="193" t="s">
        <v>418</v>
      </c>
      <c r="M2" s="193" t="s">
        <v>419</v>
      </c>
      <c r="N2" s="187" t="s">
        <v>380</v>
      </c>
      <c r="O2" s="192" t="s">
        <v>411</v>
      </c>
      <c r="P2" s="193" t="s">
        <v>418</v>
      </c>
      <c r="Q2" s="193" t="s">
        <v>419</v>
      </c>
      <c r="R2" s="782" t="s">
        <v>380</v>
      </c>
      <c r="S2" s="192" t="s">
        <v>411</v>
      </c>
      <c r="T2" s="193" t="s">
        <v>418</v>
      </c>
      <c r="U2" s="193" t="s">
        <v>419</v>
      </c>
      <c r="V2" s="782" t="s">
        <v>380</v>
      </c>
      <c r="X2" s="184"/>
    </row>
    <row r="3" spans="1:24" ht="13.5" customHeight="1">
      <c r="A3" s="194" t="s">
        <v>151</v>
      </c>
      <c r="B3" s="215" t="s">
        <v>111</v>
      </c>
      <c r="C3" s="70"/>
      <c r="D3" s="92"/>
      <c r="E3" s="92"/>
      <c r="F3" s="783"/>
      <c r="G3" s="70"/>
      <c r="H3" s="92"/>
      <c r="I3" s="92"/>
      <c r="J3" s="783"/>
      <c r="K3" s="70"/>
      <c r="L3" s="92"/>
      <c r="M3" s="92"/>
      <c r="N3" s="134"/>
      <c r="O3" s="70"/>
      <c r="P3" s="92"/>
      <c r="Q3" s="92"/>
      <c r="R3" s="783"/>
      <c r="S3" s="70">
        <f>+K3+O3</f>
        <v>0</v>
      </c>
      <c r="T3" s="92">
        <f>+L3+P3</f>
        <v>0</v>
      </c>
      <c r="U3" s="92"/>
      <c r="V3" s="783"/>
    </row>
    <row r="4" spans="1:24" ht="13.5" customHeight="1">
      <c r="A4" s="195" t="s">
        <v>152</v>
      </c>
      <c r="B4" s="216" t="s">
        <v>112</v>
      </c>
      <c r="C4" s="72"/>
      <c r="D4" s="88"/>
      <c r="E4" s="88"/>
      <c r="F4" s="784"/>
      <c r="G4" s="72"/>
      <c r="H4" s="88"/>
      <c r="I4" s="88"/>
      <c r="J4" s="784"/>
      <c r="K4" s="72"/>
      <c r="L4" s="88"/>
      <c r="M4" s="88"/>
      <c r="N4" s="29"/>
      <c r="O4" s="72">
        <f>+SUM(O5:O6)</f>
        <v>321181</v>
      </c>
      <c r="P4" s="88">
        <f>+SUM(P5:P6)</f>
        <v>335639</v>
      </c>
      <c r="Q4" s="88"/>
      <c r="R4" s="784">
        <f>+P4/O4</f>
        <v>1.0450151160871908</v>
      </c>
      <c r="S4" s="70">
        <f>+SUM(S5:S6)</f>
        <v>321181</v>
      </c>
      <c r="T4" s="92">
        <f>+SUM(T5:T6)</f>
        <v>335639</v>
      </c>
      <c r="U4" s="88"/>
      <c r="V4" s="784">
        <f>+T4/S4</f>
        <v>1.0450151160871908</v>
      </c>
    </row>
    <row r="5" spans="1:24" s="342" customFormat="1" ht="13.5" customHeight="1">
      <c r="A5" s="197"/>
      <c r="B5" s="198" t="s">
        <v>113</v>
      </c>
      <c r="C5" s="449"/>
      <c r="D5" s="450"/>
      <c r="E5" s="450"/>
      <c r="F5" s="785"/>
      <c r="G5" s="449"/>
      <c r="H5" s="450"/>
      <c r="I5" s="450"/>
      <c r="J5" s="785"/>
      <c r="K5" s="449"/>
      <c r="L5" s="450"/>
      <c r="M5" s="450"/>
      <c r="N5" s="451"/>
      <c r="O5" s="449">
        <f>+'[4]1.1.SZ.TÁBL. BEV - KIAD'!$P$5</f>
        <v>29220</v>
      </c>
      <c r="P5" s="450">
        <f>+'2.SZ.TÁBL. BEVÉTELEK'!D4</f>
        <v>29220</v>
      </c>
      <c r="Q5" s="450"/>
      <c r="R5" s="785">
        <f>+P5/O5</f>
        <v>1</v>
      </c>
      <c r="S5" s="452">
        <f t="shared" ref="S5:T6" si="0">+K5+O5</f>
        <v>29220</v>
      </c>
      <c r="T5" s="461">
        <f t="shared" si="0"/>
        <v>29220</v>
      </c>
      <c r="U5" s="450"/>
      <c r="V5" s="785">
        <f>+T5/S5</f>
        <v>1</v>
      </c>
      <c r="X5" s="453"/>
    </row>
    <row r="6" spans="1:24" s="332" customFormat="1" ht="13.5" customHeight="1">
      <c r="A6" s="206"/>
      <c r="B6" s="217" t="s">
        <v>114</v>
      </c>
      <c r="C6" s="454"/>
      <c r="D6" s="455"/>
      <c r="E6" s="455"/>
      <c r="F6" s="786"/>
      <c r="G6" s="454"/>
      <c r="H6" s="455"/>
      <c r="I6" s="455"/>
      <c r="J6" s="786"/>
      <c r="K6" s="454"/>
      <c r="L6" s="455"/>
      <c r="M6" s="455"/>
      <c r="N6" s="456"/>
      <c r="O6" s="454">
        <f>+'[4]1.1.SZ.TÁBL. BEV - KIAD'!$P$6</f>
        <v>291961</v>
      </c>
      <c r="P6" s="455">
        <f>+'2.SZ.TÁBL. BEVÉTELEK'!D64</f>
        <v>306419</v>
      </c>
      <c r="Q6" s="455"/>
      <c r="R6" s="786">
        <f>+P6/O6</f>
        <v>1.049520312644497</v>
      </c>
      <c r="S6" s="452">
        <f t="shared" si="0"/>
        <v>291961</v>
      </c>
      <c r="T6" s="461">
        <f t="shared" si="0"/>
        <v>306419</v>
      </c>
      <c r="U6" s="455"/>
      <c r="V6" s="786">
        <f>+T6/S6</f>
        <v>1.049520312644497</v>
      </c>
      <c r="W6" s="457"/>
      <c r="X6" s="457"/>
    </row>
    <row r="7" spans="1:24" s="3" customFormat="1" ht="13.5" customHeight="1">
      <c r="A7" s="185" t="s">
        <v>153</v>
      </c>
      <c r="B7" s="180" t="s">
        <v>115</v>
      </c>
      <c r="C7" s="474"/>
      <c r="D7" s="475"/>
      <c r="E7" s="475"/>
      <c r="F7" s="787"/>
      <c r="G7" s="474"/>
      <c r="H7" s="475"/>
      <c r="I7" s="477"/>
      <c r="J7" s="787"/>
      <c r="K7" s="474"/>
      <c r="L7" s="475"/>
      <c r="M7" s="475"/>
      <c r="N7" s="476"/>
      <c r="O7" s="478">
        <f>+O3+O4</f>
        <v>321181</v>
      </c>
      <c r="P7" s="479">
        <f>+P3+P4</f>
        <v>335639</v>
      </c>
      <c r="Q7" s="479"/>
      <c r="R7" s="793">
        <f>+P7/O7</f>
        <v>1.0450151160871908</v>
      </c>
      <c r="S7" s="474">
        <f>+S3+S4</f>
        <v>321181</v>
      </c>
      <c r="T7" s="475">
        <f>+T3+T4</f>
        <v>335639</v>
      </c>
      <c r="U7" s="475"/>
      <c r="V7" s="787">
        <f>+T7/S7</f>
        <v>1.0450151160871908</v>
      </c>
      <c r="X7" s="4"/>
    </row>
    <row r="8" spans="1:24" ht="13.5" customHeight="1">
      <c r="A8" s="207" t="s">
        <v>154</v>
      </c>
      <c r="B8" s="218" t="s">
        <v>149</v>
      </c>
      <c r="C8" s="70"/>
      <c r="D8" s="92"/>
      <c r="E8" s="92"/>
      <c r="F8" s="783"/>
      <c r="G8" s="70"/>
      <c r="H8" s="92"/>
      <c r="I8" s="17"/>
      <c r="J8" s="783"/>
      <c r="K8" s="70"/>
      <c r="L8" s="92"/>
      <c r="M8" s="92"/>
      <c r="N8" s="134"/>
      <c r="O8" s="5"/>
      <c r="P8" s="90"/>
      <c r="Q8" s="90"/>
      <c r="R8" s="794"/>
      <c r="S8" s="70">
        <f>+K8+O8</f>
        <v>0</v>
      </c>
      <c r="T8" s="92">
        <f>+L8+P8</f>
        <v>0</v>
      </c>
      <c r="U8" s="92"/>
      <c r="V8" s="783"/>
    </row>
    <row r="9" spans="1:24" ht="13.5" customHeight="1">
      <c r="A9" s="195" t="s">
        <v>155</v>
      </c>
      <c r="B9" s="216" t="s">
        <v>116</v>
      </c>
      <c r="C9" s="72"/>
      <c r="D9" s="88"/>
      <c r="E9" s="88"/>
      <c r="F9" s="784"/>
      <c r="G9" s="72"/>
      <c r="H9" s="88"/>
      <c r="I9" s="15"/>
      <c r="J9" s="784"/>
      <c r="K9" s="72"/>
      <c r="L9" s="88"/>
      <c r="M9" s="88"/>
      <c r="N9" s="29"/>
      <c r="O9" s="6">
        <f>+'[4]1.1.SZ.TÁBL. BEV - KIAD'!$P$9</f>
        <v>2000</v>
      </c>
      <c r="P9" s="179">
        <f>+P10</f>
        <v>0</v>
      </c>
      <c r="Q9" s="179"/>
      <c r="R9" s="796"/>
      <c r="S9" s="70">
        <f>+SUM(S10)</f>
        <v>2000</v>
      </c>
      <c r="T9" s="92">
        <f>+SUM(T10)</f>
        <v>0</v>
      </c>
      <c r="U9" s="88"/>
      <c r="V9" s="784"/>
    </row>
    <row r="10" spans="1:24" s="342" customFormat="1" ht="13.5" customHeight="1">
      <c r="A10" s="206"/>
      <c r="B10" s="217" t="s">
        <v>114</v>
      </c>
      <c r="C10" s="454"/>
      <c r="D10" s="455"/>
      <c r="E10" s="455"/>
      <c r="F10" s="786"/>
      <c r="G10" s="454"/>
      <c r="H10" s="455"/>
      <c r="I10" s="458"/>
      <c r="J10" s="786"/>
      <c r="K10" s="454"/>
      <c r="L10" s="455"/>
      <c r="M10" s="455"/>
      <c r="N10" s="456"/>
      <c r="O10" s="459">
        <f>+'[4]1.1.SZ.TÁBL. BEV - KIAD'!$P$10</f>
        <v>2000</v>
      </c>
      <c r="P10" s="460">
        <f>+'2.SZ.TÁBL. BEVÉTELEK'!D69</f>
        <v>0</v>
      </c>
      <c r="Q10" s="460"/>
      <c r="R10" s="798"/>
      <c r="S10" s="452">
        <f t="shared" ref="S10:T10" si="1">+K10+O10</f>
        <v>2000</v>
      </c>
      <c r="T10" s="461">
        <f t="shared" si="1"/>
        <v>0</v>
      </c>
      <c r="U10" s="455"/>
      <c r="V10" s="786"/>
      <c r="X10" s="453"/>
    </row>
    <row r="11" spans="1:24" s="3" customFormat="1" ht="13.5" customHeight="1">
      <c r="A11" s="185" t="s">
        <v>156</v>
      </c>
      <c r="B11" s="180" t="s">
        <v>117</v>
      </c>
      <c r="C11" s="474"/>
      <c r="D11" s="475"/>
      <c r="E11" s="475"/>
      <c r="F11" s="787"/>
      <c r="G11" s="474"/>
      <c r="H11" s="475"/>
      <c r="I11" s="477"/>
      <c r="J11" s="787"/>
      <c r="K11" s="474"/>
      <c r="L11" s="475"/>
      <c r="M11" s="475"/>
      <c r="N11" s="476"/>
      <c r="O11" s="478">
        <f>+O8+O9</f>
        <v>2000</v>
      </c>
      <c r="P11" s="479">
        <f>+P8+P9</f>
        <v>0</v>
      </c>
      <c r="Q11" s="479"/>
      <c r="R11" s="793"/>
      <c r="S11" s="474">
        <f>+S8+S9</f>
        <v>2000</v>
      </c>
      <c r="T11" s="475">
        <f>+T8+T9</f>
        <v>0</v>
      </c>
      <c r="U11" s="475"/>
      <c r="V11" s="787"/>
      <c r="X11" s="4"/>
    </row>
    <row r="12" spans="1:24" ht="13.5" customHeight="1">
      <c r="A12" s="207" t="s">
        <v>157</v>
      </c>
      <c r="B12" s="218" t="s">
        <v>118</v>
      </c>
      <c r="C12" s="70">
        <f>+'[3]1.1.SZ.TÁBL. BEV - KIAD'!$C12</f>
        <v>0</v>
      </c>
      <c r="D12" s="92">
        <f>+'3.SZ.TÁBL. SEGÍTŐ SZOLGÁLAT'!AB12</f>
        <v>0</v>
      </c>
      <c r="E12" s="92"/>
      <c r="F12" s="783"/>
      <c r="G12" s="70"/>
      <c r="H12" s="92"/>
      <c r="I12" s="92"/>
      <c r="J12" s="783"/>
      <c r="K12" s="70">
        <f>+C12+G12</f>
        <v>0</v>
      </c>
      <c r="L12" s="92">
        <f>+D12+H12</f>
        <v>0</v>
      </c>
      <c r="M12" s="92"/>
      <c r="N12" s="134"/>
      <c r="O12" s="5"/>
      <c r="P12" s="90"/>
      <c r="Q12" s="92"/>
      <c r="R12" s="783"/>
      <c r="S12" s="70">
        <f t="shared" ref="S12:T75" si="2">+K12+O12</f>
        <v>0</v>
      </c>
      <c r="T12" s="92">
        <f t="shared" si="2"/>
        <v>0</v>
      </c>
      <c r="U12" s="92"/>
      <c r="V12" s="783"/>
    </row>
    <row r="13" spans="1:24" ht="13.5" customHeight="1">
      <c r="A13" s="195" t="s">
        <v>158</v>
      </c>
      <c r="B13" s="216" t="s">
        <v>119</v>
      </c>
      <c r="C13" s="72">
        <f>+'[4]1.1.SZ.TÁBL. BEV - KIAD'!$D$13</f>
        <v>1925</v>
      </c>
      <c r="D13" s="88">
        <f>+'3.SZ.TÁBL. SEGÍTŐ SZOLGÁLAT'!AB13</f>
        <v>1237</v>
      </c>
      <c r="E13" s="88"/>
      <c r="F13" s="784">
        <f>+D13/C13</f>
        <v>0.64259740259740261</v>
      </c>
      <c r="G13" s="72"/>
      <c r="H13" s="88"/>
      <c r="I13" s="15"/>
      <c r="J13" s="784"/>
      <c r="K13" s="72">
        <f t="shared" ref="K13:L20" si="3">+C13+G13</f>
        <v>1925</v>
      </c>
      <c r="L13" s="88">
        <f t="shared" si="3"/>
        <v>1237</v>
      </c>
      <c r="M13" s="88"/>
      <c r="N13" s="784">
        <f>+L13/K13</f>
        <v>0.64259740259740261</v>
      </c>
      <c r="O13" s="6"/>
      <c r="P13" s="179"/>
      <c r="Q13" s="179"/>
      <c r="R13" s="796"/>
      <c r="S13" s="72">
        <f t="shared" si="2"/>
        <v>1925</v>
      </c>
      <c r="T13" s="88">
        <f t="shared" si="2"/>
        <v>1237</v>
      </c>
      <c r="U13" s="88"/>
      <c r="V13" s="784">
        <f>+T13/S13</f>
        <v>0.64259740259740261</v>
      </c>
    </row>
    <row r="14" spans="1:24" ht="13.5" customHeight="1">
      <c r="A14" s="195" t="s">
        <v>159</v>
      </c>
      <c r="B14" s="216" t="s">
        <v>120</v>
      </c>
      <c r="C14" s="72">
        <f>+'[3]1.1.SZ.TÁBL. BEV - KIAD'!$C14</f>
        <v>0</v>
      </c>
      <c r="D14" s="88">
        <f>+'3.SZ.TÁBL. SEGÍTŐ SZOLGÁLAT'!AB14</f>
        <v>0</v>
      </c>
      <c r="E14" s="88"/>
      <c r="F14" s="784"/>
      <c r="G14" s="72"/>
      <c r="H14" s="88"/>
      <c r="I14" s="88"/>
      <c r="J14" s="784"/>
      <c r="K14" s="72">
        <f t="shared" si="3"/>
        <v>0</v>
      </c>
      <c r="L14" s="88">
        <f t="shared" si="3"/>
        <v>0</v>
      </c>
      <c r="M14" s="88"/>
      <c r="N14" s="784"/>
      <c r="O14" s="6"/>
      <c r="P14" s="179"/>
      <c r="Q14" s="88"/>
      <c r="R14" s="784"/>
      <c r="S14" s="72">
        <f t="shared" si="2"/>
        <v>0</v>
      </c>
      <c r="T14" s="88">
        <f t="shared" si="2"/>
        <v>0</v>
      </c>
      <c r="U14" s="88"/>
      <c r="V14" s="784"/>
    </row>
    <row r="15" spans="1:24" ht="13.5" customHeight="1">
      <c r="A15" s="195" t="s">
        <v>160</v>
      </c>
      <c r="B15" s="216" t="s">
        <v>121</v>
      </c>
      <c r="C15" s="72">
        <f>+'[3]1.1.SZ.TÁBL. BEV - KIAD'!$C15</f>
        <v>0</v>
      </c>
      <c r="D15" s="88">
        <f>+'3.SZ.TÁBL. SEGÍTŐ SZOLGÁLAT'!AB15</f>
        <v>0</v>
      </c>
      <c r="E15" s="88"/>
      <c r="F15" s="784"/>
      <c r="G15" s="72"/>
      <c r="H15" s="88"/>
      <c r="I15" s="15"/>
      <c r="J15" s="784"/>
      <c r="K15" s="72">
        <f t="shared" si="3"/>
        <v>0</v>
      </c>
      <c r="L15" s="88">
        <f t="shared" si="3"/>
        <v>0</v>
      </c>
      <c r="M15" s="88"/>
      <c r="N15" s="784"/>
      <c r="O15" s="6"/>
      <c r="P15" s="179"/>
      <c r="Q15" s="179"/>
      <c r="R15" s="796"/>
      <c r="S15" s="72">
        <f t="shared" si="2"/>
        <v>0</v>
      </c>
      <c r="T15" s="88">
        <f t="shared" si="2"/>
        <v>0</v>
      </c>
      <c r="U15" s="179"/>
      <c r="V15" s="796"/>
    </row>
    <row r="16" spans="1:24" ht="13.5" customHeight="1">
      <c r="A16" s="195" t="s">
        <v>161</v>
      </c>
      <c r="B16" s="216" t="s">
        <v>122</v>
      </c>
      <c r="C16" s="72">
        <f>+'[4]1.1.SZ.TÁBL. BEV - KIAD'!$D$16</f>
        <v>7095</v>
      </c>
      <c r="D16" s="88">
        <f>+'3.SZ.TÁBL. SEGÍTŐ SZOLGÁLAT'!AB16</f>
        <v>9419</v>
      </c>
      <c r="E16" s="88"/>
      <c r="F16" s="784">
        <f>+D16/C16</f>
        <v>1.3275546159267089</v>
      </c>
      <c r="G16" s="72">
        <f>+'[4]1.1.SZ.TÁBL. BEV - KIAD'!$H$16</f>
        <v>0</v>
      </c>
      <c r="H16" s="88">
        <f>+'4.SZ.TÁBL. ÓVODA'!R16</f>
        <v>0</v>
      </c>
      <c r="I16" s="15"/>
      <c r="J16" s="784"/>
      <c r="K16" s="72">
        <f>+C16+G16</f>
        <v>7095</v>
      </c>
      <c r="L16" s="88">
        <f t="shared" si="3"/>
        <v>9419</v>
      </c>
      <c r="M16" s="88"/>
      <c r="N16" s="784">
        <f>+L16/K16</f>
        <v>1.3275546159267089</v>
      </c>
      <c r="O16" s="6"/>
      <c r="P16" s="179"/>
      <c r="Q16" s="179"/>
      <c r="R16" s="796"/>
      <c r="S16" s="72">
        <f t="shared" si="2"/>
        <v>7095</v>
      </c>
      <c r="T16" s="88">
        <f t="shared" si="2"/>
        <v>9419</v>
      </c>
      <c r="U16" s="179"/>
      <c r="V16" s="796">
        <f>+T16/S16</f>
        <v>1.3275546159267089</v>
      </c>
    </row>
    <row r="17" spans="1:24" ht="13.5" customHeight="1">
      <c r="A17" s="195" t="s">
        <v>162</v>
      </c>
      <c r="B17" s="216" t="s">
        <v>123</v>
      </c>
      <c r="C17" s="72">
        <f>+'[3]1.1.SZ.TÁBL. BEV - KIAD'!$C17</f>
        <v>0</v>
      </c>
      <c r="D17" s="88">
        <f>+'3.SZ.TÁBL. SEGÍTŐ SZOLGÁLAT'!AB17</f>
        <v>0</v>
      </c>
      <c r="E17" s="88"/>
      <c r="F17" s="784"/>
      <c r="G17" s="72"/>
      <c r="H17" s="88"/>
      <c r="I17" s="15"/>
      <c r="J17" s="784"/>
      <c r="K17" s="72">
        <f t="shared" si="3"/>
        <v>0</v>
      </c>
      <c r="L17" s="88">
        <f t="shared" si="3"/>
        <v>0</v>
      </c>
      <c r="M17" s="88"/>
      <c r="N17" s="784"/>
      <c r="O17" s="6"/>
      <c r="P17" s="179"/>
      <c r="Q17" s="179"/>
      <c r="R17" s="796"/>
      <c r="S17" s="72">
        <f t="shared" si="2"/>
        <v>0</v>
      </c>
      <c r="T17" s="88">
        <f t="shared" si="2"/>
        <v>0</v>
      </c>
      <c r="U17" s="179"/>
      <c r="V17" s="796"/>
    </row>
    <row r="18" spans="1:24" ht="13.5" customHeight="1">
      <c r="A18" s="195" t="s">
        <v>163</v>
      </c>
      <c r="B18" s="216" t="s">
        <v>124</v>
      </c>
      <c r="C18" s="72">
        <f>+'[3]1.1.SZ.TÁBL. BEV - KIAD'!$C18</f>
        <v>0</v>
      </c>
      <c r="D18" s="88">
        <f>+'3.SZ.TÁBL. SEGÍTŐ SZOLGÁLAT'!AB18</f>
        <v>0</v>
      </c>
      <c r="E18" s="88"/>
      <c r="F18" s="784"/>
      <c r="G18" s="72"/>
      <c r="H18" s="88"/>
      <c r="I18" s="15"/>
      <c r="J18" s="784"/>
      <c r="K18" s="72">
        <f t="shared" si="3"/>
        <v>0</v>
      </c>
      <c r="L18" s="88">
        <f t="shared" si="3"/>
        <v>0</v>
      </c>
      <c r="M18" s="88"/>
      <c r="N18" s="784"/>
      <c r="O18" s="6"/>
      <c r="P18" s="179"/>
      <c r="Q18" s="179"/>
      <c r="R18" s="796"/>
      <c r="S18" s="72">
        <f t="shared" si="2"/>
        <v>0</v>
      </c>
      <c r="T18" s="88">
        <f t="shared" si="2"/>
        <v>0</v>
      </c>
      <c r="U18" s="179"/>
      <c r="V18" s="796"/>
    </row>
    <row r="19" spans="1:24" ht="13.5" customHeight="1">
      <c r="A19" s="195" t="s">
        <v>164</v>
      </c>
      <c r="B19" s="216" t="s">
        <v>125</v>
      </c>
      <c r="C19" s="72">
        <f>+'[3]1.1.SZ.TÁBL. BEV - KIAD'!$C19</f>
        <v>0</v>
      </c>
      <c r="D19" s="88">
        <f>+'3.SZ.TÁBL. SEGÍTŐ SZOLGÁLAT'!AB19</f>
        <v>0</v>
      </c>
      <c r="E19" s="88"/>
      <c r="F19" s="784"/>
      <c r="G19" s="72"/>
      <c r="H19" s="88"/>
      <c r="I19" s="15"/>
      <c r="J19" s="784"/>
      <c r="K19" s="72">
        <f t="shared" si="3"/>
        <v>0</v>
      </c>
      <c r="L19" s="88">
        <f t="shared" si="3"/>
        <v>0</v>
      </c>
      <c r="M19" s="88"/>
      <c r="N19" s="784"/>
      <c r="O19" s="6"/>
      <c r="P19" s="179"/>
      <c r="Q19" s="179"/>
      <c r="R19" s="796"/>
      <c r="S19" s="72">
        <f t="shared" si="2"/>
        <v>0</v>
      </c>
      <c r="T19" s="88">
        <f t="shared" si="2"/>
        <v>0</v>
      </c>
      <c r="U19" s="179"/>
      <c r="V19" s="796"/>
    </row>
    <row r="20" spans="1:24" ht="13.5" customHeight="1">
      <c r="A20" s="209" t="s">
        <v>165</v>
      </c>
      <c r="B20" s="219" t="s">
        <v>126</v>
      </c>
      <c r="C20" s="73">
        <f>+'[3]1.1.SZ.TÁBL. BEV - KIAD'!$C20</f>
        <v>0</v>
      </c>
      <c r="D20" s="89">
        <f>+'3.SZ.TÁBL. SEGÍTŐ SZOLGÁLAT'!AB20</f>
        <v>0</v>
      </c>
      <c r="E20" s="89"/>
      <c r="F20" s="788"/>
      <c r="G20" s="73"/>
      <c r="H20" s="89"/>
      <c r="I20" s="16"/>
      <c r="J20" s="788"/>
      <c r="K20" s="73">
        <f t="shared" si="3"/>
        <v>0</v>
      </c>
      <c r="L20" s="89">
        <f t="shared" si="3"/>
        <v>0</v>
      </c>
      <c r="M20" s="89"/>
      <c r="N20" s="788"/>
      <c r="O20" s="208"/>
      <c r="P20" s="221"/>
      <c r="Q20" s="221"/>
      <c r="R20" s="795"/>
      <c r="S20" s="73">
        <f t="shared" si="2"/>
        <v>0</v>
      </c>
      <c r="T20" s="89">
        <f t="shared" si="2"/>
        <v>0</v>
      </c>
      <c r="U20" s="221"/>
      <c r="V20" s="795"/>
    </row>
    <row r="21" spans="1:24" s="3" customFormat="1" ht="13.5" customHeight="1">
      <c r="A21" s="185" t="s">
        <v>166</v>
      </c>
      <c r="B21" s="180" t="s">
        <v>127</v>
      </c>
      <c r="C21" s="344">
        <f>SUM(C12:C20)</f>
        <v>9020</v>
      </c>
      <c r="D21" s="350">
        <f>SUM(D12:D20)</f>
        <v>10656</v>
      </c>
      <c r="E21" s="475"/>
      <c r="F21" s="787">
        <f>+D21/C21</f>
        <v>1.1813747228381375</v>
      </c>
      <c r="G21" s="344">
        <f>SUM(G12:G20)</f>
        <v>0</v>
      </c>
      <c r="H21" s="350">
        <f>SUM(H12:H20)</f>
        <v>0</v>
      </c>
      <c r="I21" s="477"/>
      <c r="J21" s="787"/>
      <c r="K21" s="344">
        <f>SUM(K12:K20)</f>
        <v>9020</v>
      </c>
      <c r="L21" s="350">
        <f>SUM(L12:L20)</f>
        <v>10656</v>
      </c>
      <c r="M21" s="475"/>
      <c r="N21" s="787">
        <f>+L21/K21</f>
        <v>1.1813747228381375</v>
      </c>
      <c r="O21" s="344">
        <f>SUM(O12:O20)</f>
        <v>0</v>
      </c>
      <c r="P21" s="350">
        <f>SUM(P12:P20)</f>
        <v>0</v>
      </c>
      <c r="Q21" s="479"/>
      <c r="R21" s="793"/>
      <c r="S21" s="474">
        <f>SUM(S12:S20)</f>
        <v>9020</v>
      </c>
      <c r="T21" s="475">
        <f>SUM(T12:T20)</f>
        <v>10656</v>
      </c>
      <c r="U21" s="479"/>
      <c r="V21" s="793">
        <f>+T21/S21</f>
        <v>1.1813747228381375</v>
      </c>
      <c r="X21" s="4"/>
    </row>
    <row r="22" spans="1:24" s="3" customFormat="1" ht="13.5" customHeight="1">
      <c r="A22" s="185" t="s">
        <v>167</v>
      </c>
      <c r="B22" s="180" t="s">
        <v>128</v>
      </c>
      <c r="C22" s="344"/>
      <c r="D22" s="350"/>
      <c r="E22" s="475"/>
      <c r="F22" s="787"/>
      <c r="G22" s="344"/>
      <c r="H22" s="350"/>
      <c r="I22" s="477"/>
      <c r="J22" s="787"/>
      <c r="K22" s="344"/>
      <c r="L22" s="350"/>
      <c r="M22" s="475"/>
      <c r="N22" s="787"/>
      <c r="O22" s="478"/>
      <c r="P22" s="479"/>
      <c r="Q22" s="479"/>
      <c r="R22" s="793"/>
      <c r="S22" s="474">
        <f t="shared" si="2"/>
        <v>0</v>
      </c>
      <c r="T22" s="475">
        <f t="shared" si="2"/>
        <v>0</v>
      </c>
      <c r="U22" s="479"/>
      <c r="V22" s="793"/>
      <c r="X22" s="4"/>
    </row>
    <row r="23" spans="1:24" ht="13.5" customHeight="1">
      <c r="A23" s="210" t="s">
        <v>168</v>
      </c>
      <c r="B23" s="220" t="s">
        <v>129</v>
      </c>
      <c r="C23" s="286"/>
      <c r="D23" s="281"/>
      <c r="E23" s="133"/>
      <c r="F23" s="789"/>
      <c r="G23" s="286"/>
      <c r="H23" s="281"/>
      <c r="I23" s="211"/>
      <c r="J23" s="789"/>
      <c r="K23" s="286"/>
      <c r="L23" s="281"/>
      <c r="M23" s="133"/>
      <c r="N23" s="789"/>
      <c r="O23" s="7"/>
      <c r="P23" s="222"/>
      <c r="Q23" s="222"/>
      <c r="R23" s="808"/>
      <c r="S23" s="71">
        <f t="shared" si="2"/>
        <v>0</v>
      </c>
      <c r="T23" s="133">
        <f t="shared" si="2"/>
        <v>0</v>
      </c>
      <c r="U23" s="222"/>
      <c r="V23" s="808"/>
    </row>
    <row r="24" spans="1:24" s="3" customFormat="1" ht="13.5" customHeight="1">
      <c r="A24" s="185" t="s">
        <v>169</v>
      </c>
      <c r="B24" s="180" t="s">
        <v>290</v>
      </c>
      <c r="C24" s="344">
        <f>+C23</f>
        <v>0</v>
      </c>
      <c r="D24" s="350">
        <f>+D23</f>
        <v>0</v>
      </c>
      <c r="E24" s="475"/>
      <c r="F24" s="787"/>
      <c r="G24" s="344">
        <f>+G23</f>
        <v>0</v>
      </c>
      <c r="H24" s="350">
        <f>+H23</f>
        <v>0</v>
      </c>
      <c r="I24" s="475"/>
      <c r="J24" s="787"/>
      <c r="K24" s="344">
        <f>+K23</f>
        <v>0</v>
      </c>
      <c r="L24" s="350">
        <f>+L23</f>
        <v>0</v>
      </c>
      <c r="M24" s="475"/>
      <c r="N24" s="787"/>
      <c r="O24" s="344">
        <f>+O23</f>
        <v>0</v>
      </c>
      <c r="P24" s="350">
        <f>+P23</f>
        <v>0</v>
      </c>
      <c r="Q24" s="479"/>
      <c r="R24" s="787"/>
      <c r="S24" s="474">
        <f>+S23</f>
        <v>0</v>
      </c>
      <c r="T24" s="475">
        <f>+T23</f>
        <v>0</v>
      </c>
      <c r="U24" s="475"/>
      <c r="V24" s="787"/>
      <c r="X24" s="4"/>
    </row>
    <row r="25" spans="1:24" ht="13.5" customHeight="1">
      <c r="A25" s="210" t="s">
        <v>170</v>
      </c>
      <c r="B25" s="220" t="s">
        <v>130</v>
      </c>
      <c r="C25" s="286"/>
      <c r="D25" s="281"/>
      <c r="E25" s="133"/>
      <c r="F25" s="789"/>
      <c r="G25" s="286"/>
      <c r="H25" s="281"/>
      <c r="I25" s="211"/>
      <c r="J25" s="789"/>
      <c r="K25" s="286"/>
      <c r="L25" s="281"/>
      <c r="M25" s="133"/>
      <c r="N25" s="789"/>
      <c r="O25" s="7"/>
      <c r="P25" s="222"/>
      <c r="Q25" s="222"/>
      <c r="R25" s="808"/>
      <c r="S25" s="71">
        <f t="shared" si="2"/>
        <v>0</v>
      </c>
      <c r="T25" s="133">
        <f t="shared" si="2"/>
        <v>0</v>
      </c>
      <c r="U25" s="222"/>
      <c r="V25" s="808"/>
    </row>
    <row r="26" spans="1:24" s="3" customFormat="1" ht="13.5" customHeight="1">
      <c r="A26" s="185" t="s">
        <v>171</v>
      </c>
      <c r="B26" s="180" t="s">
        <v>291</v>
      </c>
      <c r="C26" s="344">
        <f>+C25</f>
        <v>0</v>
      </c>
      <c r="D26" s="350">
        <f>+D25</f>
        <v>0</v>
      </c>
      <c r="E26" s="475"/>
      <c r="F26" s="787"/>
      <c r="G26" s="344">
        <f>+G25</f>
        <v>0</v>
      </c>
      <c r="H26" s="350">
        <f>+H25</f>
        <v>0</v>
      </c>
      <c r="I26" s="477"/>
      <c r="J26" s="787"/>
      <c r="K26" s="344">
        <f>+K25</f>
        <v>0</v>
      </c>
      <c r="L26" s="350">
        <f>+L25</f>
        <v>0</v>
      </c>
      <c r="M26" s="475"/>
      <c r="N26" s="787"/>
      <c r="O26" s="344">
        <f>+O25</f>
        <v>0</v>
      </c>
      <c r="P26" s="350">
        <f>+P25</f>
        <v>0</v>
      </c>
      <c r="Q26" s="479"/>
      <c r="R26" s="793"/>
      <c r="S26" s="474">
        <f>+S25</f>
        <v>0</v>
      </c>
      <c r="T26" s="475">
        <f>+T25</f>
        <v>0</v>
      </c>
      <c r="U26" s="479"/>
      <c r="V26" s="793"/>
      <c r="X26" s="4"/>
    </row>
    <row r="27" spans="1:24" s="3" customFormat="1" ht="13.5" customHeight="1">
      <c r="A27" s="185" t="s">
        <v>172</v>
      </c>
      <c r="B27" s="180" t="s">
        <v>131</v>
      </c>
      <c r="C27" s="344">
        <f>+C7+C11+C21+C22+C24+C26</f>
        <v>9020</v>
      </c>
      <c r="D27" s="350">
        <f>+D7+D11+D21+D22+D24+D26</f>
        <v>10656</v>
      </c>
      <c r="E27" s="475"/>
      <c r="F27" s="787">
        <f>+D27/C27</f>
        <v>1.1813747228381375</v>
      </c>
      <c r="G27" s="344">
        <f>+G7+G11+G21+G22+G24+G26</f>
        <v>0</v>
      </c>
      <c r="H27" s="350">
        <f>+H7+H11+H21+H22+H24+H26</f>
        <v>0</v>
      </c>
      <c r="I27" s="477"/>
      <c r="J27" s="787"/>
      <c r="K27" s="344">
        <f>+K7+K11+K21+K22+K24+K26</f>
        <v>9020</v>
      </c>
      <c r="L27" s="350">
        <f>+L7+L11+L21+L22+L24+L26</f>
        <v>10656</v>
      </c>
      <c r="M27" s="475"/>
      <c r="N27" s="787">
        <f>+L27/K27</f>
        <v>1.1813747228381375</v>
      </c>
      <c r="O27" s="344">
        <f>+O7+O11+O21+O22+O24+O26</f>
        <v>323181</v>
      </c>
      <c r="P27" s="350">
        <f>+P7+P11+P21+P22+P24+P26</f>
        <v>335639</v>
      </c>
      <c r="Q27" s="479"/>
      <c r="R27" s="793">
        <f>+P27/O27</f>
        <v>1.0385480582088675</v>
      </c>
      <c r="S27" s="474">
        <f>+S7+S11+S21+S22+S24+S26</f>
        <v>332201</v>
      </c>
      <c r="T27" s="475">
        <f>+T7+T11+T21+T22+T24+T26</f>
        <v>346295</v>
      </c>
      <c r="U27" s="479"/>
      <c r="V27" s="793">
        <f>+T27/S27</f>
        <v>1.0424261215348538</v>
      </c>
      <c r="X27" s="4"/>
    </row>
    <row r="28" spans="1:24" s="3" customFormat="1" ht="13.5" customHeight="1">
      <c r="A28" s="186" t="s">
        <v>173</v>
      </c>
      <c r="B28" s="180" t="s">
        <v>132</v>
      </c>
      <c r="C28" s="344"/>
      <c r="D28" s="350"/>
      <c r="E28" s="475"/>
      <c r="F28" s="787"/>
      <c r="G28" s="344"/>
      <c r="H28" s="350"/>
      <c r="I28" s="477"/>
      <c r="J28" s="787"/>
      <c r="K28" s="474">
        <f>+C28+G28</f>
        <v>0</v>
      </c>
      <c r="L28" s="475">
        <f>+D28+H28</f>
        <v>0</v>
      </c>
      <c r="M28" s="475"/>
      <c r="N28" s="787"/>
      <c r="O28" s="478"/>
      <c r="P28" s="479"/>
      <c r="Q28" s="479"/>
      <c r="R28" s="793"/>
      <c r="S28" s="474">
        <f t="shared" si="2"/>
        <v>0</v>
      </c>
      <c r="T28" s="475">
        <f t="shared" si="2"/>
        <v>0</v>
      </c>
      <c r="U28" s="479"/>
      <c r="V28" s="793"/>
      <c r="X28" s="4"/>
    </row>
    <row r="29" spans="1:24" s="3" customFormat="1" ht="13.5" customHeight="1">
      <c r="A29" s="514" t="s">
        <v>288</v>
      </c>
      <c r="B29" s="515" t="s">
        <v>289</v>
      </c>
      <c r="C29" s="516">
        <f>+'[3]1.1.SZ.TÁBL. BEV - KIAD'!$C$29</f>
        <v>82753</v>
      </c>
      <c r="D29" s="776">
        <f>+'3.SZ.TÁBL. SEGÍTŐ SZOLGÁLAT'!AB29</f>
        <v>103278</v>
      </c>
      <c r="E29" s="517"/>
      <c r="F29" s="790">
        <f>+D29/C29</f>
        <v>1.248027261851534</v>
      </c>
      <c r="G29" s="516">
        <f>+'[4]1.1.SZ.TÁBL. BEV - KIAD'!$H$29</f>
        <v>177864</v>
      </c>
      <c r="H29" s="776">
        <f>+'4.SZ.TÁBL. ÓVODA'!S29</f>
        <v>180205</v>
      </c>
      <c r="I29" s="518"/>
      <c r="J29" s="790">
        <f>+H29/G29</f>
        <v>1.0131617415553456</v>
      </c>
      <c r="K29" s="519">
        <f>+C29+G29</f>
        <v>260617</v>
      </c>
      <c r="L29" s="517">
        <f>+D29+H29</f>
        <v>283483</v>
      </c>
      <c r="M29" s="517"/>
      <c r="N29" s="790">
        <f>+L29/K29</f>
        <v>1.0877379449537059</v>
      </c>
      <c r="O29" s="520"/>
      <c r="P29" s="521"/>
      <c r="Q29" s="521"/>
      <c r="R29" s="809"/>
      <c r="S29" s="519"/>
      <c r="T29" s="517"/>
      <c r="U29" s="521"/>
      <c r="V29" s="809"/>
      <c r="X29" s="4"/>
    </row>
    <row r="30" spans="1:24" s="3" customFormat="1" ht="13.5" customHeight="1" thickBot="1">
      <c r="A30" s="188" t="s">
        <v>174</v>
      </c>
      <c r="B30" s="223" t="s">
        <v>133</v>
      </c>
      <c r="C30" s="427">
        <f>+'[4]1.1.SZ.TÁBL. BEV - KIAD'!$D$30</f>
        <v>93542</v>
      </c>
      <c r="D30" s="428">
        <f>SUM(D28:D29)</f>
        <v>103278</v>
      </c>
      <c r="E30" s="428"/>
      <c r="F30" s="791">
        <f>+D30/C30</f>
        <v>1.1040815890188365</v>
      </c>
      <c r="G30" s="427">
        <f>+'[4]1.1.SZ.TÁBL. BEV - KIAD'!$H$30</f>
        <v>177864</v>
      </c>
      <c r="H30" s="428">
        <f>SUM(H28:H29)</f>
        <v>180205</v>
      </c>
      <c r="I30" s="429"/>
      <c r="J30" s="791">
        <f>+H30/G30</f>
        <v>1.0131617415553456</v>
      </c>
      <c r="K30" s="427">
        <f>SUM(K28:K29)</f>
        <v>260617</v>
      </c>
      <c r="L30" s="428">
        <f>SUM(L28:L29)</f>
        <v>283483</v>
      </c>
      <c r="M30" s="428"/>
      <c r="N30" s="791">
        <f>+L30/K30</f>
        <v>1.0877379449537059</v>
      </c>
      <c r="O30" s="427">
        <f>SUM(O28:O29)</f>
        <v>0</v>
      </c>
      <c r="P30" s="428">
        <f>SUM(P28:P29)</f>
        <v>0</v>
      </c>
      <c r="Q30" s="430"/>
      <c r="R30" s="810"/>
      <c r="S30" s="427">
        <f>+S28+S29</f>
        <v>0</v>
      </c>
      <c r="T30" s="428">
        <f>+T28+T29</f>
        <v>0</v>
      </c>
      <c r="U30" s="430"/>
      <c r="V30" s="810"/>
      <c r="X30" s="4"/>
    </row>
    <row r="31" spans="1:24" s="3" customFormat="1" ht="13.5" customHeight="1" thickBot="1">
      <c r="A31" s="861" t="s">
        <v>0</v>
      </c>
      <c r="B31" s="862"/>
      <c r="C31" s="431">
        <f>+C27+C30</f>
        <v>102562</v>
      </c>
      <c r="D31" s="432">
        <f>+D27+D30</f>
        <v>113934</v>
      </c>
      <c r="E31" s="432"/>
      <c r="F31" s="792">
        <f>+D31/C31</f>
        <v>1.1108792730250969</v>
      </c>
      <c r="G31" s="431">
        <f>+G27+G30</f>
        <v>177864</v>
      </c>
      <c r="H31" s="432">
        <f>+H27+H30</f>
        <v>180205</v>
      </c>
      <c r="I31" s="433"/>
      <c r="J31" s="792">
        <f>+H31/G31</f>
        <v>1.0131617415553456</v>
      </c>
      <c r="K31" s="431">
        <f>+K27+K30</f>
        <v>269637</v>
      </c>
      <c r="L31" s="432">
        <f>+L27+L30</f>
        <v>294139</v>
      </c>
      <c r="M31" s="432"/>
      <c r="N31" s="792">
        <f>+L31/K31</f>
        <v>1.0908703182426744</v>
      </c>
      <c r="O31" s="431">
        <f>+O27+O30</f>
        <v>323181</v>
      </c>
      <c r="P31" s="432">
        <f>+P27+P30</f>
        <v>335639</v>
      </c>
      <c r="Q31" s="236"/>
      <c r="R31" s="801">
        <f>+P31/O31</f>
        <v>1.0385480582088675</v>
      </c>
      <c r="S31" s="431">
        <f>+S27+S30</f>
        <v>332201</v>
      </c>
      <c r="T31" s="432">
        <f>+T27+T30</f>
        <v>346295</v>
      </c>
      <c r="U31" s="236"/>
      <c r="V31" s="801">
        <f>+T31/S31</f>
        <v>1.0424261215348538</v>
      </c>
      <c r="X31" s="4"/>
    </row>
    <row r="32" spans="1:24" ht="13.5" customHeight="1">
      <c r="A32" s="237" t="s">
        <v>192</v>
      </c>
      <c r="B32" s="212" t="s">
        <v>193</v>
      </c>
      <c r="C32" s="70">
        <f>+'[4]1.1.SZ.TÁBL. BEV - KIAD'!$D$32</f>
        <v>54945</v>
      </c>
      <c r="D32" s="257">
        <f>+'3.SZ.TÁBL. SEGÍTŐ SZOLGÁLAT'!AB41</f>
        <v>65682</v>
      </c>
      <c r="E32" s="92"/>
      <c r="F32" s="783">
        <f>+D32/C32</f>
        <v>1.1954135954135954</v>
      </c>
      <c r="G32" s="262">
        <f>+'[4]1.1.SZ.TÁBL. BEV - KIAD'!$H$32</f>
        <v>108347</v>
      </c>
      <c r="H32" s="257">
        <f>+'4.SZ.TÁBL. ÓVODA'!S37</f>
        <v>113555</v>
      </c>
      <c r="I32" s="17"/>
      <c r="J32" s="783">
        <f>+H32/G32</f>
        <v>1.0480677822182431</v>
      </c>
      <c r="K32" s="70">
        <f t="shared" ref="K32:L45" si="4">+C32+G32</f>
        <v>163292</v>
      </c>
      <c r="L32" s="92">
        <f t="shared" si="4"/>
        <v>179237</v>
      </c>
      <c r="M32" s="92"/>
      <c r="N32" s="783">
        <f>+L32/K32</f>
        <v>1.0976471596893909</v>
      </c>
      <c r="O32" s="5"/>
      <c r="P32" s="90"/>
      <c r="Q32" s="90"/>
      <c r="R32" s="794"/>
      <c r="S32" s="70">
        <f t="shared" si="2"/>
        <v>163292</v>
      </c>
      <c r="T32" s="92">
        <f t="shared" si="2"/>
        <v>179237</v>
      </c>
      <c r="U32" s="90"/>
      <c r="V32" s="794">
        <f>+T32/S32</f>
        <v>1.0976471596893909</v>
      </c>
    </row>
    <row r="33" spans="1:24" ht="13.5" customHeight="1">
      <c r="A33" s="238" t="s">
        <v>194</v>
      </c>
      <c r="B33" s="199" t="s">
        <v>195</v>
      </c>
      <c r="C33" s="72">
        <f>+'[3]1.1.SZ.TÁBL. BEV - KIAD'!$C33</f>
        <v>0</v>
      </c>
      <c r="D33" s="257">
        <f>+'3.SZ.TÁBL. SEGÍTŐ SZOLGÁLAT'!AB42</f>
        <v>0</v>
      </c>
      <c r="E33" s="88"/>
      <c r="F33" s="784"/>
      <c r="G33" s="262">
        <f>+'[3]1.1.SZ.TÁBL. BEV - KIAD'!$F33</f>
        <v>0</v>
      </c>
      <c r="H33" s="257">
        <f>+'4.SZ.TÁBL. ÓVODA'!S38</f>
        <v>0</v>
      </c>
      <c r="I33" s="15"/>
      <c r="J33" s="784"/>
      <c r="K33" s="72">
        <f t="shared" si="4"/>
        <v>0</v>
      </c>
      <c r="L33" s="88">
        <f t="shared" si="4"/>
        <v>0</v>
      </c>
      <c r="M33" s="88"/>
      <c r="N33" s="784"/>
      <c r="O33" s="6"/>
      <c r="P33" s="179"/>
      <c r="Q33" s="179"/>
      <c r="R33" s="796"/>
      <c r="S33" s="72">
        <f t="shared" si="2"/>
        <v>0</v>
      </c>
      <c r="T33" s="88">
        <f t="shared" si="2"/>
        <v>0</v>
      </c>
      <c r="U33" s="179"/>
      <c r="V33" s="796"/>
    </row>
    <row r="34" spans="1:24" ht="13.5" customHeight="1">
      <c r="A34" s="238" t="s">
        <v>196</v>
      </c>
      <c r="B34" s="199" t="s">
        <v>197</v>
      </c>
      <c r="C34" s="72">
        <f>+'[3]1.1.SZ.TÁBL. BEV - KIAD'!$C34</f>
        <v>0</v>
      </c>
      <c r="D34" s="257">
        <f>+'3.SZ.TÁBL. SEGÍTŐ SZOLGÁLAT'!AB43</f>
        <v>0</v>
      </c>
      <c r="E34" s="88"/>
      <c r="F34" s="784"/>
      <c r="G34" s="262">
        <f>+'[3]1.1.SZ.TÁBL. BEV - KIAD'!$F34</f>
        <v>0</v>
      </c>
      <c r="H34" s="257">
        <f>+'4.SZ.TÁBL. ÓVODA'!S39</f>
        <v>0</v>
      </c>
      <c r="I34" s="15"/>
      <c r="J34" s="784"/>
      <c r="K34" s="72">
        <f t="shared" si="4"/>
        <v>0</v>
      </c>
      <c r="L34" s="88">
        <f t="shared" si="4"/>
        <v>0</v>
      </c>
      <c r="M34" s="88"/>
      <c r="N34" s="784"/>
      <c r="O34" s="6"/>
      <c r="P34" s="179"/>
      <c r="Q34" s="179"/>
      <c r="R34" s="796"/>
      <c r="S34" s="72">
        <f t="shared" si="2"/>
        <v>0</v>
      </c>
      <c r="T34" s="88">
        <f t="shared" si="2"/>
        <v>0</v>
      </c>
      <c r="U34" s="179"/>
      <c r="V34" s="796"/>
    </row>
    <row r="35" spans="1:24" ht="13.5" customHeight="1">
      <c r="A35" s="238" t="s">
        <v>198</v>
      </c>
      <c r="B35" s="199" t="s">
        <v>199</v>
      </c>
      <c r="C35" s="72">
        <f>+'[4]1.1.SZ.TÁBL. BEV - KIAD'!$D$35</f>
        <v>712</v>
      </c>
      <c r="D35" s="257">
        <f>+'3.SZ.TÁBL. SEGÍTŐ SZOLGÁLAT'!AB44</f>
        <v>903</v>
      </c>
      <c r="E35" s="88"/>
      <c r="F35" s="783">
        <f>+D35/C35</f>
        <v>1.2682584269662922</v>
      </c>
      <c r="G35" s="262">
        <f>+'[4]1.1.SZ.TÁBL. BEV - KIAD'!$H$35</f>
        <v>1966</v>
      </c>
      <c r="H35" s="257">
        <f>+'4.SZ.TÁBL. ÓVODA'!S40</f>
        <v>2000</v>
      </c>
      <c r="I35" s="15"/>
      <c r="J35" s="784">
        <f>+H35/G35</f>
        <v>1.0172939979654121</v>
      </c>
      <c r="K35" s="72">
        <f t="shared" si="4"/>
        <v>2678</v>
      </c>
      <c r="L35" s="88">
        <f t="shared" si="4"/>
        <v>2903</v>
      </c>
      <c r="M35" s="88"/>
      <c r="N35" s="783">
        <f>+L35/K35</f>
        <v>1.0840179238237491</v>
      </c>
      <c r="O35" s="6"/>
      <c r="P35" s="179"/>
      <c r="Q35" s="179"/>
      <c r="R35" s="796"/>
      <c r="S35" s="72">
        <f t="shared" si="2"/>
        <v>2678</v>
      </c>
      <c r="T35" s="88">
        <f t="shared" si="2"/>
        <v>2903</v>
      </c>
      <c r="U35" s="179"/>
      <c r="V35" s="796">
        <f>+T35/S35</f>
        <v>1.0840179238237491</v>
      </c>
    </row>
    <row r="36" spans="1:24" ht="13.5" customHeight="1">
      <c r="A36" s="238" t="s">
        <v>200</v>
      </c>
      <c r="B36" s="199" t="s">
        <v>201</v>
      </c>
      <c r="C36" s="72">
        <f>+'[3]1.1.SZ.TÁBL. BEV - KIAD'!$C36</f>
        <v>0</v>
      </c>
      <c r="D36" s="257">
        <f>+'3.SZ.TÁBL. SEGÍTŐ SZOLGÁLAT'!AB45</f>
        <v>0</v>
      </c>
      <c r="E36" s="88"/>
      <c r="F36" s="784"/>
      <c r="G36" s="262">
        <f>+'[3]1.1.SZ.TÁBL. BEV - KIAD'!$F36</f>
        <v>0</v>
      </c>
      <c r="H36" s="257">
        <f>+'4.SZ.TÁBL. ÓVODA'!S41</f>
        <v>0</v>
      </c>
      <c r="I36" s="15"/>
      <c r="J36" s="784"/>
      <c r="K36" s="72">
        <f t="shared" si="4"/>
        <v>0</v>
      </c>
      <c r="L36" s="88">
        <f t="shared" si="4"/>
        <v>0</v>
      </c>
      <c r="M36" s="88"/>
      <c r="N36" s="784"/>
      <c r="O36" s="6"/>
      <c r="P36" s="179"/>
      <c r="Q36" s="88"/>
      <c r="R36" s="784"/>
      <c r="S36" s="72">
        <f t="shared" si="2"/>
        <v>0</v>
      </c>
      <c r="T36" s="88">
        <f t="shared" si="2"/>
        <v>0</v>
      </c>
      <c r="U36" s="179"/>
      <c r="V36" s="796"/>
    </row>
    <row r="37" spans="1:24" ht="13.5" customHeight="1">
      <c r="A37" s="238" t="s">
        <v>202</v>
      </c>
      <c r="B37" s="199" t="s">
        <v>1</v>
      </c>
      <c r="C37" s="72">
        <f>+'[4]1.1.SZ.TÁBL. BEV - KIAD'!$D$37</f>
        <v>545</v>
      </c>
      <c r="D37" s="257">
        <f>+'3.SZ.TÁBL. SEGÍTŐ SZOLGÁLAT'!AB46</f>
        <v>626</v>
      </c>
      <c r="E37" s="88"/>
      <c r="F37" s="783">
        <f t="shared" ref="F37:F38" si="5">+D37/C37</f>
        <v>1.1486238532110091</v>
      </c>
      <c r="G37" s="262">
        <f>+'[4]1.1.SZ.TÁBL. BEV - KIAD'!$H$37</f>
        <v>3543</v>
      </c>
      <c r="H37" s="257">
        <f>+'4.SZ.TÁBL. ÓVODA'!S42</f>
        <v>1886</v>
      </c>
      <c r="I37" s="15"/>
      <c r="J37" s="784"/>
      <c r="K37" s="72">
        <f t="shared" si="4"/>
        <v>4088</v>
      </c>
      <c r="L37" s="88">
        <f t="shared" si="4"/>
        <v>2512</v>
      </c>
      <c r="M37" s="88"/>
      <c r="N37" s="783">
        <f t="shared" ref="N37:N38" si="6">+L37/K37</f>
        <v>0.61448140900195691</v>
      </c>
      <c r="O37" s="6"/>
      <c r="P37" s="179"/>
      <c r="Q37" s="179"/>
      <c r="R37" s="796"/>
      <c r="S37" s="72">
        <f t="shared" si="2"/>
        <v>4088</v>
      </c>
      <c r="T37" s="88">
        <f t="shared" si="2"/>
        <v>2512</v>
      </c>
      <c r="U37" s="179"/>
      <c r="V37" s="796">
        <f>+T37/S37</f>
        <v>0.61448140900195691</v>
      </c>
    </row>
    <row r="38" spans="1:24" ht="13.5" customHeight="1">
      <c r="A38" s="238" t="s">
        <v>203</v>
      </c>
      <c r="B38" s="199" t="s">
        <v>204</v>
      </c>
      <c r="C38" s="72">
        <f>+'[4]1.1.SZ.TÁBL. BEV - KIAD'!$D$38</f>
        <v>1750</v>
      </c>
      <c r="D38" s="257">
        <f>+'3.SZ.TÁBL. SEGÍTŐ SZOLGÁLAT'!AB47</f>
        <v>1835</v>
      </c>
      <c r="E38" s="88"/>
      <c r="F38" s="783">
        <f t="shared" si="5"/>
        <v>1.0485714285714285</v>
      </c>
      <c r="G38" s="262">
        <f>+'[4]1.1.SZ.TÁBL. BEV - KIAD'!$H$38</f>
        <v>2445</v>
      </c>
      <c r="H38" s="257">
        <f>+'4.SZ.TÁBL. ÓVODA'!S43</f>
        <v>2435</v>
      </c>
      <c r="I38" s="15"/>
      <c r="J38" s="784">
        <f>+H38/G38</f>
        <v>0.99591002044989774</v>
      </c>
      <c r="K38" s="72">
        <f t="shared" si="4"/>
        <v>4195</v>
      </c>
      <c r="L38" s="88">
        <f t="shared" si="4"/>
        <v>4270</v>
      </c>
      <c r="M38" s="88"/>
      <c r="N38" s="783">
        <f t="shared" si="6"/>
        <v>1.0178784266984506</v>
      </c>
      <c r="O38" s="6"/>
      <c r="P38" s="179"/>
      <c r="Q38" s="179"/>
      <c r="R38" s="796"/>
      <c r="S38" s="72">
        <f t="shared" si="2"/>
        <v>4195</v>
      </c>
      <c r="T38" s="88">
        <f t="shared" si="2"/>
        <v>4270</v>
      </c>
      <c r="U38" s="179"/>
      <c r="V38" s="796">
        <f>+T38/S38</f>
        <v>1.0178784266984506</v>
      </c>
    </row>
    <row r="39" spans="1:24" ht="13.5" customHeight="1">
      <c r="A39" s="238" t="s">
        <v>205</v>
      </c>
      <c r="B39" s="199" t="s">
        <v>206</v>
      </c>
      <c r="C39" s="72">
        <f>+'[3]1.1.SZ.TÁBL. BEV - KIAD'!$C39</f>
        <v>0</v>
      </c>
      <c r="D39" s="257">
        <f>+'3.SZ.TÁBL. SEGÍTŐ SZOLGÁLAT'!AB48</f>
        <v>0</v>
      </c>
      <c r="E39" s="88"/>
      <c r="F39" s="784"/>
      <c r="G39" s="262">
        <f>+'[3]1.1.SZ.TÁBL. BEV - KIAD'!$F39</f>
        <v>0</v>
      </c>
      <c r="H39" s="257">
        <f>+'4.SZ.TÁBL. ÓVODA'!S44</f>
        <v>0</v>
      </c>
      <c r="I39" s="15"/>
      <c r="J39" s="784"/>
      <c r="K39" s="72">
        <f t="shared" si="4"/>
        <v>0</v>
      </c>
      <c r="L39" s="88">
        <f t="shared" si="4"/>
        <v>0</v>
      </c>
      <c r="M39" s="88"/>
      <c r="N39" s="784"/>
      <c r="O39" s="6"/>
      <c r="P39" s="179"/>
      <c r="Q39" s="179"/>
      <c r="R39" s="796"/>
      <c r="S39" s="72">
        <f t="shared" si="2"/>
        <v>0</v>
      </c>
      <c r="T39" s="88">
        <f t="shared" si="2"/>
        <v>0</v>
      </c>
      <c r="U39" s="179"/>
      <c r="V39" s="796"/>
    </row>
    <row r="40" spans="1:24" ht="13.5" customHeight="1">
      <c r="A40" s="238" t="s">
        <v>207</v>
      </c>
      <c r="B40" s="199" t="s">
        <v>2</v>
      </c>
      <c r="C40" s="72">
        <f>+'[4]1.1.SZ.TÁBL. BEV - KIAD'!$D$40</f>
        <v>534</v>
      </c>
      <c r="D40" s="257">
        <f>+'3.SZ.TÁBL. SEGÍTŐ SZOLGÁLAT'!AB49</f>
        <v>611</v>
      </c>
      <c r="E40" s="88"/>
      <c r="F40" s="783">
        <f>+D40/C40</f>
        <v>1.1441947565543071</v>
      </c>
      <c r="G40" s="262">
        <f>+'[4]1.1.SZ.TÁBL. BEV - KIAD'!$H$40</f>
        <v>898</v>
      </c>
      <c r="H40" s="257">
        <f>+'4.SZ.TÁBL. ÓVODA'!S45</f>
        <v>1126</v>
      </c>
      <c r="I40" s="88"/>
      <c r="J40" s="784">
        <f>+H40/G40</f>
        <v>1.2538975501113585</v>
      </c>
      <c r="K40" s="72">
        <f t="shared" si="4"/>
        <v>1432</v>
      </c>
      <c r="L40" s="88">
        <f t="shared" si="4"/>
        <v>1737</v>
      </c>
      <c r="M40" s="88"/>
      <c r="N40" s="783">
        <f>+L40/K40</f>
        <v>1.2129888268156424</v>
      </c>
      <c r="O40" s="6"/>
      <c r="P40" s="179"/>
      <c r="Q40" s="88"/>
      <c r="R40" s="784"/>
      <c r="S40" s="72">
        <f t="shared" si="2"/>
        <v>1432</v>
      </c>
      <c r="T40" s="88">
        <f t="shared" si="2"/>
        <v>1737</v>
      </c>
      <c r="U40" s="88"/>
      <c r="V40" s="796">
        <f>+T40/S40</f>
        <v>1.2129888268156424</v>
      </c>
    </row>
    <row r="41" spans="1:24" ht="13.5" customHeight="1">
      <c r="A41" s="238" t="s">
        <v>208</v>
      </c>
      <c r="B41" s="199" t="s">
        <v>209</v>
      </c>
      <c r="C41" s="72">
        <f>+'[3]1.1.SZ.TÁBL. BEV - KIAD'!$C41</f>
        <v>0</v>
      </c>
      <c r="D41" s="257">
        <f>+'3.SZ.TÁBL. SEGÍTŐ SZOLGÁLAT'!AB50</f>
        <v>0</v>
      </c>
      <c r="E41" s="88"/>
      <c r="F41" s="784"/>
      <c r="G41" s="262">
        <f>+'[3]1.1.SZ.TÁBL. BEV - KIAD'!$F41</f>
        <v>0</v>
      </c>
      <c r="H41" s="257">
        <f>+'4.SZ.TÁBL. ÓVODA'!S46</f>
        <v>0</v>
      </c>
      <c r="I41" s="88"/>
      <c r="J41" s="784"/>
      <c r="K41" s="72">
        <f t="shared" si="4"/>
        <v>0</v>
      </c>
      <c r="L41" s="88">
        <f t="shared" si="4"/>
        <v>0</v>
      </c>
      <c r="M41" s="88"/>
      <c r="N41" s="784"/>
      <c r="O41" s="6"/>
      <c r="P41" s="179"/>
      <c r="Q41" s="88"/>
      <c r="R41" s="784"/>
      <c r="S41" s="72">
        <f t="shared" si="2"/>
        <v>0</v>
      </c>
      <c r="T41" s="88">
        <f t="shared" si="2"/>
        <v>0</v>
      </c>
      <c r="U41" s="179"/>
      <c r="V41" s="796"/>
    </row>
    <row r="42" spans="1:24" ht="13.5" customHeight="1">
      <c r="A42" s="238" t="s">
        <v>210</v>
      </c>
      <c r="B42" s="199" t="s">
        <v>211</v>
      </c>
      <c r="C42" s="72">
        <f>+'[3]1.1.SZ.TÁBL. BEV - KIAD'!$C42</f>
        <v>0</v>
      </c>
      <c r="D42" s="257">
        <f>+'3.SZ.TÁBL. SEGÍTŐ SZOLGÁLAT'!AB51</f>
        <v>0</v>
      </c>
      <c r="E42" s="88"/>
      <c r="F42" s="784"/>
      <c r="G42" s="262">
        <f>+'[3]1.1.SZ.TÁBL. BEV - KIAD'!$F42</f>
        <v>0</v>
      </c>
      <c r="H42" s="257">
        <f>+'4.SZ.TÁBL. ÓVODA'!S47</f>
        <v>0</v>
      </c>
      <c r="I42" s="15"/>
      <c r="J42" s="784"/>
      <c r="K42" s="72">
        <f t="shared" si="4"/>
        <v>0</v>
      </c>
      <c r="L42" s="88">
        <f t="shared" si="4"/>
        <v>0</v>
      </c>
      <c r="M42" s="88"/>
      <c r="N42" s="784"/>
      <c r="O42" s="6"/>
      <c r="P42" s="179"/>
      <c r="Q42" s="179"/>
      <c r="R42" s="796"/>
      <c r="S42" s="72">
        <f t="shared" si="2"/>
        <v>0</v>
      </c>
      <c r="T42" s="88">
        <f t="shared" si="2"/>
        <v>0</v>
      </c>
      <c r="U42" s="179"/>
      <c r="V42" s="796"/>
    </row>
    <row r="43" spans="1:24" ht="13.5" customHeight="1">
      <c r="A43" s="238" t="s">
        <v>212</v>
      </c>
      <c r="B43" s="199" t="s">
        <v>213</v>
      </c>
      <c r="C43" s="72">
        <f>+'[3]1.1.SZ.TÁBL. BEV - KIAD'!$C43</f>
        <v>0</v>
      </c>
      <c r="D43" s="257">
        <f>+'3.SZ.TÁBL. SEGÍTŐ SZOLGÁLAT'!AB52</f>
        <v>0</v>
      </c>
      <c r="E43" s="88"/>
      <c r="F43" s="784"/>
      <c r="G43" s="262">
        <f>+'[3]1.1.SZ.TÁBL. BEV - KIAD'!$F43</f>
        <v>0</v>
      </c>
      <c r="H43" s="257">
        <f>+'4.SZ.TÁBL. ÓVODA'!S48</f>
        <v>0</v>
      </c>
      <c r="I43" s="15"/>
      <c r="J43" s="784"/>
      <c r="K43" s="72">
        <f t="shared" si="4"/>
        <v>0</v>
      </c>
      <c r="L43" s="88">
        <f t="shared" si="4"/>
        <v>0</v>
      </c>
      <c r="M43" s="88"/>
      <c r="N43" s="784"/>
      <c r="O43" s="6"/>
      <c r="P43" s="179"/>
      <c r="Q43" s="179"/>
      <c r="R43" s="796"/>
      <c r="S43" s="72">
        <f t="shared" si="2"/>
        <v>0</v>
      </c>
      <c r="T43" s="88">
        <f t="shared" si="2"/>
        <v>0</v>
      </c>
      <c r="U43" s="179"/>
      <c r="V43" s="796"/>
    </row>
    <row r="44" spans="1:24" ht="13.5" customHeight="1">
      <c r="A44" s="238" t="s">
        <v>214</v>
      </c>
      <c r="B44" s="199" t="s">
        <v>215</v>
      </c>
      <c r="C44" s="72">
        <f>+'[3]1.1.SZ.TÁBL. BEV - KIAD'!$C44</f>
        <v>0</v>
      </c>
      <c r="D44" s="257">
        <f>+'3.SZ.TÁBL. SEGÍTŐ SZOLGÁLAT'!AB53</f>
        <v>0</v>
      </c>
      <c r="E44" s="88"/>
      <c r="F44" s="784"/>
      <c r="G44" s="262">
        <f>+'[3]1.1.SZ.TÁBL. BEV - KIAD'!$F44</f>
        <v>0</v>
      </c>
      <c r="H44" s="257">
        <f>+'4.SZ.TÁBL. ÓVODA'!S49</f>
        <v>0</v>
      </c>
      <c r="I44" s="15"/>
      <c r="J44" s="784"/>
      <c r="K44" s="72">
        <f t="shared" si="4"/>
        <v>0</v>
      </c>
      <c r="L44" s="88">
        <f t="shared" si="4"/>
        <v>0</v>
      </c>
      <c r="M44" s="88"/>
      <c r="N44" s="784"/>
      <c r="O44" s="6"/>
      <c r="P44" s="179"/>
      <c r="Q44" s="179"/>
      <c r="R44" s="796"/>
      <c r="S44" s="72">
        <f t="shared" si="2"/>
        <v>0</v>
      </c>
      <c r="T44" s="88">
        <f t="shared" si="2"/>
        <v>0</v>
      </c>
      <c r="U44" s="179"/>
      <c r="V44" s="796"/>
    </row>
    <row r="45" spans="1:24" ht="13.5" customHeight="1">
      <c r="A45" s="239" t="s">
        <v>214</v>
      </c>
      <c r="B45" s="213" t="s">
        <v>216</v>
      </c>
      <c r="C45" s="73">
        <f>+'[3]1.1.SZ.TÁBL. BEV - KIAD'!$C45</f>
        <v>0</v>
      </c>
      <c r="D45" s="257">
        <f>+'3.SZ.TÁBL. SEGÍTŐ SZOLGÁLAT'!AB54</f>
        <v>0</v>
      </c>
      <c r="E45" s="89"/>
      <c r="F45" s="788"/>
      <c r="G45" s="262">
        <f>+'[3]1.1.SZ.TÁBL. BEV - KIAD'!$F45</f>
        <v>0</v>
      </c>
      <c r="H45" s="257">
        <f>+'4.SZ.TÁBL. ÓVODA'!S50</f>
        <v>0</v>
      </c>
      <c r="I45" s="89"/>
      <c r="J45" s="788"/>
      <c r="K45" s="73">
        <f t="shared" si="4"/>
        <v>0</v>
      </c>
      <c r="L45" s="89">
        <f t="shared" si="4"/>
        <v>0</v>
      </c>
      <c r="M45" s="89"/>
      <c r="N45" s="788"/>
      <c r="O45" s="208"/>
      <c r="P45" s="221"/>
      <c r="Q45" s="89"/>
      <c r="R45" s="788"/>
      <c r="S45" s="73">
        <f t="shared" si="2"/>
        <v>0</v>
      </c>
      <c r="T45" s="89">
        <f t="shared" si="2"/>
        <v>0</v>
      </c>
      <c r="U45" s="89"/>
      <c r="V45" s="788"/>
    </row>
    <row r="46" spans="1:24" s="3" customFormat="1" ht="13.5" customHeight="1">
      <c r="A46" s="240" t="s">
        <v>176</v>
      </c>
      <c r="B46" s="214" t="s">
        <v>134</v>
      </c>
      <c r="C46" s="344">
        <f>+SUM(C32:C44)</f>
        <v>58486</v>
      </c>
      <c r="D46" s="350">
        <f>+SUM(D32:D44)</f>
        <v>69657</v>
      </c>
      <c r="E46" s="475"/>
      <c r="F46" s="787">
        <f>+D46/C46</f>
        <v>1.1910029750709572</v>
      </c>
      <c r="G46" s="344">
        <f>+SUM(G32:G44)</f>
        <v>117199</v>
      </c>
      <c r="H46" s="350">
        <f>+SUM(H32:H44)</f>
        <v>121002</v>
      </c>
      <c r="I46" s="477"/>
      <c r="J46" s="787">
        <f>+H46/G46</f>
        <v>1.0324490823300541</v>
      </c>
      <c r="K46" s="344">
        <f>+SUM(K32:K44)</f>
        <v>175685</v>
      </c>
      <c r="L46" s="350">
        <f>+SUM(L32:L44)</f>
        <v>190659</v>
      </c>
      <c r="M46" s="475"/>
      <c r="N46" s="787">
        <f>+L46/K46</f>
        <v>1.0852320915274496</v>
      </c>
      <c r="O46" s="478"/>
      <c r="P46" s="479"/>
      <c r="Q46" s="479"/>
      <c r="R46" s="793"/>
      <c r="S46" s="474">
        <f>SUM(S32:S45)</f>
        <v>175685</v>
      </c>
      <c r="T46" s="475">
        <f>SUM(T32:T45)</f>
        <v>190659</v>
      </c>
      <c r="U46" s="479"/>
      <c r="V46" s="793">
        <f>+T46/S46</f>
        <v>1.0852320915274496</v>
      </c>
      <c r="X46" s="4"/>
    </row>
    <row r="47" spans="1:24" ht="13.5" customHeight="1">
      <c r="A47" s="237" t="s">
        <v>217</v>
      </c>
      <c r="B47" s="212" t="s">
        <v>218</v>
      </c>
      <c r="C47" s="70">
        <f>+'[3]1.1.SZ.TÁBL. BEV - KIAD'!$C47</f>
        <v>0</v>
      </c>
      <c r="D47" s="257">
        <f>+'3.SZ.TÁBL. SEGÍTŐ SZOLGÁLAT'!AA56</f>
        <v>0</v>
      </c>
      <c r="E47" s="92"/>
      <c r="F47" s="783"/>
      <c r="G47" s="262">
        <f>+'[3]1.1.SZ.TÁBL. BEV - KIAD'!$F47</f>
        <v>0</v>
      </c>
      <c r="H47" s="257">
        <f>+'4.SZ.TÁBL. ÓVODA'!S52</f>
        <v>0</v>
      </c>
      <c r="I47" s="92"/>
      <c r="J47" s="783"/>
      <c r="K47" s="70">
        <f t="shared" ref="K47:L49" si="7">+C47+G47</f>
        <v>0</v>
      </c>
      <c r="L47" s="92">
        <f t="shared" si="7"/>
        <v>0</v>
      </c>
      <c r="M47" s="92"/>
      <c r="N47" s="783"/>
      <c r="O47" s="5"/>
      <c r="P47" s="90"/>
      <c r="Q47" s="92"/>
      <c r="R47" s="783"/>
      <c r="S47" s="70">
        <f t="shared" si="2"/>
        <v>0</v>
      </c>
      <c r="T47" s="92">
        <f t="shared" si="2"/>
        <v>0</v>
      </c>
      <c r="U47" s="92"/>
      <c r="V47" s="783"/>
    </row>
    <row r="48" spans="1:24" ht="13.5" customHeight="1">
      <c r="A48" s="238" t="s">
        <v>219</v>
      </c>
      <c r="B48" s="199" t="s">
        <v>220</v>
      </c>
      <c r="C48" s="72">
        <f>+'[4]1.1.SZ.TÁBL. BEV - KIAD'!$D$48</f>
        <v>550</v>
      </c>
      <c r="D48" s="245">
        <f>+'3.SZ.TÁBL. SEGÍTŐ SZOLGÁLAT'!AB57</f>
        <v>550</v>
      </c>
      <c r="E48" s="88"/>
      <c r="F48" s="783">
        <f t="shared" ref="F48:F49" si="8">+D48/C48</f>
        <v>1</v>
      </c>
      <c r="G48" s="262">
        <f>+'[4]1.1.SZ.TÁBL. BEV - KIAD'!$H$48</f>
        <v>553</v>
      </c>
      <c r="H48" s="257">
        <f>+'4.SZ.TÁBL. ÓVODA'!S53</f>
        <v>0</v>
      </c>
      <c r="I48" s="15"/>
      <c r="J48" s="784">
        <f t="shared" ref="J48:J107" si="9">+H48/G48</f>
        <v>0</v>
      </c>
      <c r="K48" s="72">
        <f t="shared" si="7"/>
        <v>1103</v>
      </c>
      <c r="L48" s="88">
        <f t="shared" si="7"/>
        <v>550</v>
      </c>
      <c r="M48" s="88"/>
      <c r="N48" s="783">
        <f t="shared" ref="N48:N49" si="10">+L48/K48</f>
        <v>0.49864007252946507</v>
      </c>
      <c r="O48" s="6"/>
      <c r="P48" s="179"/>
      <c r="Q48" s="179"/>
      <c r="R48" s="796"/>
      <c r="S48" s="72">
        <f t="shared" si="2"/>
        <v>1103</v>
      </c>
      <c r="T48" s="88">
        <f t="shared" si="2"/>
        <v>550</v>
      </c>
      <c r="U48" s="179"/>
      <c r="V48" s="796">
        <f>+T48/S48</f>
        <v>0.49864007252946507</v>
      </c>
    </row>
    <row r="49" spans="1:34" ht="13.5" customHeight="1">
      <c r="A49" s="239" t="s">
        <v>221</v>
      </c>
      <c r="B49" s="213" t="s">
        <v>222</v>
      </c>
      <c r="C49" s="73">
        <f>+'[4]1.1.SZ.TÁBL. BEV - KIAD'!$D$49</f>
        <v>75</v>
      </c>
      <c r="D49" s="245">
        <f>+'3.SZ.TÁBL. SEGÍTŐ SZOLGÁLAT'!AB58</f>
        <v>75</v>
      </c>
      <c r="E49" s="89"/>
      <c r="F49" s="783">
        <f t="shared" si="8"/>
        <v>1</v>
      </c>
      <c r="G49" s="262">
        <f>+'[4]1.1.SZ.TÁBL. BEV - KIAD'!$H$49</f>
        <v>240</v>
      </c>
      <c r="H49" s="257">
        <f>+'4.SZ.TÁBL. ÓVODA'!S54</f>
        <v>60</v>
      </c>
      <c r="I49" s="16"/>
      <c r="J49" s="788">
        <f t="shared" si="9"/>
        <v>0.25</v>
      </c>
      <c r="K49" s="73">
        <f t="shared" si="7"/>
        <v>315</v>
      </c>
      <c r="L49" s="89">
        <f t="shared" si="7"/>
        <v>135</v>
      </c>
      <c r="M49" s="89"/>
      <c r="N49" s="783">
        <f t="shared" si="10"/>
        <v>0.42857142857142855</v>
      </c>
      <c r="O49" s="208"/>
      <c r="P49" s="221"/>
      <c r="Q49" s="224"/>
      <c r="R49" s="795"/>
      <c r="S49" s="73">
        <f t="shared" si="2"/>
        <v>315</v>
      </c>
      <c r="T49" s="89">
        <f t="shared" si="2"/>
        <v>135</v>
      </c>
      <c r="U49" s="221"/>
      <c r="V49" s="795">
        <f>+T49/S49</f>
        <v>0.42857142857142855</v>
      </c>
      <c r="W49" s="2"/>
      <c r="Y49" s="2"/>
      <c r="Z49" s="2"/>
      <c r="AA49" s="2"/>
      <c r="AB49" s="2"/>
      <c r="AD49" s="2"/>
      <c r="AE49" s="2"/>
      <c r="AF49" s="2"/>
      <c r="AG49" s="2"/>
      <c r="AH49" s="2"/>
    </row>
    <row r="50" spans="1:34" s="3" customFormat="1" ht="13.5" customHeight="1">
      <c r="A50" s="240" t="s">
        <v>177</v>
      </c>
      <c r="B50" s="214" t="s">
        <v>135</v>
      </c>
      <c r="C50" s="344">
        <f>SUM(C47:C49)</f>
        <v>625</v>
      </c>
      <c r="D50" s="350">
        <f>SUM(D47:D49)</f>
        <v>625</v>
      </c>
      <c r="E50" s="475"/>
      <c r="F50" s="787">
        <f>+D50/C50</f>
        <v>1</v>
      </c>
      <c r="G50" s="344">
        <f>SUM(G47:G49)</f>
        <v>793</v>
      </c>
      <c r="H50" s="350">
        <f>SUM(H47:H49)</f>
        <v>60</v>
      </c>
      <c r="I50" s="477"/>
      <c r="J50" s="787">
        <f t="shared" si="9"/>
        <v>7.5662042875157626E-2</v>
      </c>
      <c r="K50" s="344">
        <f>SUM(K47:K49)</f>
        <v>1418</v>
      </c>
      <c r="L50" s="350">
        <f>SUM(L47:L49)</f>
        <v>685</v>
      </c>
      <c r="M50" s="475"/>
      <c r="N50" s="787">
        <f>+L50/K50</f>
        <v>0.48307475317348381</v>
      </c>
      <c r="O50" s="344">
        <f t="shared" ref="O50:P50" si="11">SUM(O47:O49)</f>
        <v>0</v>
      </c>
      <c r="P50" s="350">
        <f t="shared" si="11"/>
        <v>0</v>
      </c>
      <c r="Q50" s="480"/>
      <c r="R50" s="793"/>
      <c r="S50" s="474">
        <f>SUM(S47:S49)</f>
        <v>1418</v>
      </c>
      <c r="T50" s="475">
        <f>SUM(T47:T49)</f>
        <v>685</v>
      </c>
      <c r="U50" s="479"/>
      <c r="V50" s="793">
        <f>+T50/S50</f>
        <v>0.48307475317348381</v>
      </c>
      <c r="W50" s="4"/>
      <c r="X50" s="4"/>
      <c r="Y50" s="4"/>
      <c r="Z50" s="4"/>
      <c r="AA50" s="4"/>
      <c r="AB50" s="4"/>
      <c r="AD50" s="4"/>
      <c r="AE50" s="4"/>
      <c r="AF50" s="4"/>
      <c r="AG50" s="4"/>
      <c r="AH50" s="4"/>
    </row>
    <row r="51" spans="1:34" s="3" customFormat="1" ht="13.5" customHeight="1">
      <c r="A51" s="240" t="s">
        <v>178</v>
      </c>
      <c r="B51" s="214" t="s">
        <v>136</v>
      </c>
      <c r="C51" s="344">
        <f>+C46+C50</f>
        <v>59111</v>
      </c>
      <c r="D51" s="350">
        <f>+D46+D50</f>
        <v>70282</v>
      </c>
      <c r="E51" s="475"/>
      <c r="F51" s="787">
        <f>+D51/C51</f>
        <v>1.1889834379387931</v>
      </c>
      <c r="G51" s="344">
        <f>+G46+G50</f>
        <v>117992</v>
      </c>
      <c r="H51" s="350">
        <f>+H46+H50</f>
        <v>121062</v>
      </c>
      <c r="I51" s="477"/>
      <c r="J51" s="787">
        <f t="shared" si="9"/>
        <v>1.0260187131330938</v>
      </c>
      <c r="K51" s="344">
        <f>+K46+K50</f>
        <v>177103</v>
      </c>
      <c r="L51" s="350">
        <f>+L46+L50</f>
        <v>191344</v>
      </c>
      <c r="M51" s="475"/>
      <c r="N51" s="787">
        <f>+L51/K51</f>
        <v>1.0804108343732179</v>
      </c>
      <c r="O51" s="344">
        <f>+O46+O50</f>
        <v>0</v>
      </c>
      <c r="P51" s="350">
        <f>+P46+P50</f>
        <v>0</v>
      </c>
      <c r="Q51" s="479"/>
      <c r="R51" s="793"/>
      <c r="S51" s="474">
        <f>+S46+S50</f>
        <v>177103</v>
      </c>
      <c r="T51" s="475">
        <f>+T46+T50</f>
        <v>191344</v>
      </c>
      <c r="U51" s="479"/>
      <c r="V51" s="793">
        <f>+T51/S51</f>
        <v>1.0804108343732179</v>
      </c>
      <c r="W51" s="4"/>
      <c r="X51" s="4"/>
      <c r="Y51" s="4"/>
      <c r="Z51" s="4"/>
      <c r="AA51" s="4"/>
      <c r="AB51" s="4"/>
      <c r="AD51" s="4"/>
      <c r="AE51" s="4"/>
      <c r="AF51" s="4"/>
      <c r="AG51" s="4"/>
      <c r="AH51" s="4"/>
    </row>
    <row r="52" spans="1:34" s="3" customFormat="1" ht="13.5" customHeight="1">
      <c r="A52" s="240" t="s">
        <v>179</v>
      </c>
      <c r="B52" s="214" t="s">
        <v>137</v>
      </c>
      <c r="C52" s="344">
        <f>+SUM(C53:C57)</f>
        <v>17893</v>
      </c>
      <c r="D52" s="350">
        <f>+SUM(D53:D57)</f>
        <v>17634</v>
      </c>
      <c r="E52" s="475"/>
      <c r="F52" s="787">
        <f>+D52/C52</f>
        <v>0.98552506566813836</v>
      </c>
      <c r="G52" s="344">
        <f>+SUM(G53:G57)</f>
        <v>33784</v>
      </c>
      <c r="H52" s="350">
        <f>+SUM(H53:H57)</f>
        <v>28944</v>
      </c>
      <c r="I52" s="477"/>
      <c r="J52" s="787">
        <f t="shared" si="9"/>
        <v>0.85673691688373199</v>
      </c>
      <c r="K52" s="344">
        <f>+SUM(K53:K57)</f>
        <v>51677</v>
      </c>
      <c r="L52" s="350">
        <f>+SUM(L53:L57)</f>
        <v>46578</v>
      </c>
      <c r="M52" s="479"/>
      <c r="N52" s="787">
        <f>+L52/K52</f>
        <v>0.90132941153704738</v>
      </c>
      <c r="O52" s="344">
        <f>+SUM(O53:O57)</f>
        <v>0</v>
      </c>
      <c r="P52" s="350">
        <f>+SUM(P53:P57)</f>
        <v>0</v>
      </c>
      <c r="Q52" s="479"/>
      <c r="R52" s="793"/>
      <c r="S52" s="474">
        <f>+SUM(S53:S57)</f>
        <v>51677</v>
      </c>
      <c r="T52" s="475">
        <f>+SUM(T53:T57)</f>
        <v>46578</v>
      </c>
      <c r="U52" s="479"/>
      <c r="V52" s="793">
        <f>+T52/S52</f>
        <v>0.90132941153704738</v>
      </c>
      <c r="X52" s="4"/>
    </row>
    <row r="53" spans="1:34" s="342" customFormat="1" ht="13.5" customHeight="1">
      <c r="A53" s="241" t="s">
        <v>179</v>
      </c>
      <c r="B53" s="225" t="s">
        <v>281</v>
      </c>
      <c r="C53" s="70">
        <f>+'[4]1.1.SZ.TÁBL. BEV - KIAD'!$D$53</f>
        <v>15323</v>
      </c>
      <c r="D53" s="367">
        <f>+'3.SZ.TÁBL. SEGÍTŐ SZOLGÁLAT'!AB62</f>
        <v>14788</v>
      </c>
      <c r="E53" s="461"/>
      <c r="F53" s="783">
        <f t="shared" ref="F53:F59" si="12">+D53/C53</f>
        <v>0.96508516609019124</v>
      </c>
      <c r="G53" s="262">
        <f>+'[4]1.1.SZ.TÁBL. BEV - KIAD'!$H$53</f>
        <v>30891</v>
      </c>
      <c r="H53" s="367">
        <f>+'4.SZ.TÁBL. ÓVODA'!S58</f>
        <v>25772</v>
      </c>
      <c r="I53" s="462"/>
      <c r="J53" s="783">
        <f t="shared" si="9"/>
        <v>0.83428830403677445</v>
      </c>
      <c r="K53" s="452">
        <f t="shared" ref="K53:L60" si="13">+C53+G53</f>
        <v>46214</v>
      </c>
      <c r="L53" s="461">
        <f t="shared" si="13"/>
        <v>40560</v>
      </c>
      <c r="M53" s="461"/>
      <c r="N53" s="783">
        <f t="shared" ref="N53:N59" si="14">+L53/K53</f>
        <v>0.87765612152161687</v>
      </c>
      <c r="O53" s="463"/>
      <c r="P53" s="464"/>
      <c r="Q53" s="464"/>
      <c r="R53" s="811"/>
      <c r="S53" s="452">
        <f t="shared" si="2"/>
        <v>46214</v>
      </c>
      <c r="T53" s="461">
        <f t="shared" si="2"/>
        <v>40560</v>
      </c>
      <c r="U53" s="464"/>
      <c r="V53" s="794">
        <f t="shared" ref="V53:V59" si="15">+T53/S53</f>
        <v>0.87765612152161687</v>
      </c>
      <c r="X53" s="453"/>
    </row>
    <row r="54" spans="1:34" s="342" customFormat="1" ht="13.5" customHeight="1">
      <c r="A54" s="242" t="s">
        <v>179</v>
      </c>
      <c r="B54" s="203" t="s">
        <v>282</v>
      </c>
      <c r="C54" s="72">
        <f>+'[4]1.1.SZ.TÁBL. BEV - KIAD'!$D$54</f>
        <v>1929</v>
      </c>
      <c r="D54" s="367">
        <f>+'3.SZ.TÁBL. SEGÍTŐ SZOLGÁLAT'!AB63</f>
        <v>1929</v>
      </c>
      <c r="E54" s="450"/>
      <c r="F54" s="783">
        <f t="shared" si="12"/>
        <v>1</v>
      </c>
      <c r="G54" s="262">
        <f>+'[4]1.1.SZ.TÁBL. BEV - KIAD'!$H$54</f>
        <v>1929</v>
      </c>
      <c r="H54" s="367">
        <f>+'4.SZ.TÁBL. ÓVODA'!S59</f>
        <v>1929</v>
      </c>
      <c r="I54" s="465"/>
      <c r="J54" s="784">
        <f t="shared" si="9"/>
        <v>1</v>
      </c>
      <c r="K54" s="449">
        <f t="shared" si="13"/>
        <v>3858</v>
      </c>
      <c r="L54" s="450">
        <f t="shared" si="13"/>
        <v>3858</v>
      </c>
      <c r="M54" s="450"/>
      <c r="N54" s="783">
        <f t="shared" si="14"/>
        <v>1</v>
      </c>
      <c r="O54" s="466"/>
      <c r="P54" s="467"/>
      <c r="Q54" s="467"/>
      <c r="R54" s="797"/>
      <c r="S54" s="449">
        <f t="shared" si="2"/>
        <v>3858</v>
      </c>
      <c r="T54" s="450">
        <f t="shared" si="2"/>
        <v>3858</v>
      </c>
      <c r="U54" s="467"/>
      <c r="V54" s="796">
        <f t="shared" si="15"/>
        <v>1</v>
      </c>
      <c r="X54" s="453"/>
    </row>
    <row r="55" spans="1:34" s="342" customFormat="1" ht="13.5" customHeight="1">
      <c r="A55" s="242" t="s">
        <v>179</v>
      </c>
      <c r="B55" s="203" t="s">
        <v>283</v>
      </c>
      <c r="C55" s="72">
        <f>+'[4]1.1.SZ.TÁBL. BEV - KIAD'!$D$55</f>
        <v>316</v>
      </c>
      <c r="D55" s="367">
        <f>+'3.SZ.TÁBL. SEGÍTŐ SZOLGÁLAT'!AB64</f>
        <v>588</v>
      </c>
      <c r="E55" s="450"/>
      <c r="F55" s="783">
        <f t="shared" si="12"/>
        <v>1.860759493670886</v>
      </c>
      <c r="G55" s="262">
        <f>+'[4]1.1.SZ.TÁBL. BEV - KIAD'!$H$55</f>
        <v>484</v>
      </c>
      <c r="H55" s="367">
        <f>+'4.SZ.TÁBL. ÓVODA'!S60</f>
        <v>798</v>
      </c>
      <c r="I55" s="465"/>
      <c r="J55" s="784">
        <f t="shared" si="9"/>
        <v>1.6487603305785123</v>
      </c>
      <c r="K55" s="449">
        <f t="shared" si="13"/>
        <v>800</v>
      </c>
      <c r="L55" s="450">
        <f t="shared" si="13"/>
        <v>1386</v>
      </c>
      <c r="M55" s="450"/>
      <c r="N55" s="783">
        <f t="shared" si="14"/>
        <v>1.7324999999999999</v>
      </c>
      <c r="O55" s="466"/>
      <c r="P55" s="467"/>
      <c r="Q55" s="467"/>
      <c r="R55" s="797"/>
      <c r="S55" s="449">
        <f t="shared" si="2"/>
        <v>800</v>
      </c>
      <c r="T55" s="450">
        <f t="shared" si="2"/>
        <v>1386</v>
      </c>
      <c r="U55" s="467"/>
      <c r="V55" s="796">
        <f t="shared" si="15"/>
        <v>1.7324999999999999</v>
      </c>
      <c r="X55" s="453"/>
    </row>
    <row r="56" spans="1:34" s="342" customFormat="1" ht="13.5" customHeight="1">
      <c r="A56" s="242" t="s">
        <v>179</v>
      </c>
      <c r="B56" s="203" t="s">
        <v>284</v>
      </c>
      <c r="C56" s="72">
        <f>+'[3]1.1.SZ.TÁBL. BEV - KIAD'!$C56</f>
        <v>0</v>
      </c>
      <c r="D56" s="367">
        <f>+'3.SZ.TÁBL. SEGÍTŐ SZOLGÁLAT'!AB65</f>
        <v>0</v>
      </c>
      <c r="E56" s="450"/>
      <c r="F56" s="783"/>
      <c r="G56" s="262">
        <f>+'[3]1.1.SZ.TÁBL. BEV - KIAD'!$F56</f>
        <v>0</v>
      </c>
      <c r="H56" s="367">
        <f>+'4.SZ.TÁBL. ÓVODA'!S61</f>
        <v>0</v>
      </c>
      <c r="I56" s="465"/>
      <c r="J56" s="784"/>
      <c r="K56" s="449">
        <f t="shared" si="13"/>
        <v>0</v>
      </c>
      <c r="L56" s="450">
        <f t="shared" si="13"/>
        <v>0</v>
      </c>
      <c r="M56" s="450"/>
      <c r="N56" s="783"/>
      <c r="O56" s="466"/>
      <c r="P56" s="467"/>
      <c r="Q56" s="467"/>
      <c r="R56" s="797"/>
      <c r="S56" s="449">
        <f t="shared" si="2"/>
        <v>0</v>
      </c>
      <c r="T56" s="450">
        <f t="shared" si="2"/>
        <v>0</v>
      </c>
      <c r="U56" s="467"/>
      <c r="V56" s="796"/>
      <c r="X56" s="453"/>
    </row>
    <row r="57" spans="1:34" s="342" customFormat="1" ht="13.5" customHeight="1">
      <c r="A57" s="242" t="s">
        <v>179</v>
      </c>
      <c r="B57" s="203" t="s">
        <v>285</v>
      </c>
      <c r="C57" s="72">
        <f>+'[4]1.1.SZ.TÁBL. BEV - KIAD'!$D$57</f>
        <v>325</v>
      </c>
      <c r="D57" s="367">
        <f>+'3.SZ.TÁBL. SEGÍTŐ SZOLGÁLAT'!AB66</f>
        <v>329</v>
      </c>
      <c r="E57" s="450"/>
      <c r="F57" s="783">
        <f t="shared" si="12"/>
        <v>1.0123076923076924</v>
      </c>
      <c r="G57" s="262">
        <f>+'[4]1.1.SZ.TÁBL. BEV - KIAD'!$H$57</f>
        <v>480</v>
      </c>
      <c r="H57" s="367">
        <f>+'4.SZ.TÁBL. ÓVODA'!S62</f>
        <v>445</v>
      </c>
      <c r="I57" s="465"/>
      <c r="J57" s="784">
        <f t="shared" si="9"/>
        <v>0.92708333333333337</v>
      </c>
      <c r="K57" s="449">
        <f t="shared" si="13"/>
        <v>805</v>
      </c>
      <c r="L57" s="450">
        <f t="shared" si="13"/>
        <v>774</v>
      </c>
      <c r="M57" s="450"/>
      <c r="N57" s="783">
        <f t="shared" si="14"/>
        <v>0.96149068322981368</v>
      </c>
      <c r="O57" s="466"/>
      <c r="P57" s="467"/>
      <c r="Q57" s="467"/>
      <c r="R57" s="797"/>
      <c r="S57" s="449">
        <f t="shared" si="2"/>
        <v>805</v>
      </c>
      <c r="T57" s="450">
        <f t="shared" si="2"/>
        <v>774</v>
      </c>
      <c r="U57" s="467"/>
      <c r="V57" s="796">
        <f t="shared" si="15"/>
        <v>0.96149068322981368</v>
      </c>
      <c r="X57" s="453"/>
    </row>
    <row r="58" spans="1:34" ht="13.5" customHeight="1">
      <c r="A58" s="238" t="s">
        <v>223</v>
      </c>
      <c r="B58" s="199" t="s">
        <v>224</v>
      </c>
      <c r="C58" s="70">
        <f>+'[4]1.1.SZ.TÁBL. BEV - KIAD'!$D$58</f>
        <v>58</v>
      </c>
      <c r="D58" s="367">
        <f>+'3.SZ.TÁBL. SEGÍTŐ SZOLGÁLAT'!AB67</f>
        <v>98</v>
      </c>
      <c r="E58" s="88"/>
      <c r="F58" s="783">
        <f t="shared" si="12"/>
        <v>1.6896551724137931</v>
      </c>
      <c r="G58" s="262">
        <f>+'[4]1.1.SZ.TÁBL. BEV - KIAD'!$H$58</f>
        <v>783</v>
      </c>
      <c r="H58" s="367">
        <f>+'4.SZ.TÁBL. ÓVODA'!S63</f>
        <v>783</v>
      </c>
      <c r="I58" s="15"/>
      <c r="J58" s="784">
        <f t="shared" si="9"/>
        <v>1</v>
      </c>
      <c r="K58" s="70">
        <f t="shared" si="13"/>
        <v>841</v>
      </c>
      <c r="L58" s="92">
        <f t="shared" si="13"/>
        <v>881</v>
      </c>
      <c r="M58" s="88"/>
      <c r="N58" s="783">
        <f t="shared" si="14"/>
        <v>1.0475624256837099</v>
      </c>
      <c r="O58" s="6"/>
      <c r="P58" s="179"/>
      <c r="Q58" s="179"/>
      <c r="R58" s="796"/>
      <c r="S58" s="72">
        <f t="shared" si="2"/>
        <v>841</v>
      </c>
      <c r="T58" s="88">
        <f t="shared" si="2"/>
        <v>881</v>
      </c>
      <c r="U58" s="179"/>
      <c r="V58" s="796">
        <f t="shared" si="15"/>
        <v>1.0475624256837099</v>
      </c>
    </row>
    <row r="59" spans="1:34" ht="13.5" customHeight="1">
      <c r="A59" s="238" t="s">
        <v>225</v>
      </c>
      <c r="B59" s="199" t="s">
        <v>226</v>
      </c>
      <c r="C59" s="72">
        <f>+'[4]1.1.SZ.TÁBL. BEV - KIAD'!$D$59</f>
        <v>4355</v>
      </c>
      <c r="D59" s="367">
        <f>+'3.SZ.TÁBL. SEGÍTŐ SZOLGÁLAT'!AB68</f>
        <v>3514</v>
      </c>
      <c r="E59" s="88"/>
      <c r="F59" s="783">
        <f t="shared" si="12"/>
        <v>0.80688863375430542</v>
      </c>
      <c r="G59" s="262">
        <f>+'[4]1.1.SZ.TÁBL. BEV - KIAD'!$H$59</f>
        <v>945</v>
      </c>
      <c r="H59" s="367">
        <f>+'4.SZ.TÁBL. ÓVODA'!S64</f>
        <v>945</v>
      </c>
      <c r="I59" s="15"/>
      <c r="J59" s="784">
        <f t="shared" si="9"/>
        <v>1</v>
      </c>
      <c r="K59" s="72">
        <f t="shared" si="13"/>
        <v>5300</v>
      </c>
      <c r="L59" s="88">
        <f t="shared" si="13"/>
        <v>4459</v>
      </c>
      <c r="M59" s="88"/>
      <c r="N59" s="783">
        <f t="shared" si="14"/>
        <v>0.84132075471698109</v>
      </c>
      <c r="O59" s="6"/>
      <c r="P59" s="179"/>
      <c r="Q59" s="179"/>
      <c r="R59" s="796"/>
      <c r="S59" s="72">
        <f t="shared" si="2"/>
        <v>5300</v>
      </c>
      <c r="T59" s="88">
        <f t="shared" si="2"/>
        <v>4459</v>
      </c>
      <c r="U59" s="179"/>
      <c r="V59" s="796">
        <f t="shared" si="15"/>
        <v>0.84132075471698109</v>
      </c>
    </row>
    <row r="60" spans="1:34" ht="13.5" customHeight="1">
      <c r="A60" s="239" t="s">
        <v>227</v>
      </c>
      <c r="B60" s="213" t="s">
        <v>228</v>
      </c>
      <c r="C60" s="73">
        <f>+'[3]1.1.SZ.TÁBL. BEV - KIAD'!$C60</f>
        <v>0</v>
      </c>
      <c r="D60" s="367">
        <f>+'3.SZ.TÁBL. SEGÍTŐ SZOLGÁLAT'!AB69</f>
        <v>0</v>
      </c>
      <c r="E60" s="89"/>
      <c r="F60" s="783"/>
      <c r="G60" s="262">
        <f>+'[3]1.1.SZ.TÁBL. BEV - KIAD'!$F60</f>
        <v>0</v>
      </c>
      <c r="H60" s="367">
        <f>+'4.SZ.TÁBL. ÓVODA'!S65</f>
        <v>0</v>
      </c>
      <c r="I60" s="16"/>
      <c r="J60" s="788"/>
      <c r="K60" s="73">
        <f t="shared" si="13"/>
        <v>0</v>
      </c>
      <c r="L60" s="89">
        <f t="shared" si="13"/>
        <v>0</v>
      </c>
      <c r="M60" s="221"/>
      <c r="N60" s="783"/>
      <c r="O60" s="208"/>
      <c r="P60" s="221"/>
      <c r="Q60" s="221"/>
      <c r="R60" s="795"/>
      <c r="S60" s="73">
        <f t="shared" si="2"/>
        <v>0</v>
      </c>
      <c r="T60" s="89">
        <f t="shared" si="2"/>
        <v>0</v>
      </c>
      <c r="U60" s="221"/>
      <c r="V60" s="795"/>
    </row>
    <row r="61" spans="1:34" s="3" customFormat="1" ht="13.5" customHeight="1">
      <c r="A61" s="240" t="s">
        <v>180</v>
      </c>
      <c r="B61" s="214" t="s">
        <v>138</v>
      </c>
      <c r="C61" s="344">
        <f>SUM(C58:C60)</f>
        <v>4413</v>
      </c>
      <c r="D61" s="350">
        <f>SUM(D58:D60)</f>
        <v>3612</v>
      </c>
      <c r="E61" s="480"/>
      <c r="F61" s="793">
        <f>+D61/C61</f>
        <v>0.81849082256968053</v>
      </c>
      <c r="G61" s="344">
        <f>SUM(G58:G60)</f>
        <v>1728</v>
      </c>
      <c r="H61" s="350">
        <f>SUM(H58:H60)</f>
        <v>1728</v>
      </c>
      <c r="I61" s="481"/>
      <c r="J61" s="787">
        <f t="shared" si="9"/>
        <v>1</v>
      </c>
      <c r="K61" s="344">
        <f>SUM(K58:K60)</f>
        <v>6141</v>
      </c>
      <c r="L61" s="350">
        <f>SUM(L58:L60)</f>
        <v>5340</v>
      </c>
      <c r="M61" s="482"/>
      <c r="N61" s="793">
        <f>+L61/K61</f>
        <v>0.86956521739130432</v>
      </c>
      <c r="O61" s="344">
        <f>SUM(O58:O60)</f>
        <v>0</v>
      </c>
      <c r="P61" s="350">
        <f>SUM(P58:P60)</f>
        <v>0</v>
      </c>
      <c r="Q61" s="479"/>
      <c r="R61" s="793"/>
      <c r="S61" s="474">
        <f>+SUM(S58:S60)</f>
        <v>6141</v>
      </c>
      <c r="T61" s="475">
        <f>+SUM(T58:T60)</f>
        <v>5340</v>
      </c>
      <c r="U61" s="479"/>
      <c r="V61" s="793">
        <f>+T61/S61</f>
        <v>0.86956521739130432</v>
      </c>
      <c r="X61" s="4"/>
    </row>
    <row r="62" spans="1:34" ht="13.5" customHeight="1">
      <c r="A62" s="237" t="s">
        <v>229</v>
      </c>
      <c r="B62" s="212" t="s">
        <v>230</v>
      </c>
      <c r="C62" s="70">
        <f>+'[4]1.1.SZ.TÁBL. BEV - KIAD'!$D$62</f>
        <v>300</v>
      </c>
      <c r="D62" s="257">
        <f>+'3.SZ.TÁBL. SEGÍTŐ SZOLGÁLAT'!AB71</f>
        <v>300</v>
      </c>
      <c r="E62" s="228"/>
      <c r="F62" s="783">
        <f t="shared" ref="F62:F63" si="16">+D62/C62</f>
        <v>1</v>
      </c>
      <c r="G62" s="262">
        <f>+'[4]1.1.SZ.TÁBL. BEV - KIAD'!$H$62</f>
        <v>180</v>
      </c>
      <c r="H62" s="257">
        <f>+'4.SZ.TÁBL. ÓVODA'!S67</f>
        <v>180</v>
      </c>
      <c r="I62" s="229"/>
      <c r="J62" s="783">
        <f t="shared" si="9"/>
        <v>1</v>
      </c>
      <c r="K62" s="70">
        <f t="shared" ref="K62:L63" si="17">+C62+G62</f>
        <v>480</v>
      </c>
      <c r="L62" s="92">
        <f t="shared" si="17"/>
        <v>480</v>
      </c>
      <c r="M62" s="230"/>
      <c r="N62" s="783">
        <f t="shared" ref="N62:N63" si="18">+L62/K62</f>
        <v>1</v>
      </c>
      <c r="O62" s="5"/>
      <c r="P62" s="90"/>
      <c r="Q62" s="90"/>
      <c r="R62" s="794"/>
      <c r="S62" s="70">
        <f t="shared" si="2"/>
        <v>480</v>
      </c>
      <c r="T62" s="92">
        <f t="shared" si="2"/>
        <v>480</v>
      </c>
      <c r="U62" s="90"/>
      <c r="V62" s="794">
        <f t="shared" ref="V62:V63" si="19">+T62/S62</f>
        <v>1</v>
      </c>
    </row>
    <row r="63" spans="1:34" ht="13.5" customHeight="1">
      <c r="A63" s="239" t="s">
        <v>231</v>
      </c>
      <c r="B63" s="213" t="s">
        <v>232</v>
      </c>
      <c r="C63" s="73">
        <f>+'[4]1.1.SZ.TÁBL. BEV - KIAD'!$D$63</f>
        <v>727</v>
      </c>
      <c r="D63" s="257">
        <f>+'3.SZ.TÁBL. SEGÍTŐ SZOLGÁLAT'!AB72</f>
        <v>808</v>
      </c>
      <c r="E63" s="224"/>
      <c r="F63" s="783">
        <f t="shared" si="16"/>
        <v>1.1114167812929849</v>
      </c>
      <c r="G63" s="262">
        <f>+'[4]1.1.SZ.TÁBL. BEV - KIAD'!$H$63</f>
        <v>535</v>
      </c>
      <c r="H63" s="257">
        <f>+'4.SZ.TÁBL. ÓVODA'!S68</f>
        <v>535</v>
      </c>
      <c r="I63" s="226"/>
      <c r="J63" s="788">
        <f t="shared" si="9"/>
        <v>1</v>
      </c>
      <c r="K63" s="73">
        <f t="shared" si="17"/>
        <v>1262</v>
      </c>
      <c r="L63" s="89">
        <f t="shared" si="17"/>
        <v>1343</v>
      </c>
      <c r="M63" s="227"/>
      <c r="N63" s="783">
        <f t="shared" si="18"/>
        <v>1.0641838351822503</v>
      </c>
      <c r="O63" s="208"/>
      <c r="P63" s="221"/>
      <c r="Q63" s="221"/>
      <c r="R63" s="795"/>
      <c r="S63" s="73">
        <f t="shared" si="2"/>
        <v>1262</v>
      </c>
      <c r="T63" s="89">
        <f t="shared" si="2"/>
        <v>1343</v>
      </c>
      <c r="U63" s="221"/>
      <c r="V63" s="795">
        <f t="shared" si="19"/>
        <v>1.0641838351822503</v>
      </c>
    </row>
    <row r="64" spans="1:34" s="3" customFormat="1" ht="13.5" customHeight="1">
      <c r="A64" s="240" t="s">
        <v>181</v>
      </c>
      <c r="B64" s="214" t="s">
        <v>139</v>
      </c>
      <c r="C64" s="344">
        <f>SUM(C62:C63)</f>
        <v>1027</v>
      </c>
      <c r="D64" s="350">
        <f>SUM(D62:D63)</f>
        <v>1108</v>
      </c>
      <c r="E64" s="480"/>
      <c r="F64" s="793">
        <f>+D64/C64</f>
        <v>1.0788704965920155</v>
      </c>
      <c r="G64" s="344">
        <f>SUM(G62:G63)</f>
        <v>715</v>
      </c>
      <c r="H64" s="350">
        <f>SUM(H62:H63)</f>
        <v>715</v>
      </c>
      <c r="I64" s="481"/>
      <c r="J64" s="787">
        <f t="shared" si="9"/>
        <v>1</v>
      </c>
      <c r="K64" s="344">
        <f>SUM(K62:K63)</f>
        <v>1742</v>
      </c>
      <c r="L64" s="350">
        <f>SUM(L62:L63)</f>
        <v>1823</v>
      </c>
      <c r="M64" s="482"/>
      <c r="N64" s="793">
        <f>+L64/K64</f>
        <v>1.0464982778415615</v>
      </c>
      <c r="O64" s="344">
        <f>SUM(O62:O63)</f>
        <v>0</v>
      </c>
      <c r="P64" s="350">
        <f>SUM(P62:P63)</f>
        <v>0</v>
      </c>
      <c r="Q64" s="479"/>
      <c r="R64" s="793"/>
      <c r="S64" s="474">
        <f>+SUM(S62:S63)</f>
        <v>1742</v>
      </c>
      <c r="T64" s="475">
        <f>+SUM(T62:T63)</f>
        <v>1823</v>
      </c>
      <c r="U64" s="479"/>
      <c r="V64" s="793">
        <f>+T64/S64</f>
        <v>1.0464982778415615</v>
      </c>
      <c r="X64" s="4"/>
    </row>
    <row r="65" spans="1:24" ht="13.5" customHeight="1">
      <c r="A65" s="237" t="s">
        <v>233</v>
      </c>
      <c r="B65" s="212" t="s">
        <v>234</v>
      </c>
      <c r="C65" s="70">
        <f>+'[4]1.1.SZ.TÁBL. BEV - KIAD'!$D$65</f>
        <v>2330</v>
      </c>
      <c r="D65" s="257">
        <f>+'3.SZ.TÁBL. SEGÍTŐ SZOLGÁLAT'!AB74</f>
        <v>2505</v>
      </c>
      <c r="E65" s="228"/>
      <c r="F65" s="783">
        <f t="shared" ref="F65:F73" si="20">+D65/C65</f>
        <v>1.0751072961373391</v>
      </c>
      <c r="G65" s="262">
        <f>+'[4]1.1.SZ.TÁBL. BEV - KIAD'!$H$65</f>
        <v>3165</v>
      </c>
      <c r="H65" s="257">
        <f>+'4.SZ.TÁBL. ÓVODA'!S70</f>
        <v>3165</v>
      </c>
      <c r="I65" s="229"/>
      <c r="J65" s="783">
        <f t="shared" si="9"/>
        <v>1</v>
      </c>
      <c r="K65" s="70">
        <f t="shared" ref="K65:L73" si="21">+C65+G65</f>
        <v>5495</v>
      </c>
      <c r="L65" s="92">
        <f t="shared" si="21"/>
        <v>5670</v>
      </c>
      <c r="M65" s="230"/>
      <c r="N65" s="783">
        <f t="shared" ref="N65:N73" si="22">+L65/K65</f>
        <v>1.0318471337579618</v>
      </c>
      <c r="O65" s="5"/>
      <c r="P65" s="90"/>
      <c r="Q65" s="90"/>
      <c r="R65" s="794"/>
      <c r="S65" s="70">
        <f t="shared" si="2"/>
        <v>5495</v>
      </c>
      <c r="T65" s="92">
        <f t="shared" si="2"/>
        <v>5670</v>
      </c>
      <c r="U65" s="90"/>
      <c r="V65" s="794">
        <f t="shared" ref="V65:V73" si="23">+T65/S65</f>
        <v>1.0318471337579618</v>
      </c>
    </row>
    <row r="66" spans="1:24" ht="13.5" customHeight="1">
      <c r="A66" s="238" t="s">
        <v>235</v>
      </c>
      <c r="B66" s="199" t="s">
        <v>3</v>
      </c>
      <c r="C66" s="72">
        <f>+'[4]1.1.SZ.TÁBL. BEV - KIAD'!$D$66</f>
        <v>2420</v>
      </c>
      <c r="D66" s="257">
        <f>+'3.SZ.TÁBL. SEGÍTŐ SZOLGÁLAT'!AB75</f>
        <v>1560</v>
      </c>
      <c r="E66" s="200"/>
      <c r="F66" s="783">
        <f t="shared" si="20"/>
        <v>0.64462809917355368</v>
      </c>
      <c r="G66" s="262">
        <f>+'[4]1.1.SZ.TÁBL. BEV - KIAD'!$H$66</f>
        <v>3083</v>
      </c>
      <c r="H66" s="257">
        <f>+'4.SZ.TÁBL. ÓVODA'!S71</f>
        <v>3083</v>
      </c>
      <c r="I66" s="201"/>
      <c r="J66" s="784">
        <f t="shared" si="9"/>
        <v>1</v>
      </c>
      <c r="K66" s="72">
        <f t="shared" si="21"/>
        <v>5503</v>
      </c>
      <c r="L66" s="88">
        <f t="shared" si="21"/>
        <v>4643</v>
      </c>
      <c r="M66" s="202"/>
      <c r="N66" s="783">
        <f t="shared" si="22"/>
        <v>0.84372160639651095</v>
      </c>
      <c r="O66" s="6"/>
      <c r="P66" s="179"/>
      <c r="Q66" s="179"/>
      <c r="R66" s="796"/>
      <c r="S66" s="72">
        <f t="shared" si="2"/>
        <v>5503</v>
      </c>
      <c r="T66" s="88">
        <f t="shared" si="2"/>
        <v>4643</v>
      </c>
      <c r="U66" s="179"/>
      <c r="V66" s="796">
        <f t="shared" si="23"/>
        <v>0.84372160639651095</v>
      </c>
    </row>
    <row r="67" spans="1:24" ht="13.5" customHeight="1">
      <c r="A67" s="238" t="s">
        <v>236</v>
      </c>
      <c r="B67" s="199" t="s">
        <v>237</v>
      </c>
      <c r="C67" s="72">
        <f>+'[3]1.1.SZ.TÁBL. BEV - KIAD'!$C67</f>
        <v>0</v>
      </c>
      <c r="D67" s="257">
        <f>+'3.SZ.TÁBL. SEGÍTŐ SZOLGÁLAT'!AB76</f>
        <v>0</v>
      </c>
      <c r="E67" s="200"/>
      <c r="F67" s="783"/>
      <c r="G67" s="262">
        <f>+'[3]1.1.SZ.TÁBL. BEV - KIAD'!$F67</f>
        <v>0</v>
      </c>
      <c r="H67" s="257">
        <f>+'4.SZ.TÁBL. ÓVODA'!S72</f>
        <v>0</v>
      </c>
      <c r="I67" s="201"/>
      <c r="J67" s="784"/>
      <c r="K67" s="72">
        <f t="shared" si="21"/>
        <v>0</v>
      </c>
      <c r="L67" s="88">
        <f t="shared" si="21"/>
        <v>0</v>
      </c>
      <c r="M67" s="202"/>
      <c r="N67" s="783"/>
      <c r="O67" s="6"/>
      <c r="P67" s="179"/>
      <c r="Q67" s="179"/>
      <c r="R67" s="796"/>
      <c r="S67" s="72">
        <f t="shared" si="2"/>
        <v>0</v>
      </c>
      <c r="T67" s="88">
        <f t="shared" si="2"/>
        <v>0</v>
      </c>
      <c r="U67" s="179"/>
      <c r="V67" s="796"/>
    </row>
    <row r="68" spans="1:24" ht="13.5" customHeight="1">
      <c r="A68" s="238" t="s">
        <v>238</v>
      </c>
      <c r="B68" s="199" t="s">
        <v>239</v>
      </c>
      <c r="C68" s="72">
        <f>+'[4]1.1.SZ.TÁBL. BEV - KIAD'!$D$68</f>
        <v>1840</v>
      </c>
      <c r="D68" s="257">
        <f>+'3.SZ.TÁBL. SEGÍTŐ SZOLGÁLAT'!AB77</f>
        <v>2060</v>
      </c>
      <c r="E68" s="200"/>
      <c r="F68" s="783">
        <f t="shared" si="20"/>
        <v>1.1195652173913044</v>
      </c>
      <c r="G68" s="262">
        <f>+'[4]1.1.SZ.TÁBL. BEV - KIAD'!$H$68</f>
        <v>1150</v>
      </c>
      <c r="H68" s="257">
        <f>+'4.SZ.TÁBL. ÓVODA'!S73</f>
        <v>1100</v>
      </c>
      <c r="I68" s="201"/>
      <c r="J68" s="784">
        <f t="shared" si="9"/>
        <v>0.95652173913043481</v>
      </c>
      <c r="K68" s="72">
        <f t="shared" si="21"/>
        <v>2990</v>
      </c>
      <c r="L68" s="88">
        <f t="shared" si="21"/>
        <v>3160</v>
      </c>
      <c r="M68" s="202"/>
      <c r="N68" s="783">
        <f t="shared" si="22"/>
        <v>1.0568561872909699</v>
      </c>
      <c r="O68" s="6"/>
      <c r="P68" s="179"/>
      <c r="Q68" s="179"/>
      <c r="R68" s="796"/>
      <c r="S68" s="72">
        <f t="shared" si="2"/>
        <v>2990</v>
      </c>
      <c r="T68" s="88">
        <f t="shared" si="2"/>
        <v>3160</v>
      </c>
      <c r="U68" s="179"/>
      <c r="V68" s="796">
        <f t="shared" si="23"/>
        <v>1.0568561872909699</v>
      </c>
    </row>
    <row r="69" spans="1:24" ht="13.5" customHeight="1">
      <c r="A69" s="238" t="s">
        <v>240</v>
      </c>
      <c r="B69" s="199" t="s">
        <v>241</v>
      </c>
      <c r="C69" s="72">
        <f>+'[3]1.1.SZ.TÁBL. BEV - KIAD'!$C69</f>
        <v>0</v>
      </c>
      <c r="D69" s="257">
        <f>+'3.SZ.TÁBL. SEGÍTŐ SZOLGÁLAT'!AB78</f>
        <v>0</v>
      </c>
      <c r="E69" s="200"/>
      <c r="F69" s="783"/>
      <c r="G69" s="262">
        <f>+'[3]1.1.SZ.TÁBL. BEV - KIAD'!$F69</f>
        <v>0</v>
      </c>
      <c r="H69" s="257">
        <f>+'4.SZ.TÁBL. ÓVODA'!S74</f>
        <v>0</v>
      </c>
      <c r="I69" s="201"/>
      <c r="J69" s="784"/>
      <c r="K69" s="72">
        <f t="shared" si="21"/>
        <v>0</v>
      </c>
      <c r="L69" s="88">
        <f t="shared" si="21"/>
        <v>0</v>
      </c>
      <c r="M69" s="202"/>
      <c r="N69" s="783"/>
      <c r="O69" s="6"/>
      <c r="P69" s="179"/>
      <c r="Q69" s="179"/>
      <c r="R69" s="796"/>
      <c r="S69" s="72">
        <f t="shared" si="2"/>
        <v>0</v>
      </c>
      <c r="T69" s="88">
        <f t="shared" si="2"/>
        <v>0</v>
      </c>
      <c r="U69" s="179"/>
      <c r="V69" s="796"/>
    </row>
    <row r="70" spans="1:24" s="342" customFormat="1" ht="13.5" customHeight="1">
      <c r="A70" s="242" t="s">
        <v>240</v>
      </c>
      <c r="B70" s="203" t="s">
        <v>286</v>
      </c>
      <c r="C70" s="72">
        <f>+'[3]1.1.SZ.TÁBL. BEV - KIAD'!$C70</f>
        <v>0</v>
      </c>
      <c r="D70" s="257">
        <f>+'3.SZ.TÁBL. SEGÍTŐ SZOLGÁLAT'!AB79</f>
        <v>0</v>
      </c>
      <c r="E70" s="468"/>
      <c r="F70" s="783"/>
      <c r="G70" s="262">
        <f>+'[3]1.1.SZ.TÁBL. BEV - KIAD'!$F70</f>
        <v>0</v>
      </c>
      <c r="H70" s="257">
        <f>+'4.SZ.TÁBL. ÓVODA'!S75</f>
        <v>0</v>
      </c>
      <c r="I70" s="469"/>
      <c r="J70" s="784"/>
      <c r="K70" s="449">
        <f t="shared" si="21"/>
        <v>0</v>
      </c>
      <c r="L70" s="450">
        <f t="shared" si="21"/>
        <v>0</v>
      </c>
      <c r="M70" s="470"/>
      <c r="N70" s="783"/>
      <c r="O70" s="466"/>
      <c r="P70" s="467"/>
      <c r="Q70" s="467"/>
      <c r="R70" s="797"/>
      <c r="S70" s="449">
        <f t="shared" si="2"/>
        <v>0</v>
      </c>
      <c r="T70" s="450">
        <f t="shared" si="2"/>
        <v>0</v>
      </c>
      <c r="U70" s="467"/>
      <c r="V70" s="796"/>
      <c r="X70" s="453"/>
    </row>
    <row r="71" spans="1:24" s="342" customFormat="1" ht="13.5" customHeight="1">
      <c r="A71" s="242" t="s">
        <v>240</v>
      </c>
      <c r="B71" s="203" t="s">
        <v>287</v>
      </c>
      <c r="C71" s="72">
        <f>+'[3]1.1.SZ.TÁBL. BEV - KIAD'!$C71</f>
        <v>0</v>
      </c>
      <c r="D71" s="257">
        <f>+'3.SZ.TÁBL. SEGÍTŐ SZOLGÁLAT'!AB80</f>
        <v>0</v>
      </c>
      <c r="E71" s="468"/>
      <c r="F71" s="783"/>
      <c r="G71" s="262">
        <f>+'[3]1.1.SZ.TÁBL. BEV - KIAD'!$F71</f>
        <v>0</v>
      </c>
      <c r="H71" s="257">
        <f>+'4.SZ.TÁBL. ÓVODA'!S76</f>
        <v>0</v>
      </c>
      <c r="I71" s="469"/>
      <c r="J71" s="784"/>
      <c r="K71" s="449">
        <f t="shared" si="21"/>
        <v>0</v>
      </c>
      <c r="L71" s="450">
        <f t="shared" si="21"/>
        <v>0</v>
      </c>
      <c r="M71" s="470"/>
      <c r="N71" s="783"/>
      <c r="O71" s="466"/>
      <c r="P71" s="467"/>
      <c r="Q71" s="467"/>
      <c r="R71" s="797"/>
      <c r="S71" s="449">
        <f t="shared" si="2"/>
        <v>0</v>
      </c>
      <c r="T71" s="450">
        <f t="shared" si="2"/>
        <v>0</v>
      </c>
      <c r="U71" s="467"/>
      <c r="V71" s="796"/>
      <c r="X71" s="453"/>
    </row>
    <row r="72" spans="1:24" ht="13.5" customHeight="1">
      <c r="A72" s="238" t="s">
        <v>242</v>
      </c>
      <c r="B72" s="199" t="s">
        <v>243</v>
      </c>
      <c r="C72" s="72">
        <f>+'[4]1.1.SZ.TÁBL. BEV - KIAD'!$D$72</f>
        <v>1780</v>
      </c>
      <c r="D72" s="257">
        <f>+'3.SZ.TÁBL. SEGÍTŐ SZOLGÁLAT'!AB81</f>
        <v>2065</v>
      </c>
      <c r="E72" s="200"/>
      <c r="F72" s="783">
        <f t="shared" si="20"/>
        <v>1.1601123595505618</v>
      </c>
      <c r="G72" s="262">
        <f>+'[4]1.1.SZ.TÁBL. BEV - KIAD'!$H$72</f>
        <v>2049</v>
      </c>
      <c r="H72" s="257">
        <f>+'4.SZ.TÁBL. ÓVODA'!S77</f>
        <v>4522</v>
      </c>
      <c r="I72" s="201"/>
      <c r="J72" s="784">
        <f t="shared" si="9"/>
        <v>2.2069302098584673</v>
      </c>
      <c r="K72" s="72">
        <f t="shared" si="21"/>
        <v>3829</v>
      </c>
      <c r="L72" s="88">
        <f t="shared" si="21"/>
        <v>6587</v>
      </c>
      <c r="M72" s="202"/>
      <c r="N72" s="783">
        <f t="shared" si="22"/>
        <v>1.7202925045703839</v>
      </c>
      <c r="O72" s="6">
        <f>+'[4]1.1.SZ.TÁBL. BEV - KIAD'!$P$72</f>
        <v>41816</v>
      </c>
      <c r="P72" s="179">
        <f>+(12*3290)+(12*136)+(16*47)</f>
        <v>41864</v>
      </c>
      <c r="Q72" s="179"/>
      <c r="R72" s="796">
        <f>+P72/O72</f>
        <v>1.0011478859766596</v>
      </c>
      <c r="S72" s="72">
        <f t="shared" si="2"/>
        <v>45645</v>
      </c>
      <c r="T72" s="88">
        <f t="shared" si="2"/>
        <v>48451</v>
      </c>
      <c r="U72" s="179"/>
      <c r="V72" s="796">
        <f t="shared" si="23"/>
        <v>1.061474422171103</v>
      </c>
    </row>
    <row r="73" spans="1:24" ht="29.25" customHeight="1">
      <c r="A73" s="239" t="s">
        <v>244</v>
      </c>
      <c r="B73" s="213" t="s">
        <v>381</v>
      </c>
      <c r="C73" s="73">
        <f>+'[4]1.1.SZ.TÁBL. BEV - KIAD'!$D$73</f>
        <v>3918</v>
      </c>
      <c r="D73" s="257">
        <f>+'3.SZ.TÁBL. SEGÍTŐ SZOLGÁLAT'!AB82</f>
        <v>4098</v>
      </c>
      <c r="E73" s="224"/>
      <c r="F73" s="783">
        <f t="shared" si="20"/>
        <v>1.0459418070444104</v>
      </c>
      <c r="G73" s="262">
        <f>+'[4]1.1.SZ.TÁBL. BEV - KIAD'!$H$73</f>
        <v>1600</v>
      </c>
      <c r="H73" s="257">
        <f>+'4.SZ.TÁBL. ÓVODA'!S78</f>
        <v>1818</v>
      </c>
      <c r="I73" s="226"/>
      <c r="J73" s="788">
        <f t="shared" si="9"/>
        <v>1.13625</v>
      </c>
      <c r="K73" s="73">
        <f t="shared" si="21"/>
        <v>5518</v>
      </c>
      <c r="L73" s="89">
        <f t="shared" si="21"/>
        <v>5916</v>
      </c>
      <c r="M73" s="227"/>
      <c r="N73" s="783">
        <f t="shared" si="22"/>
        <v>1.0721275824574121</v>
      </c>
      <c r="O73" s="208">
        <f>+'[4]1.1.SZ.TÁBL. BEV - KIAD'!$P$73</f>
        <v>548</v>
      </c>
      <c r="P73" s="221">
        <f>23+500</f>
        <v>523</v>
      </c>
      <c r="Q73" s="221"/>
      <c r="R73" s="795">
        <f>+P73/O73</f>
        <v>0.95437956204379559</v>
      </c>
      <c r="S73" s="73">
        <f t="shared" si="2"/>
        <v>6066</v>
      </c>
      <c r="T73" s="89">
        <f t="shared" si="2"/>
        <v>6439</v>
      </c>
      <c r="U73" s="221"/>
      <c r="V73" s="795">
        <f t="shared" si="23"/>
        <v>1.0614902736564458</v>
      </c>
    </row>
    <row r="74" spans="1:24" s="3" customFormat="1" ht="13.5" customHeight="1">
      <c r="A74" s="240" t="s">
        <v>182</v>
      </c>
      <c r="B74" s="214" t="s">
        <v>140</v>
      </c>
      <c r="C74" s="344">
        <f>+SUM(C65:C69,C72:C73)</f>
        <v>12288</v>
      </c>
      <c r="D74" s="350">
        <f>+SUM(D65:D69,D72:D73)</f>
        <v>12288</v>
      </c>
      <c r="E74" s="480"/>
      <c r="F74" s="793">
        <f>+D74/C74</f>
        <v>1</v>
      </c>
      <c r="G74" s="344">
        <f>+SUM(G65:G69,G72:G73)</f>
        <v>11047</v>
      </c>
      <c r="H74" s="350">
        <f>+SUM(H65:H69,H72:H73)</f>
        <v>13688</v>
      </c>
      <c r="I74" s="481"/>
      <c r="J74" s="787">
        <f t="shared" si="9"/>
        <v>1.2390694306146466</v>
      </c>
      <c r="K74" s="344">
        <f>+SUM(K65:K69,K72:K73)</f>
        <v>23335</v>
      </c>
      <c r="L74" s="350">
        <f>+SUM(L65:L69,L72:L73)</f>
        <v>25976</v>
      </c>
      <c r="M74" s="482"/>
      <c r="N74" s="793">
        <f>+L74/K74</f>
        <v>1.1131776301692735</v>
      </c>
      <c r="O74" s="344">
        <f>+SUM(O65:O69,O72:O73)</f>
        <v>42364</v>
      </c>
      <c r="P74" s="350">
        <f>+SUM(P65:P69,P72:P73)</f>
        <v>42387</v>
      </c>
      <c r="Q74" s="479"/>
      <c r="R74" s="793">
        <f>+P74/O74</f>
        <v>1.0005429137947315</v>
      </c>
      <c r="S74" s="474">
        <f>+SUM(S65:S73)</f>
        <v>65699</v>
      </c>
      <c r="T74" s="475">
        <f>+SUM(T65:T73)</f>
        <v>68363</v>
      </c>
      <c r="U74" s="479"/>
      <c r="V74" s="793">
        <f>+T74/S74</f>
        <v>1.0405485623829891</v>
      </c>
      <c r="X74" s="4"/>
    </row>
    <row r="75" spans="1:24" ht="13.5" customHeight="1">
      <c r="A75" s="237" t="s">
        <v>246</v>
      </c>
      <c r="B75" s="212" t="s">
        <v>247</v>
      </c>
      <c r="C75" s="70">
        <f>+'[4]1.1.SZ.TÁBL. BEV - KIAD'!$D$75</f>
        <v>640</v>
      </c>
      <c r="D75" s="257">
        <f>+'3.SZ.TÁBL. SEGÍTŐ SZOLGÁLAT'!AB84</f>
        <v>580</v>
      </c>
      <c r="E75" s="228"/>
      <c r="F75" s="783">
        <f t="shared" ref="F75" si="24">+D75/C75</f>
        <v>0.90625</v>
      </c>
      <c r="G75" s="262">
        <f>+'[4]1.1.SZ.TÁBL. BEV - KIAD'!$H$75</f>
        <v>150</v>
      </c>
      <c r="H75" s="257">
        <f>+'4.SZ.TÁBL. ÓVODA'!S80</f>
        <v>150</v>
      </c>
      <c r="I75" s="229"/>
      <c r="J75" s="783">
        <f t="shared" si="9"/>
        <v>1</v>
      </c>
      <c r="K75" s="70">
        <f t="shared" ref="K75:L76" si="25">+C75+G75</f>
        <v>790</v>
      </c>
      <c r="L75" s="92">
        <f t="shared" si="25"/>
        <v>730</v>
      </c>
      <c r="M75" s="230"/>
      <c r="N75" s="783">
        <f t="shared" ref="N75" si="26">+L75/K75</f>
        <v>0.92405063291139244</v>
      </c>
      <c r="O75" s="5"/>
      <c r="P75" s="90"/>
      <c r="Q75" s="90"/>
      <c r="R75" s="794"/>
      <c r="S75" s="70">
        <f t="shared" si="2"/>
        <v>790</v>
      </c>
      <c r="T75" s="92">
        <f t="shared" si="2"/>
        <v>730</v>
      </c>
      <c r="U75" s="90"/>
      <c r="V75" s="794">
        <f t="shared" ref="V75" si="27">+T75/S75</f>
        <v>0.92405063291139244</v>
      </c>
    </row>
    <row r="76" spans="1:24" ht="13.5" customHeight="1">
      <c r="A76" s="239" t="s">
        <v>248</v>
      </c>
      <c r="B76" s="213" t="s">
        <v>249</v>
      </c>
      <c r="C76" s="73">
        <f>+'[3]1.1.SZ.TÁBL. BEV - KIAD'!$C76</f>
        <v>0</v>
      </c>
      <c r="D76" s="270">
        <f>+'3.SZ.TÁBL. SEGÍTŐ SZOLGÁLAT'!AA85</f>
        <v>0</v>
      </c>
      <c r="E76" s="224"/>
      <c r="F76" s="783"/>
      <c r="G76" s="262">
        <f>+'[3]1.1.SZ.TÁBL. BEV - KIAD'!$F76</f>
        <v>0</v>
      </c>
      <c r="H76" s="270">
        <f>+'4.SZ.TÁBL. ÓVODA'!R81</f>
        <v>0</v>
      </c>
      <c r="I76" s="226"/>
      <c r="J76" s="788"/>
      <c r="K76" s="73">
        <f t="shared" si="25"/>
        <v>0</v>
      </c>
      <c r="L76" s="89">
        <f t="shared" si="25"/>
        <v>0</v>
      </c>
      <c r="M76" s="227"/>
      <c r="N76" s="783"/>
      <c r="O76" s="208"/>
      <c r="P76" s="221"/>
      <c r="Q76" s="221"/>
      <c r="R76" s="795"/>
      <c r="S76" s="73">
        <f t="shared" ref="S76:T106" si="28">+K76+O76</f>
        <v>0</v>
      </c>
      <c r="T76" s="89">
        <f t="shared" si="28"/>
        <v>0</v>
      </c>
      <c r="U76" s="221"/>
      <c r="V76" s="795"/>
    </row>
    <row r="77" spans="1:24" s="3" customFormat="1" ht="13.5" customHeight="1">
      <c r="A77" s="240" t="s">
        <v>183</v>
      </c>
      <c r="B77" s="214" t="s">
        <v>141</v>
      </c>
      <c r="C77" s="344">
        <f>+SUM(C75:C76)</f>
        <v>640</v>
      </c>
      <c r="D77" s="350">
        <f>+SUM(D75:D76)</f>
        <v>580</v>
      </c>
      <c r="E77" s="480"/>
      <c r="F77" s="793">
        <f>+D77/C77</f>
        <v>0.90625</v>
      </c>
      <c r="G77" s="344">
        <f>+SUM(G75:G76)</f>
        <v>150</v>
      </c>
      <c r="H77" s="350">
        <f>+SUM(H75:H76)</f>
        <v>150</v>
      </c>
      <c r="I77" s="481"/>
      <c r="J77" s="787">
        <f t="shared" si="9"/>
        <v>1</v>
      </c>
      <c r="K77" s="344">
        <f>+SUM(K75:K76)</f>
        <v>790</v>
      </c>
      <c r="L77" s="350">
        <f>+SUM(L75:L76)</f>
        <v>730</v>
      </c>
      <c r="M77" s="482"/>
      <c r="N77" s="793">
        <f>+L77/K77</f>
        <v>0.92405063291139244</v>
      </c>
      <c r="O77" s="344">
        <f>+SUM(O75:O76)</f>
        <v>0</v>
      </c>
      <c r="P77" s="350">
        <f>+SUM(P75:P76)</f>
        <v>0</v>
      </c>
      <c r="Q77" s="479"/>
      <c r="R77" s="793"/>
      <c r="S77" s="474">
        <f>+SUM(S75:S76)</f>
        <v>790</v>
      </c>
      <c r="T77" s="475">
        <f>+SUM(T75:T76)</f>
        <v>730</v>
      </c>
      <c r="U77" s="479"/>
      <c r="V77" s="793">
        <f>+T77/S77</f>
        <v>0.92405063291139244</v>
      </c>
      <c r="X77" s="4"/>
    </row>
    <row r="78" spans="1:24" ht="13.5" customHeight="1">
      <c r="A78" s="237" t="s">
        <v>250</v>
      </c>
      <c r="B78" s="212" t="s">
        <v>251</v>
      </c>
      <c r="C78" s="70">
        <f>+'[4]1.1.SZ.TÁBL. BEV - KIAD'!$D$78</f>
        <v>4555</v>
      </c>
      <c r="D78" s="257">
        <f>+'3.SZ.TÁBL. SEGÍTŐ SZOLGÁLAT'!AB87</f>
        <v>4430</v>
      </c>
      <c r="E78" s="228"/>
      <c r="F78" s="783">
        <f t="shared" ref="F78:F82" si="29">+D78/C78</f>
        <v>0.97255762897914377</v>
      </c>
      <c r="G78" s="262">
        <f>+'[4]1.1.SZ.TÁBL. BEV - KIAD'!$H$78</f>
        <v>3642</v>
      </c>
      <c r="H78" s="257">
        <f>+'4.SZ.TÁBL. ÓVODA'!S83</f>
        <v>4072</v>
      </c>
      <c r="I78" s="229"/>
      <c r="J78" s="783">
        <f t="shared" si="9"/>
        <v>1.1180669961559582</v>
      </c>
      <c r="K78" s="70">
        <f t="shared" ref="K78:L82" si="30">+C78+G78</f>
        <v>8197</v>
      </c>
      <c r="L78" s="92">
        <f t="shared" si="30"/>
        <v>8502</v>
      </c>
      <c r="M78" s="230"/>
      <c r="N78" s="783">
        <f t="shared" ref="N78:N82" si="31">+L78/K78</f>
        <v>1.0372087349030132</v>
      </c>
      <c r="O78" s="5">
        <f>+'[4]1.1.SZ.TÁBL. BEV - KIAD'!$P$78</f>
        <v>630</v>
      </c>
      <c r="P78" s="90">
        <v>644</v>
      </c>
      <c r="Q78" s="90"/>
      <c r="R78" s="794">
        <f>+P78/O78</f>
        <v>1.0222222222222221</v>
      </c>
      <c r="S78" s="70">
        <f t="shared" si="28"/>
        <v>8827</v>
      </c>
      <c r="T78" s="92">
        <f t="shared" si="28"/>
        <v>9146</v>
      </c>
      <c r="U78" s="90"/>
      <c r="V78" s="794">
        <f t="shared" ref="V78:V82" si="32">+T78/S78</f>
        <v>1.0361391186133455</v>
      </c>
    </row>
    <row r="79" spans="1:24" ht="13.5" customHeight="1">
      <c r="A79" s="238" t="s">
        <v>252</v>
      </c>
      <c r="B79" s="199" t="s">
        <v>253</v>
      </c>
      <c r="C79" s="72">
        <f>+'[3]1.1.SZ.TÁBL. BEV - KIAD'!$C79</f>
        <v>0</v>
      </c>
      <c r="D79" s="257">
        <f>+'3.SZ.TÁBL. SEGÍTŐ SZOLGÁLAT'!AB88</f>
        <v>0</v>
      </c>
      <c r="E79" s="200"/>
      <c r="F79" s="783"/>
      <c r="G79" s="262">
        <f>+'[3]1.1.SZ.TÁBL. BEV - KIAD'!$F79</f>
        <v>0</v>
      </c>
      <c r="H79" s="257">
        <f>+'4.SZ.TÁBL. ÓVODA'!S84</f>
        <v>0</v>
      </c>
      <c r="I79" s="201"/>
      <c r="J79" s="784"/>
      <c r="K79" s="72">
        <f t="shared" si="30"/>
        <v>0</v>
      </c>
      <c r="L79" s="88">
        <f t="shared" si="30"/>
        <v>0</v>
      </c>
      <c r="M79" s="202"/>
      <c r="N79" s="783"/>
      <c r="O79" s="6"/>
      <c r="P79" s="179"/>
      <c r="Q79" s="179"/>
      <c r="R79" s="796"/>
      <c r="S79" s="72">
        <f t="shared" si="28"/>
        <v>0</v>
      </c>
      <c r="T79" s="88">
        <f t="shared" si="28"/>
        <v>0</v>
      </c>
      <c r="U79" s="179"/>
      <c r="V79" s="796"/>
    </row>
    <row r="80" spans="1:24" ht="13.5" customHeight="1">
      <c r="A80" s="238" t="s">
        <v>254</v>
      </c>
      <c r="B80" s="199" t="s">
        <v>255</v>
      </c>
      <c r="C80" s="72">
        <f>+'[3]1.1.SZ.TÁBL. BEV - KIAD'!$C80</f>
        <v>0</v>
      </c>
      <c r="D80" s="257">
        <f>+'3.SZ.TÁBL. SEGÍTŐ SZOLGÁLAT'!AB89</f>
        <v>0</v>
      </c>
      <c r="E80" s="200"/>
      <c r="F80" s="783"/>
      <c r="G80" s="262">
        <f>+'[3]1.1.SZ.TÁBL. BEV - KIAD'!$F80</f>
        <v>0</v>
      </c>
      <c r="H80" s="257">
        <f>+'4.SZ.TÁBL. ÓVODA'!S85</f>
        <v>0</v>
      </c>
      <c r="I80" s="201"/>
      <c r="J80" s="784"/>
      <c r="K80" s="72">
        <f t="shared" si="30"/>
        <v>0</v>
      </c>
      <c r="L80" s="88">
        <f t="shared" si="30"/>
        <v>0</v>
      </c>
      <c r="M80" s="202"/>
      <c r="N80" s="783"/>
      <c r="O80" s="6"/>
      <c r="P80" s="179"/>
      <c r="Q80" s="179"/>
      <c r="R80" s="796"/>
      <c r="S80" s="72">
        <f t="shared" si="28"/>
        <v>0</v>
      </c>
      <c r="T80" s="88">
        <f t="shared" si="28"/>
        <v>0</v>
      </c>
      <c r="U80" s="179"/>
      <c r="V80" s="796"/>
    </row>
    <row r="81" spans="1:24" ht="13.5" customHeight="1">
      <c r="A81" s="238" t="s">
        <v>256</v>
      </c>
      <c r="B81" s="199" t="s">
        <v>257</v>
      </c>
      <c r="C81" s="72">
        <f>+'[3]1.1.SZ.TÁBL. BEV - KIAD'!$C81</f>
        <v>0</v>
      </c>
      <c r="D81" s="257">
        <f>+'3.SZ.TÁBL. SEGÍTŐ SZOLGÁLAT'!AB90</f>
        <v>0</v>
      </c>
      <c r="E81" s="200"/>
      <c r="F81" s="783"/>
      <c r="G81" s="262">
        <f>+'[3]1.1.SZ.TÁBL. BEV - KIAD'!$F81</f>
        <v>0</v>
      </c>
      <c r="H81" s="257">
        <f>+'4.SZ.TÁBL. ÓVODA'!S86</f>
        <v>0</v>
      </c>
      <c r="I81" s="201"/>
      <c r="J81" s="784"/>
      <c r="K81" s="72">
        <f t="shared" si="30"/>
        <v>0</v>
      </c>
      <c r="L81" s="88">
        <f t="shared" si="30"/>
        <v>0</v>
      </c>
      <c r="M81" s="202"/>
      <c r="N81" s="783"/>
      <c r="O81" s="6"/>
      <c r="P81" s="179"/>
      <c r="Q81" s="179"/>
      <c r="R81" s="796"/>
      <c r="S81" s="72">
        <f t="shared" si="28"/>
        <v>0</v>
      </c>
      <c r="T81" s="88">
        <f t="shared" si="28"/>
        <v>0</v>
      </c>
      <c r="U81" s="179"/>
      <c r="V81" s="796"/>
    </row>
    <row r="82" spans="1:24" ht="13.5" customHeight="1">
      <c r="A82" s="239" t="s">
        <v>258</v>
      </c>
      <c r="B82" s="213" t="s">
        <v>382</v>
      </c>
      <c r="C82" s="73">
        <f>+'[4]1.1.SZ.TÁBL. BEV - KIAD'!$D$82</f>
        <v>635</v>
      </c>
      <c r="D82" s="257">
        <f>+'3.SZ.TÁBL. SEGÍTŐ SZOLGÁLAT'!AB91</f>
        <v>4000</v>
      </c>
      <c r="E82" s="224"/>
      <c r="F82" s="783">
        <f t="shared" si="29"/>
        <v>6.2992125984251972</v>
      </c>
      <c r="G82" s="262">
        <f>+'[3]1.1.SZ.TÁBL. BEV - KIAD'!$F82</f>
        <v>0</v>
      </c>
      <c r="H82" s="257">
        <f>+'4.SZ.TÁBL. ÓVODA'!S87</f>
        <v>5858</v>
      </c>
      <c r="I82" s="226"/>
      <c r="J82" s="788"/>
      <c r="K82" s="73">
        <f t="shared" si="30"/>
        <v>635</v>
      </c>
      <c r="L82" s="89">
        <f t="shared" si="30"/>
        <v>9858</v>
      </c>
      <c r="M82" s="227"/>
      <c r="N82" s="783">
        <f t="shared" si="31"/>
        <v>15.524409448818897</v>
      </c>
      <c r="O82" s="208">
        <f>+'[4]1.1.SZ.TÁBL. BEV - KIAD'!$P$82</f>
        <v>24</v>
      </c>
      <c r="P82" s="221"/>
      <c r="Q82" s="221"/>
      <c r="R82" s="795"/>
      <c r="S82" s="73">
        <f t="shared" si="28"/>
        <v>659</v>
      </c>
      <c r="T82" s="89">
        <f t="shared" si="28"/>
        <v>9858</v>
      </c>
      <c r="U82" s="221"/>
      <c r="V82" s="795">
        <f t="shared" si="32"/>
        <v>14.959028831562975</v>
      </c>
    </row>
    <row r="83" spans="1:24" s="3" customFormat="1" ht="13.5" customHeight="1">
      <c r="A83" s="240" t="s">
        <v>184</v>
      </c>
      <c r="B83" s="214" t="s">
        <v>142</v>
      </c>
      <c r="C83" s="344">
        <f>SUM(C78:C82)</f>
        <v>5190</v>
      </c>
      <c r="D83" s="350">
        <f>SUM(D78:D82)</f>
        <v>8430</v>
      </c>
      <c r="E83" s="480"/>
      <c r="F83" s="793">
        <f>+D83/C83</f>
        <v>1.6242774566473988</v>
      </c>
      <c r="G83" s="344">
        <f>SUM(G78:G82)</f>
        <v>3642</v>
      </c>
      <c r="H83" s="350">
        <f>SUM(H78:H82)</f>
        <v>9930</v>
      </c>
      <c r="I83" s="481"/>
      <c r="J83" s="787">
        <f t="shared" si="9"/>
        <v>2.7265238879736406</v>
      </c>
      <c r="K83" s="344">
        <f>SUM(K78:K82)</f>
        <v>8832</v>
      </c>
      <c r="L83" s="350">
        <f>SUM(L78:L82)</f>
        <v>18360</v>
      </c>
      <c r="M83" s="482"/>
      <c r="N83" s="793">
        <f>+L83/K83</f>
        <v>2.0788043478260869</v>
      </c>
      <c r="O83" s="344">
        <f>SUM(O78:O82)</f>
        <v>654</v>
      </c>
      <c r="P83" s="350">
        <f>SUM(P78:P82)</f>
        <v>644</v>
      </c>
      <c r="Q83" s="479"/>
      <c r="R83" s="793">
        <f>+P83/O83</f>
        <v>0.98470948012232418</v>
      </c>
      <c r="S83" s="474">
        <f>+SUM(S78:S82)</f>
        <v>9486</v>
      </c>
      <c r="T83" s="475">
        <f>+SUM(T78:T82)</f>
        <v>19004</v>
      </c>
      <c r="U83" s="479"/>
      <c r="V83" s="793">
        <f>+T83/S83</f>
        <v>2.0033733923677</v>
      </c>
      <c r="X83" s="4"/>
    </row>
    <row r="84" spans="1:24" s="3" customFormat="1" ht="13.5" customHeight="1">
      <c r="A84" s="240" t="s">
        <v>185</v>
      </c>
      <c r="B84" s="214" t="s">
        <v>143</v>
      </c>
      <c r="C84" s="344">
        <f>+C61+C64+C74+C77+C83</f>
        <v>23558</v>
      </c>
      <c r="D84" s="350">
        <f>+D61+D64+D74+D77+D83</f>
        <v>26018</v>
      </c>
      <c r="E84" s="480"/>
      <c r="F84" s="793">
        <f>+D84/C84</f>
        <v>1.104423125902029</v>
      </c>
      <c r="G84" s="344">
        <f>+G61+G64+G74+G77+G83</f>
        <v>17282</v>
      </c>
      <c r="H84" s="350">
        <f>+H61+H64+H74+H77+H83</f>
        <v>26211</v>
      </c>
      <c r="I84" s="481"/>
      <c r="J84" s="787">
        <f t="shared" si="9"/>
        <v>1.5166647378775604</v>
      </c>
      <c r="K84" s="344">
        <f>+K61+K64+K74+K77+K83</f>
        <v>40840</v>
      </c>
      <c r="L84" s="350">
        <f>+L61+L64+L74+L77+L83</f>
        <v>52229</v>
      </c>
      <c r="M84" s="482"/>
      <c r="N84" s="793">
        <f>+L84/K84</f>
        <v>1.2788687561214496</v>
      </c>
      <c r="O84" s="344">
        <f>+O61+O64+O74+O77+O83</f>
        <v>43018</v>
      </c>
      <c r="P84" s="350">
        <f>+P61+P64+P74+P77+P83</f>
        <v>43031</v>
      </c>
      <c r="Q84" s="479"/>
      <c r="R84" s="793">
        <f>+P84/O84</f>
        <v>1.0003021990794552</v>
      </c>
      <c r="S84" s="474">
        <f>+S61+S64+S74+S77+S83</f>
        <v>83858</v>
      </c>
      <c r="T84" s="475">
        <f>+T61+T64+T74+T77+T83</f>
        <v>95260</v>
      </c>
      <c r="U84" s="479"/>
      <c r="V84" s="793">
        <f>+T84/S84</f>
        <v>1.1359679458131604</v>
      </c>
      <c r="X84" s="4"/>
    </row>
    <row r="85" spans="1:24" ht="13.5" customHeight="1">
      <c r="A85" s="237" t="s">
        <v>308</v>
      </c>
      <c r="B85" s="231" t="s">
        <v>309</v>
      </c>
      <c r="C85" s="70">
        <f>+'[3]1.1.SZ.TÁBL. BEV - KIAD'!$C85</f>
        <v>0</v>
      </c>
      <c r="D85" s="257">
        <f>+'3.SZ.TÁBL. SEGÍTŐ SZOLGÁLAT'!AA96</f>
        <v>0</v>
      </c>
      <c r="E85" s="228"/>
      <c r="F85" s="794"/>
      <c r="G85" s="5">
        <f>+G86</f>
        <v>8107</v>
      </c>
      <c r="H85" s="257">
        <f>+'4.SZ.TÁBL. ÓVODA'!S91</f>
        <v>2654</v>
      </c>
      <c r="I85" s="229"/>
      <c r="J85" s="783">
        <f t="shared" si="9"/>
        <v>0.32737140742568149</v>
      </c>
      <c r="K85" s="70">
        <f>+C85+G85</f>
        <v>8107</v>
      </c>
      <c r="L85" s="92">
        <f t="shared" ref="K85:L91" si="33">+D85+H85</f>
        <v>2654</v>
      </c>
      <c r="M85" s="230"/>
      <c r="N85" s="794">
        <f>+L85/K85</f>
        <v>0.32737140742568149</v>
      </c>
      <c r="O85" s="5">
        <f>+O86</f>
        <v>6610</v>
      </c>
      <c r="P85" s="90">
        <f>+P86</f>
        <v>6926</v>
      </c>
      <c r="Q85" s="90"/>
      <c r="R85" s="794">
        <f>+P85/O85</f>
        <v>1.0478063540090772</v>
      </c>
      <c r="S85" s="70">
        <f>+S86</f>
        <v>14717</v>
      </c>
      <c r="T85" s="92">
        <f>+T86</f>
        <v>9580</v>
      </c>
      <c r="U85" s="90"/>
      <c r="V85" s="794">
        <f t="shared" ref="V85:V90" si="34">+T85/S85</f>
        <v>0.65094788340014953</v>
      </c>
    </row>
    <row r="86" spans="1:24" s="342" customFormat="1" ht="29.25" customHeight="1">
      <c r="A86" s="243" t="s">
        <v>308</v>
      </c>
      <c r="B86" s="232" t="s">
        <v>383</v>
      </c>
      <c r="C86" s="73">
        <f>+'[3]1.1.SZ.TÁBL. BEV - KIAD'!$C86</f>
        <v>0</v>
      </c>
      <c r="D86" s="346">
        <f>+'3.SZ.TÁBL. SEGÍTŐ SZOLGÁLAT'!AA97</f>
        <v>0</v>
      </c>
      <c r="E86" s="471"/>
      <c r="F86" s="798"/>
      <c r="G86" s="262">
        <f>+'[4]1.1.SZ.TÁBL. BEV - KIAD'!$H$86</f>
        <v>8107</v>
      </c>
      <c r="H86" s="346">
        <f>+'4.SZ.TÁBL. ÓVODA'!S92</f>
        <v>2654</v>
      </c>
      <c r="I86" s="472"/>
      <c r="J86" s="784">
        <f t="shared" si="9"/>
        <v>0.32737140742568149</v>
      </c>
      <c r="K86" s="454">
        <f t="shared" si="33"/>
        <v>8107</v>
      </c>
      <c r="L86" s="455">
        <f t="shared" si="33"/>
        <v>2654</v>
      </c>
      <c r="M86" s="473"/>
      <c r="N86" s="798">
        <f>+L86/K86</f>
        <v>0.32737140742568149</v>
      </c>
      <c r="O86" s="459">
        <f>+'[4]1.1.SZ.TÁBL. BEV - KIAD'!$P$86</f>
        <v>6610</v>
      </c>
      <c r="P86" s="460">
        <f>+'2.SZ.TÁBL. BEVÉTELEK'!D48</f>
        <v>6926</v>
      </c>
      <c r="Q86" s="460"/>
      <c r="R86" s="798">
        <f>+P86/O86</f>
        <v>1.0478063540090772</v>
      </c>
      <c r="S86" s="454">
        <f t="shared" si="28"/>
        <v>14717</v>
      </c>
      <c r="T86" s="455">
        <f t="shared" si="28"/>
        <v>9580</v>
      </c>
      <c r="U86" s="460"/>
      <c r="V86" s="795">
        <f t="shared" si="34"/>
        <v>0.65094788340014953</v>
      </c>
      <c r="X86" s="453"/>
    </row>
    <row r="87" spans="1:24" ht="13.5" customHeight="1">
      <c r="A87" s="504" t="s">
        <v>310</v>
      </c>
      <c r="B87" s="505" t="s">
        <v>311</v>
      </c>
      <c r="C87" s="72">
        <f>+'[3]1.1.SZ.TÁBL. BEV - KIAD'!$C87</f>
        <v>0</v>
      </c>
      <c r="D87" s="245">
        <f>+SUM(D88:D91)</f>
        <v>0</v>
      </c>
      <c r="E87" s="200"/>
      <c r="F87" s="796"/>
      <c r="G87" s="262">
        <f>+'[3]1.1.SZ.TÁBL. BEV - KIAD'!$F87</f>
        <v>0</v>
      </c>
      <c r="H87" s="245">
        <f>+SUM(H88:H91)</f>
        <v>0</v>
      </c>
      <c r="I87" s="201"/>
      <c r="J87" s="784"/>
      <c r="K87" s="72">
        <f t="shared" si="33"/>
        <v>0</v>
      </c>
      <c r="L87" s="88">
        <f t="shared" si="33"/>
        <v>0</v>
      </c>
      <c r="M87" s="202"/>
      <c r="N87" s="796"/>
      <c r="O87" s="254">
        <f>+SUM(O88:O91)</f>
        <v>2147</v>
      </c>
      <c r="P87" s="245">
        <f>+SUM(P88:P91)</f>
        <v>2199</v>
      </c>
      <c r="Q87" s="179"/>
      <c r="R87" s="796">
        <f>+P87/O87</f>
        <v>1.024219841639497</v>
      </c>
      <c r="S87" s="254">
        <f>+SUM(S88:S91)</f>
        <v>2147</v>
      </c>
      <c r="T87" s="245">
        <f>+SUM(T88:T91)</f>
        <v>2199</v>
      </c>
      <c r="U87" s="179"/>
      <c r="V87" s="796">
        <f t="shared" si="34"/>
        <v>1.024219841639497</v>
      </c>
    </row>
    <row r="88" spans="1:24" s="342" customFormat="1" ht="13.5" customHeight="1">
      <c r="A88" s="506"/>
      <c r="B88" s="507" t="s">
        <v>352</v>
      </c>
      <c r="C88" s="72">
        <f>+'[3]1.1.SZ.TÁBL. BEV - KIAD'!$C88</f>
        <v>0</v>
      </c>
      <c r="D88" s="325"/>
      <c r="E88" s="468"/>
      <c r="F88" s="797"/>
      <c r="G88" s="262">
        <f>+'[3]1.1.SZ.TÁBL. BEV - KIAD'!$F88</f>
        <v>0</v>
      </c>
      <c r="H88" s="325">
        <f>+'4.SZ.TÁBL. ÓVODA'!R94</f>
        <v>0</v>
      </c>
      <c r="I88" s="469"/>
      <c r="J88" s="784"/>
      <c r="K88" s="454">
        <f>+C88+G88</f>
        <v>0</v>
      </c>
      <c r="L88" s="455">
        <f>+D88+H88</f>
        <v>0</v>
      </c>
      <c r="M88" s="470"/>
      <c r="N88" s="797"/>
      <c r="O88" s="466">
        <f>+'[4]1.1.SZ.TÁBL. BEV - KIAD'!$P$88</f>
        <v>0</v>
      </c>
      <c r="P88" s="467">
        <f>+'5.SZ.TÁBL. ÓVODAI NORMATÍVA'!N7</f>
        <v>0</v>
      </c>
      <c r="Q88" s="467"/>
      <c r="R88" s="797"/>
      <c r="S88" s="454">
        <f t="shared" si="28"/>
        <v>0</v>
      </c>
      <c r="T88" s="455">
        <f t="shared" si="28"/>
        <v>0</v>
      </c>
      <c r="U88" s="467"/>
      <c r="V88" s="796"/>
      <c r="X88" s="453"/>
    </row>
    <row r="89" spans="1:24" s="342" customFormat="1" ht="13.5" customHeight="1">
      <c r="A89" s="506"/>
      <c r="B89" s="507" t="s">
        <v>353</v>
      </c>
      <c r="C89" s="72">
        <f>+'[3]1.1.SZ.TÁBL. BEV - KIAD'!$C89</f>
        <v>0</v>
      </c>
      <c r="D89" s="325"/>
      <c r="E89" s="468"/>
      <c r="F89" s="797"/>
      <c r="G89" s="262">
        <f>+'[3]1.1.SZ.TÁBL. BEV - KIAD'!$F89</f>
        <v>0</v>
      </c>
      <c r="H89" s="325">
        <f>+'4.SZ.TÁBL. ÓVODA'!R95</f>
        <v>0</v>
      </c>
      <c r="I89" s="469"/>
      <c r="J89" s="784"/>
      <c r="K89" s="454">
        <f t="shared" si="33"/>
        <v>0</v>
      </c>
      <c r="L89" s="455">
        <f t="shared" si="33"/>
        <v>0</v>
      </c>
      <c r="M89" s="470"/>
      <c r="N89" s="797"/>
      <c r="O89" s="466">
        <f>+'[3]1.1.SZ.TÁBL. BEV - KIAD'!$L89</f>
        <v>0</v>
      </c>
      <c r="P89" s="467"/>
      <c r="Q89" s="467"/>
      <c r="R89" s="797"/>
      <c r="S89" s="454">
        <f t="shared" si="28"/>
        <v>0</v>
      </c>
      <c r="T89" s="455">
        <f t="shared" si="28"/>
        <v>0</v>
      </c>
      <c r="U89" s="467"/>
      <c r="V89" s="796"/>
      <c r="X89" s="453"/>
    </row>
    <row r="90" spans="1:24" s="342" customFormat="1" ht="13.5" customHeight="1">
      <c r="A90" s="506"/>
      <c r="B90" s="507" t="s">
        <v>354</v>
      </c>
      <c r="C90" s="72">
        <f>+'[3]1.1.SZ.TÁBL. BEV - KIAD'!$C90</f>
        <v>0</v>
      </c>
      <c r="D90" s="325"/>
      <c r="E90" s="468"/>
      <c r="F90" s="797"/>
      <c r="G90" s="262">
        <f>+'[3]1.1.SZ.TÁBL. BEV - KIAD'!$F90</f>
        <v>0</v>
      </c>
      <c r="H90" s="325"/>
      <c r="I90" s="469"/>
      <c r="J90" s="784"/>
      <c r="K90" s="454">
        <f t="shared" si="33"/>
        <v>0</v>
      </c>
      <c r="L90" s="455">
        <f t="shared" si="33"/>
        <v>0</v>
      </c>
      <c r="M90" s="470"/>
      <c r="N90" s="797"/>
      <c r="O90" s="466">
        <f>+'[4]1.1.SZ.TÁBL. BEV - KIAD'!$P$90</f>
        <v>2147</v>
      </c>
      <c r="P90" s="467">
        <f>+'2.SZ.TÁBL. BEVÉTELEK'!D29-P73</f>
        <v>2199</v>
      </c>
      <c r="Q90" s="467"/>
      <c r="R90" s="797">
        <f>+P90/O90</f>
        <v>1.024219841639497</v>
      </c>
      <c r="S90" s="454">
        <f t="shared" si="28"/>
        <v>2147</v>
      </c>
      <c r="T90" s="455">
        <f t="shared" si="28"/>
        <v>2199</v>
      </c>
      <c r="U90" s="467"/>
      <c r="V90" s="796">
        <f t="shared" si="34"/>
        <v>1.024219841639497</v>
      </c>
      <c r="X90" s="453"/>
    </row>
    <row r="91" spans="1:24" s="342" customFormat="1" ht="13.5" customHeight="1">
      <c r="A91" s="508"/>
      <c r="B91" s="509" t="s">
        <v>355</v>
      </c>
      <c r="C91" s="781">
        <f>+'[3]1.1.SZ.TÁBL. BEV - KIAD'!$C91</f>
        <v>0</v>
      </c>
      <c r="D91" s="334"/>
      <c r="E91" s="510"/>
      <c r="F91" s="799"/>
      <c r="G91" s="262">
        <f>+'[3]1.1.SZ.TÁBL. BEV - KIAD'!$F91</f>
        <v>0</v>
      </c>
      <c r="H91" s="334"/>
      <c r="I91" s="511"/>
      <c r="J91" s="788"/>
      <c r="K91" s="454">
        <f t="shared" si="33"/>
        <v>0</v>
      </c>
      <c r="L91" s="455">
        <f t="shared" si="33"/>
        <v>0</v>
      </c>
      <c r="M91" s="512"/>
      <c r="N91" s="799"/>
      <c r="O91" s="466">
        <f>+'[3]1.1.SZ.TÁBL. BEV - KIAD'!$L91</f>
        <v>0</v>
      </c>
      <c r="P91" s="493"/>
      <c r="Q91" s="493"/>
      <c r="R91" s="799"/>
      <c r="S91" s="454">
        <f t="shared" si="28"/>
        <v>0</v>
      </c>
      <c r="T91" s="455">
        <f t="shared" si="28"/>
        <v>0</v>
      </c>
      <c r="U91" s="493"/>
      <c r="V91" s="813"/>
      <c r="X91" s="453"/>
    </row>
    <row r="92" spans="1:24" s="3" customFormat="1" ht="13.5" customHeight="1">
      <c r="A92" s="240" t="s">
        <v>186</v>
      </c>
      <c r="B92" s="214" t="s">
        <v>144</v>
      </c>
      <c r="C92" s="344">
        <f>+C85+C87</f>
        <v>0</v>
      </c>
      <c r="D92" s="350">
        <f>+D85+D87</f>
        <v>0</v>
      </c>
      <c r="E92" s="480"/>
      <c r="F92" s="793"/>
      <c r="G92" s="344">
        <f>+G85+G87</f>
        <v>8107</v>
      </c>
      <c r="H92" s="350">
        <f>+H85+H87</f>
        <v>2654</v>
      </c>
      <c r="I92" s="481"/>
      <c r="J92" s="787">
        <f t="shared" si="9"/>
        <v>0.32737140742568149</v>
      </c>
      <c r="K92" s="344">
        <f>+K85+K87</f>
        <v>8107</v>
      </c>
      <c r="L92" s="350">
        <f>+L85+L87</f>
        <v>2654</v>
      </c>
      <c r="M92" s="482"/>
      <c r="N92" s="793">
        <f>+L92/K92</f>
        <v>0.32737140742568149</v>
      </c>
      <c r="O92" s="344">
        <f>+O85+O87</f>
        <v>8757</v>
      </c>
      <c r="P92" s="350">
        <f>+P85+P87</f>
        <v>9125</v>
      </c>
      <c r="Q92" s="479"/>
      <c r="R92" s="793">
        <f>+P92/O92</f>
        <v>1.0420235240379125</v>
      </c>
      <c r="S92" s="474">
        <f>+S85+S87</f>
        <v>16864</v>
      </c>
      <c r="T92" s="475">
        <f>+T85+T87</f>
        <v>11779</v>
      </c>
      <c r="U92" s="479"/>
      <c r="V92" s="793">
        <f>+T92/S92</f>
        <v>0.69847011385199242</v>
      </c>
      <c r="X92" s="4"/>
    </row>
    <row r="93" spans="1:24" ht="13.5" customHeight="1">
      <c r="A93" s="237" t="s">
        <v>259</v>
      </c>
      <c r="B93" s="212" t="s">
        <v>260</v>
      </c>
      <c r="C93" s="70">
        <f>+'[3]1.1.SZ.TÁBL. BEV - KIAD'!$C93</f>
        <v>0</v>
      </c>
      <c r="D93" s="257">
        <f>+'3.SZ.TÁBL. SEGÍTŐ SZOLGÁLAT'!AA100</f>
        <v>0</v>
      </c>
      <c r="E93" s="228"/>
      <c r="F93" s="794"/>
      <c r="G93" s="262">
        <f>+'[3]1.1.SZ.TÁBL. BEV - KIAD'!$F93</f>
        <v>0</v>
      </c>
      <c r="H93" s="257">
        <f>+'4.SZ.TÁBL. ÓVODA'!R97</f>
        <v>0</v>
      </c>
      <c r="I93" s="229"/>
      <c r="J93" s="783"/>
      <c r="K93" s="70">
        <f t="shared" ref="K93:L99" si="35">+C93+G93</f>
        <v>0</v>
      </c>
      <c r="L93" s="92">
        <f t="shared" si="35"/>
        <v>0</v>
      </c>
      <c r="M93" s="230"/>
      <c r="N93" s="794"/>
      <c r="O93" s="5"/>
      <c r="P93" s="90"/>
      <c r="Q93" s="90"/>
      <c r="R93" s="794"/>
      <c r="S93" s="70">
        <f t="shared" si="28"/>
        <v>0</v>
      </c>
      <c r="T93" s="92">
        <f t="shared" si="28"/>
        <v>0</v>
      </c>
      <c r="U93" s="90"/>
      <c r="V93" s="794"/>
    </row>
    <row r="94" spans="1:24" ht="13.5" customHeight="1">
      <c r="A94" s="238" t="s">
        <v>261</v>
      </c>
      <c r="B94" s="199" t="s">
        <v>262</v>
      </c>
      <c r="C94" s="72">
        <f>+'[3]1.1.SZ.TÁBL. BEV - KIAD'!$C94</f>
        <v>0</v>
      </c>
      <c r="D94" s="245">
        <f>+'3.SZ.TÁBL. SEGÍTŐ SZOLGÁLAT'!AA101</f>
        <v>0</v>
      </c>
      <c r="E94" s="200"/>
      <c r="F94" s="796"/>
      <c r="G94" s="262">
        <f>+'[3]1.1.SZ.TÁBL. BEV - KIAD'!$F94</f>
        <v>0</v>
      </c>
      <c r="H94" s="245">
        <f>+'4.SZ.TÁBL. ÓVODA'!R98</f>
        <v>0</v>
      </c>
      <c r="I94" s="201"/>
      <c r="J94" s="784"/>
      <c r="K94" s="72">
        <f t="shared" si="35"/>
        <v>0</v>
      </c>
      <c r="L94" s="88">
        <f t="shared" si="35"/>
        <v>0</v>
      </c>
      <c r="M94" s="202"/>
      <c r="N94" s="796"/>
      <c r="O94" s="6"/>
      <c r="P94" s="179"/>
      <c r="Q94" s="179"/>
      <c r="R94" s="796"/>
      <c r="S94" s="72">
        <f t="shared" si="28"/>
        <v>0</v>
      </c>
      <c r="T94" s="88">
        <f t="shared" si="28"/>
        <v>0</v>
      </c>
      <c r="U94" s="179"/>
      <c r="V94" s="796"/>
    </row>
    <row r="95" spans="1:24" ht="13.5" customHeight="1">
      <c r="A95" s="238" t="s">
        <v>263</v>
      </c>
      <c r="B95" s="199" t="s">
        <v>264</v>
      </c>
      <c r="C95" s="72">
        <f>+'[4]1.1.SZ.TÁBL. BEV - KIAD'!$D$95</f>
        <v>142</v>
      </c>
      <c r="D95" s="245">
        <f>+'3.SZ.TÁBL. SEGÍTŐ SZOLGÁLAT'!AB102</f>
        <v>0</v>
      </c>
      <c r="E95" s="200"/>
      <c r="F95" s="796"/>
      <c r="G95" s="262">
        <f>+'[4]1.1.SZ.TÁBL. BEV - KIAD'!$H$95</f>
        <v>150</v>
      </c>
      <c r="H95" s="245">
        <f>+'4.SZ.TÁBL. ÓVODA'!S99</f>
        <v>150</v>
      </c>
      <c r="I95" s="201"/>
      <c r="J95" s="784"/>
      <c r="K95" s="72">
        <f t="shared" si="35"/>
        <v>292</v>
      </c>
      <c r="L95" s="88">
        <f t="shared" si="35"/>
        <v>150</v>
      </c>
      <c r="M95" s="202"/>
      <c r="N95" s="796"/>
      <c r="O95" s="6"/>
      <c r="P95" s="179"/>
      <c r="Q95" s="179"/>
      <c r="R95" s="796"/>
      <c r="S95" s="72">
        <f t="shared" si="28"/>
        <v>292</v>
      </c>
      <c r="T95" s="88">
        <f t="shared" si="28"/>
        <v>150</v>
      </c>
      <c r="U95" s="179"/>
      <c r="V95" s="796"/>
    </row>
    <row r="96" spans="1:24" ht="13.5" customHeight="1">
      <c r="A96" s="238" t="s">
        <v>265</v>
      </c>
      <c r="B96" s="199" t="s">
        <v>266</v>
      </c>
      <c r="C96" s="72">
        <f>+'[4]1.1.SZ.TÁBL. BEV - KIAD'!$D$96</f>
        <v>1433</v>
      </c>
      <c r="D96" s="245">
        <f>+'3.SZ.TÁBL. SEGÍTŐ SZOLGÁLAT'!AB103</f>
        <v>0</v>
      </c>
      <c r="E96" s="200"/>
      <c r="F96" s="796"/>
      <c r="G96" s="262">
        <f>+'[4]1.1.SZ.TÁBL. BEV - KIAD'!$H$96</f>
        <v>400</v>
      </c>
      <c r="H96" s="245">
        <f>+'4.SZ.TÁBL. ÓVODA'!S100</f>
        <v>900</v>
      </c>
      <c r="I96" s="201"/>
      <c r="J96" s="784">
        <f t="shared" si="9"/>
        <v>2.25</v>
      </c>
      <c r="K96" s="72">
        <f t="shared" si="35"/>
        <v>1833</v>
      </c>
      <c r="L96" s="88">
        <f t="shared" si="35"/>
        <v>900</v>
      </c>
      <c r="M96" s="202"/>
      <c r="N96" s="796">
        <f>+L96/K96</f>
        <v>0.49099836333878888</v>
      </c>
      <c r="O96" s="6"/>
      <c r="P96" s="179"/>
      <c r="Q96" s="179"/>
      <c r="R96" s="796"/>
      <c r="S96" s="72">
        <f t="shared" si="28"/>
        <v>1833</v>
      </c>
      <c r="T96" s="88">
        <f t="shared" si="28"/>
        <v>900</v>
      </c>
      <c r="U96" s="179"/>
      <c r="V96" s="796">
        <f t="shared" ref="V96:V99" si="36">+T96/S96</f>
        <v>0.49099836333878888</v>
      </c>
    </row>
    <row r="97" spans="1:31" ht="13.5" customHeight="1">
      <c r="A97" s="238" t="s">
        <v>267</v>
      </c>
      <c r="B97" s="199" t="s">
        <v>268</v>
      </c>
      <c r="C97" s="72">
        <f>+'[3]1.1.SZ.TÁBL. BEV - KIAD'!$C97</f>
        <v>0</v>
      </c>
      <c r="D97" s="245">
        <f>+'3.SZ.TÁBL. SEGÍTŐ SZOLGÁLAT'!AB104</f>
        <v>0</v>
      </c>
      <c r="E97" s="200"/>
      <c r="F97" s="796"/>
      <c r="G97" s="262">
        <f>+'[3]1.1.SZ.TÁBL. BEV - KIAD'!$F97</f>
        <v>0</v>
      </c>
      <c r="H97" s="245">
        <f>+'4.SZ.TÁBL. ÓVODA'!S101</f>
        <v>0</v>
      </c>
      <c r="I97" s="201"/>
      <c r="J97" s="784"/>
      <c r="K97" s="72">
        <f t="shared" si="35"/>
        <v>0</v>
      </c>
      <c r="L97" s="88">
        <f t="shared" si="35"/>
        <v>0</v>
      </c>
      <c r="M97" s="202"/>
      <c r="N97" s="796"/>
      <c r="O97" s="6"/>
      <c r="P97" s="179"/>
      <c r="Q97" s="179"/>
      <c r="R97" s="796"/>
      <c r="S97" s="72">
        <f t="shared" si="28"/>
        <v>0</v>
      </c>
      <c r="T97" s="88">
        <f t="shared" si="28"/>
        <v>0</v>
      </c>
      <c r="U97" s="179"/>
      <c r="V97" s="796"/>
    </row>
    <row r="98" spans="1:31" ht="13.5" customHeight="1">
      <c r="A98" s="238" t="s">
        <v>269</v>
      </c>
      <c r="B98" s="199" t="s">
        <v>270</v>
      </c>
      <c r="C98" s="72">
        <f>+'[3]1.1.SZ.TÁBL. BEV - KIAD'!$C98</f>
        <v>0</v>
      </c>
      <c r="D98" s="245">
        <f>+'3.SZ.TÁBL. SEGÍTŐ SZOLGÁLAT'!AB105</f>
        <v>0</v>
      </c>
      <c r="E98" s="200"/>
      <c r="F98" s="796"/>
      <c r="G98" s="262">
        <f>+'[3]1.1.SZ.TÁBL. BEV - KIAD'!$F98</f>
        <v>0</v>
      </c>
      <c r="H98" s="245">
        <f>+'4.SZ.TÁBL. ÓVODA'!S102</f>
        <v>0</v>
      </c>
      <c r="I98" s="201"/>
      <c r="J98" s="784"/>
      <c r="K98" s="72">
        <f t="shared" si="35"/>
        <v>0</v>
      </c>
      <c r="L98" s="88">
        <f t="shared" si="35"/>
        <v>0</v>
      </c>
      <c r="M98" s="202"/>
      <c r="N98" s="796"/>
      <c r="O98" s="6"/>
      <c r="P98" s="179"/>
      <c r="Q98" s="179"/>
      <c r="R98" s="796"/>
      <c r="S98" s="72">
        <f t="shared" si="28"/>
        <v>0</v>
      </c>
      <c r="T98" s="88">
        <f t="shared" si="28"/>
        <v>0</v>
      </c>
      <c r="U98" s="179"/>
      <c r="V98" s="796"/>
    </row>
    <row r="99" spans="1:31" ht="13.5" customHeight="1">
      <c r="A99" s="239" t="s">
        <v>271</v>
      </c>
      <c r="B99" s="213" t="s">
        <v>272</v>
      </c>
      <c r="C99" s="73">
        <f>+'[4]1.1.SZ.TÁBL. BEV - KIAD'!$D$99</f>
        <v>425</v>
      </c>
      <c r="D99" s="245">
        <f>+'3.SZ.TÁBL. SEGÍTŐ SZOLGÁLAT'!AB106</f>
        <v>0</v>
      </c>
      <c r="E99" s="224"/>
      <c r="F99" s="795"/>
      <c r="G99" s="262">
        <f>+'[4]1.1.SZ.TÁBL. BEV - KIAD'!$H$99</f>
        <v>149</v>
      </c>
      <c r="H99" s="245">
        <f>+'4.SZ.TÁBL. ÓVODA'!S103</f>
        <v>284</v>
      </c>
      <c r="I99" s="226"/>
      <c r="J99" s="788">
        <f t="shared" si="9"/>
        <v>1.9060402684563758</v>
      </c>
      <c r="K99" s="73">
        <f t="shared" si="35"/>
        <v>574</v>
      </c>
      <c r="L99" s="89">
        <f t="shared" si="35"/>
        <v>284</v>
      </c>
      <c r="M99" s="227"/>
      <c r="N99" s="795">
        <f>+L99/K99</f>
        <v>0.49477351916376305</v>
      </c>
      <c r="O99" s="208"/>
      <c r="P99" s="221"/>
      <c r="Q99" s="221"/>
      <c r="R99" s="795"/>
      <c r="S99" s="73">
        <f t="shared" si="28"/>
        <v>574</v>
      </c>
      <c r="T99" s="89">
        <f t="shared" si="28"/>
        <v>284</v>
      </c>
      <c r="U99" s="221"/>
      <c r="V99" s="795">
        <f t="shared" si="36"/>
        <v>0.49477351916376305</v>
      </c>
    </row>
    <row r="100" spans="1:31" s="3" customFormat="1" ht="13.5" customHeight="1">
      <c r="A100" s="240" t="s">
        <v>187</v>
      </c>
      <c r="B100" s="214" t="s">
        <v>99</v>
      </c>
      <c r="C100" s="344">
        <f>SUM(C93:C99)</f>
        <v>2000</v>
      </c>
      <c r="D100" s="350">
        <f>SUM(D93:D99)</f>
        <v>0</v>
      </c>
      <c r="E100" s="480"/>
      <c r="F100" s="793"/>
      <c r="G100" s="344">
        <f>SUM(G93:G99)</f>
        <v>699</v>
      </c>
      <c r="H100" s="350">
        <f>SUM(H93:H99)</f>
        <v>1334</v>
      </c>
      <c r="I100" s="481"/>
      <c r="J100" s="787">
        <f t="shared" si="9"/>
        <v>1.9084406294706724</v>
      </c>
      <c r="K100" s="344">
        <f>SUM(K93:K99)</f>
        <v>2699</v>
      </c>
      <c r="L100" s="350">
        <f>SUM(L93:L99)</f>
        <v>1334</v>
      </c>
      <c r="M100" s="482"/>
      <c r="N100" s="793">
        <f>+L100/K100</f>
        <v>0.49425713227121154</v>
      </c>
      <c r="O100" s="344">
        <f>SUM(O93:O99)</f>
        <v>0</v>
      </c>
      <c r="P100" s="350">
        <f>SUM(P93:P99)</f>
        <v>0</v>
      </c>
      <c r="Q100" s="479"/>
      <c r="R100" s="793"/>
      <c r="S100" s="474">
        <f>+SUM(S93:S99)</f>
        <v>2699</v>
      </c>
      <c r="T100" s="475">
        <f>+SUM(T93:T99)</f>
        <v>1334</v>
      </c>
      <c r="U100" s="479"/>
      <c r="V100" s="793">
        <f>+T100/S100</f>
        <v>0.49425713227121154</v>
      </c>
      <c r="X100" s="4"/>
    </row>
    <row r="101" spans="1:31" ht="13.5" customHeight="1">
      <c r="A101" s="237" t="s">
        <v>273</v>
      </c>
      <c r="B101" s="212" t="s">
        <v>274</v>
      </c>
      <c r="C101" s="70">
        <f>+'[3]1.1.SZ.TÁBL. BEV - KIAD'!$C101</f>
        <v>0</v>
      </c>
      <c r="D101" s="257">
        <f>+'3.SZ.TÁBL. SEGÍTŐ SZOLGÁLAT'!AA108</f>
        <v>0</v>
      </c>
      <c r="E101" s="228"/>
      <c r="F101" s="794"/>
      <c r="G101" s="262">
        <f>+'[3]1.1.SZ.TÁBL. BEV - KIAD'!$F101</f>
        <v>0</v>
      </c>
      <c r="H101" s="257">
        <f>+'4.SZ.TÁBL. ÓVODA'!R105</f>
        <v>0</v>
      </c>
      <c r="I101" s="229"/>
      <c r="J101" s="783"/>
      <c r="K101" s="70">
        <f t="shared" ref="K101:L104" si="37">+C101+G101</f>
        <v>0</v>
      </c>
      <c r="L101" s="92">
        <f t="shared" si="37"/>
        <v>0</v>
      </c>
      <c r="M101" s="230"/>
      <c r="N101" s="794"/>
      <c r="O101" s="5"/>
      <c r="P101" s="90"/>
      <c r="Q101" s="90"/>
      <c r="R101" s="794"/>
      <c r="S101" s="70">
        <f t="shared" si="28"/>
        <v>0</v>
      </c>
      <c r="T101" s="92">
        <f t="shared" si="28"/>
        <v>0</v>
      </c>
      <c r="U101" s="90"/>
      <c r="V101" s="794"/>
    </row>
    <row r="102" spans="1:31" ht="13.5" customHeight="1">
      <c r="A102" s="238" t="s">
        <v>275</v>
      </c>
      <c r="B102" s="199" t="s">
        <v>276</v>
      </c>
      <c r="C102" s="72">
        <f>+'[3]1.1.SZ.TÁBL. BEV - KIAD'!$C102</f>
        <v>0</v>
      </c>
      <c r="D102" s="245">
        <f>+'3.SZ.TÁBL. SEGÍTŐ SZOLGÁLAT'!AA109</f>
        <v>0</v>
      </c>
      <c r="E102" s="200"/>
      <c r="F102" s="796"/>
      <c r="G102" s="262">
        <f>+'[3]1.1.SZ.TÁBL. BEV - KIAD'!$F102</f>
        <v>0</v>
      </c>
      <c r="H102" s="245">
        <f>+'4.SZ.TÁBL. ÓVODA'!R106</f>
        <v>0</v>
      </c>
      <c r="I102" s="201"/>
      <c r="J102" s="784"/>
      <c r="K102" s="72">
        <f t="shared" si="37"/>
        <v>0</v>
      </c>
      <c r="L102" s="88">
        <f t="shared" si="37"/>
        <v>0</v>
      </c>
      <c r="M102" s="202"/>
      <c r="N102" s="796"/>
      <c r="O102" s="6"/>
      <c r="P102" s="179"/>
      <c r="Q102" s="179"/>
      <c r="R102" s="796"/>
      <c r="S102" s="72">
        <f t="shared" si="28"/>
        <v>0</v>
      </c>
      <c r="T102" s="88">
        <f t="shared" si="28"/>
        <v>0</v>
      </c>
      <c r="U102" s="179"/>
      <c r="V102" s="796"/>
    </row>
    <row r="103" spans="1:31" ht="13.5" customHeight="1">
      <c r="A103" s="238" t="s">
        <v>277</v>
      </c>
      <c r="B103" s="199" t="s">
        <v>278</v>
      </c>
      <c r="C103" s="72">
        <f>+'[3]1.1.SZ.TÁBL. BEV - KIAD'!$C103</f>
        <v>0</v>
      </c>
      <c r="D103" s="245">
        <f>+'3.SZ.TÁBL. SEGÍTŐ SZOLGÁLAT'!AA110</f>
        <v>0</v>
      </c>
      <c r="E103" s="200"/>
      <c r="F103" s="796"/>
      <c r="G103" s="262">
        <f>+'[3]1.1.SZ.TÁBL. BEV - KIAD'!$F103</f>
        <v>0</v>
      </c>
      <c r="H103" s="245">
        <f>+'4.SZ.TÁBL. ÓVODA'!R107</f>
        <v>0</v>
      </c>
      <c r="I103" s="201"/>
      <c r="J103" s="784"/>
      <c r="K103" s="72">
        <f t="shared" si="37"/>
        <v>0</v>
      </c>
      <c r="L103" s="88">
        <f t="shared" si="37"/>
        <v>0</v>
      </c>
      <c r="M103" s="202"/>
      <c r="N103" s="796"/>
      <c r="O103" s="6"/>
      <c r="P103" s="179"/>
      <c r="Q103" s="179"/>
      <c r="R103" s="796"/>
      <c r="S103" s="72">
        <f t="shared" si="28"/>
        <v>0</v>
      </c>
      <c r="T103" s="88">
        <f t="shared" si="28"/>
        <v>0</v>
      </c>
      <c r="U103" s="179"/>
      <c r="V103" s="796"/>
    </row>
    <row r="104" spans="1:31" ht="13.5" customHeight="1">
      <c r="A104" s="239" t="s">
        <v>279</v>
      </c>
      <c r="B104" s="213" t="s">
        <v>280</v>
      </c>
      <c r="C104" s="73">
        <f>+'[3]1.1.SZ.TÁBL. BEV - KIAD'!$C104</f>
        <v>0</v>
      </c>
      <c r="D104" s="270">
        <f>+'3.SZ.TÁBL. SEGÍTŐ SZOLGÁLAT'!AA111</f>
        <v>0</v>
      </c>
      <c r="E104" s="224"/>
      <c r="F104" s="795"/>
      <c r="G104" s="262">
        <f>+'[3]1.1.SZ.TÁBL. BEV - KIAD'!$F104</f>
        <v>0</v>
      </c>
      <c r="H104" s="270">
        <f>+'4.SZ.TÁBL. ÓVODA'!R108</f>
        <v>0</v>
      </c>
      <c r="I104" s="226"/>
      <c r="J104" s="788"/>
      <c r="K104" s="73">
        <f t="shared" si="37"/>
        <v>0</v>
      </c>
      <c r="L104" s="89">
        <f t="shared" si="37"/>
        <v>0</v>
      </c>
      <c r="M104" s="227"/>
      <c r="N104" s="795"/>
      <c r="O104" s="208"/>
      <c r="P104" s="221"/>
      <c r="Q104" s="221"/>
      <c r="R104" s="795"/>
      <c r="S104" s="73">
        <f t="shared" si="28"/>
        <v>0</v>
      </c>
      <c r="T104" s="89">
        <f t="shared" si="28"/>
        <v>0</v>
      </c>
      <c r="U104" s="221"/>
      <c r="V104" s="795"/>
    </row>
    <row r="105" spans="1:31" s="3" customFormat="1" ht="13.5" customHeight="1">
      <c r="A105" s="240" t="s">
        <v>188</v>
      </c>
      <c r="B105" s="214" t="s">
        <v>145</v>
      </c>
      <c r="C105" s="344">
        <f>SUM(C101:C104)</f>
        <v>0</v>
      </c>
      <c r="D105" s="350">
        <f>SUM(D101:D104)</f>
        <v>0</v>
      </c>
      <c r="E105" s="480"/>
      <c r="F105" s="793"/>
      <c r="G105" s="344">
        <f>SUM(G101:G104)</f>
        <v>0</v>
      </c>
      <c r="H105" s="350">
        <f>SUM(H101:H104)</f>
        <v>0</v>
      </c>
      <c r="I105" s="481"/>
      <c r="J105" s="806"/>
      <c r="K105" s="344">
        <f>SUM(K101:K104)</f>
        <v>0</v>
      </c>
      <c r="L105" s="350">
        <f>SUM(L101:L104)</f>
        <v>0</v>
      </c>
      <c r="M105" s="482"/>
      <c r="N105" s="793"/>
      <c r="O105" s="344">
        <f>SUM(O101:O104)</f>
        <v>0</v>
      </c>
      <c r="P105" s="350">
        <f>SUM(P101:P104)</f>
        <v>0</v>
      </c>
      <c r="Q105" s="479"/>
      <c r="R105" s="793"/>
      <c r="S105" s="474">
        <f>+SUM(S101:S104)</f>
        <v>0</v>
      </c>
      <c r="T105" s="475">
        <f>+SUM(T101:T104)</f>
        <v>0</v>
      </c>
      <c r="U105" s="479"/>
      <c r="V105" s="793"/>
      <c r="X105" s="4"/>
    </row>
    <row r="106" spans="1:31" s="3" customFormat="1" ht="13.5" customHeight="1">
      <c r="A106" s="240" t="s">
        <v>189</v>
      </c>
      <c r="B106" s="214" t="s">
        <v>146</v>
      </c>
      <c r="C106" s="344">
        <f>+'[3]1.1.SZ.TÁBL. BEV - KIAD'!$C$106</f>
        <v>0</v>
      </c>
      <c r="D106" s="350">
        <f>+'3.SZ.TÁBL. SEGÍTŐ SZOLGÁLAT'!AA113</f>
        <v>0</v>
      </c>
      <c r="E106" s="480"/>
      <c r="F106" s="793"/>
      <c r="G106" s="262">
        <f>+'[3]1.1.SZ.TÁBL. BEV - KIAD'!$F106</f>
        <v>0</v>
      </c>
      <c r="H106" s="350">
        <f>+'4.SZ.TÁBL. ÓVODA'!R110</f>
        <v>0</v>
      </c>
      <c r="I106" s="481"/>
      <c r="J106" s="806"/>
      <c r="K106" s="474">
        <f>+C106+G106</f>
        <v>0</v>
      </c>
      <c r="L106" s="475">
        <f>+D106+H106</f>
        <v>0</v>
      </c>
      <c r="M106" s="482"/>
      <c r="N106" s="793"/>
      <c r="O106" s="478"/>
      <c r="P106" s="479"/>
      <c r="Q106" s="479"/>
      <c r="R106" s="793"/>
      <c r="S106" s="474">
        <f t="shared" si="28"/>
        <v>0</v>
      </c>
      <c r="T106" s="475">
        <f t="shared" si="28"/>
        <v>0</v>
      </c>
      <c r="U106" s="479"/>
      <c r="V106" s="793"/>
      <c r="X106" s="4"/>
    </row>
    <row r="107" spans="1:31" s="3" customFormat="1" ht="13.5" customHeight="1">
      <c r="A107" s="244" t="s">
        <v>190</v>
      </c>
      <c r="B107" s="214" t="s">
        <v>147</v>
      </c>
      <c r="C107" s="344">
        <f>+C51+C52+C84+C92+C100+C105+C106</f>
        <v>102562</v>
      </c>
      <c r="D107" s="350">
        <f>+D51+D52+D84+D92+D100+D105+D106</f>
        <v>113934</v>
      </c>
      <c r="E107" s="480"/>
      <c r="F107" s="793">
        <f>+D107/C107</f>
        <v>1.1108792730250969</v>
      </c>
      <c r="G107" s="344">
        <f>+G51+G52+G84+G92+G100+G105+G106</f>
        <v>177864</v>
      </c>
      <c r="H107" s="350">
        <f>+H51+H52+H84+H92+H100+H105+H106</f>
        <v>180205</v>
      </c>
      <c r="I107" s="481"/>
      <c r="J107" s="787">
        <f t="shared" si="9"/>
        <v>1.0131617415553456</v>
      </c>
      <c r="K107" s="344">
        <f>+K51+K52+K84+K92+K100+K105+K106</f>
        <v>280426</v>
      </c>
      <c r="L107" s="350">
        <f>+L51+L52+L84+L92+L100+L105+L106</f>
        <v>294139</v>
      </c>
      <c r="M107" s="482"/>
      <c r="N107" s="793">
        <f>+L107/K107</f>
        <v>1.0489006012281314</v>
      </c>
      <c r="O107" s="344">
        <f>+O51+O52+O84+O92+O100+O105+O106</f>
        <v>51775</v>
      </c>
      <c r="P107" s="350">
        <f>+P51+P52+P84+P92+P100+P105+P106</f>
        <v>52156</v>
      </c>
      <c r="Q107" s="479"/>
      <c r="R107" s="793">
        <f>+P107/O107</f>
        <v>1.0073587638821826</v>
      </c>
      <c r="S107" s="474">
        <f>+S51+S52+S84+S92+S100+S105+S106</f>
        <v>332201</v>
      </c>
      <c r="T107" s="475">
        <f>+T51+T52+T84+T92+T100+T105+T106</f>
        <v>346295</v>
      </c>
      <c r="U107" s="479"/>
      <c r="V107" s="793">
        <f>+T107/S107</f>
        <v>1.0424261215348538</v>
      </c>
      <c r="X107" s="4"/>
    </row>
    <row r="108" spans="1:31" s="3" customFormat="1" ht="13.5" customHeight="1" thickBot="1">
      <c r="A108" s="522" t="s">
        <v>361</v>
      </c>
      <c r="B108" s="523" t="s">
        <v>148</v>
      </c>
      <c r="C108" s="524">
        <f>+'[3]1.1.SZ.TÁBL. BEV - KIAD'!$C$108</f>
        <v>0</v>
      </c>
      <c r="D108" s="777">
        <f>+'3.SZ.TÁBL. SEGÍTŐ SZOLGÁLAT'!AA115</f>
        <v>0</v>
      </c>
      <c r="E108" s="525"/>
      <c r="F108" s="800"/>
      <c r="G108" s="805">
        <f>+'[3]1.1.SZ.TÁBL. BEV - KIAD'!$F108</f>
        <v>0</v>
      </c>
      <c r="H108" s="777">
        <f>+'4.SZ.TÁBL. ÓVODA'!R112</f>
        <v>0</v>
      </c>
      <c r="I108" s="526"/>
      <c r="J108" s="807"/>
      <c r="K108" s="527">
        <f>+C108+G108</f>
        <v>0</v>
      </c>
      <c r="L108" s="779">
        <f>+D108+H108</f>
        <v>0</v>
      </c>
      <c r="M108" s="528"/>
      <c r="N108" s="800"/>
      <c r="O108" s="529">
        <f>+'[4]1.1.SZ.TÁBL. BEV - KIAD'!$P$108</f>
        <v>271406</v>
      </c>
      <c r="P108" s="530">
        <f>+L29</f>
        <v>283483</v>
      </c>
      <c r="Q108" s="530"/>
      <c r="R108" s="800">
        <f>+P108/O108</f>
        <v>1.0444979108789048</v>
      </c>
      <c r="S108" s="531"/>
      <c r="T108" s="780"/>
      <c r="U108" s="526"/>
      <c r="V108" s="800"/>
      <c r="W108" s="4"/>
    </row>
    <row r="109" spans="1:31" s="3" customFormat="1" ht="13.5" customHeight="1" thickBot="1">
      <c r="A109" s="863" t="s">
        <v>294</v>
      </c>
      <c r="B109" s="864"/>
      <c r="C109" s="360">
        <f>+SUM(C107:C108)</f>
        <v>102562</v>
      </c>
      <c r="D109" s="361">
        <f>+SUM(D107:D108)</f>
        <v>113934</v>
      </c>
      <c r="E109" s="233"/>
      <c r="F109" s="801">
        <f>+D109/C109</f>
        <v>1.1108792730250969</v>
      </c>
      <c r="G109" s="360">
        <f>+SUM(G107:G108)</f>
        <v>177864</v>
      </c>
      <c r="H109" s="361">
        <f>+SUM(H107:H108)</f>
        <v>180205</v>
      </c>
      <c r="I109" s="234"/>
      <c r="J109" s="792">
        <f>+H109/G109</f>
        <v>1.0131617415553456</v>
      </c>
      <c r="K109" s="360">
        <f>+SUM(K107:K108)</f>
        <v>280426</v>
      </c>
      <c r="L109" s="361">
        <f>+SUM(L107:L108)</f>
        <v>294139</v>
      </c>
      <c r="M109" s="235"/>
      <c r="N109" s="801">
        <f>+L109/K109</f>
        <v>1.0489006012281314</v>
      </c>
      <c r="O109" s="360">
        <f>+SUM(O107:O108)</f>
        <v>323181</v>
      </c>
      <c r="P109" s="361">
        <f>+SUM(P107:P108)</f>
        <v>335639</v>
      </c>
      <c r="Q109" s="236"/>
      <c r="R109" s="801">
        <f>+P109/O109</f>
        <v>1.0385480582088675</v>
      </c>
      <c r="S109" s="10">
        <f>+S107+S108</f>
        <v>332201</v>
      </c>
      <c r="T109" s="236">
        <f>+T107+T108</f>
        <v>346295</v>
      </c>
      <c r="U109" s="236"/>
      <c r="V109" s="801">
        <f>+T109/S109</f>
        <v>1.0424261215348538</v>
      </c>
      <c r="X109" s="4"/>
    </row>
    <row r="110" spans="1:31" s="3" customFormat="1" ht="13.5" customHeight="1" thickBot="1">
      <c r="B110" s="483"/>
      <c r="C110" s="483"/>
      <c r="D110" s="484"/>
      <c r="E110" s="484"/>
      <c r="F110" s="802"/>
      <c r="G110" s="484"/>
      <c r="H110" s="484"/>
      <c r="I110" s="483"/>
      <c r="J110" s="802"/>
      <c r="K110" s="483"/>
      <c r="L110" s="484"/>
      <c r="M110" s="485"/>
      <c r="N110" s="485"/>
      <c r="O110" s="485"/>
      <c r="P110" s="486"/>
      <c r="Q110" s="486"/>
      <c r="R110" s="802"/>
      <c r="S110" s="486"/>
      <c r="T110" s="486"/>
      <c r="U110" s="486"/>
      <c r="V110" s="802"/>
      <c r="X110" s="4"/>
    </row>
    <row r="111" spans="1:31" s="384" customFormat="1" ht="13.5" customHeight="1" thickBot="1">
      <c r="A111" s="859" t="s">
        <v>312</v>
      </c>
      <c r="B111" s="860"/>
      <c r="C111" s="762"/>
      <c r="D111" s="361">
        <f>+D31-D109</f>
        <v>0</v>
      </c>
      <c r="E111" s="361"/>
      <c r="F111" s="803"/>
      <c r="G111" s="778"/>
      <c r="H111" s="388">
        <f>+H31-H109</f>
        <v>0</v>
      </c>
      <c r="I111" s="361"/>
      <c r="J111" s="803"/>
      <c r="K111" s="778"/>
      <c r="L111" s="388">
        <f>+L31-L109</f>
        <v>0</v>
      </c>
      <c r="M111" s="361"/>
      <c r="N111" s="389"/>
      <c r="O111" s="778"/>
      <c r="P111" s="388">
        <f>+P31-P109</f>
        <v>0</v>
      </c>
      <c r="Q111" s="361"/>
      <c r="R111" s="803"/>
      <c r="S111" s="778"/>
      <c r="T111" s="388">
        <f>+T31-T109</f>
        <v>0</v>
      </c>
      <c r="U111" s="361"/>
      <c r="V111" s="812"/>
      <c r="W111" s="491"/>
      <c r="X111" s="492"/>
      <c r="Y111" s="492"/>
      <c r="Z111" s="492"/>
      <c r="AA111" s="492"/>
      <c r="AB111" s="492"/>
      <c r="AC111" s="492"/>
      <c r="AD111" s="492"/>
      <c r="AE111" s="492"/>
    </row>
    <row r="112" spans="1:31" ht="13.5" customHeight="1"/>
    <row r="113" ht="13.5" customHeight="1"/>
  </sheetData>
  <mergeCells count="10">
    <mergeCell ref="A111:B111"/>
    <mergeCell ref="A31:B31"/>
    <mergeCell ref="A109:B109"/>
    <mergeCell ref="A1:A2"/>
    <mergeCell ref="B1:B2"/>
    <mergeCell ref="C1:F1"/>
    <mergeCell ref="G1:J1"/>
    <mergeCell ref="K1:N1"/>
    <mergeCell ref="O1:R1"/>
    <mergeCell ref="S1:V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
&amp;16 2017. ÉVI KÖLTSÉGVETÉS&amp;14
&amp;R1/1. sz. táblázat
TÁRSULÁS ÉS INTÉZMÉNYEK
 BEVÉTELEK - KIADÁSOK
Adatok: eFt</oddHeader>
    <oddFooter>&amp;L&amp;F&amp;R&amp;P</oddFooter>
  </headerFooter>
  <rowBreaks count="1" manualBreakCount="1">
    <brk id="51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Q90"/>
  <sheetViews>
    <sheetView topLeftCell="A68" zoomScale="115" zoomScaleNormal="115" workbookViewId="0">
      <selection activeCell="D72" sqref="D72:D75"/>
    </sheetView>
  </sheetViews>
  <sheetFormatPr defaultColWidth="8.85546875" defaultRowHeight="12.95" customHeight="1"/>
  <cols>
    <col min="1" max="1" width="6.5703125" style="11" customWidth="1"/>
    <col min="2" max="2" width="54.5703125" style="1" customWidth="1"/>
    <col min="3" max="6" width="10.42578125" style="64" customWidth="1"/>
    <col min="7" max="7" width="7.7109375" style="670" customWidth="1"/>
    <col min="8" max="8" width="10.42578125" style="64" customWidth="1"/>
    <col min="9" max="9" width="11.7109375" style="22" customWidth="1"/>
    <col min="10" max="10" width="10.42578125" style="24" customWidth="1"/>
    <col min="11" max="11" width="24.85546875" style="24" customWidth="1"/>
    <col min="12" max="12" width="10.140625" style="24" customWidth="1"/>
    <col min="13" max="13" width="8.85546875" style="24"/>
    <col min="14" max="14" width="9.28515625" style="24" customWidth="1"/>
    <col min="15" max="16384" width="8.85546875" style="24"/>
  </cols>
  <sheetData>
    <row r="1" spans="1:15" ht="12.75" customHeight="1">
      <c r="A1" s="878" t="s">
        <v>150</v>
      </c>
      <c r="B1" s="880" t="s">
        <v>175</v>
      </c>
      <c r="C1" s="871" t="s">
        <v>394</v>
      </c>
      <c r="D1" s="871" t="s">
        <v>415</v>
      </c>
      <c r="E1" s="869" t="s">
        <v>416</v>
      </c>
      <c r="F1" s="876" t="s">
        <v>420</v>
      </c>
      <c r="G1" s="874" t="s">
        <v>380</v>
      </c>
      <c r="H1" s="487"/>
    </row>
    <row r="2" spans="1:15" ht="31.5" customHeight="1">
      <c r="A2" s="879"/>
      <c r="B2" s="881"/>
      <c r="C2" s="872"/>
      <c r="D2" s="872"/>
      <c r="E2" s="870"/>
      <c r="F2" s="877"/>
      <c r="G2" s="875"/>
      <c r="H2" s="487"/>
    </row>
    <row r="3" spans="1:15" s="63" customFormat="1" ht="14.25" customHeight="1">
      <c r="A3" s="195" t="s">
        <v>152</v>
      </c>
      <c r="B3" s="196" t="s">
        <v>112</v>
      </c>
      <c r="C3" s="401">
        <f>+C4+C64</f>
        <v>321181</v>
      </c>
      <c r="D3" s="401">
        <f>+D4+D64</f>
        <v>335639</v>
      </c>
      <c r="E3" s="189"/>
      <c r="F3" s="657"/>
      <c r="G3" s="671"/>
      <c r="H3" s="64"/>
      <c r="I3" s="65"/>
      <c r="J3" s="841"/>
      <c r="K3" s="24"/>
      <c r="L3" s="24"/>
      <c r="N3" s="24"/>
      <c r="O3" s="24"/>
    </row>
    <row r="4" spans="1:15" s="63" customFormat="1" ht="14.25" customHeight="1">
      <c r="A4" s="197"/>
      <c r="B4" s="448" t="s">
        <v>346</v>
      </c>
      <c r="C4" s="402">
        <f>+'[4]2.SZ.TÁBL. BEVÉTELEK'!$D$4</f>
        <v>29220</v>
      </c>
      <c r="D4" s="402">
        <f>+J4</f>
        <v>29220</v>
      </c>
      <c r="E4" s="191"/>
      <c r="F4" s="658"/>
      <c r="G4" s="672">
        <f>+D4/C4</f>
        <v>1</v>
      </c>
      <c r="H4" s="65"/>
      <c r="I4" s="65"/>
      <c r="J4" s="842">
        <f>12*2435</f>
        <v>29220</v>
      </c>
      <c r="K4" s="24"/>
      <c r="L4" s="24"/>
      <c r="N4" s="24"/>
      <c r="O4" s="24"/>
    </row>
    <row r="5" spans="1:15" s="63" customFormat="1" ht="14.25" customHeight="1">
      <c r="A5" s="206"/>
      <c r="B5" s="426" t="s">
        <v>347</v>
      </c>
      <c r="C5" s="408"/>
      <c r="D5" s="408"/>
      <c r="E5" s="409"/>
      <c r="F5" s="659"/>
      <c r="G5" s="673"/>
      <c r="H5" s="65"/>
      <c r="I5" s="65"/>
      <c r="J5" s="841"/>
      <c r="K5" s="24"/>
      <c r="L5" s="873" t="s">
        <v>433</v>
      </c>
      <c r="N5" s="24"/>
      <c r="O5" s="24"/>
    </row>
    <row r="6" spans="1:15" s="63" customFormat="1" ht="14.25" customHeight="1">
      <c r="A6" s="206"/>
      <c r="B6" s="425" t="s">
        <v>336</v>
      </c>
      <c r="C6" s="403">
        <f>SUM(C7:C13)</f>
        <v>10260</v>
      </c>
      <c r="D6" s="403">
        <f>SUM(D7:D13)</f>
        <v>10260</v>
      </c>
      <c r="E6" s="404"/>
      <c r="F6" s="660"/>
      <c r="G6" s="674">
        <f>+D6/C6</f>
        <v>1</v>
      </c>
      <c r="H6" s="65"/>
      <c r="I6" s="22" t="s">
        <v>324</v>
      </c>
      <c r="J6" s="24">
        <f>(3290*12)-D4</f>
        <v>10260</v>
      </c>
      <c r="K6" s="24"/>
      <c r="L6" s="873"/>
      <c r="N6" s="24"/>
      <c r="O6" s="24"/>
    </row>
    <row r="7" spans="1:15" s="407" customFormat="1" ht="14.25" customHeight="1">
      <c r="A7" s="206"/>
      <c r="B7" s="843" t="s">
        <v>315</v>
      </c>
      <c r="C7" s="403">
        <f>+'[4]2.SZ.TÁBL. BEVÉTELEK'!$D$7</f>
        <v>1147</v>
      </c>
      <c r="D7" s="403">
        <f>+O7</f>
        <v>1152</v>
      </c>
      <c r="E7" s="404"/>
      <c r="F7" s="660"/>
      <c r="G7" s="674">
        <f>+D7/C7</f>
        <v>1.004359197907585</v>
      </c>
      <c r="H7" s="65"/>
      <c r="I7" s="406"/>
      <c r="J7" s="841"/>
      <c r="K7" s="844" t="s">
        <v>315</v>
      </c>
      <c r="L7" s="845">
        <v>2771</v>
      </c>
      <c r="M7" s="437">
        <f>+L7/L14</f>
        <v>0.11230900174279577</v>
      </c>
      <c r="N7" s="24">
        <f>+$J$6*M7</f>
        <v>1152.2903578810847</v>
      </c>
      <c r="O7" s="69">
        <v>1152</v>
      </c>
    </row>
    <row r="8" spans="1:15" ht="14.25" customHeight="1">
      <c r="A8" s="206"/>
      <c r="B8" s="843" t="s">
        <v>316</v>
      </c>
      <c r="C8" s="403">
        <f>+'[4]2.SZ.TÁBL. BEVÉTELEK'!$D$8</f>
        <v>3543</v>
      </c>
      <c r="D8" s="403">
        <f t="shared" ref="D8:D13" si="0">+O8</f>
        <v>3499</v>
      </c>
      <c r="E8" s="404"/>
      <c r="F8" s="660"/>
      <c r="G8" s="674">
        <f t="shared" ref="G8:G66" si="1">+D8/C8</f>
        <v>0.98758114592153545</v>
      </c>
      <c r="H8" s="65"/>
      <c r="J8" s="841"/>
      <c r="K8" s="844" t="s">
        <v>316</v>
      </c>
      <c r="L8" s="845">
        <v>8413</v>
      </c>
      <c r="M8" s="437">
        <f>+L8/L14</f>
        <v>0.34098001864386174</v>
      </c>
      <c r="N8" s="24">
        <f>+$J$6*M8</f>
        <v>3498.4549912860216</v>
      </c>
      <c r="O8" s="24">
        <v>3499</v>
      </c>
    </row>
    <row r="9" spans="1:15" ht="14.25" customHeight="1">
      <c r="A9" s="206"/>
      <c r="B9" s="843" t="s">
        <v>322</v>
      </c>
      <c r="C9" s="403">
        <f>+'[4]2.SZ.TÁBL. BEVÉTELEK'!$D$9</f>
        <v>522</v>
      </c>
      <c r="D9" s="403">
        <f t="shared" si="0"/>
        <v>525</v>
      </c>
      <c r="E9" s="404"/>
      <c r="F9" s="660"/>
      <c r="G9" s="674">
        <f t="shared" si="1"/>
        <v>1.0057471264367817</v>
      </c>
      <c r="H9" s="65"/>
      <c r="J9" s="841"/>
      <c r="K9" s="844" t="s">
        <v>322</v>
      </c>
      <c r="L9" s="845">
        <v>1262</v>
      </c>
      <c r="M9" s="437">
        <f>+L9/L14</f>
        <v>5.1149029303286991E-2</v>
      </c>
      <c r="N9" s="24">
        <f t="shared" ref="N9:N13" si="2">+$J$6*M9</f>
        <v>524.78904065172458</v>
      </c>
      <c r="O9" s="24">
        <v>525</v>
      </c>
    </row>
    <row r="10" spans="1:15" ht="14.25" customHeight="1">
      <c r="A10" s="206"/>
      <c r="B10" s="843" t="s">
        <v>317</v>
      </c>
      <c r="C10" s="403">
        <f>+'[4]2.SZ.TÁBL. BEVÉTELEK'!$D$10</f>
        <v>449</v>
      </c>
      <c r="D10" s="403">
        <f t="shared" si="0"/>
        <v>453</v>
      </c>
      <c r="E10" s="404"/>
      <c r="F10" s="660"/>
      <c r="G10" s="674">
        <f t="shared" si="1"/>
        <v>1.0089086859688197</v>
      </c>
      <c r="H10" s="65"/>
      <c r="J10" s="841"/>
      <c r="K10" s="844" t="s">
        <v>317</v>
      </c>
      <c r="L10" s="845">
        <v>1090</v>
      </c>
      <c r="M10" s="437">
        <f>+L10/L14</f>
        <v>4.4177846228671019E-2</v>
      </c>
      <c r="N10" s="24">
        <f t="shared" si="2"/>
        <v>453.26470230616468</v>
      </c>
      <c r="O10" s="24">
        <v>453</v>
      </c>
    </row>
    <row r="11" spans="1:15" ht="14.25" customHeight="1">
      <c r="A11" s="206"/>
      <c r="B11" s="843" t="s">
        <v>318</v>
      </c>
      <c r="C11" s="403">
        <f>+'[4]2.SZ.TÁBL. BEVÉTELEK'!$D$11</f>
        <v>2343</v>
      </c>
      <c r="D11" s="403">
        <f t="shared" si="0"/>
        <v>2370</v>
      </c>
      <c r="E11" s="404"/>
      <c r="F11" s="660"/>
      <c r="G11" s="674">
        <f t="shared" si="1"/>
        <v>1.0115236875800255</v>
      </c>
      <c r="H11" s="65"/>
      <c r="J11" s="841"/>
      <c r="K11" s="844" t="s">
        <v>318</v>
      </c>
      <c r="L11" s="845">
        <v>5699</v>
      </c>
      <c r="M11" s="437">
        <f>+L11/L14</f>
        <v>0.23098123454788635</v>
      </c>
      <c r="N11" s="24">
        <f t="shared" si="2"/>
        <v>2369.8674664613141</v>
      </c>
      <c r="O11" s="24">
        <v>2370</v>
      </c>
    </row>
    <row r="12" spans="1:15" ht="14.25" customHeight="1">
      <c r="A12" s="206"/>
      <c r="B12" s="843" t="s">
        <v>319</v>
      </c>
      <c r="C12" s="403">
        <f>+'[4]2.SZ.TÁBL. BEVÉTELEK'!$D$12</f>
        <v>1402</v>
      </c>
      <c r="D12" s="403">
        <f t="shared" si="0"/>
        <v>1397</v>
      </c>
      <c r="E12" s="404"/>
      <c r="F12" s="660"/>
      <c r="G12" s="674">
        <f t="shared" si="1"/>
        <v>0.99643366619115548</v>
      </c>
      <c r="H12" s="65"/>
      <c r="J12" s="841"/>
      <c r="K12" s="844" t="s">
        <v>319</v>
      </c>
      <c r="L12" s="845">
        <v>3360</v>
      </c>
      <c r="M12" s="437">
        <f>+L12/L14</f>
        <v>0.13618125075994</v>
      </c>
      <c r="N12" s="24">
        <f t="shared" si="2"/>
        <v>1397.2196327969843</v>
      </c>
      <c r="O12" s="24">
        <v>1397</v>
      </c>
    </row>
    <row r="13" spans="1:15" ht="14.25" customHeight="1">
      <c r="A13" s="206"/>
      <c r="B13" s="843" t="s">
        <v>320</v>
      </c>
      <c r="C13" s="403">
        <f>+'[4]2.SZ.TÁBL. BEVÉTELEK'!$D$13</f>
        <v>854</v>
      </c>
      <c r="D13" s="403">
        <f t="shared" si="0"/>
        <v>864</v>
      </c>
      <c r="E13" s="404"/>
      <c r="F13" s="660"/>
      <c r="G13" s="674">
        <f t="shared" si="1"/>
        <v>1.0117096018735363</v>
      </c>
      <c r="H13" s="65"/>
      <c r="J13" s="841"/>
      <c r="K13" s="844" t="s">
        <v>320</v>
      </c>
      <c r="L13" s="845">
        <v>2078</v>
      </c>
      <c r="M13" s="437">
        <f>+L13/L14</f>
        <v>8.4221618773558146E-2</v>
      </c>
      <c r="N13" s="24">
        <f t="shared" si="2"/>
        <v>864.11380861670659</v>
      </c>
      <c r="O13" s="24">
        <v>864</v>
      </c>
    </row>
    <row r="14" spans="1:15" s="63" customFormat="1" ht="14.25" customHeight="1">
      <c r="A14" s="206"/>
      <c r="B14" s="268"/>
      <c r="C14" s="408"/>
      <c r="D14" s="408"/>
      <c r="E14" s="409"/>
      <c r="F14" s="659"/>
      <c r="G14" s="673"/>
      <c r="H14" s="65"/>
      <c r="I14" s="65"/>
      <c r="J14" s="841"/>
      <c r="L14" s="436">
        <f>SUM(L7:L13)</f>
        <v>24673</v>
      </c>
      <c r="M14" s="438"/>
      <c r="N14" s="439">
        <f>SUM(N7:N13)</f>
        <v>10260</v>
      </c>
      <c r="O14" s="24">
        <f>SUM(O7:O13)</f>
        <v>10260</v>
      </c>
    </row>
    <row r="15" spans="1:15" ht="14.25" customHeight="1">
      <c r="A15" s="209"/>
      <c r="B15" s="425" t="s">
        <v>321</v>
      </c>
      <c r="C15" s="403">
        <f>+SUM(C16:C18)</f>
        <v>18377</v>
      </c>
      <c r="D15" s="403">
        <f>+SUM(D16:D18)</f>
        <v>23429</v>
      </c>
      <c r="E15" s="404"/>
      <c r="F15" s="660"/>
      <c r="G15" s="674">
        <f t="shared" si="1"/>
        <v>1.274908853458127</v>
      </c>
      <c r="H15" s="22"/>
      <c r="J15" s="841"/>
    </row>
    <row r="16" spans="1:15" ht="14.25" customHeight="1">
      <c r="A16" s="209"/>
      <c r="B16" s="843" t="s">
        <v>315</v>
      </c>
      <c r="C16" s="403">
        <f>+'[4]2.SZ.TÁBL. BEVÉTELEK'!$D$16</f>
        <v>8172</v>
      </c>
      <c r="D16" s="403">
        <f>+'4.SZ.TÁBL. ÓVODA'!S32</f>
        <v>14372</v>
      </c>
      <c r="E16" s="404"/>
      <c r="F16" s="660"/>
      <c r="G16" s="674">
        <f t="shared" si="1"/>
        <v>1.7586882036221243</v>
      </c>
      <c r="H16" s="22"/>
      <c r="J16" s="841"/>
    </row>
    <row r="17" spans="1:15" ht="14.25" customHeight="1">
      <c r="A17" s="209"/>
      <c r="B17" s="843" t="s">
        <v>322</v>
      </c>
      <c r="C17" s="403">
        <f>+'[4]2.SZ.TÁBL. BEVÉTELEK'!$D$17</f>
        <v>5530</v>
      </c>
      <c r="D17" s="403">
        <f>+'4.SZ.TÁBL. ÓVODA'!S33</f>
        <v>4986</v>
      </c>
      <c r="E17" s="404"/>
      <c r="F17" s="660"/>
      <c r="G17" s="674">
        <f t="shared" si="1"/>
        <v>0.90162748643761303</v>
      </c>
      <c r="H17" s="22"/>
    </row>
    <row r="18" spans="1:15" ht="14.25" customHeight="1">
      <c r="A18" s="209"/>
      <c r="B18" s="843" t="s">
        <v>320</v>
      </c>
      <c r="C18" s="403">
        <f>+'[4]2.SZ.TÁBL. BEVÉTELEK'!$D$18</f>
        <v>4675</v>
      </c>
      <c r="D18" s="403">
        <f>+'4.SZ.TÁBL. ÓVODA'!S34</f>
        <v>4071</v>
      </c>
      <c r="E18" s="404"/>
      <c r="F18" s="660"/>
      <c r="G18" s="674">
        <f t="shared" si="1"/>
        <v>0.8708021390374332</v>
      </c>
      <c r="H18" s="22"/>
    </row>
    <row r="19" spans="1:15" ht="14.25" customHeight="1">
      <c r="A19" s="209"/>
      <c r="B19" s="435"/>
      <c r="C19" s="403"/>
      <c r="D19" s="403"/>
      <c r="E19" s="404"/>
      <c r="F19" s="660"/>
      <c r="G19" s="674"/>
      <c r="H19" s="22"/>
    </row>
    <row r="20" spans="1:15" ht="14.25" customHeight="1">
      <c r="A20" s="209"/>
      <c r="B20" s="425" t="s">
        <v>323</v>
      </c>
      <c r="C20" s="403">
        <f>+SUM(C21:C27)</f>
        <v>30960</v>
      </c>
      <c r="D20" s="403">
        <f>+SUM(D21:D27)</f>
        <v>46670</v>
      </c>
      <c r="E20" s="404"/>
      <c r="F20" s="660"/>
      <c r="G20" s="674">
        <f t="shared" si="1"/>
        <v>1.5074289405684755</v>
      </c>
      <c r="H20" s="22"/>
    </row>
    <row r="21" spans="1:15" ht="14.25" customHeight="1">
      <c r="A21" s="209"/>
      <c r="B21" s="843" t="s">
        <v>315</v>
      </c>
      <c r="C21" s="403">
        <f>+'[4]2.SZ.TÁBL. BEVÉTELEK'!$D$21</f>
        <v>6918</v>
      </c>
      <c r="D21" s="403">
        <f>+'3.SZ.TÁBL. SEGÍTŐ SZOLGÁLAT'!AB32</f>
        <v>9442</v>
      </c>
      <c r="E21" s="404"/>
      <c r="F21" s="660"/>
      <c r="G21" s="674">
        <f t="shared" si="1"/>
        <v>1.3648453310205262</v>
      </c>
      <c r="H21" s="22"/>
    </row>
    <row r="22" spans="1:15" ht="14.25" customHeight="1">
      <c r="A22" s="209"/>
      <c r="B22" s="843" t="s">
        <v>322</v>
      </c>
      <c r="C22" s="403">
        <f>+'[4]2.SZ.TÁBL. BEVÉTELEK'!$D$22</f>
        <v>1841</v>
      </c>
      <c r="D22" s="403">
        <f>+'3.SZ.TÁBL. SEGÍTŐ SZOLGÁLAT'!AB33</f>
        <v>2765</v>
      </c>
      <c r="E22" s="404"/>
      <c r="F22" s="660"/>
      <c r="G22" s="674">
        <f t="shared" si="1"/>
        <v>1.5019011406844107</v>
      </c>
      <c r="H22" s="22"/>
    </row>
    <row r="23" spans="1:15" ht="14.25" customHeight="1">
      <c r="A23" s="209"/>
      <c r="B23" s="843" t="s">
        <v>317</v>
      </c>
      <c r="C23" s="403">
        <f>+'[4]2.SZ.TÁBL. BEVÉTELEK'!$D$23</f>
        <v>1634</v>
      </c>
      <c r="D23" s="403">
        <f>+'3.SZ.TÁBL. SEGÍTŐ SZOLGÁLAT'!AB34</f>
        <v>2388</v>
      </c>
      <c r="E23" s="404"/>
      <c r="F23" s="660"/>
      <c r="G23" s="674">
        <f t="shared" si="1"/>
        <v>1.4614443084455324</v>
      </c>
      <c r="H23" s="22"/>
      <c r="K23" s="434"/>
      <c r="L23" s="434"/>
    </row>
    <row r="24" spans="1:15" ht="14.25" customHeight="1">
      <c r="A24" s="209"/>
      <c r="B24" s="843" t="s">
        <v>318</v>
      </c>
      <c r="C24" s="403">
        <f>+'[4]2.SZ.TÁBL. BEVÉTELEK'!$D$24</f>
        <v>9306</v>
      </c>
      <c r="D24" s="403">
        <f>+'3.SZ.TÁBL. SEGÍTŐ SZOLGÁLAT'!AB35</f>
        <v>15247</v>
      </c>
      <c r="E24" s="404"/>
      <c r="F24" s="660"/>
      <c r="G24" s="674">
        <f t="shared" si="1"/>
        <v>1.6384053298946917</v>
      </c>
      <c r="H24" s="22"/>
      <c r="J24" s="434"/>
      <c r="M24" s="434"/>
    </row>
    <row r="25" spans="1:15" ht="14.25" customHeight="1">
      <c r="A25" s="209"/>
      <c r="B25" s="843" t="s">
        <v>319</v>
      </c>
      <c r="C25" s="403">
        <f>+'[4]2.SZ.TÁBL. BEVÉTELEK'!$D$25</f>
        <v>4994</v>
      </c>
      <c r="D25" s="403">
        <f>+'3.SZ.TÁBL. SEGÍTŐ SZOLGÁLAT'!AB36</f>
        <v>7359</v>
      </c>
      <c r="E25" s="404"/>
      <c r="F25" s="660"/>
      <c r="G25" s="674">
        <f t="shared" si="1"/>
        <v>1.473568281938326</v>
      </c>
      <c r="H25" s="22"/>
    </row>
    <row r="26" spans="1:15" s="434" customFormat="1" ht="14.25" customHeight="1">
      <c r="A26" s="209"/>
      <c r="B26" s="843" t="s">
        <v>320</v>
      </c>
      <c r="C26" s="403">
        <f>+'[4]2.SZ.TÁBL. BEVÉTELEK'!$D$26</f>
        <v>3011</v>
      </c>
      <c r="D26" s="403">
        <f>+'3.SZ.TÁBL. SEGÍTŐ SZOLGÁLAT'!AB37</f>
        <v>4551</v>
      </c>
      <c r="E26" s="404"/>
      <c r="F26" s="660"/>
      <c r="G26" s="674">
        <f t="shared" si="1"/>
        <v>1.5114579873796081</v>
      </c>
      <c r="H26" s="22"/>
      <c r="I26" s="23"/>
      <c r="J26" s="24"/>
      <c r="K26" s="24"/>
      <c r="L26" s="24"/>
      <c r="M26" s="24"/>
      <c r="N26" s="24"/>
      <c r="O26" s="24"/>
    </row>
    <row r="27" spans="1:15" s="434" customFormat="1" ht="14.25" customHeight="1">
      <c r="A27" s="209"/>
      <c r="B27" s="846" t="s">
        <v>300</v>
      </c>
      <c r="C27" s="403">
        <f>+'[4]2.SZ.TÁBL. BEVÉTELEK'!$D$27</f>
        <v>3256</v>
      </c>
      <c r="D27" s="403">
        <f>+'3.SZ.TÁBL. SEGÍTŐ SZOLGÁLAT'!AB38</f>
        <v>4918</v>
      </c>
      <c r="E27" s="404"/>
      <c r="F27" s="660"/>
      <c r="G27" s="674">
        <f t="shared" si="1"/>
        <v>1.5104422604422605</v>
      </c>
      <c r="H27" s="22"/>
      <c r="I27" s="23"/>
      <c r="J27" s="24"/>
      <c r="K27" s="24"/>
      <c r="L27" s="24"/>
      <c r="M27" s="24"/>
      <c r="N27" s="24"/>
      <c r="O27" s="24"/>
    </row>
    <row r="28" spans="1:15" s="424" customFormat="1" ht="14.25" customHeight="1">
      <c r="A28" s="206"/>
      <c r="B28" s="846"/>
      <c r="C28" s="408"/>
      <c r="D28" s="408"/>
      <c r="E28" s="409"/>
      <c r="F28" s="659"/>
      <c r="G28" s="674"/>
      <c r="H28" s="65"/>
      <c r="I28" s="23"/>
      <c r="J28" s="24"/>
      <c r="K28" s="24"/>
      <c r="L28" s="873" t="s">
        <v>433</v>
      </c>
      <c r="M28" s="24"/>
      <c r="N28" s="24"/>
      <c r="O28" s="24"/>
    </row>
    <row r="29" spans="1:15" s="424" customFormat="1" ht="14.25" customHeight="1">
      <c r="A29" s="206"/>
      <c r="B29" s="425" t="s">
        <v>335</v>
      </c>
      <c r="C29" s="403">
        <f>SUM(C30:C37)</f>
        <v>2719</v>
      </c>
      <c r="D29" s="403">
        <f>SUM(D30:D37)</f>
        <v>2722</v>
      </c>
      <c r="E29" s="409"/>
      <c r="F29" s="659"/>
      <c r="G29" s="674">
        <f t="shared" si="1"/>
        <v>1.0011033468186834</v>
      </c>
      <c r="H29" s="65"/>
      <c r="I29" s="423"/>
      <c r="J29" s="24"/>
      <c r="K29" s="24"/>
      <c r="L29" s="873"/>
      <c r="M29" s="24"/>
      <c r="N29" s="24"/>
      <c r="O29" s="24"/>
    </row>
    <row r="30" spans="1:15" s="424" customFormat="1" ht="14.25" customHeight="1">
      <c r="A30" s="206"/>
      <c r="B30" s="843" t="s">
        <v>315</v>
      </c>
      <c r="C30" s="403">
        <f>+'[4]2.SZ.TÁBL. BEVÉTELEK'!$D$30</f>
        <v>276</v>
      </c>
      <c r="D30" s="403">
        <f>+N30</f>
        <v>277</v>
      </c>
      <c r="E30" s="409"/>
      <c r="F30" s="659"/>
      <c r="G30" s="674">
        <f t="shared" si="1"/>
        <v>1.0036231884057971</v>
      </c>
      <c r="H30" s="65"/>
      <c r="I30" s="22" t="s">
        <v>325</v>
      </c>
      <c r="J30" s="24">
        <v>100</v>
      </c>
      <c r="K30" s="24" t="s">
        <v>4</v>
      </c>
      <c r="L30" s="845">
        <v>2771</v>
      </c>
      <c r="M30" s="22">
        <f>+$J$30*L30</f>
        <v>277100</v>
      </c>
      <c r="N30" s="24">
        <v>277</v>
      </c>
      <c r="O30" s="24"/>
    </row>
    <row r="31" spans="1:15" s="424" customFormat="1" ht="14.25" customHeight="1">
      <c r="A31" s="206"/>
      <c r="B31" s="843" t="s">
        <v>316</v>
      </c>
      <c r="C31" s="403">
        <f>+'[4]2.SZ.TÁBL. BEVÉTELEK'!$D$31</f>
        <v>852</v>
      </c>
      <c r="D31" s="403">
        <f t="shared" ref="D31:D37" si="3">+N31</f>
        <v>841</v>
      </c>
      <c r="E31" s="409"/>
      <c r="F31" s="659"/>
      <c r="G31" s="674">
        <f t="shared" si="1"/>
        <v>0.98708920187793425</v>
      </c>
      <c r="H31" s="65"/>
      <c r="I31" s="22"/>
      <c r="J31" s="24"/>
      <c r="K31" s="24" t="s">
        <v>5</v>
      </c>
      <c r="L31" s="845">
        <v>8413</v>
      </c>
      <c r="M31" s="22">
        <f t="shared" ref="M31:M37" si="4">+$J$30*L31</f>
        <v>841300</v>
      </c>
      <c r="N31" s="24">
        <v>841</v>
      </c>
      <c r="O31" s="24"/>
    </row>
    <row r="32" spans="1:15" s="424" customFormat="1" ht="14.25" customHeight="1">
      <c r="A32" s="206"/>
      <c r="B32" s="843" t="s">
        <v>322</v>
      </c>
      <c r="C32" s="403">
        <f>+'[4]2.SZ.TÁBL. BEVÉTELEK'!$D$32</f>
        <v>126</v>
      </c>
      <c r="D32" s="403">
        <f t="shared" si="3"/>
        <v>126</v>
      </c>
      <c r="E32" s="409"/>
      <c r="F32" s="659"/>
      <c r="G32" s="674">
        <f t="shared" si="1"/>
        <v>1</v>
      </c>
      <c r="H32" s="65"/>
      <c r="I32" s="22"/>
      <c r="J32" s="24"/>
      <c r="K32" s="24" t="s">
        <v>6</v>
      </c>
      <c r="L32" s="845">
        <v>1262</v>
      </c>
      <c r="M32" s="22">
        <f t="shared" si="4"/>
        <v>126200</v>
      </c>
      <c r="N32" s="24">
        <v>126</v>
      </c>
      <c r="O32" s="24"/>
    </row>
    <row r="33" spans="1:17" s="424" customFormat="1" ht="14.25" customHeight="1">
      <c r="A33" s="206"/>
      <c r="B33" s="843" t="s">
        <v>317</v>
      </c>
      <c r="C33" s="403">
        <f>+'[4]2.SZ.TÁBL. BEVÉTELEK'!$D$33</f>
        <v>108</v>
      </c>
      <c r="D33" s="403">
        <f t="shared" si="3"/>
        <v>109</v>
      </c>
      <c r="E33" s="409"/>
      <c r="F33" s="659"/>
      <c r="G33" s="674">
        <f t="shared" si="1"/>
        <v>1.0092592592592593</v>
      </c>
      <c r="H33" s="65"/>
      <c r="I33" s="22"/>
      <c r="J33" s="24"/>
      <c r="K33" s="24" t="s">
        <v>7</v>
      </c>
      <c r="L33" s="845">
        <v>1090</v>
      </c>
      <c r="M33" s="22">
        <f t="shared" si="4"/>
        <v>109000</v>
      </c>
      <c r="N33" s="24">
        <v>109</v>
      </c>
      <c r="O33" s="24"/>
    </row>
    <row r="34" spans="1:17" s="424" customFormat="1" ht="14.25" customHeight="1">
      <c r="A34" s="206"/>
      <c r="B34" s="843" t="s">
        <v>318</v>
      </c>
      <c r="C34" s="403">
        <f>+'[4]2.SZ.TÁBL. BEVÉTELEK'!$D$34</f>
        <v>564</v>
      </c>
      <c r="D34" s="403">
        <f t="shared" si="3"/>
        <v>570</v>
      </c>
      <c r="E34" s="409"/>
      <c r="F34" s="659"/>
      <c r="G34" s="674">
        <f t="shared" si="1"/>
        <v>1.0106382978723405</v>
      </c>
      <c r="H34" s="65"/>
      <c r="I34" s="22"/>
      <c r="J34" s="24"/>
      <c r="K34" s="24" t="s">
        <v>8</v>
      </c>
      <c r="L34" s="845">
        <v>5699</v>
      </c>
      <c r="M34" s="22">
        <f t="shared" si="4"/>
        <v>569900</v>
      </c>
      <c r="N34" s="24">
        <v>570</v>
      </c>
      <c r="O34" s="24"/>
    </row>
    <row r="35" spans="1:17" s="424" customFormat="1" ht="14.25" customHeight="1">
      <c r="A35" s="206"/>
      <c r="B35" s="843" t="s">
        <v>319</v>
      </c>
      <c r="C35" s="403">
        <f>+'[4]2.SZ.TÁBL. BEVÉTELEK'!$D$35</f>
        <v>337</v>
      </c>
      <c r="D35" s="403">
        <f t="shared" si="3"/>
        <v>336</v>
      </c>
      <c r="E35" s="409"/>
      <c r="F35" s="659"/>
      <c r="G35" s="674">
        <f t="shared" si="1"/>
        <v>0.9970326409495549</v>
      </c>
      <c r="H35" s="65"/>
      <c r="I35" s="22"/>
      <c r="J35" s="24"/>
      <c r="K35" s="24" t="s">
        <v>9</v>
      </c>
      <c r="L35" s="845">
        <v>3360</v>
      </c>
      <c r="M35" s="22">
        <f t="shared" si="4"/>
        <v>336000</v>
      </c>
      <c r="N35" s="24">
        <v>336</v>
      </c>
      <c r="O35" s="24"/>
    </row>
    <row r="36" spans="1:17" s="424" customFormat="1" ht="14.25" customHeight="1">
      <c r="A36" s="206"/>
      <c r="B36" s="843" t="s">
        <v>320</v>
      </c>
      <c r="C36" s="403">
        <f>+'[4]2.SZ.TÁBL. BEVÉTELEK'!$D$36</f>
        <v>205</v>
      </c>
      <c r="D36" s="403">
        <f t="shared" si="3"/>
        <v>208</v>
      </c>
      <c r="E36" s="409"/>
      <c r="F36" s="659"/>
      <c r="G36" s="674">
        <f t="shared" si="1"/>
        <v>1.0146341463414634</v>
      </c>
      <c r="H36" s="65"/>
      <c r="I36" s="22"/>
      <c r="J36" s="24"/>
      <c r="K36" s="24" t="s">
        <v>10</v>
      </c>
      <c r="L36" s="845">
        <v>2078</v>
      </c>
      <c r="M36" s="22">
        <f t="shared" si="4"/>
        <v>207800</v>
      </c>
      <c r="N36" s="24">
        <v>208</v>
      </c>
      <c r="O36" s="24"/>
    </row>
    <row r="37" spans="1:17" s="424" customFormat="1" ht="14.25" customHeight="1">
      <c r="A37" s="206"/>
      <c r="B37" s="846" t="s">
        <v>300</v>
      </c>
      <c r="C37" s="403">
        <f>+'[4]2.SZ.TÁBL. BEVÉTELEK'!$D$37</f>
        <v>251</v>
      </c>
      <c r="D37" s="403">
        <f t="shared" si="3"/>
        <v>255</v>
      </c>
      <c r="E37" s="409"/>
      <c r="F37" s="659"/>
      <c r="G37" s="674">
        <f t="shared" si="1"/>
        <v>1.0159362549800797</v>
      </c>
      <c r="H37" s="65"/>
      <c r="I37" s="423"/>
      <c r="J37" s="24"/>
      <c r="K37" s="69" t="s">
        <v>300</v>
      </c>
      <c r="L37" s="845">
        <v>2549</v>
      </c>
      <c r="M37" s="22">
        <f t="shared" si="4"/>
        <v>254900</v>
      </c>
      <c r="N37" s="397">
        <v>255</v>
      </c>
      <c r="O37" s="24"/>
    </row>
    <row r="38" spans="1:17" s="424" customFormat="1" ht="14.25" customHeight="1">
      <c r="A38" s="206"/>
      <c r="B38" s="846"/>
      <c r="C38" s="408"/>
      <c r="D38" s="408"/>
      <c r="E38" s="409"/>
      <c r="F38" s="659"/>
      <c r="G38" s="674"/>
      <c r="H38" s="65"/>
      <c r="I38" s="423"/>
      <c r="J38" s="24"/>
      <c r="K38" s="24"/>
      <c r="L38" s="436">
        <f>SUM(L30:L37)</f>
        <v>27222</v>
      </c>
      <c r="M38" s="22">
        <f>SUM(M30:M37)</f>
        <v>2722200</v>
      </c>
      <c r="N38" s="22">
        <f>SUM(N30:N37)</f>
        <v>2722</v>
      </c>
      <c r="O38" s="24"/>
    </row>
    <row r="39" spans="1:17" s="424" customFormat="1" ht="14.25" customHeight="1">
      <c r="A39" s="206"/>
      <c r="B39" s="425" t="s">
        <v>340</v>
      </c>
      <c r="C39" s="403">
        <f>+SUM(C40:C46)</f>
        <v>2966</v>
      </c>
      <c r="D39" s="403">
        <f>+SUM(D40:D46)</f>
        <v>3028</v>
      </c>
      <c r="E39" s="409"/>
      <c r="F39" s="659"/>
      <c r="G39" s="674">
        <f t="shared" si="1"/>
        <v>1.0209035738368173</v>
      </c>
      <c r="H39" s="65"/>
      <c r="I39" s="423"/>
      <c r="J39" s="24"/>
      <c r="K39" s="24"/>
      <c r="L39" s="436"/>
      <c r="M39" s="22"/>
      <c r="N39" s="22"/>
      <c r="O39" s="24"/>
    </row>
    <row r="40" spans="1:17" s="424" customFormat="1" ht="14.25" customHeight="1">
      <c r="A40" s="206"/>
      <c r="B40" s="843" t="s">
        <v>315</v>
      </c>
      <c r="C40" s="403">
        <f>+'[4]2.SZ.TÁBL. BEVÉTELEK'!$D$40</f>
        <v>342</v>
      </c>
      <c r="D40" s="403">
        <f>+N41</f>
        <v>386</v>
      </c>
      <c r="E40" s="409"/>
      <c r="F40" s="659"/>
      <c r="G40" s="674">
        <f t="shared" si="1"/>
        <v>1.128654970760234</v>
      </c>
      <c r="H40" s="65"/>
      <c r="I40" s="22" t="s">
        <v>343</v>
      </c>
      <c r="J40" s="24" t="s">
        <v>345</v>
      </c>
      <c r="K40" s="24"/>
      <c r="L40" s="436" t="s">
        <v>344</v>
      </c>
      <c r="M40" s="22"/>
      <c r="N40" s="22"/>
      <c r="O40" s="24"/>
    </row>
    <row r="41" spans="1:17" s="424" customFormat="1" ht="14.25" customHeight="1">
      <c r="A41" s="206"/>
      <c r="B41" s="843" t="s">
        <v>322</v>
      </c>
      <c r="C41" s="403">
        <f>+'[4]2.SZ.TÁBL. BEVÉTELEK'!$D$41</f>
        <v>244</v>
      </c>
      <c r="D41" s="403">
        <f t="shared" ref="D41:D46" si="5">+N42</f>
        <v>270</v>
      </c>
      <c r="E41" s="409"/>
      <c r="F41" s="659"/>
      <c r="G41" s="674">
        <f t="shared" si="1"/>
        <v>1.1065573770491803</v>
      </c>
      <c r="H41" s="65"/>
      <c r="I41" s="22"/>
      <c r="J41" s="24">
        <v>9640</v>
      </c>
      <c r="K41" s="24" t="s">
        <v>4</v>
      </c>
      <c r="L41" s="436">
        <f>15+20+2+3</f>
        <v>40</v>
      </c>
      <c r="M41" s="22">
        <f>+J41*L41</f>
        <v>385600</v>
      </c>
      <c r="N41" s="22">
        <v>386</v>
      </c>
      <c r="O41" s="24"/>
      <c r="P41" s="24" t="s">
        <v>388</v>
      </c>
      <c r="Q41" s="24">
        <f>172720*12</f>
        <v>2072640</v>
      </c>
    </row>
    <row r="42" spans="1:17" s="424" customFormat="1" ht="14.25" customHeight="1">
      <c r="A42" s="206"/>
      <c r="B42" s="843" t="s">
        <v>317</v>
      </c>
      <c r="C42" s="403">
        <f>+'[4]2.SZ.TÁBL. BEVÉTELEK'!$D$42</f>
        <v>215</v>
      </c>
      <c r="D42" s="403">
        <f t="shared" si="5"/>
        <v>347</v>
      </c>
      <c r="E42" s="409"/>
      <c r="F42" s="659"/>
      <c r="G42" s="674">
        <f t="shared" si="1"/>
        <v>1.613953488372093</v>
      </c>
      <c r="H42" s="65"/>
      <c r="I42" s="22"/>
      <c r="J42" s="24"/>
      <c r="K42" s="24" t="s">
        <v>6</v>
      </c>
      <c r="L42" s="436">
        <f>12+12+2+2</f>
        <v>28</v>
      </c>
      <c r="M42" s="22">
        <f>+J41*L42</f>
        <v>269920</v>
      </c>
      <c r="N42" s="22">
        <v>270</v>
      </c>
      <c r="O42" s="24"/>
      <c r="P42" s="24" t="s">
        <v>389</v>
      </c>
      <c r="Q42" s="24">
        <f>+L41+L42+L43+L45+L46+L47</f>
        <v>215</v>
      </c>
    </row>
    <row r="43" spans="1:17" s="424" customFormat="1" ht="14.25" customHeight="1">
      <c r="A43" s="206"/>
      <c r="B43" s="843" t="s">
        <v>318</v>
      </c>
      <c r="C43" s="403">
        <f>+'[4]2.SZ.TÁBL. BEVÉTELEK'!$D$43</f>
        <v>894</v>
      </c>
      <c r="D43" s="403">
        <f t="shared" si="5"/>
        <v>955</v>
      </c>
      <c r="E43" s="409"/>
      <c r="F43" s="659"/>
      <c r="G43" s="674">
        <f t="shared" si="1"/>
        <v>1.0682326621923937</v>
      </c>
      <c r="H43" s="65"/>
      <c r="I43" s="22"/>
      <c r="J43" s="24"/>
      <c r="K43" s="24" t="s">
        <v>7</v>
      </c>
      <c r="L43" s="436">
        <f>12+20+2+2</f>
        <v>36</v>
      </c>
      <c r="M43" s="22">
        <f>+J41*L43</f>
        <v>347040</v>
      </c>
      <c r="N43" s="22">
        <v>347</v>
      </c>
      <c r="O43" s="24"/>
      <c r="P43" s="24" t="s">
        <v>390</v>
      </c>
      <c r="Q43" s="24">
        <f>+Q41/Q42</f>
        <v>9640.1860465116279</v>
      </c>
    </row>
    <row r="44" spans="1:17" s="424" customFormat="1" ht="14.25" customHeight="1">
      <c r="A44" s="206"/>
      <c r="B44" s="843" t="s">
        <v>319</v>
      </c>
      <c r="C44" s="403">
        <f>+'[4]2.SZ.TÁBL. BEVÉTELEK'!$D$44</f>
        <v>391</v>
      </c>
      <c r="D44" s="403">
        <f t="shared" si="5"/>
        <v>289</v>
      </c>
      <c r="E44" s="409"/>
      <c r="F44" s="659"/>
      <c r="G44" s="674">
        <f t="shared" si="1"/>
        <v>0.73913043478260865</v>
      </c>
      <c r="H44" s="65"/>
      <c r="I44" s="22"/>
      <c r="J44" s="24">
        <v>20320</v>
      </c>
      <c r="K44" s="24" t="s">
        <v>8</v>
      </c>
      <c r="L44" s="436">
        <v>47</v>
      </c>
      <c r="M44" s="22">
        <f>+J44*L44</f>
        <v>955040</v>
      </c>
      <c r="N44" s="22">
        <v>955</v>
      </c>
      <c r="O44" s="24"/>
    </row>
    <row r="45" spans="1:17" s="424" customFormat="1" ht="14.25" customHeight="1">
      <c r="A45" s="206"/>
      <c r="B45" s="843" t="s">
        <v>320</v>
      </c>
      <c r="C45" s="403">
        <f>+'[4]2.SZ.TÁBL. BEVÉTELEK'!$D$45</f>
        <v>440</v>
      </c>
      <c r="D45" s="403">
        <f t="shared" si="5"/>
        <v>482</v>
      </c>
      <c r="E45" s="409"/>
      <c r="F45" s="659"/>
      <c r="G45" s="674">
        <f t="shared" si="1"/>
        <v>1.0954545454545455</v>
      </c>
      <c r="H45" s="65"/>
      <c r="I45" s="22"/>
      <c r="J45" s="24"/>
      <c r="K45" s="24" t="s">
        <v>9</v>
      </c>
      <c r="L45" s="436">
        <f>15+10+2+3</f>
        <v>30</v>
      </c>
      <c r="M45" s="22">
        <f>+J41*L45</f>
        <v>289200</v>
      </c>
      <c r="N45" s="22">
        <v>289</v>
      </c>
      <c r="O45" s="24"/>
    </row>
    <row r="46" spans="1:17" s="424" customFormat="1" ht="14.25" customHeight="1">
      <c r="A46" s="206"/>
      <c r="B46" s="846" t="s">
        <v>300</v>
      </c>
      <c r="C46" s="403">
        <f>+'[4]2.SZ.TÁBL. BEVÉTELEK'!$D$46</f>
        <v>440</v>
      </c>
      <c r="D46" s="403">
        <f t="shared" si="5"/>
        <v>299</v>
      </c>
      <c r="E46" s="409"/>
      <c r="F46" s="659"/>
      <c r="G46" s="674">
        <f t="shared" si="1"/>
        <v>0.67954545454545456</v>
      </c>
      <c r="H46" s="65"/>
      <c r="I46" s="22"/>
      <c r="J46" s="24"/>
      <c r="K46" s="24" t="s">
        <v>10</v>
      </c>
      <c r="L46" s="436">
        <f>20+25+2+3</f>
        <v>50</v>
      </c>
      <c r="M46" s="22">
        <f>+J41*L46</f>
        <v>482000</v>
      </c>
      <c r="N46" s="22">
        <v>482</v>
      </c>
      <c r="O46" s="24"/>
    </row>
    <row r="47" spans="1:17" s="424" customFormat="1" ht="14.25" customHeight="1">
      <c r="A47" s="206"/>
      <c r="B47" s="847"/>
      <c r="C47" s="408"/>
      <c r="D47" s="408"/>
      <c r="E47" s="409"/>
      <c r="F47" s="659"/>
      <c r="G47" s="674"/>
      <c r="H47" s="65"/>
      <c r="I47" s="22"/>
      <c r="J47" s="24"/>
      <c r="K47" s="69" t="s">
        <v>300</v>
      </c>
      <c r="L47" s="436">
        <f>15+12+2+2</f>
        <v>31</v>
      </c>
      <c r="M47" s="22">
        <f>+J41*L47</f>
        <v>298840</v>
      </c>
      <c r="N47" s="22">
        <v>299</v>
      </c>
      <c r="O47" s="24"/>
    </row>
    <row r="48" spans="1:17" s="424" customFormat="1" ht="14.25" customHeight="1">
      <c r="A48" s="206"/>
      <c r="B48" s="425" t="s">
        <v>341</v>
      </c>
      <c r="C48" s="403">
        <f>+SUM(C49:C55)</f>
        <v>6610</v>
      </c>
      <c r="D48" s="403">
        <f>+SUM(D49:D55)</f>
        <v>6926</v>
      </c>
      <c r="E48" s="409"/>
      <c r="F48" s="659"/>
      <c r="G48" s="674">
        <f t="shared" si="1"/>
        <v>1.0478063540090772</v>
      </c>
      <c r="H48" s="65"/>
      <c r="I48" s="22"/>
      <c r="J48" s="24"/>
      <c r="K48" s="69"/>
      <c r="L48" s="436"/>
      <c r="M48" s="22">
        <f>SUM(M41:M47)</f>
        <v>3027640</v>
      </c>
      <c r="N48" s="22">
        <f>SUM(N41:N47)</f>
        <v>3028</v>
      </c>
      <c r="O48" s="24"/>
    </row>
    <row r="49" spans="1:16" s="424" customFormat="1" ht="14.25" customHeight="1">
      <c r="A49" s="206"/>
      <c r="B49" s="843" t="s">
        <v>315</v>
      </c>
      <c r="C49" s="403">
        <f>+'[4]2.SZ.TÁBL. BEVÉTELEK'!$D$49</f>
        <v>1980</v>
      </c>
      <c r="D49" s="403">
        <f>+N51+O57+O66</f>
        <v>2058</v>
      </c>
      <c r="E49" s="409"/>
      <c r="F49" s="659"/>
      <c r="G49" s="674">
        <f t="shared" si="1"/>
        <v>1.0393939393939393</v>
      </c>
      <c r="H49" s="65"/>
      <c r="I49" s="22"/>
      <c r="J49" s="24"/>
      <c r="K49" s="24"/>
      <c r="L49" s="436"/>
      <c r="M49" s="22"/>
      <c r="N49" s="22"/>
      <c r="O49" s="24"/>
      <c r="P49" s="24"/>
    </row>
    <row r="50" spans="1:16" s="424" customFormat="1" ht="14.25" customHeight="1">
      <c r="A50" s="206"/>
      <c r="B50" s="843" t="s">
        <v>316</v>
      </c>
      <c r="C50" s="403">
        <f>+'[4]2.SZ.TÁBL. BEVÉTELEK'!$D$50</f>
        <v>411</v>
      </c>
      <c r="D50" s="403">
        <f>+O67</f>
        <v>408</v>
      </c>
      <c r="E50" s="409"/>
      <c r="F50" s="659"/>
      <c r="G50" s="674">
        <f t="shared" si="1"/>
        <v>0.99270072992700731</v>
      </c>
      <c r="H50" s="65"/>
      <c r="I50" s="22" t="s">
        <v>326</v>
      </c>
      <c r="J50" s="24"/>
      <c r="K50" s="24" t="s">
        <v>327</v>
      </c>
      <c r="L50" s="24" t="s">
        <v>328</v>
      </c>
      <c r="M50" s="22">
        <v>180205</v>
      </c>
      <c r="N50" s="24"/>
      <c r="O50" s="24"/>
      <c r="P50" s="24"/>
    </row>
    <row r="51" spans="1:16" ht="12.75">
      <c r="A51" s="206"/>
      <c r="B51" s="843" t="s">
        <v>322</v>
      </c>
      <c r="C51" s="403">
        <f>+'[4]2.SZ.TÁBL. BEVÉTELEK'!$D$51</f>
        <v>964</v>
      </c>
      <c r="D51" s="403">
        <f>+N52+O58+O68</f>
        <v>1000</v>
      </c>
      <c r="E51" s="409"/>
      <c r="F51" s="659"/>
      <c r="G51" s="674">
        <f t="shared" si="1"/>
        <v>1.0373443983402491</v>
      </c>
      <c r="H51" s="65"/>
      <c r="K51" s="24" t="s">
        <v>4</v>
      </c>
      <c r="L51" s="440">
        <v>0.4</v>
      </c>
      <c r="M51" s="96">
        <f>+$M$50*L51*0.02</f>
        <v>1441.64</v>
      </c>
      <c r="N51" s="24">
        <v>1442</v>
      </c>
    </row>
    <row r="52" spans="1:16" ht="12.95" customHeight="1">
      <c r="A52" s="206"/>
      <c r="B52" s="843" t="s">
        <v>317</v>
      </c>
      <c r="C52" s="403">
        <f>+'[4]2.SZ.TÁBL. BEVÉTELEK'!$D$52</f>
        <v>219</v>
      </c>
      <c r="D52" s="403">
        <f>+O59+O69</f>
        <v>243</v>
      </c>
      <c r="E52" s="409"/>
      <c r="F52" s="659"/>
      <c r="G52" s="674">
        <f t="shared" si="1"/>
        <v>1.1095890410958904</v>
      </c>
      <c r="H52" s="65"/>
      <c r="K52" s="24" t="s">
        <v>6</v>
      </c>
      <c r="L52" s="440">
        <v>0.2</v>
      </c>
      <c r="M52" s="96">
        <f>+$M$50*L52*0.02</f>
        <v>720.82</v>
      </c>
      <c r="N52" s="24">
        <v>720</v>
      </c>
    </row>
    <row r="53" spans="1:16" ht="12.95" customHeight="1">
      <c r="A53" s="206"/>
      <c r="B53" s="843" t="s">
        <v>319</v>
      </c>
      <c r="C53" s="403">
        <f>+'[4]2.SZ.TÁBL. BEVÉTELEK'!$D$53</f>
        <v>690</v>
      </c>
      <c r="D53" s="403">
        <f>+O60+O70</f>
        <v>747</v>
      </c>
      <c r="E53" s="409"/>
      <c r="F53" s="659"/>
      <c r="G53" s="674">
        <f t="shared" si="1"/>
        <v>1.0826086956521739</v>
      </c>
      <c r="H53" s="65"/>
      <c r="K53" s="24" t="s">
        <v>10</v>
      </c>
      <c r="L53" s="440">
        <v>0.4</v>
      </c>
      <c r="M53" s="96">
        <f>+$M$50*L53*0.02</f>
        <v>1441.64</v>
      </c>
      <c r="N53" s="24">
        <v>1442</v>
      </c>
    </row>
    <row r="54" spans="1:16" ht="12.95" customHeight="1">
      <c r="A54" s="206"/>
      <c r="B54" s="843" t="s">
        <v>320</v>
      </c>
      <c r="C54" s="403">
        <f>+'[4]2.SZ.TÁBL. BEVÉTELEK'!$D$54</f>
        <v>1834</v>
      </c>
      <c r="D54" s="403">
        <f>+N53+O61+O71</f>
        <v>1904</v>
      </c>
      <c r="E54" s="409"/>
      <c r="F54" s="659"/>
      <c r="G54" s="674">
        <f t="shared" si="1"/>
        <v>1.0381679389312977</v>
      </c>
      <c r="H54" s="65"/>
      <c r="L54" s="440">
        <f>SUM(L51:L53)</f>
        <v>1</v>
      </c>
      <c r="M54" s="96">
        <f>SUM(M51:M53)</f>
        <v>3604.1000000000004</v>
      </c>
      <c r="N54" s="24">
        <f>SUM(N51:N53)</f>
        <v>3604</v>
      </c>
    </row>
    <row r="55" spans="1:16" ht="12.95" customHeight="1">
      <c r="A55" s="206"/>
      <c r="B55" s="846" t="s">
        <v>300</v>
      </c>
      <c r="C55" s="403">
        <f>+'[4]2.SZ.TÁBL. BEVÉTELEK'!$D$55</f>
        <v>512</v>
      </c>
      <c r="D55" s="403">
        <f>+O62+O72</f>
        <v>566</v>
      </c>
      <c r="E55" s="409"/>
      <c r="F55" s="659"/>
      <c r="G55" s="674">
        <f t="shared" si="1"/>
        <v>1.10546875</v>
      </c>
      <c r="H55" s="65"/>
      <c r="M55" s="22"/>
    </row>
    <row r="56" spans="1:16" ht="12.95" customHeight="1">
      <c r="A56" s="206"/>
      <c r="B56" s="846"/>
      <c r="C56" s="408"/>
      <c r="D56" s="408"/>
      <c r="E56" s="409"/>
      <c r="F56" s="659"/>
      <c r="G56" s="674"/>
      <c r="H56" s="65"/>
      <c r="K56" s="24" t="s">
        <v>329</v>
      </c>
      <c r="L56" s="24" t="s">
        <v>328</v>
      </c>
      <c r="M56" s="22">
        <v>113934</v>
      </c>
    </row>
    <row r="57" spans="1:16" ht="12.95" customHeight="1">
      <c r="A57" s="206"/>
      <c r="B57" s="425" t="s">
        <v>360</v>
      </c>
      <c r="C57" s="403">
        <f>+C58</f>
        <v>0</v>
      </c>
      <c r="D57" s="403">
        <f>+D58</f>
        <v>0</v>
      </c>
      <c r="E57" s="409"/>
      <c r="F57" s="659"/>
      <c r="G57" s="674"/>
      <c r="H57" s="65"/>
      <c r="K57" s="24" t="s">
        <v>330</v>
      </c>
      <c r="L57" s="845">
        <v>2771</v>
      </c>
      <c r="M57" s="437">
        <f>+L57/$L$63</f>
        <v>0.21136536994660565</v>
      </c>
      <c r="N57" s="96">
        <f t="shared" ref="N57:N62" si="6">+$M$56*M57*0.02</f>
        <v>481.63404118993139</v>
      </c>
      <c r="O57" s="436">
        <v>482</v>
      </c>
    </row>
    <row r="58" spans="1:16" ht="12.95" customHeight="1">
      <c r="A58" s="206"/>
      <c r="B58" s="846" t="s">
        <v>8</v>
      </c>
      <c r="C58" s="403">
        <f>+'[3]2.SZ.TÁBL. BEVÉTELEK'!$D58</f>
        <v>0</v>
      </c>
      <c r="D58" s="403">
        <v>0</v>
      </c>
      <c r="E58" s="409"/>
      <c r="F58" s="659"/>
      <c r="G58" s="674"/>
      <c r="H58" s="65"/>
      <c r="K58" s="441" t="s">
        <v>322</v>
      </c>
      <c r="L58" s="845">
        <v>1262</v>
      </c>
      <c r="M58" s="437">
        <f t="shared" ref="M58:M59" si="7">+L58/$L$63</f>
        <v>9.6262395118230357E-2</v>
      </c>
      <c r="N58" s="96">
        <f t="shared" si="6"/>
        <v>219.35119450800914</v>
      </c>
      <c r="O58" s="442">
        <v>219</v>
      </c>
    </row>
    <row r="59" spans="1:16" ht="12.95" customHeight="1">
      <c r="A59" s="206"/>
      <c r="B59" s="846"/>
      <c r="C59" s="408"/>
      <c r="D59" s="408"/>
      <c r="E59" s="409"/>
      <c r="F59" s="659"/>
      <c r="G59" s="674"/>
      <c r="H59" s="65"/>
      <c r="K59" s="441" t="s">
        <v>331</v>
      </c>
      <c r="L59" s="845">
        <v>1090</v>
      </c>
      <c r="M59" s="437">
        <f t="shared" si="7"/>
        <v>8.3142639206712429E-2</v>
      </c>
      <c r="N59" s="96">
        <f t="shared" si="6"/>
        <v>189.45546910755147</v>
      </c>
      <c r="O59" s="436">
        <v>190</v>
      </c>
    </row>
    <row r="60" spans="1:16" ht="12.95" customHeight="1">
      <c r="A60" s="206"/>
      <c r="B60" s="425" t="s">
        <v>342</v>
      </c>
      <c r="C60" s="403">
        <f>+SUM(C61:C62)</f>
        <v>220069</v>
      </c>
      <c r="D60" s="403">
        <f>+SUM(D61:D62)</f>
        <v>213384</v>
      </c>
      <c r="E60" s="409"/>
      <c r="F60" s="659"/>
      <c r="G60" s="674">
        <f t="shared" si="1"/>
        <v>0.96962316364412982</v>
      </c>
      <c r="H60" s="65"/>
      <c r="K60" s="441" t="s">
        <v>332</v>
      </c>
      <c r="L60" s="845">
        <v>3360</v>
      </c>
      <c r="M60" s="437">
        <f>+L60/$L$63</f>
        <v>0.25629290617848971</v>
      </c>
      <c r="N60" s="96">
        <f t="shared" si="6"/>
        <v>584.00951945080101</v>
      </c>
      <c r="O60" s="436">
        <v>584</v>
      </c>
    </row>
    <row r="61" spans="1:16" ht="12.95" customHeight="1">
      <c r="A61" s="206"/>
      <c r="B61" s="846" t="s">
        <v>337</v>
      </c>
      <c r="C61" s="403">
        <f>+'[4]2.SZ.TÁBL. BEVÉTELEK'!$D$61</f>
        <v>159487</v>
      </c>
      <c r="D61" s="403">
        <f>+'5.SZ.TÁBL. ÓVODAI NORMATÍVA'!M17</f>
        <v>156776</v>
      </c>
      <c r="E61" s="409"/>
      <c r="F61" s="659"/>
      <c r="G61" s="674">
        <f t="shared" si="1"/>
        <v>0.98300174935888196</v>
      </c>
      <c r="H61" s="65"/>
      <c r="K61" s="441" t="s">
        <v>333</v>
      </c>
      <c r="L61" s="845">
        <v>2078</v>
      </c>
      <c r="M61" s="437">
        <f>+L61/$L$63</f>
        <v>0.15850495804729214</v>
      </c>
      <c r="N61" s="96">
        <f t="shared" si="6"/>
        <v>361.18207780320364</v>
      </c>
      <c r="O61" s="436">
        <v>361</v>
      </c>
    </row>
    <row r="62" spans="1:16" ht="12.95" customHeight="1">
      <c r="A62" s="206"/>
      <c r="B62" s="846" t="s">
        <v>338</v>
      </c>
      <c r="C62" s="403">
        <f>+'[4]2.SZ.TÁBL. BEVÉTELEK'!$D$62</f>
        <v>60582</v>
      </c>
      <c r="D62" s="403">
        <f>+'6.SZ.TÁBL. SZOCIÁLIS NORMATÍVA'!D12</f>
        <v>56608</v>
      </c>
      <c r="E62" s="409"/>
      <c r="F62" s="659"/>
      <c r="G62" s="674">
        <f t="shared" si="1"/>
        <v>0.93440295797431583</v>
      </c>
      <c r="H62" s="65"/>
      <c r="K62" s="441" t="s">
        <v>300</v>
      </c>
      <c r="L62" s="845">
        <v>2549</v>
      </c>
      <c r="M62" s="437">
        <f>+L62/$L$63</f>
        <v>0.19443173150266971</v>
      </c>
      <c r="N62" s="96">
        <f t="shared" si="6"/>
        <v>443.04769794050344</v>
      </c>
      <c r="O62" s="436">
        <v>443</v>
      </c>
    </row>
    <row r="63" spans="1:16" ht="12.95" customHeight="1">
      <c r="A63" s="206"/>
      <c r="B63" s="846"/>
      <c r="C63" s="408"/>
      <c r="D63" s="408"/>
      <c r="E63" s="409"/>
      <c r="F63" s="659"/>
      <c r="G63" s="674"/>
      <c r="H63" s="65"/>
      <c r="K63" s="443"/>
      <c r="L63" s="397">
        <f>SUM(L57:L62)</f>
        <v>13110</v>
      </c>
      <c r="M63" s="440">
        <f>SUM(M57:M62)</f>
        <v>1</v>
      </c>
      <c r="N63" s="96">
        <f>SUM(N57:N62)</f>
        <v>2278.6800000000003</v>
      </c>
      <c r="O63" s="436">
        <f>SUM(O57:O62)</f>
        <v>2279</v>
      </c>
    </row>
    <row r="64" spans="1:16" ht="12.95" customHeight="1">
      <c r="A64" s="206"/>
      <c r="B64" s="447" t="s">
        <v>339</v>
      </c>
      <c r="C64" s="403">
        <f>+C6+C15+C20+C29+C39+C48+C57+C60</f>
        <v>291961</v>
      </c>
      <c r="D64" s="403">
        <f>+D6+D15+D20+D29+D39+D48+D57+D60</f>
        <v>306419</v>
      </c>
      <c r="E64" s="409"/>
      <c r="F64" s="659"/>
      <c r="G64" s="674">
        <f t="shared" si="1"/>
        <v>1.049520312644497</v>
      </c>
      <c r="H64" s="65"/>
    </row>
    <row r="65" spans="1:15" ht="12.95" customHeight="1">
      <c r="A65" s="206"/>
      <c r="B65" s="268"/>
      <c r="C65" s="408"/>
      <c r="D65" s="408"/>
      <c r="E65" s="409"/>
      <c r="F65" s="659"/>
      <c r="G65" s="674"/>
      <c r="H65" s="65"/>
      <c r="K65" s="24" t="s">
        <v>334</v>
      </c>
      <c r="L65" s="24" t="s">
        <v>328</v>
      </c>
      <c r="M65" s="24">
        <v>52149</v>
      </c>
    </row>
    <row r="66" spans="1:15" ht="12.95" customHeight="1">
      <c r="A66" s="185" t="s">
        <v>153</v>
      </c>
      <c r="B66" s="277" t="s">
        <v>115</v>
      </c>
      <c r="C66" s="411">
        <f>+C4+C64</f>
        <v>321181</v>
      </c>
      <c r="D66" s="411">
        <f>+D4+D64</f>
        <v>335639</v>
      </c>
      <c r="E66" s="412"/>
      <c r="F66" s="661"/>
      <c r="G66" s="677">
        <f t="shared" si="1"/>
        <v>1.0450151160871908</v>
      </c>
      <c r="H66" s="406"/>
      <c r="K66" s="24" t="s">
        <v>4</v>
      </c>
      <c r="L66" s="845">
        <v>2771</v>
      </c>
      <c r="M66" s="437">
        <f>+L66/$L$73</f>
        <v>0.12874599265901593</v>
      </c>
      <c r="N66" s="96">
        <f t="shared" ref="N66:N72" si="8">+$M$65*M66*0.02</f>
        <v>134.27949542350044</v>
      </c>
      <c r="O66" s="24">
        <v>134</v>
      </c>
    </row>
    <row r="67" spans="1:15" ht="12.95" customHeight="1">
      <c r="A67" s="207" t="s">
        <v>154</v>
      </c>
      <c r="B67" s="255" t="s">
        <v>149</v>
      </c>
      <c r="C67" s="400"/>
      <c r="D67" s="400"/>
      <c r="E67" s="410"/>
      <c r="F67" s="662"/>
      <c r="G67" s="675"/>
      <c r="H67" s="22"/>
      <c r="I67" s="444"/>
      <c r="J67" s="445"/>
      <c r="K67" s="24" t="s">
        <v>5</v>
      </c>
      <c r="L67" s="845">
        <v>8413</v>
      </c>
      <c r="M67" s="437">
        <f t="shared" ref="M67:M72" si="9">+L67/$L$73</f>
        <v>0.39088417042233892</v>
      </c>
      <c r="N67" s="96">
        <f t="shared" si="8"/>
        <v>407.68437206709103</v>
      </c>
      <c r="O67" s="436">
        <v>408</v>
      </c>
    </row>
    <row r="68" spans="1:15" ht="12.95" customHeight="1">
      <c r="A68" s="195" t="s">
        <v>155</v>
      </c>
      <c r="B68" s="196" t="s">
        <v>116</v>
      </c>
      <c r="C68" s="401">
        <f>+C69</f>
        <v>2000</v>
      </c>
      <c r="D68" s="401">
        <f>+D69</f>
        <v>0</v>
      </c>
      <c r="E68" s="39"/>
      <c r="F68" s="127"/>
      <c r="G68" s="676"/>
      <c r="H68" s="22"/>
      <c r="I68" s="446"/>
      <c r="K68" s="24" t="s">
        <v>6</v>
      </c>
      <c r="L68" s="845">
        <v>1262</v>
      </c>
      <c r="M68" s="437">
        <f t="shared" si="9"/>
        <v>5.8634948659573478E-2</v>
      </c>
      <c r="N68" s="96">
        <f t="shared" si="8"/>
        <v>61.155078752961948</v>
      </c>
      <c r="O68" s="436">
        <v>61</v>
      </c>
    </row>
    <row r="69" spans="1:15" ht="12.95" customHeight="1">
      <c r="A69" s="206"/>
      <c r="B69" s="268" t="s">
        <v>114</v>
      </c>
      <c r="C69" s="403">
        <f>+'[4]2.SZ.TÁBL. BEVÉTELEK'!$D$69</f>
        <v>2000</v>
      </c>
      <c r="D69" s="403"/>
      <c r="E69" s="404"/>
      <c r="F69" s="660"/>
      <c r="G69" s="674"/>
      <c r="H69" s="22"/>
      <c r="I69" s="446"/>
      <c r="J69" s="63"/>
      <c r="K69" s="24" t="s">
        <v>7</v>
      </c>
      <c r="L69" s="845">
        <v>1090</v>
      </c>
      <c r="M69" s="437">
        <f t="shared" si="9"/>
        <v>5.0643497653672813E-2</v>
      </c>
      <c r="N69" s="96">
        <f t="shared" si="8"/>
        <v>52.820155182827669</v>
      </c>
      <c r="O69" s="436">
        <v>53</v>
      </c>
    </row>
    <row r="70" spans="1:15" ht="12.95" customHeight="1">
      <c r="A70" s="185" t="s">
        <v>156</v>
      </c>
      <c r="B70" s="277" t="s">
        <v>117</v>
      </c>
      <c r="C70" s="413">
        <f>+C67+C68</f>
        <v>2000</v>
      </c>
      <c r="D70" s="413">
        <f>+D67+D68</f>
        <v>0</v>
      </c>
      <c r="E70" s="414"/>
      <c r="F70" s="663"/>
      <c r="G70" s="680"/>
      <c r="H70" s="23"/>
      <c r="I70" s="446"/>
      <c r="J70" s="63"/>
      <c r="K70" s="24" t="s">
        <v>9</v>
      </c>
      <c r="L70" s="845">
        <v>3360</v>
      </c>
      <c r="M70" s="437">
        <f t="shared" si="9"/>
        <v>0.15611206616178042</v>
      </c>
      <c r="N70" s="96">
        <f t="shared" si="8"/>
        <v>162.82176276541372</v>
      </c>
      <c r="O70" s="436">
        <v>163</v>
      </c>
    </row>
    <row r="71" spans="1:15" ht="12.95" customHeight="1">
      <c r="A71" s="207" t="s">
        <v>157</v>
      </c>
      <c r="B71" s="255" t="s">
        <v>118</v>
      </c>
      <c r="C71" s="400"/>
      <c r="D71" s="400"/>
      <c r="E71" s="410"/>
      <c r="F71" s="662"/>
      <c r="G71" s="675"/>
      <c r="H71" s="22"/>
      <c r="I71" s="446"/>
      <c r="K71" s="24" t="s">
        <v>10</v>
      </c>
      <c r="L71" s="845">
        <v>2078</v>
      </c>
      <c r="M71" s="437">
        <f t="shared" si="9"/>
        <v>9.6547879013148721E-2</v>
      </c>
      <c r="N71" s="96">
        <f t="shared" si="8"/>
        <v>100.69750685313386</v>
      </c>
      <c r="O71" s="436">
        <v>101</v>
      </c>
    </row>
    <row r="72" spans="1:15" ht="12.95" customHeight="1">
      <c r="A72" s="195" t="s">
        <v>158</v>
      </c>
      <c r="B72" s="196" t="s">
        <v>119</v>
      </c>
      <c r="C72" s="403">
        <f>+'[4]2.SZ.TÁBL. BEVÉTELEK'!$D$72</f>
        <v>1925</v>
      </c>
      <c r="D72" s="401">
        <f>+'3.SZ.TÁBL. SEGÍTŐ SZOLGÁLAT'!AB13</f>
        <v>1237</v>
      </c>
      <c r="E72" s="39"/>
      <c r="F72" s="127"/>
      <c r="G72" s="676">
        <f t="shared" ref="G72:G90" si="10">+D72/C72</f>
        <v>0.64259740259740261</v>
      </c>
      <c r="H72" s="22"/>
      <c r="I72" s="446"/>
      <c r="K72" s="441" t="s">
        <v>300</v>
      </c>
      <c r="L72" s="845">
        <v>2549</v>
      </c>
      <c r="M72" s="437">
        <f t="shared" si="9"/>
        <v>0.11843144543046973</v>
      </c>
      <c r="N72" s="96">
        <f t="shared" si="8"/>
        <v>123.52162895507132</v>
      </c>
      <c r="O72" s="436">
        <v>123</v>
      </c>
    </row>
    <row r="73" spans="1:15" ht="12.95" customHeight="1">
      <c r="A73" s="195" t="s">
        <v>159</v>
      </c>
      <c r="B73" s="196" t="s">
        <v>120</v>
      </c>
      <c r="C73" s="401"/>
      <c r="D73" s="401"/>
      <c r="E73" s="39"/>
      <c r="F73" s="127"/>
      <c r="G73" s="676"/>
      <c r="H73" s="22"/>
      <c r="I73" s="446"/>
      <c r="J73" s="443"/>
      <c r="L73" s="24">
        <f>SUM(L66:L72)</f>
        <v>21523</v>
      </c>
      <c r="M73" s="437">
        <f>SUM(M66:M72)</f>
        <v>1.0000000000000002</v>
      </c>
      <c r="N73" s="96">
        <f>SUM(N66:N72)</f>
        <v>1042.98</v>
      </c>
      <c r="O73" s="436">
        <f>SUM(O66:O72)</f>
        <v>1043</v>
      </c>
    </row>
    <row r="74" spans="1:15" ht="12.95" customHeight="1">
      <c r="A74" s="195" t="s">
        <v>160</v>
      </c>
      <c r="B74" s="196" t="s">
        <v>121</v>
      </c>
      <c r="C74" s="403"/>
      <c r="D74" s="401"/>
      <c r="E74" s="39"/>
      <c r="F74" s="127"/>
      <c r="G74" s="676"/>
      <c r="H74" s="22"/>
      <c r="I74" s="446"/>
    </row>
    <row r="75" spans="1:15" ht="12.95" customHeight="1">
      <c r="A75" s="195" t="s">
        <v>161</v>
      </c>
      <c r="B75" s="196" t="s">
        <v>122</v>
      </c>
      <c r="C75" s="403">
        <f>+'[4]2.SZ.TÁBL. BEVÉTELEK'!$D$75</f>
        <v>7095</v>
      </c>
      <c r="D75" s="401">
        <f>+'3.SZ.TÁBL. SEGÍTŐ SZOLGÁLAT'!AB16+'4.SZ.TÁBL. ÓVODA'!S16</f>
        <v>9419</v>
      </c>
      <c r="E75" s="190"/>
      <c r="F75" s="664"/>
      <c r="G75" s="676">
        <f t="shared" si="10"/>
        <v>1.3275546159267089</v>
      </c>
      <c r="H75" s="488"/>
      <c r="I75" s="446"/>
    </row>
    <row r="76" spans="1:15" ht="12.95" customHeight="1">
      <c r="A76" s="195" t="s">
        <v>162</v>
      </c>
      <c r="B76" s="196" t="s">
        <v>123</v>
      </c>
      <c r="C76" s="402"/>
      <c r="D76" s="402"/>
      <c r="E76" s="191"/>
      <c r="F76" s="658"/>
      <c r="G76" s="676"/>
      <c r="H76" s="65"/>
    </row>
    <row r="77" spans="1:15" ht="12.95" customHeight="1">
      <c r="A77" s="195" t="s">
        <v>163</v>
      </c>
      <c r="B77" s="196" t="s">
        <v>124</v>
      </c>
      <c r="C77" s="401"/>
      <c r="D77" s="401"/>
      <c r="E77" s="39"/>
      <c r="F77" s="127"/>
      <c r="G77" s="676"/>
      <c r="H77" s="22"/>
    </row>
    <row r="78" spans="1:15" ht="12.95" customHeight="1">
      <c r="A78" s="195" t="s">
        <v>164</v>
      </c>
      <c r="B78" s="196" t="s">
        <v>125</v>
      </c>
      <c r="C78" s="401"/>
      <c r="D78" s="401"/>
      <c r="E78" s="39"/>
      <c r="F78" s="127"/>
      <c r="G78" s="676"/>
      <c r="H78" s="22"/>
    </row>
    <row r="79" spans="1:15" ht="12.95" customHeight="1">
      <c r="A79" s="209" t="s">
        <v>165</v>
      </c>
      <c r="B79" s="279" t="s">
        <v>126</v>
      </c>
      <c r="C79" s="403"/>
      <c r="D79" s="403"/>
      <c r="E79" s="404"/>
      <c r="F79" s="660"/>
      <c r="G79" s="674"/>
      <c r="H79" s="22"/>
    </row>
    <row r="80" spans="1:15" ht="12.95" customHeight="1">
      <c r="A80" s="185" t="s">
        <v>166</v>
      </c>
      <c r="B80" s="277" t="s">
        <v>127</v>
      </c>
      <c r="C80" s="413">
        <f>SUM(C71:C79)</f>
        <v>9020</v>
      </c>
      <c r="D80" s="413">
        <f>SUM(D71:D79)</f>
        <v>10656</v>
      </c>
      <c r="E80" s="414"/>
      <c r="F80" s="663"/>
      <c r="G80" s="677">
        <f t="shared" si="10"/>
        <v>1.1813747228381375</v>
      </c>
      <c r="H80" s="23"/>
    </row>
    <row r="81" spans="1:8" ht="12.95" customHeight="1">
      <c r="A81" s="185" t="s">
        <v>167</v>
      </c>
      <c r="B81" s="277" t="s">
        <v>128</v>
      </c>
      <c r="C81" s="413"/>
      <c r="D81" s="413"/>
      <c r="E81" s="414"/>
      <c r="F81" s="663"/>
      <c r="G81" s="680"/>
      <c r="H81" s="23"/>
    </row>
    <row r="82" spans="1:8" ht="12.95" customHeight="1">
      <c r="A82" s="210" t="s">
        <v>168</v>
      </c>
      <c r="B82" s="280" t="s">
        <v>129</v>
      </c>
      <c r="C82" s="415"/>
      <c r="D82" s="415"/>
      <c r="E82" s="416"/>
      <c r="F82" s="665"/>
      <c r="G82" s="678"/>
      <c r="H82" s="22"/>
    </row>
    <row r="83" spans="1:8" ht="12.95" customHeight="1">
      <c r="A83" s="185" t="s">
        <v>169</v>
      </c>
      <c r="B83" s="277" t="s">
        <v>290</v>
      </c>
      <c r="C83" s="413">
        <f>+C82</f>
        <v>0</v>
      </c>
      <c r="D83" s="413">
        <f>+D82</f>
        <v>0</v>
      </c>
      <c r="E83" s="414"/>
      <c r="F83" s="663"/>
      <c r="G83" s="680"/>
      <c r="H83" s="23"/>
    </row>
    <row r="84" spans="1:8" ht="12.95" customHeight="1">
      <c r="A84" s="210" t="s">
        <v>170</v>
      </c>
      <c r="B84" s="280" t="s">
        <v>130</v>
      </c>
      <c r="C84" s="415"/>
      <c r="D84" s="415"/>
      <c r="E84" s="416"/>
      <c r="F84" s="665"/>
      <c r="G84" s="678"/>
      <c r="H84" s="22"/>
    </row>
    <row r="85" spans="1:8" ht="12.95" customHeight="1">
      <c r="A85" s="185" t="s">
        <v>171</v>
      </c>
      <c r="B85" s="277" t="s">
        <v>291</v>
      </c>
      <c r="C85" s="413">
        <f>+C84</f>
        <v>0</v>
      </c>
      <c r="D85" s="413">
        <f>+D84</f>
        <v>0</v>
      </c>
      <c r="E85" s="418"/>
      <c r="F85" s="666"/>
      <c r="G85" s="680"/>
      <c r="H85" s="489"/>
    </row>
    <row r="86" spans="1:8" ht="12.95" customHeight="1">
      <c r="A86" s="185" t="s">
        <v>172</v>
      </c>
      <c r="B86" s="277" t="s">
        <v>131</v>
      </c>
      <c r="C86" s="413">
        <f>+C66+C70+C80+C81+C83+C85</f>
        <v>332201</v>
      </c>
      <c r="D86" s="413">
        <f>+D66+D70+D80+D81+D83+D85</f>
        <v>346295</v>
      </c>
      <c r="E86" s="419"/>
      <c r="F86" s="667"/>
      <c r="G86" s="677">
        <f t="shared" si="10"/>
        <v>1.0424261215348538</v>
      </c>
      <c r="H86" s="490"/>
    </row>
    <row r="87" spans="1:8" ht="12.95" customHeight="1">
      <c r="A87" s="288" t="s">
        <v>173</v>
      </c>
      <c r="B87" s="277" t="s">
        <v>132</v>
      </c>
      <c r="C87" s="413"/>
      <c r="D87" s="413"/>
      <c r="E87" s="414"/>
      <c r="F87" s="663"/>
      <c r="G87" s="680"/>
      <c r="H87" s="23"/>
    </row>
    <row r="88" spans="1:8" ht="12.95" customHeight="1">
      <c r="A88" s="288" t="s">
        <v>288</v>
      </c>
      <c r="B88" s="277" t="s">
        <v>289</v>
      </c>
      <c r="C88" s="413"/>
      <c r="D88" s="413"/>
      <c r="E88" s="414"/>
      <c r="F88" s="663"/>
      <c r="G88" s="680"/>
      <c r="H88" s="23"/>
    </row>
    <row r="89" spans="1:8" ht="12.95" customHeight="1" thickBot="1">
      <c r="A89" s="338" t="s">
        <v>174</v>
      </c>
      <c r="B89" s="417" t="s">
        <v>133</v>
      </c>
      <c r="C89" s="420">
        <f>+SUM(C87:C88)</f>
        <v>0</v>
      </c>
      <c r="D89" s="420">
        <f>+SUM(D87:D88)</f>
        <v>0</v>
      </c>
      <c r="E89" s="421"/>
      <c r="F89" s="668"/>
      <c r="G89" s="681"/>
      <c r="H89" s="23"/>
    </row>
    <row r="90" spans="1:8" ht="12.95" customHeight="1" thickBot="1">
      <c r="A90" s="859" t="s">
        <v>0</v>
      </c>
      <c r="B90" s="860"/>
      <c r="C90" s="422">
        <f>+C86+C89</f>
        <v>332201</v>
      </c>
      <c r="D90" s="422">
        <f>+D86+D89</f>
        <v>346295</v>
      </c>
      <c r="E90" s="43"/>
      <c r="F90" s="669"/>
      <c r="G90" s="679">
        <f t="shared" si="10"/>
        <v>1.0424261215348538</v>
      </c>
      <c r="H90" s="23"/>
    </row>
  </sheetData>
  <mergeCells count="10">
    <mergeCell ref="A90:B90"/>
    <mergeCell ref="E1:E2"/>
    <mergeCell ref="D1:D2"/>
    <mergeCell ref="C1:C2"/>
    <mergeCell ref="L5:L6"/>
    <mergeCell ref="L28:L29"/>
    <mergeCell ref="G1:G2"/>
    <mergeCell ref="F1:F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5" orientation="portrait" r:id="rId1"/>
  <headerFooter alignWithMargins="0">
    <oddHeader>&amp;L&amp;"Times New Roman,Félkövér"&amp;13Szent László Völgye TKT&amp;C&amp;"Times New Roman,Félkövér"&amp;14
&amp;16 2017. ÉVI KÖLTSÉGVETÉS&amp;14
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C162"/>
  <sheetViews>
    <sheetView zoomScale="115" zoomScaleNormal="115" zoomScaleSheetLayoutView="50" workbookViewId="0">
      <pane xSplit="2" ySplit="2" topLeftCell="Z111" activePane="bottomRight" state="frozen"/>
      <selection pane="topRight" activeCell="C1" sqref="C1"/>
      <selection pane="bottomLeft" activeCell="A3" sqref="A3"/>
      <selection pane="bottomRight" activeCell="V30" sqref="V30"/>
    </sheetView>
  </sheetViews>
  <sheetFormatPr defaultColWidth="8.85546875" defaultRowHeight="15" customHeight="1"/>
  <cols>
    <col min="1" max="1" width="8.85546875" style="8"/>
    <col min="2" max="2" width="56" style="66" customWidth="1"/>
    <col min="3" max="13" width="10.42578125" style="67" customWidth="1"/>
    <col min="14" max="14" width="10.42578125" style="68" customWidth="1"/>
    <col min="15" max="19" width="10.42578125" style="67" customWidth="1"/>
    <col min="20" max="20" width="10.42578125" style="68" customWidth="1"/>
    <col min="21" max="22" width="10.42578125" style="67" customWidth="1"/>
    <col min="23" max="23" width="10.42578125" style="68" customWidth="1"/>
    <col min="24" max="25" width="10.42578125" style="67" customWidth="1"/>
    <col min="26" max="26" width="10.42578125" style="68" customWidth="1"/>
    <col min="27" max="29" width="10.42578125" style="67" customWidth="1"/>
    <col min="30" max="31" width="11.5703125" style="8" bestFit="1" customWidth="1"/>
    <col min="32" max="16384" width="8.85546875" style="8"/>
  </cols>
  <sheetData>
    <row r="1" spans="1:29" s="9" customFormat="1" ht="30" customHeight="1">
      <c r="A1" s="878" t="s">
        <v>150</v>
      </c>
      <c r="B1" s="892" t="s">
        <v>175</v>
      </c>
      <c r="C1" s="883" t="s">
        <v>11</v>
      </c>
      <c r="D1" s="884"/>
      <c r="E1" s="885"/>
      <c r="F1" s="894" t="s">
        <v>395</v>
      </c>
      <c r="G1" s="857"/>
      <c r="H1" s="895"/>
      <c r="I1" s="883" t="s">
        <v>12</v>
      </c>
      <c r="J1" s="884"/>
      <c r="K1" s="885"/>
      <c r="L1" s="883" t="s">
        <v>396</v>
      </c>
      <c r="M1" s="884"/>
      <c r="N1" s="885"/>
      <c r="O1" s="883" t="s">
        <v>13</v>
      </c>
      <c r="P1" s="884"/>
      <c r="Q1" s="885"/>
      <c r="R1" s="888" t="s">
        <v>19</v>
      </c>
      <c r="S1" s="889"/>
      <c r="T1" s="890"/>
      <c r="U1" s="888" t="s">
        <v>426</v>
      </c>
      <c r="V1" s="889"/>
      <c r="W1" s="890"/>
      <c r="X1" s="888" t="s">
        <v>397</v>
      </c>
      <c r="Y1" s="889"/>
      <c r="Z1" s="891"/>
      <c r="AA1" s="886" t="s">
        <v>14</v>
      </c>
      <c r="AB1" s="884"/>
      <c r="AC1" s="887"/>
    </row>
    <row r="2" spans="1:29" s="13" customFormat="1" ht="29.25" customHeight="1">
      <c r="A2" s="879"/>
      <c r="B2" s="893"/>
      <c r="C2" s="265" t="s">
        <v>431</v>
      </c>
      <c r="D2" s="264" t="s">
        <v>418</v>
      </c>
      <c r="E2" s="266" t="s">
        <v>110</v>
      </c>
      <c r="F2" s="265" t="s">
        <v>431</v>
      </c>
      <c r="G2" s="264" t="s">
        <v>418</v>
      </c>
      <c r="H2" s="823" t="s">
        <v>110</v>
      </c>
      <c r="I2" s="265" t="s">
        <v>431</v>
      </c>
      <c r="J2" s="264" t="s">
        <v>418</v>
      </c>
      <c r="K2" s="266" t="s">
        <v>110</v>
      </c>
      <c r="L2" s="265" t="s">
        <v>431</v>
      </c>
      <c r="M2" s="264" t="s">
        <v>418</v>
      </c>
      <c r="N2" s="266" t="s">
        <v>110</v>
      </c>
      <c r="O2" s="265" t="s">
        <v>431</v>
      </c>
      <c r="P2" s="264" t="s">
        <v>418</v>
      </c>
      <c r="Q2" s="266" t="s">
        <v>110</v>
      </c>
      <c r="R2" s="265" t="s">
        <v>431</v>
      </c>
      <c r="S2" s="264" t="s">
        <v>418</v>
      </c>
      <c r="T2" s="266" t="s">
        <v>110</v>
      </c>
      <c r="U2" s="265" t="s">
        <v>431</v>
      </c>
      <c r="V2" s="264" t="s">
        <v>418</v>
      </c>
      <c r="W2" s="266" t="s">
        <v>110</v>
      </c>
      <c r="X2" s="265" t="s">
        <v>431</v>
      </c>
      <c r="Y2" s="264" t="s">
        <v>418</v>
      </c>
      <c r="Z2" s="267" t="s">
        <v>110</v>
      </c>
      <c r="AA2" s="192" t="s">
        <v>431</v>
      </c>
      <c r="AB2" s="264" t="s">
        <v>418</v>
      </c>
      <c r="AC2" s="267" t="s">
        <v>110</v>
      </c>
    </row>
    <row r="3" spans="1:29" ht="13.5" customHeight="1">
      <c r="A3" s="207" t="s">
        <v>151</v>
      </c>
      <c r="B3" s="255" t="s">
        <v>111</v>
      </c>
      <c r="C3" s="259"/>
      <c r="D3" s="257"/>
      <c r="E3" s="260"/>
      <c r="F3" s="259"/>
      <c r="G3" s="257"/>
      <c r="H3" s="258"/>
      <c r="I3" s="259"/>
      <c r="J3" s="257"/>
      <c r="K3" s="260"/>
      <c r="L3" s="259"/>
      <c r="M3" s="257"/>
      <c r="N3" s="261"/>
      <c r="O3" s="259"/>
      <c r="P3" s="257"/>
      <c r="Q3" s="260"/>
      <c r="R3" s="259"/>
      <c r="S3" s="257"/>
      <c r="T3" s="261"/>
      <c r="U3" s="259"/>
      <c r="V3" s="257"/>
      <c r="W3" s="261"/>
      <c r="X3" s="259"/>
      <c r="Y3" s="257"/>
      <c r="Z3" s="304"/>
      <c r="AA3" s="262"/>
      <c r="AB3" s="257"/>
      <c r="AC3" s="263"/>
    </row>
    <row r="4" spans="1:29" ht="13.5" customHeight="1">
      <c r="A4" s="195" t="s">
        <v>152</v>
      </c>
      <c r="B4" s="196" t="s">
        <v>112</v>
      </c>
      <c r="C4" s="251"/>
      <c r="D4" s="245"/>
      <c r="E4" s="252"/>
      <c r="F4" s="251"/>
      <c r="G4" s="245"/>
      <c r="H4" s="250"/>
      <c r="I4" s="251"/>
      <c r="J4" s="245"/>
      <c r="K4" s="252"/>
      <c r="L4" s="251"/>
      <c r="M4" s="245"/>
      <c r="N4" s="253"/>
      <c r="O4" s="251"/>
      <c r="P4" s="245"/>
      <c r="Q4" s="252"/>
      <c r="R4" s="251"/>
      <c r="S4" s="245"/>
      <c r="T4" s="253"/>
      <c r="U4" s="251"/>
      <c r="V4" s="245"/>
      <c r="W4" s="253"/>
      <c r="X4" s="251"/>
      <c r="Y4" s="245"/>
      <c r="Z4" s="305"/>
      <c r="AA4" s="254"/>
      <c r="AB4" s="245"/>
      <c r="AC4" s="246"/>
    </row>
    <row r="5" spans="1:29" ht="13.5" customHeight="1">
      <c r="A5" s="197"/>
      <c r="B5" s="495" t="s">
        <v>113</v>
      </c>
      <c r="C5" s="251"/>
      <c r="D5" s="245"/>
      <c r="E5" s="252"/>
      <c r="F5" s="251"/>
      <c r="G5" s="245"/>
      <c r="H5" s="250"/>
      <c r="I5" s="251"/>
      <c r="J5" s="245"/>
      <c r="K5" s="252"/>
      <c r="L5" s="251"/>
      <c r="M5" s="245"/>
      <c r="N5" s="253"/>
      <c r="O5" s="251"/>
      <c r="P5" s="245"/>
      <c r="Q5" s="252"/>
      <c r="R5" s="251"/>
      <c r="S5" s="245"/>
      <c r="T5" s="253"/>
      <c r="U5" s="251"/>
      <c r="V5" s="245"/>
      <c r="W5" s="253"/>
      <c r="X5" s="251"/>
      <c r="Y5" s="245"/>
      <c r="Z5" s="305"/>
      <c r="AA5" s="254"/>
      <c r="AB5" s="245"/>
      <c r="AC5" s="246"/>
    </row>
    <row r="6" spans="1:29" ht="13.5" customHeight="1">
      <c r="A6" s="206"/>
      <c r="B6" s="496" t="s">
        <v>114</v>
      </c>
      <c r="C6" s="272"/>
      <c r="D6" s="270"/>
      <c r="E6" s="273"/>
      <c r="F6" s="272"/>
      <c r="G6" s="270"/>
      <c r="H6" s="271"/>
      <c r="I6" s="272"/>
      <c r="J6" s="270"/>
      <c r="K6" s="273"/>
      <c r="L6" s="272"/>
      <c r="M6" s="270"/>
      <c r="N6" s="274"/>
      <c r="O6" s="272"/>
      <c r="P6" s="270"/>
      <c r="Q6" s="273"/>
      <c r="R6" s="272"/>
      <c r="S6" s="270"/>
      <c r="T6" s="274"/>
      <c r="U6" s="272"/>
      <c r="V6" s="270"/>
      <c r="W6" s="274"/>
      <c r="X6" s="272"/>
      <c r="Y6" s="270"/>
      <c r="Z6" s="306"/>
      <c r="AA6" s="275"/>
      <c r="AB6" s="270"/>
      <c r="AC6" s="276"/>
    </row>
    <row r="7" spans="1:29" s="384" customFormat="1" ht="13.5" customHeight="1">
      <c r="A7" s="185" t="s">
        <v>153</v>
      </c>
      <c r="B7" s="277" t="s">
        <v>115</v>
      </c>
      <c r="C7" s="381">
        <f>SUM(C3:C4)</f>
        <v>0</v>
      </c>
      <c r="D7" s="352">
        <f>SUM(D3:D4)</f>
        <v>0</v>
      </c>
      <c r="E7" s="382"/>
      <c r="F7" s="381">
        <f>SUM(F3:F4)</f>
        <v>0</v>
      </c>
      <c r="G7" s="350">
        <f>SUM(G3:G4)</f>
        <v>0</v>
      </c>
      <c r="H7" s="353"/>
      <c r="I7" s="381">
        <f>SUM(I3:I4)</f>
        <v>0</v>
      </c>
      <c r="J7" s="350">
        <f>SUM(J3:J4)</f>
        <v>0</v>
      </c>
      <c r="K7" s="382"/>
      <c r="L7" s="381">
        <f>SUM(L3:L4)</f>
        <v>0</v>
      </c>
      <c r="M7" s="350">
        <f>SUM(M3:M4)</f>
        <v>0</v>
      </c>
      <c r="N7" s="383"/>
      <c r="O7" s="381">
        <f>SUM(O3:O4)</f>
        <v>0</v>
      </c>
      <c r="P7" s="350">
        <f>SUM(P3:P4)</f>
        <v>0</v>
      </c>
      <c r="Q7" s="382"/>
      <c r="R7" s="381">
        <f>SUM(R3:R4)</f>
        <v>0</v>
      </c>
      <c r="S7" s="350">
        <f>SUM(S3:S4)</f>
        <v>0</v>
      </c>
      <c r="T7" s="383"/>
      <c r="U7" s="381">
        <f>SUM(U3:U4)</f>
        <v>0</v>
      </c>
      <c r="V7" s="350">
        <f>SUM(V3:V4)</f>
        <v>0</v>
      </c>
      <c r="W7" s="383"/>
      <c r="X7" s="381">
        <f>SUM(X3:X4)</f>
        <v>0</v>
      </c>
      <c r="Y7" s="350">
        <f>SUM(Y3:Y4)</f>
        <v>0</v>
      </c>
      <c r="Z7" s="354"/>
      <c r="AA7" s="344">
        <f>SUM(AA3:AA4)</f>
        <v>0</v>
      </c>
      <c r="AB7" s="350">
        <f>SUM(AB3:AB4)</f>
        <v>0</v>
      </c>
      <c r="AC7" s="351"/>
    </row>
    <row r="8" spans="1:29" ht="13.5" customHeight="1">
      <c r="A8" s="207" t="s">
        <v>154</v>
      </c>
      <c r="B8" s="255" t="s">
        <v>149</v>
      </c>
      <c r="C8" s="259"/>
      <c r="D8" s="257"/>
      <c r="E8" s="260"/>
      <c r="F8" s="259"/>
      <c r="G8" s="257"/>
      <c r="H8" s="258"/>
      <c r="I8" s="259"/>
      <c r="J8" s="257"/>
      <c r="K8" s="260"/>
      <c r="L8" s="259"/>
      <c r="M8" s="257"/>
      <c r="N8" s="261"/>
      <c r="O8" s="259"/>
      <c r="P8" s="257"/>
      <c r="Q8" s="260"/>
      <c r="R8" s="259"/>
      <c r="S8" s="257"/>
      <c r="T8" s="261"/>
      <c r="U8" s="259"/>
      <c r="V8" s="257"/>
      <c r="W8" s="261"/>
      <c r="X8" s="259"/>
      <c r="Y8" s="257"/>
      <c r="Z8" s="304"/>
      <c r="AA8" s="262"/>
      <c r="AB8" s="257"/>
      <c r="AC8" s="263"/>
    </row>
    <row r="9" spans="1:29" ht="13.5" customHeight="1">
      <c r="A9" s="195" t="s">
        <v>155</v>
      </c>
      <c r="B9" s="196" t="s">
        <v>116</v>
      </c>
      <c r="C9" s="251"/>
      <c r="D9" s="245"/>
      <c r="E9" s="252"/>
      <c r="F9" s="251"/>
      <c r="G9" s="245"/>
      <c r="H9" s="250"/>
      <c r="I9" s="251"/>
      <c r="J9" s="245"/>
      <c r="K9" s="252"/>
      <c r="L9" s="251"/>
      <c r="M9" s="245"/>
      <c r="N9" s="253"/>
      <c r="O9" s="251"/>
      <c r="P9" s="245"/>
      <c r="Q9" s="252"/>
      <c r="R9" s="251"/>
      <c r="S9" s="245"/>
      <c r="T9" s="253"/>
      <c r="U9" s="251"/>
      <c r="V9" s="245"/>
      <c r="W9" s="253"/>
      <c r="X9" s="251"/>
      <c r="Y9" s="245"/>
      <c r="Z9" s="305"/>
      <c r="AA9" s="254"/>
      <c r="AB9" s="245"/>
      <c r="AC9" s="246"/>
    </row>
    <row r="10" spans="1:29" ht="13.5" customHeight="1">
      <c r="A10" s="206"/>
      <c r="B10" s="496" t="s">
        <v>114</v>
      </c>
      <c r="C10" s="272"/>
      <c r="D10" s="270"/>
      <c r="E10" s="273"/>
      <c r="F10" s="272"/>
      <c r="G10" s="270"/>
      <c r="H10" s="271"/>
      <c r="I10" s="272"/>
      <c r="J10" s="270"/>
      <c r="K10" s="273"/>
      <c r="L10" s="272"/>
      <c r="M10" s="270"/>
      <c r="N10" s="274"/>
      <c r="O10" s="272"/>
      <c r="P10" s="270"/>
      <c r="Q10" s="273"/>
      <c r="R10" s="272"/>
      <c r="S10" s="270"/>
      <c r="T10" s="274"/>
      <c r="U10" s="272"/>
      <c r="V10" s="270"/>
      <c r="W10" s="274"/>
      <c r="X10" s="272"/>
      <c r="Y10" s="270"/>
      <c r="Z10" s="306"/>
      <c r="AA10" s="275"/>
      <c r="AB10" s="270"/>
      <c r="AC10" s="276"/>
    </row>
    <row r="11" spans="1:29" s="384" customFormat="1" ht="13.5" customHeight="1">
      <c r="A11" s="185" t="s">
        <v>156</v>
      </c>
      <c r="B11" s="277" t="s">
        <v>117</v>
      </c>
      <c r="C11" s="381">
        <f>SUM(C8:C9)</f>
        <v>0</v>
      </c>
      <c r="D11" s="352">
        <f>SUM(D8:D9)</f>
        <v>0</v>
      </c>
      <c r="E11" s="382"/>
      <c r="F11" s="381">
        <f>SUM(F8:F9)</f>
        <v>0</v>
      </c>
      <c r="G11" s="350">
        <f>SUM(G8:G9)</f>
        <v>0</v>
      </c>
      <c r="H11" s="353"/>
      <c r="I11" s="381">
        <f>SUM(I8:I9)</f>
        <v>0</v>
      </c>
      <c r="J11" s="350">
        <f>SUM(J8:J9)</f>
        <v>0</v>
      </c>
      <c r="K11" s="382"/>
      <c r="L11" s="381">
        <f>SUM(L8:L9)</f>
        <v>0</v>
      </c>
      <c r="M11" s="350">
        <f>SUM(M8:M9)</f>
        <v>0</v>
      </c>
      <c r="N11" s="383"/>
      <c r="O11" s="381">
        <f>SUM(O8:O9)</f>
        <v>0</v>
      </c>
      <c r="P11" s="350">
        <f>SUM(P8:P9)</f>
        <v>0</v>
      </c>
      <c r="Q11" s="382"/>
      <c r="R11" s="381">
        <f>SUM(R8:R9)</f>
        <v>0</v>
      </c>
      <c r="S11" s="350">
        <f>SUM(S8:S9)</f>
        <v>0</v>
      </c>
      <c r="T11" s="383"/>
      <c r="U11" s="381">
        <f>SUM(U8:U9)</f>
        <v>0</v>
      </c>
      <c r="V11" s="350">
        <f>SUM(V8:V9)</f>
        <v>0</v>
      </c>
      <c r="W11" s="383"/>
      <c r="X11" s="381">
        <f>SUM(X8:X9)</f>
        <v>0</v>
      </c>
      <c r="Y11" s="350">
        <f>SUM(Y8:Y9)</f>
        <v>0</v>
      </c>
      <c r="Z11" s="354"/>
      <c r="AA11" s="344">
        <f>SUM(AA8:AA9)</f>
        <v>0</v>
      </c>
      <c r="AB11" s="350">
        <f>SUM(AB8:AB9)</f>
        <v>0</v>
      </c>
      <c r="AC11" s="351"/>
    </row>
    <row r="12" spans="1:29" ht="13.5" customHeight="1">
      <c r="A12" s="207" t="s">
        <v>157</v>
      </c>
      <c r="B12" s="255" t="s">
        <v>118</v>
      </c>
      <c r="C12" s="259"/>
      <c r="D12" s="257"/>
      <c r="E12" s="260"/>
      <c r="F12" s="259"/>
      <c r="G12" s="257"/>
      <c r="H12" s="258"/>
      <c r="I12" s="259"/>
      <c r="J12" s="257"/>
      <c r="K12" s="260"/>
      <c r="L12" s="259"/>
      <c r="M12" s="257"/>
      <c r="N12" s="261"/>
      <c r="O12" s="259"/>
      <c r="P12" s="257"/>
      <c r="Q12" s="260"/>
      <c r="R12" s="259"/>
      <c r="S12" s="257"/>
      <c r="T12" s="261"/>
      <c r="U12" s="259"/>
      <c r="V12" s="257"/>
      <c r="W12" s="261"/>
      <c r="X12" s="259"/>
      <c r="Y12" s="257"/>
      <c r="Z12" s="304"/>
      <c r="AA12" s="262">
        <f>+C12+F12+I12+L12+O12+R12+U12+X12</f>
        <v>0</v>
      </c>
      <c r="AB12" s="257">
        <f>+D12+G12+J12+M12+P12+S12+V12+Y12</f>
        <v>0</v>
      </c>
      <c r="AC12" s="263"/>
    </row>
    <row r="13" spans="1:29" ht="13.5" customHeight="1">
      <c r="A13" s="195" t="s">
        <v>158</v>
      </c>
      <c r="B13" s="196" t="s">
        <v>119</v>
      </c>
      <c r="C13" s="251">
        <v>600</v>
      </c>
      <c r="D13" s="245"/>
      <c r="E13" s="252"/>
      <c r="F13" s="251"/>
      <c r="G13" s="245"/>
      <c r="H13" s="250"/>
      <c r="I13" s="251">
        <v>360</v>
      </c>
      <c r="J13" s="245">
        <v>272</v>
      </c>
      <c r="K13" s="252"/>
      <c r="L13" s="251"/>
      <c r="M13" s="245"/>
      <c r="N13" s="253"/>
      <c r="O13" s="251">
        <f>120+345</f>
        <v>465</v>
      </c>
      <c r="P13" s="245">
        <v>465</v>
      </c>
      <c r="Q13" s="252"/>
      <c r="R13" s="251">
        <v>500</v>
      </c>
      <c r="S13" s="245">
        <v>500</v>
      </c>
      <c r="T13" s="253"/>
      <c r="U13" s="251"/>
      <c r="V13" s="245"/>
      <c r="W13" s="253"/>
      <c r="X13" s="251"/>
      <c r="Y13" s="245"/>
      <c r="Z13" s="305"/>
      <c r="AA13" s="262">
        <f t="shared" ref="AA13:AB20" si="0">+C13+F13+I13+L13+O13+R13+U13+X13</f>
        <v>1925</v>
      </c>
      <c r="AB13" s="245">
        <f t="shared" si="0"/>
        <v>1237</v>
      </c>
      <c r="AC13" s="246"/>
    </row>
    <row r="14" spans="1:29" ht="13.5" customHeight="1">
      <c r="A14" s="195" t="s">
        <v>159</v>
      </c>
      <c r="B14" s="196" t="s">
        <v>120</v>
      </c>
      <c r="C14" s="251"/>
      <c r="D14" s="245"/>
      <c r="E14" s="252"/>
      <c r="F14" s="251"/>
      <c r="G14" s="245"/>
      <c r="H14" s="250"/>
      <c r="I14" s="251"/>
      <c r="J14" s="245"/>
      <c r="K14" s="252"/>
      <c r="L14" s="251"/>
      <c r="M14" s="245"/>
      <c r="N14" s="253"/>
      <c r="O14" s="251"/>
      <c r="P14" s="245"/>
      <c r="Q14" s="252"/>
      <c r="R14" s="251"/>
      <c r="S14" s="245"/>
      <c r="T14" s="253"/>
      <c r="U14" s="251"/>
      <c r="V14" s="245"/>
      <c r="W14" s="253"/>
      <c r="X14" s="251"/>
      <c r="Y14" s="245"/>
      <c r="Z14" s="305"/>
      <c r="AA14" s="262">
        <f t="shared" si="0"/>
        <v>0</v>
      </c>
      <c r="AB14" s="245">
        <f t="shared" si="0"/>
        <v>0</v>
      </c>
      <c r="AC14" s="246"/>
    </row>
    <row r="15" spans="1:29" ht="13.5" customHeight="1">
      <c r="A15" s="195" t="s">
        <v>160</v>
      </c>
      <c r="B15" s="196" t="s">
        <v>121</v>
      </c>
      <c r="C15" s="251"/>
      <c r="D15" s="245"/>
      <c r="E15" s="252"/>
      <c r="F15" s="251"/>
      <c r="G15" s="245"/>
      <c r="H15" s="250"/>
      <c r="I15" s="251"/>
      <c r="J15" s="245"/>
      <c r="K15" s="252"/>
      <c r="L15" s="251"/>
      <c r="M15" s="245"/>
      <c r="N15" s="253"/>
      <c r="O15" s="251"/>
      <c r="P15" s="245"/>
      <c r="Q15" s="252"/>
      <c r="R15" s="251"/>
      <c r="S15" s="245"/>
      <c r="T15" s="253"/>
      <c r="U15" s="251"/>
      <c r="V15" s="245"/>
      <c r="W15" s="253"/>
      <c r="X15" s="251"/>
      <c r="Y15" s="245"/>
      <c r="Z15" s="305"/>
      <c r="AA15" s="262">
        <f t="shared" si="0"/>
        <v>0</v>
      </c>
      <c r="AB15" s="245">
        <f t="shared" si="0"/>
        <v>0</v>
      </c>
      <c r="AC15" s="246"/>
    </row>
    <row r="16" spans="1:29" ht="13.5" customHeight="1">
      <c r="A16" s="195" t="s">
        <v>161</v>
      </c>
      <c r="B16" s="196" t="s">
        <v>122</v>
      </c>
      <c r="C16" s="251">
        <v>200</v>
      </c>
      <c r="D16" s="245">
        <v>200</v>
      </c>
      <c r="E16" s="252"/>
      <c r="F16" s="251"/>
      <c r="G16" s="245"/>
      <c r="H16" s="250"/>
      <c r="I16" s="251">
        <v>1800</v>
      </c>
      <c r="J16" s="245">
        <v>1800</v>
      </c>
      <c r="K16" s="252"/>
      <c r="L16" s="251"/>
      <c r="M16" s="245"/>
      <c r="N16" s="253"/>
      <c r="O16" s="251">
        <v>1155</v>
      </c>
      <c r="P16" s="245">
        <v>1155</v>
      </c>
      <c r="Q16" s="252"/>
      <c r="R16" s="251"/>
      <c r="S16" s="245"/>
      <c r="T16" s="253"/>
      <c r="U16" s="251">
        <v>2673</v>
      </c>
      <c r="V16" s="245">
        <f>7862-2098</f>
        <v>5764</v>
      </c>
      <c r="W16" s="253"/>
      <c r="X16" s="251">
        <v>1267</v>
      </c>
      <c r="Y16" s="245">
        <v>500</v>
      </c>
      <c r="Z16" s="305"/>
      <c r="AA16" s="262">
        <f t="shared" si="0"/>
        <v>7095</v>
      </c>
      <c r="AB16" s="245">
        <f t="shared" si="0"/>
        <v>9419</v>
      </c>
      <c r="AC16" s="246"/>
    </row>
    <row r="17" spans="1:29" ht="13.5" customHeight="1">
      <c r="A17" s="195" t="s">
        <v>162</v>
      </c>
      <c r="B17" s="196" t="s">
        <v>123</v>
      </c>
      <c r="C17" s="251"/>
      <c r="D17" s="245"/>
      <c r="E17" s="252"/>
      <c r="F17" s="251"/>
      <c r="G17" s="245"/>
      <c r="H17" s="250"/>
      <c r="I17" s="251"/>
      <c r="J17" s="245"/>
      <c r="K17" s="252"/>
      <c r="L17" s="251"/>
      <c r="M17" s="245"/>
      <c r="N17" s="253"/>
      <c r="O17" s="251"/>
      <c r="P17" s="245"/>
      <c r="Q17" s="252"/>
      <c r="R17" s="251"/>
      <c r="S17" s="245"/>
      <c r="T17" s="253"/>
      <c r="U17" s="251"/>
      <c r="V17" s="245"/>
      <c r="W17" s="253"/>
      <c r="X17" s="251"/>
      <c r="Y17" s="245"/>
      <c r="Z17" s="305"/>
      <c r="AA17" s="262">
        <f t="shared" si="0"/>
        <v>0</v>
      </c>
      <c r="AB17" s="245">
        <f t="shared" si="0"/>
        <v>0</v>
      </c>
      <c r="AC17" s="246"/>
    </row>
    <row r="18" spans="1:29" ht="13.5" customHeight="1">
      <c r="A18" s="195" t="s">
        <v>163</v>
      </c>
      <c r="B18" s="196" t="s">
        <v>124</v>
      </c>
      <c r="C18" s="251"/>
      <c r="D18" s="245"/>
      <c r="E18" s="252"/>
      <c r="F18" s="251"/>
      <c r="G18" s="245"/>
      <c r="H18" s="250"/>
      <c r="I18" s="251"/>
      <c r="J18" s="245"/>
      <c r="K18" s="252"/>
      <c r="L18" s="251"/>
      <c r="M18" s="245"/>
      <c r="N18" s="253"/>
      <c r="O18" s="251"/>
      <c r="P18" s="245"/>
      <c r="Q18" s="252"/>
      <c r="R18" s="251"/>
      <c r="S18" s="245"/>
      <c r="T18" s="253"/>
      <c r="U18" s="251"/>
      <c r="V18" s="245"/>
      <c r="W18" s="253"/>
      <c r="X18" s="251"/>
      <c r="Y18" s="245"/>
      <c r="Z18" s="305"/>
      <c r="AA18" s="262">
        <f t="shared" si="0"/>
        <v>0</v>
      </c>
      <c r="AB18" s="245">
        <f t="shared" si="0"/>
        <v>0</v>
      </c>
      <c r="AC18" s="246"/>
    </row>
    <row r="19" spans="1:29" ht="13.5" customHeight="1">
      <c r="A19" s="195" t="s">
        <v>164</v>
      </c>
      <c r="B19" s="196" t="s">
        <v>125</v>
      </c>
      <c r="C19" s="251"/>
      <c r="D19" s="245"/>
      <c r="E19" s="252"/>
      <c r="F19" s="251"/>
      <c r="G19" s="245"/>
      <c r="H19" s="250"/>
      <c r="I19" s="251"/>
      <c r="J19" s="245"/>
      <c r="K19" s="252"/>
      <c r="L19" s="251"/>
      <c r="M19" s="245"/>
      <c r="N19" s="253"/>
      <c r="O19" s="251"/>
      <c r="P19" s="245"/>
      <c r="Q19" s="252"/>
      <c r="R19" s="251"/>
      <c r="S19" s="245"/>
      <c r="T19" s="253"/>
      <c r="U19" s="251"/>
      <c r="V19" s="245"/>
      <c r="W19" s="253"/>
      <c r="X19" s="251"/>
      <c r="Y19" s="245"/>
      <c r="Z19" s="305"/>
      <c r="AA19" s="262">
        <f t="shared" si="0"/>
        <v>0</v>
      </c>
      <c r="AB19" s="245">
        <f t="shared" si="0"/>
        <v>0</v>
      </c>
      <c r="AC19" s="246"/>
    </row>
    <row r="20" spans="1:29" ht="13.5" customHeight="1">
      <c r="A20" s="209" t="s">
        <v>165</v>
      </c>
      <c r="B20" s="279" t="s">
        <v>126</v>
      </c>
      <c r="C20" s="272"/>
      <c r="D20" s="270"/>
      <c r="E20" s="273"/>
      <c r="F20" s="272"/>
      <c r="G20" s="270"/>
      <c r="H20" s="271"/>
      <c r="I20" s="272"/>
      <c r="J20" s="270"/>
      <c r="K20" s="273"/>
      <c r="L20" s="272"/>
      <c r="M20" s="270"/>
      <c r="N20" s="274"/>
      <c r="O20" s="272"/>
      <c r="P20" s="270"/>
      <c r="Q20" s="273"/>
      <c r="R20" s="272"/>
      <c r="S20" s="270"/>
      <c r="T20" s="274"/>
      <c r="U20" s="272"/>
      <c r="V20" s="270"/>
      <c r="W20" s="274"/>
      <c r="X20" s="272"/>
      <c r="Y20" s="270"/>
      <c r="Z20" s="306"/>
      <c r="AA20" s="262">
        <f t="shared" si="0"/>
        <v>0</v>
      </c>
      <c r="AB20" s="270">
        <f t="shared" si="0"/>
        <v>0</v>
      </c>
      <c r="AC20" s="276"/>
    </row>
    <row r="21" spans="1:29" s="384" customFormat="1" ht="13.5" customHeight="1">
      <c r="A21" s="185" t="s">
        <v>166</v>
      </c>
      <c r="B21" s="277" t="s">
        <v>127</v>
      </c>
      <c r="C21" s="381">
        <f>SUM(C12:C20)</f>
        <v>800</v>
      </c>
      <c r="D21" s="352">
        <f>SUM(D12:D20)</f>
        <v>200</v>
      </c>
      <c r="E21" s="382"/>
      <c r="F21" s="381">
        <f>SUM(F12:F20)</f>
        <v>0</v>
      </c>
      <c r="G21" s="350">
        <f>SUM(G12:G20)</f>
        <v>0</v>
      </c>
      <c r="H21" s="353"/>
      <c r="I21" s="381">
        <f>SUM(I12:I20)</f>
        <v>2160</v>
      </c>
      <c r="J21" s="350">
        <f>SUM(J12:J20)</f>
        <v>2072</v>
      </c>
      <c r="K21" s="382"/>
      <c r="L21" s="381">
        <f>SUM(L12:L20)</f>
        <v>0</v>
      </c>
      <c r="M21" s="350">
        <f>SUM(M12:M20)</f>
        <v>0</v>
      </c>
      <c r="N21" s="383"/>
      <c r="O21" s="381">
        <f>SUM(O12:O20)</f>
        <v>1620</v>
      </c>
      <c r="P21" s="350">
        <f>SUM(P12:P20)</f>
        <v>1620</v>
      </c>
      <c r="Q21" s="382"/>
      <c r="R21" s="381">
        <f>SUM(R12:R20)</f>
        <v>500</v>
      </c>
      <c r="S21" s="350">
        <f>SUM(S12:S20)</f>
        <v>500</v>
      </c>
      <c r="T21" s="383"/>
      <c r="U21" s="381">
        <f>SUM(U12:U20)</f>
        <v>2673</v>
      </c>
      <c r="V21" s="350">
        <f>SUM(V12:V20)</f>
        <v>5764</v>
      </c>
      <c r="W21" s="383"/>
      <c r="X21" s="381">
        <f>SUM(X12:X20)</f>
        <v>1267</v>
      </c>
      <c r="Y21" s="350">
        <f>SUM(Y12:Y20)</f>
        <v>500</v>
      </c>
      <c r="Z21" s="354"/>
      <c r="AA21" s="344">
        <f>SUM(AA12:AA20)</f>
        <v>9020</v>
      </c>
      <c r="AB21" s="350">
        <f>SUM(AB12:AB20)</f>
        <v>10656</v>
      </c>
      <c r="AC21" s="351"/>
    </row>
    <row r="22" spans="1:29" s="384" customFormat="1" ht="13.5" customHeight="1">
      <c r="A22" s="185" t="s">
        <v>167</v>
      </c>
      <c r="B22" s="277" t="s">
        <v>128</v>
      </c>
      <c r="C22" s="381"/>
      <c r="D22" s="350"/>
      <c r="E22" s="382"/>
      <c r="F22" s="381"/>
      <c r="G22" s="350"/>
      <c r="H22" s="353"/>
      <c r="I22" s="381"/>
      <c r="J22" s="350"/>
      <c r="K22" s="382"/>
      <c r="L22" s="381"/>
      <c r="M22" s="350"/>
      <c r="N22" s="383"/>
      <c r="O22" s="381"/>
      <c r="P22" s="350"/>
      <c r="Q22" s="382"/>
      <c r="R22" s="381"/>
      <c r="S22" s="350"/>
      <c r="T22" s="383"/>
      <c r="U22" s="381"/>
      <c r="V22" s="350"/>
      <c r="W22" s="383"/>
      <c r="X22" s="381"/>
      <c r="Y22" s="350"/>
      <c r="Z22" s="354"/>
      <c r="AA22" s="344"/>
      <c r="AB22" s="350"/>
      <c r="AC22" s="351"/>
    </row>
    <row r="23" spans="1:29" ht="13.5" customHeight="1">
      <c r="A23" s="210" t="s">
        <v>168</v>
      </c>
      <c r="B23" s="280" t="s">
        <v>129</v>
      </c>
      <c r="C23" s="283"/>
      <c r="D23" s="281"/>
      <c r="E23" s="284"/>
      <c r="F23" s="283"/>
      <c r="G23" s="281"/>
      <c r="H23" s="282"/>
      <c r="I23" s="283"/>
      <c r="J23" s="281"/>
      <c r="K23" s="284"/>
      <c r="L23" s="283"/>
      <c r="M23" s="281"/>
      <c r="N23" s="285"/>
      <c r="O23" s="283"/>
      <c r="P23" s="281"/>
      <c r="Q23" s="284"/>
      <c r="R23" s="283"/>
      <c r="S23" s="281"/>
      <c r="T23" s="285"/>
      <c r="U23" s="283"/>
      <c r="V23" s="281"/>
      <c r="W23" s="285"/>
      <c r="X23" s="283"/>
      <c r="Y23" s="281"/>
      <c r="Z23" s="307"/>
      <c r="AA23" s="286"/>
      <c r="AB23" s="281"/>
      <c r="AC23" s="287"/>
    </row>
    <row r="24" spans="1:29" s="384" customFormat="1" ht="13.5" customHeight="1">
      <c r="A24" s="185" t="s">
        <v>169</v>
      </c>
      <c r="B24" s="277" t="s">
        <v>290</v>
      </c>
      <c r="C24" s="381">
        <f>+C23</f>
        <v>0</v>
      </c>
      <c r="D24" s="350"/>
      <c r="E24" s="382"/>
      <c r="F24" s="381">
        <f>+F23</f>
        <v>0</v>
      </c>
      <c r="G24" s="350">
        <f>+G23</f>
        <v>0</v>
      </c>
      <c r="H24" s="353"/>
      <c r="I24" s="381">
        <f>+I23</f>
        <v>0</v>
      </c>
      <c r="J24" s="350"/>
      <c r="K24" s="382"/>
      <c r="L24" s="381">
        <f>+L23</f>
        <v>0</v>
      </c>
      <c r="M24" s="350">
        <f>+M23</f>
        <v>0</v>
      </c>
      <c r="N24" s="383"/>
      <c r="O24" s="381">
        <f>+O23</f>
        <v>0</v>
      </c>
      <c r="P24" s="350">
        <f>+P23</f>
        <v>0</v>
      </c>
      <c r="Q24" s="382"/>
      <c r="R24" s="381">
        <f>+R23</f>
        <v>0</v>
      </c>
      <c r="S24" s="350">
        <f>+S23</f>
        <v>0</v>
      </c>
      <c r="T24" s="383"/>
      <c r="U24" s="381">
        <f>+U23</f>
        <v>0</v>
      </c>
      <c r="V24" s="350"/>
      <c r="W24" s="383"/>
      <c r="X24" s="381">
        <f>+X23</f>
        <v>0</v>
      </c>
      <c r="Y24" s="350">
        <f>+Y23</f>
        <v>0</v>
      </c>
      <c r="Z24" s="354"/>
      <c r="AA24" s="344">
        <f>+AA23</f>
        <v>0</v>
      </c>
      <c r="AB24" s="350">
        <f>+AB23</f>
        <v>0</v>
      </c>
      <c r="AC24" s="351"/>
    </row>
    <row r="25" spans="1:29" ht="13.5" customHeight="1">
      <c r="A25" s="210" t="s">
        <v>170</v>
      </c>
      <c r="B25" s="280" t="s">
        <v>130</v>
      </c>
      <c r="C25" s="283"/>
      <c r="D25" s="281"/>
      <c r="E25" s="284"/>
      <c r="F25" s="283"/>
      <c r="G25" s="281"/>
      <c r="H25" s="282"/>
      <c r="I25" s="283"/>
      <c r="J25" s="281"/>
      <c r="K25" s="284"/>
      <c r="L25" s="283"/>
      <c r="M25" s="281"/>
      <c r="N25" s="285"/>
      <c r="O25" s="283"/>
      <c r="P25" s="281"/>
      <c r="Q25" s="284"/>
      <c r="R25" s="283"/>
      <c r="S25" s="281"/>
      <c r="T25" s="285"/>
      <c r="U25" s="283"/>
      <c r="V25" s="281"/>
      <c r="W25" s="285"/>
      <c r="X25" s="283"/>
      <c r="Y25" s="281"/>
      <c r="Z25" s="307"/>
      <c r="AA25" s="286"/>
      <c r="AB25" s="281"/>
      <c r="AC25" s="287"/>
    </row>
    <row r="26" spans="1:29" s="384" customFormat="1" ht="13.5" customHeight="1">
      <c r="A26" s="185" t="s">
        <v>171</v>
      </c>
      <c r="B26" s="277" t="s">
        <v>291</v>
      </c>
      <c r="C26" s="381">
        <f>+C25</f>
        <v>0</v>
      </c>
      <c r="D26" s="350"/>
      <c r="E26" s="382"/>
      <c r="F26" s="381">
        <f>+F25</f>
        <v>0</v>
      </c>
      <c r="G26" s="350">
        <f>+G25</f>
        <v>0</v>
      </c>
      <c r="H26" s="353"/>
      <c r="I26" s="381">
        <f>+I25</f>
        <v>0</v>
      </c>
      <c r="J26" s="350"/>
      <c r="K26" s="382"/>
      <c r="L26" s="381">
        <f>+L25</f>
        <v>0</v>
      </c>
      <c r="M26" s="350">
        <f>+M25</f>
        <v>0</v>
      </c>
      <c r="N26" s="383"/>
      <c r="O26" s="381">
        <f>+O25</f>
        <v>0</v>
      </c>
      <c r="P26" s="350"/>
      <c r="Q26" s="382"/>
      <c r="R26" s="381">
        <f>+R25</f>
        <v>0</v>
      </c>
      <c r="S26" s="350">
        <f>+S25</f>
        <v>0</v>
      </c>
      <c r="T26" s="383"/>
      <c r="U26" s="381">
        <f>+U25</f>
        <v>0</v>
      </c>
      <c r="V26" s="350"/>
      <c r="W26" s="383"/>
      <c r="X26" s="381">
        <f>+X25</f>
        <v>0</v>
      </c>
      <c r="Y26" s="350"/>
      <c r="Z26" s="354"/>
      <c r="AA26" s="344">
        <f>+AA25</f>
        <v>0</v>
      </c>
      <c r="AB26" s="350">
        <f>+AB25</f>
        <v>0</v>
      </c>
      <c r="AC26" s="351"/>
    </row>
    <row r="27" spans="1:29" s="384" customFormat="1" ht="13.5" customHeight="1">
      <c r="A27" s="185" t="s">
        <v>172</v>
      </c>
      <c r="B27" s="277" t="s">
        <v>131</v>
      </c>
      <c r="C27" s="381">
        <f>+C7+C11+C21+C22+C24+C26</f>
        <v>800</v>
      </c>
      <c r="D27" s="352">
        <f>+D7+D11+D21+D22+D24+D26</f>
        <v>200</v>
      </c>
      <c r="E27" s="382"/>
      <c r="F27" s="381">
        <f>+F7+F11+F21+F22+F24+F26</f>
        <v>0</v>
      </c>
      <c r="G27" s="350">
        <f>+G7+G11+G21+G22+G24+G26</f>
        <v>0</v>
      </c>
      <c r="H27" s="353"/>
      <c r="I27" s="381">
        <f>+I7+I11+I21+I22+I24+I26</f>
        <v>2160</v>
      </c>
      <c r="J27" s="350">
        <f>+J7+J11+J21+J22+J24+J26</f>
        <v>2072</v>
      </c>
      <c r="K27" s="382"/>
      <c r="L27" s="381">
        <f>+L7+L11+L21+L22+L24+L26</f>
        <v>0</v>
      </c>
      <c r="M27" s="350">
        <f>+M7+M11+M21+M22+M24+M26</f>
        <v>0</v>
      </c>
      <c r="N27" s="383"/>
      <c r="O27" s="381">
        <f>+O7+O11+O21+O22+O24+O26</f>
        <v>1620</v>
      </c>
      <c r="P27" s="350">
        <f>+P7+P11+P21+P22+P24+P26</f>
        <v>1620</v>
      </c>
      <c r="Q27" s="382"/>
      <c r="R27" s="381">
        <f>+R7+R11+R21+R22+R24+R26</f>
        <v>500</v>
      </c>
      <c r="S27" s="350">
        <f>+S7+S11+S21+S22+S24+S26</f>
        <v>500</v>
      </c>
      <c r="T27" s="383"/>
      <c r="U27" s="381">
        <f>+U7+U11+U21+U22+U24+U26</f>
        <v>2673</v>
      </c>
      <c r="V27" s="350">
        <f>+V7+V11+V21+V22+V24+V26</f>
        <v>5764</v>
      </c>
      <c r="W27" s="383"/>
      <c r="X27" s="381">
        <f>+X7+X11+X21+X22+X24+X26</f>
        <v>1267</v>
      </c>
      <c r="Y27" s="350">
        <f>+Y7+Y11+Y21+Y22+Y24+Y26</f>
        <v>500</v>
      </c>
      <c r="Z27" s="354"/>
      <c r="AA27" s="344">
        <f>+AA7+AA11+AA21+AA22+AA24+AA26</f>
        <v>9020</v>
      </c>
      <c r="AB27" s="350">
        <f>+AB7+AB11+AB21+AB22+AB24+AB26</f>
        <v>10656</v>
      </c>
      <c r="AC27" s="351"/>
    </row>
    <row r="28" spans="1:29" s="384" customFormat="1" ht="13.5" customHeight="1">
      <c r="A28" s="288" t="s">
        <v>173</v>
      </c>
      <c r="B28" s="277" t="s">
        <v>132</v>
      </c>
      <c r="C28" s="381"/>
      <c r="D28" s="350"/>
      <c r="E28" s="382"/>
      <c r="F28" s="381"/>
      <c r="G28" s="350"/>
      <c r="H28" s="353"/>
      <c r="I28" s="381"/>
      <c r="J28" s="350"/>
      <c r="K28" s="382"/>
      <c r="L28" s="381"/>
      <c r="M28" s="350"/>
      <c r="N28" s="383"/>
      <c r="O28" s="381"/>
      <c r="P28" s="350"/>
      <c r="Q28" s="382"/>
      <c r="R28" s="381"/>
      <c r="S28" s="350"/>
      <c r="T28" s="383"/>
      <c r="U28" s="381"/>
      <c r="V28" s="350"/>
      <c r="W28" s="383"/>
      <c r="X28" s="381"/>
      <c r="Y28" s="350"/>
      <c r="Z28" s="354"/>
      <c r="AA28" s="344"/>
      <c r="AB28" s="350"/>
      <c r="AC28" s="351"/>
    </row>
    <row r="29" spans="1:29" s="384" customFormat="1" ht="13.5" customHeight="1">
      <c r="A29" s="288" t="s">
        <v>288</v>
      </c>
      <c r="B29" s="277" t="s">
        <v>289</v>
      </c>
      <c r="C29" s="381">
        <f>+SUM(C30:C31)</f>
        <v>1641</v>
      </c>
      <c r="D29" s="352">
        <f>+SUM(D30:D31)</f>
        <v>2249</v>
      </c>
      <c r="E29" s="382"/>
      <c r="F29" s="381">
        <f>+SUM(F30:F31)</f>
        <v>19471</v>
      </c>
      <c r="G29" s="350">
        <f>+SUM(G30:G31)</f>
        <v>19642</v>
      </c>
      <c r="H29" s="353"/>
      <c r="I29" s="381">
        <f>+SUM(I30:I31)</f>
        <v>30363</v>
      </c>
      <c r="J29" s="350">
        <f>+SUM(J30:J31)</f>
        <v>32912</v>
      </c>
      <c r="K29" s="382"/>
      <c r="L29" s="381">
        <f>+SUM(L30:L31)</f>
        <v>21610</v>
      </c>
      <c r="M29" s="350">
        <f>+SUM(M30:M31)</f>
        <v>21676</v>
      </c>
      <c r="N29" s="383"/>
      <c r="O29" s="381">
        <f>+SUM(O30:O31)</f>
        <v>11702</v>
      </c>
      <c r="P29" s="350">
        <f>+SUM(P30:P31)</f>
        <v>13181</v>
      </c>
      <c r="Q29" s="382"/>
      <c r="R29" s="381">
        <f>+SUM(R30:R31)</f>
        <v>5321</v>
      </c>
      <c r="S29" s="350">
        <f>+SUM(S30:S31)</f>
        <v>5873</v>
      </c>
      <c r="T29" s="383"/>
      <c r="U29" s="381">
        <f>+SUM(U30:U31)</f>
        <v>1743</v>
      </c>
      <c r="V29" s="350">
        <f>+SUM(V30:V31)</f>
        <v>6297</v>
      </c>
      <c r="W29" s="383"/>
      <c r="X29" s="381">
        <f>+SUM(X30:X31)</f>
        <v>1691</v>
      </c>
      <c r="Y29" s="350">
        <f>+SUM(Y30:Y31)</f>
        <v>1448</v>
      </c>
      <c r="Z29" s="354"/>
      <c r="AA29" s="344">
        <f>+SUM(AA30:AA31)</f>
        <v>93542</v>
      </c>
      <c r="AB29" s="350">
        <f>+SUM(AB30:AB31)</f>
        <v>103278</v>
      </c>
      <c r="AC29" s="351"/>
    </row>
    <row r="30" spans="1:29" ht="13.5" customHeight="1">
      <c r="A30" s="322"/>
      <c r="B30" s="497" t="s">
        <v>298</v>
      </c>
      <c r="C30" s="316">
        <f>+'[4]3.SZ.TÁBL. SEGÍTŐ SZOLGÁLAT'!$C$30</f>
        <v>1145</v>
      </c>
      <c r="D30" s="314">
        <f>+'6.SZ.TÁBL. SZOCIÁLIS NORMATÍVA'!D8</f>
        <v>491</v>
      </c>
      <c r="E30" s="317"/>
      <c r="F30" s="316">
        <f>+'[4]3.SZ.TÁBL. SEGÍTŐ SZOLGÁLAT'!$F$30</f>
        <v>11900</v>
      </c>
      <c r="G30" s="314">
        <f>+'6.SZ.TÁBL. SZOCIÁLIS NORMATÍVA'!D4</f>
        <v>9900</v>
      </c>
      <c r="H30" s="315"/>
      <c r="I30" s="316">
        <f>+'[4]3.SZ.TÁBL. SEGÍTŐ SZOLGÁLAT'!$I$30</f>
        <v>20358</v>
      </c>
      <c r="J30" s="314">
        <f>+'6.SZ.TÁBL. SZOCIÁLIS NORMATÍVA'!D6+'6.SZ.TÁBL. SZOCIÁLIS NORMATÍVA'!D7</f>
        <v>13037</v>
      </c>
      <c r="K30" s="317"/>
      <c r="L30" s="316">
        <f>+'[4]3.SZ.TÁBL. SEGÍTŐ SZOLGÁLAT'!$L$30</f>
        <v>15000</v>
      </c>
      <c r="M30" s="314">
        <f>+'6.SZ.TÁBL. SZOCIÁLIS NORMATÍVA'!D3</f>
        <v>15000</v>
      </c>
      <c r="N30" s="318"/>
      <c r="O30" s="316">
        <f>+'[4]3.SZ.TÁBL. SEGÍTŐ SZOLGÁLAT'!$O$30</f>
        <v>8940</v>
      </c>
      <c r="P30" s="314">
        <f>+'6.SZ.TÁBL. SZOCIÁLIS NORMATÍVA'!D11</f>
        <v>8940</v>
      </c>
      <c r="Q30" s="317"/>
      <c r="R30" s="316">
        <f>+'[4]3.SZ.TÁBL. SEGÍTŐ SZOLGÁLAT'!$R$30</f>
        <v>2500</v>
      </c>
      <c r="S30" s="314">
        <f>+'6.SZ.TÁBL. SZOCIÁLIS NORMATÍVA'!D9</f>
        <v>2500</v>
      </c>
      <c r="T30" s="318"/>
      <c r="U30" s="316">
        <f>+'[4]3.SZ.TÁBL. SEGÍTŐ SZOLGÁLAT'!$U$30</f>
        <v>1743</v>
      </c>
      <c r="V30" s="314">
        <f>+'6.SZ.TÁBL. SZOCIÁLIS NORMATÍVA'!D10</f>
        <v>6297</v>
      </c>
      <c r="W30" s="318"/>
      <c r="X30" s="316">
        <f>+'[4]3.SZ.TÁBL. SEGÍTŐ SZOLGÁLAT'!$X$30</f>
        <v>996</v>
      </c>
      <c r="Y30" s="314">
        <f>+'6.SZ.TÁBL. SZOCIÁLIS NORMATÍVA'!D5</f>
        <v>443</v>
      </c>
      <c r="Z30" s="340"/>
      <c r="AA30" s="319">
        <f>+C30+F30+I30+L30+O30+R30+U30+X30</f>
        <v>62582</v>
      </c>
      <c r="AB30" s="314">
        <f>+D30+G30+J30+M30+P30+S30+V30+Y30</f>
        <v>56608</v>
      </c>
      <c r="AC30" s="320"/>
    </row>
    <row r="31" spans="1:29" ht="13.5" customHeight="1">
      <c r="A31" s="323"/>
      <c r="B31" s="196" t="s">
        <v>299</v>
      </c>
      <c r="C31" s="251">
        <f>+SUM(C32:C38)</f>
        <v>496</v>
      </c>
      <c r="D31" s="245">
        <f>+SUM(D32:D38)</f>
        <v>1758</v>
      </c>
      <c r="E31" s="252"/>
      <c r="F31" s="251">
        <f>+SUM(F32:F38)</f>
        <v>7571</v>
      </c>
      <c r="G31" s="245">
        <f>+SUM(G32:G38)</f>
        <v>9742</v>
      </c>
      <c r="H31" s="250"/>
      <c r="I31" s="251">
        <f>+SUM(I32:I38)</f>
        <v>10005</v>
      </c>
      <c r="J31" s="245">
        <f>+SUM(J32:J38)</f>
        <v>19875</v>
      </c>
      <c r="K31" s="252"/>
      <c r="L31" s="251">
        <f>+SUM(L32:L38)</f>
        <v>6610</v>
      </c>
      <c r="M31" s="245">
        <f>+SUM(M32:M38)</f>
        <v>6676</v>
      </c>
      <c r="N31" s="253"/>
      <c r="O31" s="251">
        <f>+SUM(O32:O38)</f>
        <v>2762</v>
      </c>
      <c r="P31" s="245">
        <f>+SUM(P32:P38)</f>
        <v>4241</v>
      </c>
      <c r="Q31" s="252"/>
      <c r="R31" s="251">
        <f>+SUM(R32:R38)</f>
        <v>2821</v>
      </c>
      <c r="S31" s="245">
        <f>+SUM(S32:S38)</f>
        <v>3373</v>
      </c>
      <c r="T31" s="253"/>
      <c r="U31" s="251">
        <f>+SUM(U32:U38)</f>
        <v>0</v>
      </c>
      <c r="V31" s="245">
        <f>+SUM(V32:V38)</f>
        <v>0</v>
      </c>
      <c r="W31" s="253"/>
      <c r="X31" s="251">
        <f>+SUM(X32:X38)</f>
        <v>695</v>
      </c>
      <c r="Y31" s="245">
        <f>+SUM(Y32:Y38)</f>
        <v>1005</v>
      </c>
      <c r="Z31" s="305"/>
      <c r="AA31" s="254">
        <f>+SUM(AA32:AA38)</f>
        <v>30960</v>
      </c>
      <c r="AB31" s="245">
        <f>+SUM(AB32:AB38)</f>
        <v>46670</v>
      </c>
      <c r="AC31" s="246"/>
    </row>
    <row r="32" spans="1:29" s="332" customFormat="1" ht="13.5" customHeight="1">
      <c r="A32" s="324"/>
      <c r="B32" s="495" t="s">
        <v>4</v>
      </c>
      <c r="C32" s="327">
        <f>+'[4]3.SZ.TÁBL. SEGÍTŐ SZOLGÁLAT'!$C32</f>
        <v>50</v>
      </c>
      <c r="D32" s="325">
        <f t="shared" ref="D32:D38" si="1">+F127</f>
        <v>0</v>
      </c>
      <c r="E32" s="328"/>
      <c r="F32" s="327">
        <f>+'[4]3.SZ.TÁBL. SEGÍTŐ SZOLGÁLAT'!$F32</f>
        <v>1119</v>
      </c>
      <c r="G32" s="325">
        <f>+G137</f>
        <v>1435</v>
      </c>
      <c r="H32" s="326"/>
      <c r="I32" s="327">
        <f>+'[4]3.SZ.TÁBL. SEGÍTŐ SZOLGÁLAT'!I32</f>
        <v>1479</v>
      </c>
      <c r="J32" s="325">
        <f>+J137</f>
        <v>2928</v>
      </c>
      <c r="K32" s="328"/>
      <c r="L32" s="327">
        <f>+'[4]3.SZ.TÁBL. SEGÍTŐ SZOLGÁLAT'!L32</f>
        <v>977</v>
      </c>
      <c r="M32" s="325">
        <f>+M137</f>
        <v>983</v>
      </c>
      <c r="N32" s="329"/>
      <c r="O32" s="327">
        <f>+'[4]3.SZ.TÁBL. SEGÍTŐ SZOLGÁLAT'!O32</f>
        <v>472</v>
      </c>
      <c r="P32" s="325">
        <f>+P137</f>
        <v>723</v>
      </c>
      <c r="Q32" s="328"/>
      <c r="R32" s="327">
        <f>+'[4]3.SZ.TÁBL. SEGÍTŐ SZOLGÁLAT'!R32</f>
        <v>2821</v>
      </c>
      <c r="S32" s="325">
        <f>+R137</f>
        <v>3373</v>
      </c>
      <c r="T32" s="329"/>
      <c r="U32" s="327"/>
      <c r="V32" s="325"/>
      <c r="W32" s="329"/>
      <c r="X32" s="327">
        <f>+'[4]3.SZ.TÁBL. SEGÍTŐ SZOLGÁLAT'!X32</f>
        <v>0</v>
      </c>
      <c r="Y32" s="325"/>
      <c r="Z32" s="341"/>
      <c r="AA32" s="262">
        <f t="shared" ref="AA32:AB38" si="2">+C32+F32+I32+L32+O32+R32+U32+X32</f>
        <v>6918</v>
      </c>
      <c r="AB32" s="245">
        <f t="shared" si="2"/>
        <v>9442</v>
      </c>
      <c r="AC32" s="331"/>
    </row>
    <row r="33" spans="1:29" s="332" customFormat="1" ht="13.5" customHeight="1">
      <c r="A33" s="324"/>
      <c r="B33" s="495" t="s">
        <v>6</v>
      </c>
      <c r="C33" s="327">
        <f>+'[4]3.SZ.TÁBL. SEGÍTŐ SZOLGÁLAT'!$C33</f>
        <v>0</v>
      </c>
      <c r="D33" s="325">
        <f t="shared" si="1"/>
        <v>0</v>
      </c>
      <c r="E33" s="328"/>
      <c r="F33" s="327">
        <f>+'[4]3.SZ.TÁBL. SEGÍTŐ SZOLGÁLAT'!$F33</f>
        <v>509</v>
      </c>
      <c r="G33" s="325">
        <f t="shared" ref="G33:G38" si="3">+G138</f>
        <v>654</v>
      </c>
      <c r="H33" s="326"/>
      <c r="I33" s="327">
        <f>+'[4]3.SZ.TÁBL. SEGÍTŐ SZOLGÁLAT'!I33</f>
        <v>673</v>
      </c>
      <c r="J33" s="325">
        <f t="shared" ref="J33:J38" si="4">+J138</f>
        <v>1334</v>
      </c>
      <c r="K33" s="328"/>
      <c r="L33" s="327">
        <f>+'[4]3.SZ.TÁBL. SEGÍTŐ SZOLGÁLAT'!L33</f>
        <v>444</v>
      </c>
      <c r="M33" s="325">
        <f t="shared" ref="M33:M38" si="5">+M138</f>
        <v>448</v>
      </c>
      <c r="N33" s="329"/>
      <c r="O33" s="327">
        <f>+'[4]3.SZ.TÁBL. SEGÍTŐ SZOLGÁLAT'!O33</f>
        <v>215</v>
      </c>
      <c r="P33" s="325">
        <f t="shared" ref="P33:P38" si="6">+P138</f>
        <v>329</v>
      </c>
      <c r="Q33" s="328"/>
      <c r="R33" s="327">
        <f>+'[4]3.SZ.TÁBL. SEGÍTŐ SZOLGÁLAT'!R33</f>
        <v>0</v>
      </c>
      <c r="S33" s="325"/>
      <c r="T33" s="329"/>
      <c r="U33" s="327"/>
      <c r="V33" s="325"/>
      <c r="W33" s="329"/>
      <c r="X33" s="327">
        <f>+'[4]3.SZ.TÁBL. SEGÍTŐ SZOLGÁLAT'!X33</f>
        <v>0</v>
      </c>
      <c r="Y33" s="325"/>
      <c r="Z33" s="341"/>
      <c r="AA33" s="262">
        <f t="shared" si="2"/>
        <v>1841</v>
      </c>
      <c r="AB33" s="245">
        <f t="shared" si="2"/>
        <v>2765</v>
      </c>
      <c r="AC33" s="331"/>
    </row>
    <row r="34" spans="1:29" s="332" customFormat="1" ht="13.5" customHeight="1">
      <c r="A34" s="324"/>
      <c r="B34" s="495" t="s">
        <v>7</v>
      </c>
      <c r="C34" s="327">
        <f>+'[4]3.SZ.TÁBL. SEGÍTŐ SZOLGÁLAT'!$C34</f>
        <v>50</v>
      </c>
      <c r="D34" s="325">
        <f t="shared" si="1"/>
        <v>0</v>
      </c>
      <c r="E34" s="328"/>
      <c r="F34" s="327">
        <f>+'[4]3.SZ.TÁBL. SEGÍTŐ SZOLGÁLAT'!$F34</f>
        <v>438</v>
      </c>
      <c r="G34" s="325">
        <f t="shared" si="3"/>
        <v>565</v>
      </c>
      <c r="H34" s="326"/>
      <c r="I34" s="327">
        <f>+'[4]3.SZ.TÁBL. SEGÍTŐ SZOLGÁLAT'!I34</f>
        <v>579</v>
      </c>
      <c r="J34" s="325">
        <f t="shared" si="4"/>
        <v>1152</v>
      </c>
      <c r="K34" s="328"/>
      <c r="L34" s="327">
        <f>+'[4]3.SZ.TÁBL. SEGÍTŐ SZOLGÁLAT'!L34</f>
        <v>382</v>
      </c>
      <c r="M34" s="325">
        <f t="shared" si="5"/>
        <v>387</v>
      </c>
      <c r="N34" s="329"/>
      <c r="O34" s="327">
        <f>+'[4]3.SZ.TÁBL. SEGÍTŐ SZOLGÁLAT'!O34</f>
        <v>185</v>
      </c>
      <c r="P34" s="325">
        <f t="shared" si="6"/>
        <v>284</v>
      </c>
      <c r="Q34" s="328"/>
      <c r="R34" s="327">
        <f>+'[4]3.SZ.TÁBL. SEGÍTŐ SZOLGÁLAT'!R34</f>
        <v>0</v>
      </c>
      <c r="S34" s="325"/>
      <c r="T34" s="329"/>
      <c r="U34" s="327"/>
      <c r="V34" s="325"/>
      <c r="W34" s="329"/>
      <c r="X34" s="327">
        <f>+'[4]3.SZ.TÁBL. SEGÍTŐ SZOLGÁLAT'!X34</f>
        <v>0</v>
      </c>
      <c r="Y34" s="325"/>
      <c r="Z34" s="341"/>
      <c r="AA34" s="262">
        <f t="shared" si="2"/>
        <v>1634</v>
      </c>
      <c r="AB34" s="245">
        <f t="shared" si="2"/>
        <v>2388</v>
      </c>
      <c r="AC34" s="331"/>
    </row>
    <row r="35" spans="1:29" s="332" customFormat="1" ht="13.5" customHeight="1">
      <c r="A35" s="324"/>
      <c r="B35" s="495" t="s">
        <v>8</v>
      </c>
      <c r="C35" s="327">
        <f>+'[4]3.SZ.TÁBL. SEGÍTŐ SZOLGÁLAT'!$C35</f>
        <v>346</v>
      </c>
      <c r="D35" s="325">
        <f t="shared" si="1"/>
        <v>1758</v>
      </c>
      <c r="E35" s="328"/>
      <c r="F35" s="327">
        <f>+'[4]3.SZ.TÁBL. SEGÍTŐ SZOLGÁLAT'!$F35</f>
        <v>2286</v>
      </c>
      <c r="G35" s="325">
        <f t="shared" si="3"/>
        <v>2952</v>
      </c>
      <c r="H35" s="326"/>
      <c r="I35" s="327">
        <f>+'[4]3.SZ.TÁBL. SEGÍTŐ SZOLGÁLAT'!I35</f>
        <v>3020</v>
      </c>
      <c r="J35" s="325">
        <f t="shared" si="4"/>
        <v>6022</v>
      </c>
      <c r="K35" s="328"/>
      <c r="L35" s="327">
        <f>+'[4]3.SZ.TÁBL. SEGÍTŐ SZOLGÁLAT'!L35</f>
        <v>1996</v>
      </c>
      <c r="M35" s="325">
        <f t="shared" si="5"/>
        <v>2023</v>
      </c>
      <c r="N35" s="329"/>
      <c r="O35" s="327">
        <f>+'[4]3.SZ.TÁBL. SEGÍTŐ SZOLGÁLAT'!O35</f>
        <v>963</v>
      </c>
      <c r="P35" s="325">
        <f t="shared" si="6"/>
        <v>1487</v>
      </c>
      <c r="Q35" s="328"/>
      <c r="R35" s="327">
        <f>+'[4]3.SZ.TÁBL. SEGÍTŐ SZOLGÁLAT'!R35</f>
        <v>0</v>
      </c>
      <c r="S35" s="325"/>
      <c r="T35" s="329"/>
      <c r="U35" s="327"/>
      <c r="V35" s="325"/>
      <c r="W35" s="329"/>
      <c r="X35" s="327">
        <f>+'[4]3.SZ.TÁBL. SEGÍTŐ SZOLGÁLAT'!X35</f>
        <v>695</v>
      </c>
      <c r="Y35" s="325">
        <f>+X130</f>
        <v>1005</v>
      </c>
      <c r="Z35" s="341"/>
      <c r="AA35" s="262">
        <f t="shared" si="2"/>
        <v>9306</v>
      </c>
      <c r="AB35" s="245">
        <f t="shared" si="2"/>
        <v>15247</v>
      </c>
      <c r="AC35" s="331"/>
    </row>
    <row r="36" spans="1:29" s="332" customFormat="1" ht="13.5" customHeight="1">
      <c r="A36" s="324"/>
      <c r="B36" s="495" t="s">
        <v>9</v>
      </c>
      <c r="C36" s="327">
        <f>+'[4]3.SZ.TÁBL. SEGÍTŐ SZOLGÁLAT'!$C36</f>
        <v>50</v>
      </c>
      <c r="D36" s="325">
        <f t="shared" si="1"/>
        <v>0</v>
      </c>
      <c r="E36" s="328"/>
      <c r="F36" s="327">
        <f>+'[4]3.SZ.TÁBL. SEGÍTŐ SZOLGÁLAT'!$F36</f>
        <v>1367</v>
      </c>
      <c r="G36" s="325">
        <f t="shared" si="3"/>
        <v>1740</v>
      </c>
      <c r="H36" s="326"/>
      <c r="I36" s="327">
        <f>+'[4]3.SZ.TÁBL. SEGÍTŐ SZOLGÁLAT'!I36</f>
        <v>1807</v>
      </c>
      <c r="J36" s="325">
        <f t="shared" si="4"/>
        <v>3550</v>
      </c>
      <c r="K36" s="328"/>
      <c r="L36" s="327">
        <f>+'[4]3.SZ.TÁBL. SEGÍTŐ SZOLGÁLAT'!L36</f>
        <v>1194</v>
      </c>
      <c r="M36" s="325">
        <f t="shared" si="5"/>
        <v>1193</v>
      </c>
      <c r="N36" s="329"/>
      <c r="O36" s="327">
        <f>+'[4]3.SZ.TÁBL. SEGÍTŐ SZOLGÁLAT'!O36</f>
        <v>576</v>
      </c>
      <c r="P36" s="325">
        <f t="shared" si="6"/>
        <v>876</v>
      </c>
      <c r="Q36" s="328"/>
      <c r="R36" s="327">
        <f>+'[4]3.SZ.TÁBL. SEGÍTŐ SZOLGÁLAT'!R36</f>
        <v>0</v>
      </c>
      <c r="S36" s="325"/>
      <c r="T36" s="329"/>
      <c r="U36" s="327"/>
      <c r="V36" s="325"/>
      <c r="W36" s="329"/>
      <c r="X36" s="327">
        <f>+'[4]3.SZ.TÁBL. SEGÍTŐ SZOLGÁLAT'!X36</f>
        <v>0</v>
      </c>
      <c r="Y36" s="325"/>
      <c r="Z36" s="341"/>
      <c r="AA36" s="262">
        <f t="shared" si="2"/>
        <v>4994</v>
      </c>
      <c r="AB36" s="245">
        <f t="shared" si="2"/>
        <v>7359</v>
      </c>
      <c r="AC36" s="331"/>
    </row>
    <row r="37" spans="1:29" s="332" customFormat="1" ht="13.5" customHeight="1">
      <c r="A37" s="324"/>
      <c r="B37" s="495" t="s">
        <v>10</v>
      </c>
      <c r="C37" s="327">
        <f>+'[4]3.SZ.TÁBL. SEGÍTŐ SZOLGÁLAT'!$C37</f>
        <v>0</v>
      </c>
      <c r="D37" s="325">
        <f t="shared" si="1"/>
        <v>0</v>
      </c>
      <c r="E37" s="328"/>
      <c r="F37" s="327">
        <f>+'[4]3.SZ.TÁBL. SEGÍTŐ SZOLGÁLAT'!$F37</f>
        <v>833</v>
      </c>
      <c r="G37" s="325">
        <f t="shared" si="3"/>
        <v>1076</v>
      </c>
      <c r="H37" s="326"/>
      <c r="I37" s="327">
        <f>+'[4]3.SZ.TÁBL. SEGÍTŐ SZOLGÁLAT'!I37</f>
        <v>1100</v>
      </c>
      <c r="J37" s="325">
        <f t="shared" si="4"/>
        <v>2196</v>
      </c>
      <c r="K37" s="328"/>
      <c r="L37" s="327">
        <f>+'[4]3.SZ.TÁBL. SEGÍTŐ SZOLGÁLAT'!L37</f>
        <v>727</v>
      </c>
      <c r="M37" s="325">
        <f t="shared" si="5"/>
        <v>737</v>
      </c>
      <c r="N37" s="329"/>
      <c r="O37" s="327">
        <f>+'[4]3.SZ.TÁBL. SEGÍTŐ SZOLGÁLAT'!O37</f>
        <v>351</v>
      </c>
      <c r="P37" s="325">
        <f t="shared" si="6"/>
        <v>542</v>
      </c>
      <c r="Q37" s="328"/>
      <c r="R37" s="327">
        <f>+'[4]3.SZ.TÁBL. SEGÍTŐ SZOLGÁLAT'!R37</f>
        <v>0</v>
      </c>
      <c r="S37" s="325"/>
      <c r="T37" s="329"/>
      <c r="U37" s="327"/>
      <c r="V37" s="325"/>
      <c r="W37" s="329"/>
      <c r="X37" s="327">
        <f>+'[4]3.SZ.TÁBL. SEGÍTŐ SZOLGÁLAT'!X37</f>
        <v>0</v>
      </c>
      <c r="Y37" s="325"/>
      <c r="Z37" s="341"/>
      <c r="AA37" s="262">
        <f t="shared" si="2"/>
        <v>3011</v>
      </c>
      <c r="AB37" s="245">
        <f t="shared" si="2"/>
        <v>4551</v>
      </c>
      <c r="AC37" s="331"/>
    </row>
    <row r="38" spans="1:29" s="332" customFormat="1" ht="13.5" customHeight="1">
      <c r="A38" s="756"/>
      <c r="B38" s="496" t="s">
        <v>300</v>
      </c>
      <c r="C38" s="327">
        <f>+'[4]3.SZ.TÁBL. SEGÍTŐ SZOLGÁLAT'!$C38</f>
        <v>0</v>
      </c>
      <c r="D38" s="346">
        <f t="shared" si="1"/>
        <v>0</v>
      </c>
      <c r="E38" s="758"/>
      <c r="F38" s="327">
        <f>+'[4]3.SZ.TÁBL. SEGÍTŐ SZOLGÁLAT'!$F38</f>
        <v>1019</v>
      </c>
      <c r="G38" s="325">
        <f t="shared" si="3"/>
        <v>1320</v>
      </c>
      <c r="H38" s="348"/>
      <c r="I38" s="327">
        <f>+'[4]3.SZ.TÁBL. SEGÍTŐ SZOLGÁLAT'!I38</f>
        <v>1347</v>
      </c>
      <c r="J38" s="325">
        <f t="shared" si="4"/>
        <v>2693</v>
      </c>
      <c r="K38" s="758"/>
      <c r="L38" s="327">
        <f>+'[4]3.SZ.TÁBL. SEGÍTŐ SZOLGÁLAT'!L38</f>
        <v>890</v>
      </c>
      <c r="M38" s="325">
        <f t="shared" si="5"/>
        <v>905</v>
      </c>
      <c r="N38" s="759"/>
      <c r="O38" s="327">
        <f>+'[4]3.SZ.TÁBL. SEGÍTŐ SZOLGÁLAT'!O38</f>
        <v>0</v>
      </c>
      <c r="P38" s="325">
        <f t="shared" si="6"/>
        <v>0</v>
      </c>
      <c r="Q38" s="758"/>
      <c r="R38" s="327">
        <f>+'[4]3.SZ.TÁBL. SEGÍTŐ SZOLGÁLAT'!R38</f>
        <v>0</v>
      </c>
      <c r="S38" s="346"/>
      <c r="T38" s="759"/>
      <c r="U38" s="757"/>
      <c r="V38" s="346"/>
      <c r="W38" s="759"/>
      <c r="X38" s="327">
        <f>+'[4]3.SZ.TÁBL. SEGÍTŐ SZOLGÁLAT'!X38</f>
        <v>0</v>
      </c>
      <c r="Y38" s="346"/>
      <c r="Z38" s="349"/>
      <c r="AA38" s="286">
        <f t="shared" si="2"/>
        <v>3256</v>
      </c>
      <c r="AB38" s="270">
        <f t="shared" si="2"/>
        <v>4918</v>
      </c>
      <c r="AC38" s="347"/>
    </row>
    <row r="39" spans="1:29" s="384" customFormat="1" ht="13.5" customHeight="1" thickBot="1">
      <c r="A39" s="338" t="s">
        <v>174</v>
      </c>
      <c r="B39" s="321" t="s">
        <v>133</v>
      </c>
      <c r="C39" s="399">
        <f>SUM(C28:C29)</f>
        <v>1641</v>
      </c>
      <c r="D39" s="399">
        <f>SUM(D28:D29)</f>
        <v>2249</v>
      </c>
      <c r="E39" s="760"/>
      <c r="F39" s="399">
        <f>SUM(F28:F29)</f>
        <v>19471</v>
      </c>
      <c r="G39" s="356">
        <f>SUM(G28:G29)</f>
        <v>19642</v>
      </c>
      <c r="H39" s="358"/>
      <c r="I39" s="399">
        <f>SUM(I28:I29)</f>
        <v>30363</v>
      </c>
      <c r="J39" s="356">
        <f>SUM(J28:J29)</f>
        <v>32912</v>
      </c>
      <c r="K39" s="760"/>
      <c r="L39" s="399">
        <f>SUM(L28:L29)</f>
        <v>21610</v>
      </c>
      <c r="M39" s="356">
        <f>SUM(M28:M29)</f>
        <v>21676</v>
      </c>
      <c r="N39" s="761"/>
      <c r="O39" s="399">
        <f>SUM(O28:O29)</f>
        <v>11702</v>
      </c>
      <c r="P39" s="356">
        <f>SUM(P28:P29)</f>
        <v>13181</v>
      </c>
      <c r="Q39" s="760"/>
      <c r="R39" s="399">
        <f>SUM(R28:R29)</f>
        <v>5321</v>
      </c>
      <c r="S39" s="356">
        <f>SUM(S28:S29)</f>
        <v>5873</v>
      </c>
      <c r="T39" s="761"/>
      <c r="U39" s="399">
        <f>SUM(U28:U29)</f>
        <v>1743</v>
      </c>
      <c r="V39" s="356">
        <f>SUM(V28:V29)</f>
        <v>6297</v>
      </c>
      <c r="W39" s="761"/>
      <c r="X39" s="399">
        <f>SUM(X28:X29)</f>
        <v>1691</v>
      </c>
      <c r="Y39" s="356">
        <f>SUM(Y28:Y29)</f>
        <v>1448</v>
      </c>
      <c r="Z39" s="359"/>
      <c r="AA39" s="355">
        <f>SUM(AA28:AA29)</f>
        <v>93542</v>
      </c>
      <c r="AB39" s="356">
        <f>SUM(AB28:AB29)</f>
        <v>103278</v>
      </c>
      <c r="AC39" s="357"/>
    </row>
    <row r="40" spans="1:29" s="384" customFormat="1" ht="13.5" customHeight="1" thickBot="1">
      <c r="A40" s="859" t="s">
        <v>0</v>
      </c>
      <c r="B40" s="860"/>
      <c r="C40" s="388">
        <f>+C27+C39</f>
        <v>2441</v>
      </c>
      <c r="D40" s="363">
        <f>+D27+D39</f>
        <v>2449</v>
      </c>
      <c r="E40" s="389"/>
      <c r="F40" s="388">
        <f>+F27+F39</f>
        <v>19471</v>
      </c>
      <c r="G40" s="361">
        <f>+G27+G39</f>
        <v>19642</v>
      </c>
      <c r="H40" s="364"/>
      <c r="I40" s="388">
        <f>+I27+I39</f>
        <v>32523</v>
      </c>
      <c r="J40" s="361">
        <f>+J27+J39</f>
        <v>34984</v>
      </c>
      <c r="K40" s="389"/>
      <c r="L40" s="388">
        <f>+L27+L39</f>
        <v>21610</v>
      </c>
      <c r="M40" s="361">
        <f>+M27+M39</f>
        <v>21676</v>
      </c>
      <c r="N40" s="390"/>
      <c r="O40" s="388">
        <f>+O27+O39</f>
        <v>13322</v>
      </c>
      <c r="P40" s="361">
        <f>+P27+P39</f>
        <v>14801</v>
      </c>
      <c r="Q40" s="389"/>
      <c r="R40" s="388">
        <f>+R27+R39</f>
        <v>5821</v>
      </c>
      <c r="S40" s="361">
        <f>+S27+S39</f>
        <v>6373</v>
      </c>
      <c r="T40" s="390"/>
      <c r="U40" s="388">
        <f>+U27+U39</f>
        <v>4416</v>
      </c>
      <c r="V40" s="361">
        <f>+V27+V39</f>
        <v>12061</v>
      </c>
      <c r="W40" s="390"/>
      <c r="X40" s="388">
        <f>+X27+X39</f>
        <v>2958</v>
      </c>
      <c r="Y40" s="361">
        <f>+Y27+Y39</f>
        <v>1948</v>
      </c>
      <c r="Z40" s="365"/>
      <c r="AA40" s="360">
        <f>+AA27+AA39</f>
        <v>102562</v>
      </c>
      <c r="AB40" s="361">
        <f>+AB27+AB39</f>
        <v>113934</v>
      </c>
      <c r="AC40" s="362"/>
    </row>
    <row r="41" spans="1:29" ht="13.5" customHeight="1">
      <c r="A41" s="237" t="s">
        <v>192</v>
      </c>
      <c r="B41" s="289" t="s">
        <v>193</v>
      </c>
      <c r="C41" s="259">
        <f>+'[5]Segítő Szolgálat'!$B17</f>
        <v>767</v>
      </c>
      <c r="D41" s="257">
        <f>+'[6]Segítő Szolgálat'!$B$17</f>
        <v>1016</v>
      </c>
      <c r="E41" s="260"/>
      <c r="F41" s="391">
        <f>+'[5]Segítő Szolgálat'!$C17</f>
        <v>9020</v>
      </c>
      <c r="G41" s="257">
        <f>+'[6]Segítő Szolgálat'!$C$17</f>
        <v>10703</v>
      </c>
      <c r="H41" s="258"/>
      <c r="I41" s="391">
        <f>+'[5]Segítő Szolgálat'!$D17</f>
        <v>21203</v>
      </c>
      <c r="J41" s="257">
        <f>+'[6]Segítő Szolgálat'!$D$17</f>
        <v>23326</v>
      </c>
      <c r="K41" s="260"/>
      <c r="L41" s="391">
        <f>+'[5]Segítő Szolgálat'!$E17</f>
        <v>12609</v>
      </c>
      <c r="M41" s="257">
        <f>+'[6]Segítő Szolgálat'!$E$17</f>
        <v>12832</v>
      </c>
      <c r="N41" s="261"/>
      <c r="O41" s="391">
        <f>+'[5]Segítő Szolgálat'!$F17</f>
        <v>6591</v>
      </c>
      <c r="P41" s="257">
        <f>+'[6]Segítő Szolgálat'!$F$17</f>
        <v>7594</v>
      </c>
      <c r="Q41" s="260"/>
      <c r="R41" s="391">
        <f>+'[5]Segítő Szolgálat'!$G17</f>
        <v>1781</v>
      </c>
      <c r="S41" s="257">
        <f>+'[6]Segítő Szolgálat'!$G$17</f>
        <v>2143</v>
      </c>
      <c r="T41" s="261"/>
      <c r="U41" s="391">
        <f>+'[5]Segítő Szolgálat'!$H17</f>
        <v>2974</v>
      </c>
      <c r="V41" s="257">
        <f>+'[6]Segítő Szolgálat'!$H$17</f>
        <v>8068</v>
      </c>
      <c r="W41" s="261"/>
      <c r="X41" s="391">
        <f>+'[5]Segítő Szolgálat'!$I17</f>
        <v>0</v>
      </c>
      <c r="Y41" s="257"/>
      <c r="Z41" s="304"/>
      <c r="AA41" s="262">
        <f t="shared" ref="AA41:AB54" si="7">+C41+F41+I41+L41+O41+R41+U41+X41</f>
        <v>54945</v>
      </c>
      <c r="AB41" s="257">
        <f>+D41+G41+J41+M41+P41+S41+V41+Y41</f>
        <v>65682</v>
      </c>
      <c r="AC41" s="263"/>
    </row>
    <row r="42" spans="1:29" ht="13.5" customHeight="1">
      <c r="A42" s="238" t="s">
        <v>194</v>
      </c>
      <c r="B42" s="248" t="s">
        <v>195</v>
      </c>
      <c r="C42" s="259">
        <f>+'[5]Segítő Szolgálat'!$B18</f>
        <v>0</v>
      </c>
      <c r="D42" s="245"/>
      <c r="E42" s="252"/>
      <c r="F42" s="259">
        <f>+'[5]Segítő Szolgálat'!$C18</f>
        <v>0</v>
      </c>
      <c r="G42" s="245"/>
      <c r="H42" s="250"/>
      <c r="I42" s="259">
        <f>+'[5]Segítő Szolgálat'!$D18</f>
        <v>0</v>
      </c>
      <c r="J42" s="245"/>
      <c r="K42" s="252"/>
      <c r="L42" s="259">
        <f>+'[5]Segítő Szolgálat'!$E18</f>
        <v>0</v>
      </c>
      <c r="M42" s="245"/>
      <c r="N42" s="253"/>
      <c r="O42" s="259">
        <f>+'[5]Segítő Szolgálat'!$F18</f>
        <v>0</v>
      </c>
      <c r="P42" s="245"/>
      <c r="Q42" s="252"/>
      <c r="R42" s="259">
        <f>+'[5]Segítő Szolgálat'!$G18</f>
        <v>0</v>
      </c>
      <c r="S42" s="245"/>
      <c r="T42" s="253"/>
      <c r="U42" s="259">
        <f>+'[5]Segítő Szolgálat'!$H18</f>
        <v>0</v>
      </c>
      <c r="V42" s="245"/>
      <c r="W42" s="253"/>
      <c r="X42" s="259">
        <f>+'[5]Segítő Szolgálat'!$I18</f>
        <v>0</v>
      </c>
      <c r="Y42" s="245"/>
      <c r="Z42" s="305"/>
      <c r="AA42" s="262">
        <f t="shared" si="7"/>
        <v>0</v>
      </c>
      <c r="AB42" s="257">
        <f t="shared" si="7"/>
        <v>0</v>
      </c>
      <c r="AC42" s="246"/>
    </row>
    <row r="43" spans="1:29" ht="13.5" customHeight="1">
      <c r="A43" s="238" t="s">
        <v>196</v>
      </c>
      <c r="B43" s="248" t="s">
        <v>197</v>
      </c>
      <c r="C43" s="259">
        <f>+'[5]Segítő Szolgálat'!$B19</f>
        <v>0</v>
      </c>
      <c r="D43" s="245"/>
      <c r="E43" s="252"/>
      <c r="F43" s="259">
        <f>+'[5]Segítő Szolgálat'!$C19</f>
        <v>0</v>
      </c>
      <c r="G43" s="245"/>
      <c r="H43" s="250"/>
      <c r="I43" s="259">
        <f>+'[5]Segítő Szolgálat'!$D19</f>
        <v>0</v>
      </c>
      <c r="J43" s="245"/>
      <c r="K43" s="252"/>
      <c r="L43" s="259">
        <f>+'[5]Segítő Szolgálat'!$E19</f>
        <v>0</v>
      </c>
      <c r="M43" s="245"/>
      <c r="N43" s="253"/>
      <c r="O43" s="259">
        <f>+'[5]Segítő Szolgálat'!$F19</f>
        <v>0</v>
      </c>
      <c r="P43" s="245"/>
      <c r="Q43" s="252"/>
      <c r="R43" s="259">
        <f>+'[5]Segítő Szolgálat'!$G19</f>
        <v>0</v>
      </c>
      <c r="S43" s="245"/>
      <c r="T43" s="253"/>
      <c r="U43" s="259">
        <f>+'[5]Segítő Szolgálat'!$H19</f>
        <v>0</v>
      </c>
      <c r="V43" s="245"/>
      <c r="W43" s="253"/>
      <c r="X43" s="259">
        <f>+'[5]Segítő Szolgálat'!$I19</f>
        <v>0</v>
      </c>
      <c r="Y43" s="245"/>
      <c r="Z43" s="305"/>
      <c r="AA43" s="262">
        <f t="shared" si="7"/>
        <v>0</v>
      </c>
      <c r="AB43" s="257">
        <f t="shared" si="7"/>
        <v>0</v>
      </c>
      <c r="AC43" s="246"/>
    </row>
    <row r="44" spans="1:29" ht="13.5" customHeight="1">
      <c r="A44" s="238" t="s">
        <v>198</v>
      </c>
      <c r="B44" s="248" t="s">
        <v>199</v>
      </c>
      <c r="C44" s="259">
        <f>+'[5]Segítő Szolgálat'!$B20</f>
        <v>0</v>
      </c>
      <c r="D44" s="245"/>
      <c r="E44" s="252"/>
      <c r="F44" s="259">
        <f>+'[5]Segítő Szolgálat'!$C20</f>
        <v>537</v>
      </c>
      <c r="G44" s="245">
        <f>+'[6]Segítő Szolgálat'!$C$20</f>
        <v>663</v>
      </c>
      <c r="H44" s="250"/>
      <c r="I44" s="259">
        <f>+'[5]Segítő Szolgálat'!$D20</f>
        <v>100</v>
      </c>
      <c r="J44" s="245">
        <f>+'[6]Segítő Szolgálat'!$D$20</f>
        <v>100</v>
      </c>
      <c r="K44" s="252"/>
      <c r="L44" s="259">
        <f>+'[5]Segítő Szolgálat'!$E20</f>
        <v>0</v>
      </c>
      <c r="M44" s="245"/>
      <c r="N44" s="253"/>
      <c r="O44" s="259">
        <f>+'[5]Segítő Szolgálat'!$F20</f>
        <v>50</v>
      </c>
      <c r="P44" s="245">
        <f>+'[6]Segítő Szolgálat'!$F$20</f>
        <v>100</v>
      </c>
      <c r="Q44" s="252"/>
      <c r="R44" s="259">
        <f>+'[5]Segítő Szolgálat'!$G20</f>
        <v>0</v>
      </c>
      <c r="S44" s="245"/>
      <c r="T44" s="253"/>
      <c r="U44" s="259">
        <f>+'[5]Segítő Szolgálat'!$H20</f>
        <v>25</v>
      </c>
      <c r="V44" s="245">
        <f>+'[6]Segítő Szolgálat'!$H$20</f>
        <v>40</v>
      </c>
      <c r="W44" s="253"/>
      <c r="X44" s="259">
        <f>+'[5]Segítő Szolgálat'!$I20</f>
        <v>0</v>
      </c>
      <c r="Y44" s="245"/>
      <c r="Z44" s="305"/>
      <c r="AA44" s="262">
        <f t="shared" si="7"/>
        <v>712</v>
      </c>
      <c r="AB44" s="257">
        <f t="shared" si="7"/>
        <v>903</v>
      </c>
      <c r="AC44" s="246"/>
    </row>
    <row r="45" spans="1:29" ht="13.5" customHeight="1">
      <c r="A45" s="238" t="s">
        <v>200</v>
      </c>
      <c r="B45" s="248" t="s">
        <v>201</v>
      </c>
      <c r="C45" s="259">
        <f>+'[5]Segítő Szolgálat'!$B21</f>
        <v>0</v>
      </c>
      <c r="D45" s="245"/>
      <c r="E45" s="252"/>
      <c r="F45" s="259">
        <f>+'[5]Segítő Szolgálat'!$C21</f>
        <v>0</v>
      </c>
      <c r="G45" s="245"/>
      <c r="H45" s="250"/>
      <c r="I45" s="259">
        <f>+'[5]Segítő Szolgálat'!$D21</f>
        <v>0</v>
      </c>
      <c r="J45" s="245"/>
      <c r="K45" s="252"/>
      <c r="L45" s="259">
        <f>+'[5]Segítő Szolgálat'!$E21</f>
        <v>0</v>
      </c>
      <c r="M45" s="245"/>
      <c r="N45" s="253"/>
      <c r="O45" s="259">
        <f>+'[5]Segítő Szolgálat'!$F21</f>
        <v>0</v>
      </c>
      <c r="P45" s="245"/>
      <c r="Q45" s="252"/>
      <c r="R45" s="259">
        <f>+'[5]Segítő Szolgálat'!$G21</f>
        <v>0</v>
      </c>
      <c r="S45" s="245"/>
      <c r="T45" s="253"/>
      <c r="U45" s="259">
        <f>+'[5]Segítő Szolgálat'!$H21</f>
        <v>0</v>
      </c>
      <c r="V45" s="245"/>
      <c r="W45" s="253"/>
      <c r="X45" s="259">
        <f>+'[5]Segítő Szolgálat'!$I21</f>
        <v>0</v>
      </c>
      <c r="Y45" s="245"/>
      <c r="Z45" s="305"/>
      <c r="AA45" s="262">
        <f t="shared" si="7"/>
        <v>0</v>
      </c>
      <c r="AB45" s="257">
        <f t="shared" si="7"/>
        <v>0</v>
      </c>
      <c r="AC45" s="246"/>
    </row>
    <row r="46" spans="1:29" ht="13.5" customHeight="1">
      <c r="A46" s="238" t="s">
        <v>202</v>
      </c>
      <c r="B46" s="248" t="s">
        <v>1</v>
      </c>
      <c r="C46" s="259">
        <f>+'[5]Segítő Szolgálat'!$B22</f>
        <v>0</v>
      </c>
      <c r="D46" s="245"/>
      <c r="E46" s="252"/>
      <c r="F46" s="259">
        <f>+'[5]Segítő Szolgálat'!$C22</f>
        <v>0</v>
      </c>
      <c r="G46" s="245"/>
      <c r="H46" s="250"/>
      <c r="I46" s="259">
        <f>+'[5]Segítő Szolgálat'!$D22</f>
        <v>0</v>
      </c>
      <c r="J46" s="245"/>
      <c r="K46" s="252"/>
      <c r="L46" s="259">
        <f>+'[5]Segítő Szolgálat'!$E22</f>
        <v>545</v>
      </c>
      <c r="M46" s="245">
        <f>+'[6]Segítő Szolgálat'!$E$22</f>
        <v>313</v>
      </c>
      <c r="N46" s="253"/>
      <c r="O46" s="259">
        <f>+'[5]Segítő Szolgálat'!$F22</f>
        <v>0</v>
      </c>
      <c r="P46" s="245"/>
      <c r="Q46" s="252"/>
      <c r="R46" s="259">
        <f>+'[5]Segítő Szolgálat'!$G22</f>
        <v>0</v>
      </c>
      <c r="S46" s="245"/>
      <c r="T46" s="253"/>
      <c r="U46" s="259">
        <f>+'[5]Segítő Szolgálat'!$H22</f>
        <v>0</v>
      </c>
      <c r="V46" s="245">
        <f>+'[6]Segítő Szolgálat'!$H$22</f>
        <v>313</v>
      </c>
      <c r="W46" s="253"/>
      <c r="X46" s="259">
        <f>+'[5]Segítő Szolgálat'!$I22</f>
        <v>0</v>
      </c>
      <c r="Y46" s="245"/>
      <c r="Z46" s="305"/>
      <c r="AA46" s="262">
        <f t="shared" si="7"/>
        <v>545</v>
      </c>
      <c r="AB46" s="257">
        <f t="shared" si="7"/>
        <v>626</v>
      </c>
      <c r="AC46" s="246"/>
    </row>
    <row r="47" spans="1:29" ht="13.5" customHeight="1">
      <c r="A47" s="238" t="s">
        <v>203</v>
      </c>
      <c r="B47" s="248" t="s">
        <v>204</v>
      </c>
      <c r="C47" s="259">
        <f>+'[5]Segítő Szolgálat'!$B23</f>
        <v>30</v>
      </c>
      <c r="D47" s="245">
        <f>+'[6]Segítő Szolgálat'!$B$23</f>
        <v>35</v>
      </c>
      <c r="E47" s="252"/>
      <c r="F47" s="259">
        <f>+'[5]Segítő Szolgálat'!$C23</f>
        <v>240</v>
      </c>
      <c r="G47" s="245">
        <f>+'[6]Segítő Szolgálat'!$C$23</f>
        <v>240</v>
      </c>
      <c r="H47" s="250"/>
      <c r="I47" s="259">
        <f>+'[5]Segítő Szolgálat'!$D23</f>
        <v>780</v>
      </c>
      <c r="J47" s="245">
        <f>+'[6]Segítő Szolgálat'!$D$23</f>
        <v>720</v>
      </c>
      <c r="K47" s="252"/>
      <c r="L47" s="259">
        <f>+'[5]Segítő Szolgálat'!$E23</f>
        <v>340</v>
      </c>
      <c r="M47" s="245">
        <f>+'[6]Segítő Szolgálat'!$E$23</f>
        <v>330</v>
      </c>
      <c r="N47" s="253"/>
      <c r="O47" s="259">
        <f>+'[5]Segítő Szolgálat'!$F23</f>
        <v>210</v>
      </c>
      <c r="P47" s="245">
        <f>+'[6]Segítő Szolgálat'!$F$23</f>
        <v>210</v>
      </c>
      <c r="Q47" s="252"/>
      <c r="R47" s="259">
        <f>+'[5]Segítő Szolgálat'!$G23</f>
        <v>60</v>
      </c>
      <c r="S47" s="245">
        <f>+'[6]Segítő Szolgálat'!$G$23</f>
        <v>60</v>
      </c>
      <c r="T47" s="253"/>
      <c r="U47" s="259">
        <f>+'[5]Segítő Szolgálat'!$H23</f>
        <v>90</v>
      </c>
      <c r="V47" s="245">
        <f>+'[6]Segítő Szolgálat'!$H$23</f>
        <v>240</v>
      </c>
      <c r="W47" s="253"/>
      <c r="X47" s="259">
        <f>+'[5]Segítő Szolgálat'!$I23</f>
        <v>0</v>
      </c>
      <c r="Y47" s="245"/>
      <c r="Z47" s="305"/>
      <c r="AA47" s="262">
        <f t="shared" si="7"/>
        <v>1750</v>
      </c>
      <c r="AB47" s="257">
        <f t="shared" si="7"/>
        <v>1835</v>
      </c>
      <c r="AC47" s="246"/>
    </row>
    <row r="48" spans="1:29" ht="13.5" customHeight="1">
      <c r="A48" s="238" t="s">
        <v>205</v>
      </c>
      <c r="B48" s="248" t="s">
        <v>206</v>
      </c>
      <c r="C48" s="259">
        <f>+'[5]Segítő Szolgálat'!$B24</f>
        <v>0</v>
      </c>
      <c r="D48" s="245"/>
      <c r="E48" s="252"/>
      <c r="F48" s="259">
        <f>+'[5]Segítő Szolgálat'!$C24</f>
        <v>0</v>
      </c>
      <c r="G48" s="245"/>
      <c r="H48" s="250"/>
      <c r="I48" s="259">
        <f>+'[5]Segítő Szolgálat'!$D24</f>
        <v>0</v>
      </c>
      <c r="J48" s="245"/>
      <c r="K48" s="252"/>
      <c r="L48" s="259">
        <f>+'[5]Segítő Szolgálat'!$E24</f>
        <v>0</v>
      </c>
      <c r="M48" s="245"/>
      <c r="N48" s="253"/>
      <c r="O48" s="259">
        <f>+'[5]Segítő Szolgálat'!$F24</f>
        <v>0</v>
      </c>
      <c r="P48" s="245"/>
      <c r="Q48" s="252"/>
      <c r="R48" s="259">
        <f>+'[5]Segítő Szolgálat'!$G24</f>
        <v>0</v>
      </c>
      <c r="S48" s="245"/>
      <c r="T48" s="253"/>
      <c r="U48" s="259">
        <f>+'[5]Segítő Szolgálat'!$H24</f>
        <v>0</v>
      </c>
      <c r="V48" s="245"/>
      <c r="W48" s="253"/>
      <c r="X48" s="259">
        <f>+'[5]Segítő Szolgálat'!$I24</f>
        <v>0</v>
      </c>
      <c r="Y48" s="245"/>
      <c r="Z48" s="305"/>
      <c r="AA48" s="262">
        <f t="shared" si="7"/>
        <v>0</v>
      </c>
      <c r="AB48" s="257">
        <f t="shared" si="7"/>
        <v>0</v>
      </c>
      <c r="AC48" s="246"/>
    </row>
    <row r="49" spans="1:29" ht="13.5" customHeight="1">
      <c r="A49" s="238" t="s">
        <v>207</v>
      </c>
      <c r="B49" s="248" t="s">
        <v>2</v>
      </c>
      <c r="C49" s="259">
        <f>+'[5]Segítő Szolgálat'!$B25</f>
        <v>0</v>
      </c>
      <c r="D49" s="245">
        <f>+'[6]Segítő Szolgálat'!$B$25</f>
        <v>30</v>
      </c>
      <c r="E49" s="252"/>
      <c r="F49" s="259">
        <f>+'[5]Segítő Szolgálat'!$C25</f>
        <v>94</v>
      </c>
      <c r="G49" s="245">
        <f>+'[6]Segítő Szolgálat'!$C$25</f>
        <v>98</v>
      </c>
      <c r="H49" s="250"/>
      <c r="I49" s="259">
        <f>+'[5]Segítő Szolgálat'!$D25</f>
        <v>47</v>
      </c>
      <c r="J49" s="245">
        <f>+'[6]Segítő Szolgálat'!$D$25</f>
        <v>60</v>
      </c>
      <c r="K49" s="252"/>
      <c r="L49" s="259">
        <f>+'[5]Segítő Szolgálat'!$E25</f>
        <v>152</v>
      </c>
      <c r="M49" s="245">
        <f>+'[6]Segítő Szolgálat'!$E$25</f>
        <v>168</v>
      </c>
      <c r="N49" s="253"/>
      <c r="O49" s="259">
        <f>+'[5]Segítő Szolgálat'!$F25</f>
        <v>235</v>
      </c>
      <c r="P49" s="245">
        <f>+'[6]Segítő Szolgálat'!$F$25</f>
        <v>243</v>
      </c>
      <c r="Q49" s="252"/>
      <c r="R49" s="259">
        <f>+'[5]Segítő Szolgálat'!$G25</f>
        <v>0</v>
      </c>
      <c r="S49" s="245"/>
      <c r="T49" s="253"/>
      <c r="U49" s="259">
        <f>+'[5]Segítő Szolgálat'!$H25</f>
        <v>6</v>
      </c>
      <c r="V49" s="245">
        <f>+'[6]Segítő Szolgálat'!$H$25</f>
        <v>12</v>
      </c>
      <c r="W49" s="253"/>
      <c r="X49" s="259">
        <f>+'[5]Segítő Szolgálat'!$I25</f>
        <v>0</v>
      </c>
      <c r="Y49" s="245"/>
      <c r="Z49" s="305"/>
      <c r="AA49" s="262">
        <f t="shared" si="7"/>
        <v>534</v>
      </c>
      <c r="AB49" s="257">
        <f t="shared" si="7"/>
        <v>611</v>
      </c>
      <c r="AC49" s="246"/>
    </row>
    <row r="50" spans="1:29" ht="13.5" customHeight="1">
      <c r="A50" s="238" t="s">
        <v>208</v>
      </c>
      <c r="B50" s="248" t="s">
        <v>209</v>
      </c>
      <c r="C50" s="259">
        <f>+'[5]Segítő Szolgálat'!$B26</f>
        <v>0</v>
      </c>
      <c r="D50" s="245"/>
      <c r="E50" s="252"/>
      <c r="F50" s="259">
        <f>+'[5]Segítő Szolgálat'!$C26</f>
        <v>0</v>
      </c>
      <c r="G50" s="245"/>
      <c r="H50" s="250"/>
      <c r="I50" s="259">
        <f>+'[5]Segítő Szolgálat'!$D26</f>
        <v>0</v>
      </c>
      <c r="J50" s="245"/>
      <c r="K50" s="252"/>
      <c r="L50" s="259">
        <f>+'[5]Segítő Szolgálat'!$E26</f>
        <v>0</v>
      </c>
      <c r="M50" s="245"/>
      <c r="N50" s="253"/>
      <c r="O50" s="259">
        <f>+'[5]Segítő Szolgálat'!$F26</f>
        <v>0</v>
      </c>
      <c r="P50" s="245"/>
      <c r="Q50" s="252"/>
      <c r="R50" s="259">
        <f>+'[5]Segítő Szolgálat'!$G26</f>
        <v>0</v>
      </c>
      <c r="S50" s="245"/>
      <c r="T50" s="253"/>
      <c r="U50" s="259">
        <f>+'[5]Segítő Szolgálat'!$H26</f>
        <v>0</v>
      </c>
      <c r="V50" s="245"/>
      <c r="W50" s="253"/>
      <c r="X50" s="259">
        <f>+'[5]Segítő Szolgálat'!$I26</f>
        <v>0</v>
      </c>
      <c r="Y50" s="245"/>
      <c r="Z50" s="305"/>
      <c r="AA50" s="262">
        <f t="shared" si="7"/>
        <v>0</v>
      </c>
      <c r="AB50" s="257">
        <f t="shared" si="7"/>
        <v>0</v>
      </c>
      <c r="AC50" s="246"/>
    </row>
    <row r="51" spans="1:29" ht="13.5" customHeight="1">
      <c r="A51" s="238" t="s">
        <v>210</v>
      </c>
      <c r="B51" s="248" t="s">
        <v>211</v>
      </c>
      <c r="C51" s="259">
        <f>+'[5]Segítő Szolgálat'!$B27</f>
        <v>0</v>
      </c>
      <c r="D51" s="245"/>
      <c r="E51" s="252"/>
      <c r="F51" s="259">
        <f>+'[5]Segítő Szolgálat'!$C27</f>
        <v>0</v>
      </c>
      <c r="G51" s="245"/>
      <c r="H51" s="250"/>
      <c r="I51" s="259">
        <f>+'[5]Segítő Szolgálat'!$D27</f>
        <v>0</v>
      </c>
      <c r="J51" s="245"/>
      <c r="K51" s="252"/>
      <c r="L51" s="259">
        <f>+'[5]Segítő Szolgálat'!$E27</f>
        <v>0</v>
      </c>
      <c r="M51" s="245"/>
      <c r="N51" s="253"/>
      <c r="O51" s="259">
        <f>+'[5]Segítő Szolgálat'!$F27</f>
        <v>0</v>
      </c>
      <c r="P51" s="245"/>
      <c r="Q51" s="252"/>
      <c r="R51" s="259">
        <f>+'[5]Segítő Szolgálat'!$G27</f>
        <v>0</v>
      </c>
      <c r="S51" s="245"/>
      <c r="T51" s="253"/>
      <c r="U51" s="259">
        <f>+'[5]Segítő Szolgálat'!$H27</f>
        <v>0</v>
      </c>
      <c r="V51" s="245"/>
      <c r="W51" s="253"/>
      <c r="X51" s="259">
        <f>+'[5]Segítő Szolgálat'!$I27</f>
        <v>0</v>
      </c>
      <c r="Y51" s="245"/>
      <c r="Z51" s="305"/>
      <c r="AA51" s="262">
        <f t="shared" si="7"/>
        <v>0</v>
      </c>
      <c r="AB51" s="257">
        <f t="shared" si="7"/>
        <v>0</v>
      </c>
      <c r="AC51" s="246"/>
    </row>
    <row r="52" spans="1:29" ht="13.5" customHeight="1">
      <c r="A52" s="238" t="s">
        <v>212</v>
      </c>
      <c r="B52" s="248" t="s">
        <v>213</v>
      </c>
      <c r="C52" s="259">
        <f>+'[5]Segítő Szolgálat'!$B28</f>
        <v>0</v>
      </c>
      <c r="D52" s="245"/>
      <c r="E52" s="252"/>
      <c r="F52" s="259">
        <f>+'[5]Segítő Szolgálat'!$C28</f>
        <v>0</v>
      </c>
      <c r="G52" s="245"/>
      <c r="H52" s="250"/>
      <c r="I52" s="259">
        <f>+'[5]Segítő Szolgálat'!$D28</f>
        <v>0</v>
      </c>
      <c r="J52" s="245"/>
      <c r="K52" s="252"/>
      <c r="L52" s="259">
        <f>+'[5]Segítő Szolgálat'!$E28</f>
        <v>0</v>
      </c>
      <c r="M52" s="245"/>
      <c r="N52" s="253"/>
      <c r="O52" s="259">
        <f>+'[5]Segítő Szolgálat'!$F28</f>
        <v>0</v>
      </c>
      <c r="P52" s="245"/>
      <c r="Q52" s="252"/>
      <c r="R52" s="259">
        <f>+'[5]Segítő Szolgálat'!$G28</f>
        <v>0</v>
      </c>
      <c r="S52" s="245"/>
      <c r="T52" s="253"/>
      <c r="U52" s="259">
        <f>+'[5]Segítő Szolgálat'!$H28</f>
        <v>0</v>
      </c>
      <c r="V52" s="245"/>
      <c r="W52" s="253"/>
      <c r="X52" s="259">
        <f>+'[5]Segítő Szolgálat'!$I28</f>
        <v>0</v>
      </c>
      <c r="Y52" s="245"/>
      <c r="Z52" s="305"/>
      <c r="AA52" s="262">
        <f t="shared" si="7"/>
        <v>0</v>
      </c>
      <c r="AB52" s="257">
        <f t="shared" si="7"/>
        <v>0</v>
      </c>
      <c r="AC52" s="246"/>
    </row>
    <row r="53" spans="1:29" ht="13.5" customHeight="1">
      <c r="A53" s="238" t="s">
        <v>214</v>
      </c>
      <c r="B53" s="248" t="s">
        <v>215</v>
      </c>
      <c r="C53" s="259">
        <f>+'[5]Segítő Szolgálat'!$B29</f>
        <v>0</v>
      </c>
      <c r="D53" s="245"/>
      <c r="E53" s="252"/>
      <c r="F53" s="259">
        <f>+'[5]Segítő Szolgálat'!$C29</f>
        <v>0</v>
      </c>
      <c r="G53" s="245"/>
      <c r="H53" s="250"/>
      <c r="I53" s="259">
        <f>+'[5]Segítő Szolgálat'!$D29</f>
        <v>0</v>
      </c>
      <c r="J53" s="245"/>
      <c r="K53" s="252"/>
      <c r="L53" s="259">
        <f>+'[5]Segítő Szolgálat'!$E29</f>
        <v>0</v>
      </c>
      <c r="M53" s="245"/>
      <c r="N53" s="253"/>
      <c r="O53" s="259">
        <f>+'[5]Segítő Szolgálat'!$F29</f>
        <v>0</v>
      </c>
      <c r="P53" s="245"/>
      <c r="Q53" s="252"/>
      <c r="R53" s="259">
        <f>+'[5]Segítő Szolgálat'!$G29</f>
        <v>0</v>
      </c>
      <c r="S53" s="245"/>
      <c r="T53" s="253"/>
      <c r="U53" s="259">
        <f>+'[5]Segítő Szolgálat'!$H29</f>
        <v>0</v>
      </c>
      <c r="V53" s="245"/>
      <c r="W53" s="253"/>
      <c r="X53" s="259">
        <f>+'[5]Segítő Szolgálat'!$I29</f>
        <v>0</v>
      </c>
      <c r="Y53" s="245"/>
      <c r="Z53" s="305"/>
      <c r="AA53" s="262">
        <f t="shared" si="7"/>
        <v>0</v>
      </c>
      <c r="AB53" s="257">
        <f t="shared" si="7"/>
        <v>0</v>
      </c>
      <c r="AC53" s="246"/>
    </row>
    <row r="54" spans="1:29" ht="13.5" customHeight="1">
      <c r="A54" s="239" t="s">
        <v>214</v>
      </c>
      <c r="B54" s="290" t="s">
        <v>216</v>
      </c>
      <c r="C54" s="259">
        <f>+'[5]Segítő Szolgálat'!$B30</f>
        <v>0</v>
      </c>
      <c r="D54" s="270"/>
      <c r="E54" s="273"/>
      <c r="F54" s="259">
        <f>+'[5]Segítő Szolgálat'!$C30</f>
        <v>0</v>
      </c>
      <c r="G54" s="270"/>
      <c r="H54" s="271"/>
      <c r="I54" s="259">
        <f>+'[5]Segítő Szolgálat'!$D30</f>
        <v>0</v>
      </c>
      <c r="J54" s="270"/>
      <c r="K54" s="273"/>
      <c r="L54" s="259">
        <f>+'[5]Segítő Szolgálat'!$E30</f>
        <v>0</v>
      </c>
      <c r="M54" s="270"/>
      <c r="N54" s="274"/>
      <c r="O54" s="259">
        <f>+'[5]Segítő Szolgálat'!$F30</f>
        <v>0</v>
      </c>
      <c r="P54" s="270"/>
      <c r="Q54" s="273"/>
      <c r="R54" s="259">
        <f>+'[5]Segítő Szolgálat'!$G30</f>
        <v>0</v>
      </c>
      <c r="S54" s="270"/>
      <c r="T54" s="274"/>
      <c r="U54" s="259">
        <f>+'[5]Segítő Szolgálat'!$H30</f>
        <v>0</v>
      </c>
      <c r="V54" s="270"/>
      <c r="W54" s="274"/>
      <c r="X54" s="259">
        <f>+'[5]Segítő Szolgálat'!$I30</f>
        <v>0</v>
      </c>
      <c r="Y54" s="270"/>
      <c r="Z54" s="306"/>
      <c r="AA54" s="262">
        <f t="shared" si="7"/>
        <v>0</v>
      </c>
      <c r="AB54" s="257">
        <f t="shared" si="7"/>
        <v>0</v>
      </c>
      <c r="AC54" s="276"/>
    </row>
    <row r="55" spans="1:29" s="384" customFormat="1" ht="13.5" customHeight="1">
      <c r="A55" s="240" t="s">
        <v>176</v>
      </c>
      <c r="B55" s="291" t="s">
        <v>134</v>
      </c>
      <c r="C55" s="381">
        <f>+SUM(C41:C53)</f>
        <v>797</v>
      </c>
      <c r="D55" s="352">
        <f>+SUM(D41:D53)</f>
        <v>1081</v>
      </c>
      <c r="E55" s="382"/>
      <c r="F55" s="381">
        <f>+SUM(F41:F53)</f>
        <v>9891</v>
      </c>
      <c r="G55" s="350">
        <f>+SUM(G41:G53)</f>
        <v>11704</v>
      </c>
      <c r="H55" s="353"/>
      <c r="I55" s="381">
        <f>+SUM(I41:I53)</f>
        <v>22130</v>
      </c>
      <c r="J55" s="350">
        <f>+SUM(J41:J53)</f>
        <v>24206</v>
      </c>
      <c r="K55" s="382"/>
      <c r="L55" s="381">
        <f>+SUM(L41:L53)</f>
        <v>13646</v>
      </c>
      <c r="M55" s="350">
        <f>+SUM(M41:M53)</f>
        <v>13643</v>
      </c>
      <c r="N55" s="383"/>
      <c r="O55" s="381">
        <f>+SUM(O41:O53)</f>
        <v>7086</v>
      </c>
      <c r="P55" s="350">
        <f>+SUM(P41:P53)</f>
        <v>8147</v>
      </c>
      <c r="Q55" s="382"/>
      <c r="R55" s="381">
        <f>+SUM(R41:R53)</f>
        <v>1841</v>
      </c>
      <c r="S55" s="350">
        <f>+SUM(S41:S53)</f>
        <v>2203</v>
      </c>
      <c r="T55" s="383"/>
      <c r="U55" s="381">
        <f>+SUM(U41:U53)</f>
        <v>3095</v>
      </c>
      <c r="V55" s="350">
        <f>+SUM(V41:V53)</f>
        <v>8673</v>
      </c>
      <c r="W55" s="383"/>
      <c r="X55" s="381">
        <f>+SUM(X41:X53)</f>
        <v>0</v>
      </c>
      <c r="Y55" s="350">
        <f>+SUM(Y41:Y53)</f>
        <v>0</v>
      </c>
      <c r="Z55" s="354"/>
      <c r="AA55" s="344">
        <f>+SUM(AA41:AA53)</f>
        <v>58486</v>
      </c>
      <c r="AB55" s="350">
        <f>+SUM(AB41:AB53)</f>
        <v>69657</v>
      </c>
      <c r="AC55" s="351"/>
    </row>
    <row r="56" spans="1:29" ht="13.5" customHeight="1">
      <c r="A56" s="237" t="s">
        <v>217</v>
      </c>
      <c r="B56" s="289" t="s">
        <v>218</v>
      </c>
      <c r="C56" s="259">
        <f>+'[5]Segítő Szolgálat'!$B32</f>
        <v>0</v>
      </c>
      <c r="D56" s="257"/>
      <c r="E56" s="260"/>
      <c r="F56" s="259">
        <f>+'[5]Segítő Szolgálat'!$C32</f>
        <v>0</v>
      </c>
      <c r="G56" s="257"/>
      <c r="H56" s="258"/>
      <c r="I56" s="259">
        <f>+'[5]Segítő Szolgálat'!$D32</f>
        <v>0</v>
      </c>
      <c r="J56" s="257"/>
      <c r="K56" s="260"/>
      <c r="L56" s="259">
        <f>+'[5]Segítő Szolgálat'!$E32</f>
        <v>0</v>
      </c>
      <c r="M56" s="257"/>
      <c r="N56" s="261"/>
      <c r="O56" s="259">
        <f>+'[5]Segítő Szolgálat'!$F32</f>
        <v>0</v>
      </c>
      <c r="P56" s="257"/>
      <c r="Q56" s="260"/>
      <c r="R56" s="259">
        <f>+'[5]Segítő Szolgálat'!$G32</f>
        <v>0</v>
      </c>
      <c r="S56" s="257"/>
      <c r="T56" s="261"/>
      <c r="U56" s="259">
        <f>+'[5]Segítő Szolgálat'!$H32</f>
        <v>0</v>
      </c>
      <c r="V56" s="257"/>
      <c r="W56" s="261"/>
      <c r="X56" s="259">
        <f>+'[5]Segítő Szolgálat'!$I32</f>
        <v>0</v>
      </c>
      <c r="Y56" s="257"/>
      <c r="Z56" s="304"/>
      <c r="AA56" s="262">
        <f t="shared" ref="AA56:AB58" si="8">+C56+F56+I56+L56+O56+R56+U56+X56</f>
        <v>0</v>
      </c>
      <c r="AB56" s="257"/>
      <c r="AC56" s="263"/>
    </row>
    <row r="57" spans="1:29" ht="13.5" customHeight="1">
      <c r="A57" s="238" t="s">
        <v>219</v>
      </c>
      <c r="B57" s="248" t="s">
        <v>220</v>
      </c>
      <c r="C57" s="259">
        <f>+'[5]Segítő Szolgálat'!$B33</f>
        <v>0</v>
      </c>
      <c r="D57" s="245"/>
      <c r="E57" s="252"/>
      <c r="F57" s="259">
        <f>+'[5]Segítő Szolgálat'!$C33</f>
        <v>150</v>
      </c>
      <c r="G57" s="245">
        <f>+'[6]Segítő Szolgálat'!$C$33</f>
        <v>150</v>
      </c>
      <c r="H57" s="250"/>
      <c r="I57" s="259">
        <f>+'[5]Segítő Szolgálat'!$D33</f>
        <v>100</v>
      </c>
      <c r="J57" s="245">
        <f>+'[6]Segítő Szolgálat'!$D$33</f>
        <v>100</v>
      </c>
      <c r="K57" s="252"/>
      <c r="L57" s="259">
        <f>+'[5]Segítő Szolgálat'!$E33</f>
        <v>150</v>
      </c>
      <c r="M57" s="245">
        <f>+'[6]Segítő Szolgálat'!$E$33</f>
        <v>150</v>
      </c>
      <c r="N57" s="253"/>
      <c r="O57" s="259">
        <f>+'[5]Segítő Szolgálat'!$F33</f>
        <v>0</v>
      </c>
      <c r="P57" s="245"/>
      <c r="Q57" s="252"/>
      <c r="R57" s="259">
        <f>+'[5]Segítő Szolgálat'!$G33</f>
        <v>150</v>
      </c>
      <c r="S57" s="245">
        <f>+'[6]Segítő Szolgálat'!$G$33</f>
        <v>150</v>
      </c>
      <c r="T57" s="253"/>
      <c r="U57" s="259">
        <f>+'[5]Segítő Szolgálat'!$H33</f>
        <v>0</v>
      </c>
      <c r="V57" s="245"/>
      <c r="W57" s="253"/>
      <c r="X57" s="259">
        <f>+'[5]Segítő Szolgálat'!$I33</f>
        <v>0</v>
      </c>
      <c r="Y57" s="245"/>
      <c r="Z57" s="305"/>
      <c r="AA57" s="262">
        <f t="shared" si="8"/>
        <v>550</v>
      </c>
      <c r="AB57" s="257">
        <f t="shared" si="8"/>
        <v>550</v>
      </c>
      <c r="AC57" s="246"/>
    </row>
    <row r="58" spans="1:29" ht="13.5" customHeight="1">
      <c r="A58" s="239" t="s">
        <v>221</v>
      </c>
      <c r="B58" s="290" t="s">
        <v>222</v>
      </c>
      <c r="C58" s="259">
        <f>+'[5]Segítő Szolgálat'!$B34</f>
        <v>0</v>
      </c>
      <c r="D58" s="270"/>
      <c r="E58" s="273"/>
      <c r="F58" s="259">
        <f>+'[5]Segítő Szolgálat'!$C34</f>
        <v>25</v>
      </c>
      <c r="G58" s="270">
        <f>+'[6]Segítő Szolgálat'!$C$34</f>
        <v>25</v>
      </c>
      <c r="H58" s="271"/>
      <c r="I58" s="259">
        <f>+'[5]Segítő Szolgálat'!$D34</f>
        <v>15</v>
      </c>
      <c r="J58" s="270">
        <f>+'[6]Segítő Szolgálat'!$D$34</f>
        <v>15</v>
      </c>
      <c r="K58" s="273"/>
      <c r="L58" s="259">
        <f>+'[5]Segítő Szolgálat'!$E34</f>
        <v>25</v>
      </c>
      <c r="M58" s="270">
        <f>+'[6]Segítő Szolgálat'!$E$34</f>
        <v>25</v>
      </c>
      <c r="N58" s="274"/>
      <c r="O58" s="259">
        <f>+'[5]Segítő Szolgálat'!$F34</f>
        <v>10</v>
      </c>
      <c r="P58" s="270">
        <f>+'[6]Segítő Szolgálat'!$F$34</f>
        <v>10</v>
      </c>
      <c r="Q58" s="273"/>
      <c r="R58" s="259">
        <f>+'[5]Segítő Szolgálat'!$G34</f>
        <v>0</v>
      </c>
      <c r="S58" s="270"/>
      <c r="T58" s="274"/>
      <c r="U58" s="259">
        <f>+'[5]Segítő Szolgálat'!$H34</f>
        <v>0</v>
      </c>
      <c r="V58" s="270"/>
      <c r="W58" s="274"/>
      <c r="X58" s="259">
        <f>+'[5]Segítő Szolgálat'!$I34</f>
        <v>0</v>
      </c>
      <c r="Y58" s="270"/>
      <c r="Z58" s="306"/>
      <c r="AA58" s="262">
        <f t="shared" si="8"/>
        <v>75</v>
      </c>
      <c r="AB58" s="257">
        <f t="shared" si="8"/>
        <v>75</v>
      </c>
      <c r="AC58" s="276"/>
    </row>
    <row r="59" spans="1:29" s="384" customFormat="1" ht="13.5" customHeight="1">
      <c r="A59" s="240" t="s">
        <v>177</v>
      </c>
      <c r="B59" s="291" t="s">
        <v>135</v>
      </c>
      <c r="C59" s="381">
        <f>SUM(C56:C58)</f>
        <v>0</v>
      </c>
      <c r="D59" s="352">
        <f>SUM(D56:D58)</f>
        <v>0</v>
      </c>
      <c r="E59" s="382"/>
      <c r="F59" s="381">
        <f>SUM(F56:F58)</f>
        <v>175</v>
      </c>
      <c r="G59" s="350">
        <f>SUM(G56:G58)</f>
        <v>175</v>
      </c>
      <c r="H59" s="353"/>
      <c r="I59" s="381">
        <f>SUM(I56:I58)</f>
        <v>115</v>
      </c>
      <c r="J59" s="350">
        <f>SUM(J56:J58)</f>
        <v>115</v>
      </c>
      <c r="K59" s="382"/>
      <c r="L59" s="381">
        <f>SUM(L56:L58)</f>
        <v>175</v>
      </c>
      <c r="M59" s="350">
        <f>SUM(M56:M58)</f>
        <v>175</v>
      </c>
      <c r="N59" s="383"/>
      <c r="O59" s="381">
        <f>SUM(O56:O58)</f>
        <v>10</v>
      </c>
      <c r="P59" s="350">
        <f>SUM(P56:P58)</f>
        <v>10</v>
      </c>
      <c r="Q59" s="382"/>
      <c r="R59" s="381">
        <f>SUM(R56:R58)</f>
        <v>150</v>
      </c>
      <c r="S59" s="350">
        <f>SUM(S56:S58)</f>
        <v>150</v>
      </c>
      <c r="T59" s="383"/>
      <c r="U59" s="381">
        <f>SUM(U56:U58)</f>
        <v>0</v>
      </c>
      <c r="V59" s="350">
        <f>SUM(V56:V58)</f>
        <v>0</v>
      </c>
      <c r="W59" s="383"/>
      <c r="X59" s="381">
        <f>SUM(X56:X58)</f>
        <v>0</v>
      </c>
      <c r="Y59" s="350">
        <f>SUM(Y56:Y58)</f>
        <v>0</v>
      </c>
      <c r="Z59" s="354"/>
      <c r="AA59" s="344">
        <f>SUM(AA56:AA58)</f>
        <v>625</v>
      </c>
      <c r="AB59" s="350">
        <f>SUM(AB56:AB58)</f>
        <v>625</v>
      </c>
      <c r="AC59" s="351"/>
    </row>
    <row r="60" spans="1:29" s="384" customFormat="1" ht="13.5" customHeight="1">
      <c r="A60" s="240" t="s">
        <v>178</v>
      </c>
      <c r="B60" s="291" t="s">
        <v>136</v>
      </c>
      <c r="C60" s="381">
        <f>+C55+C59</f>
        <v>797</v>
      </c>
      <c r="D60" s="352">
        <f>+D55+D59</f>
        <v>1081</v>
      </c>
      <c r="E60" s="382"/>
      <c r="F60" s="381">
        <f>+F55+F59</f>
        <v>10066</v>
      </c>
      <c r="G60" s="350">
        <f>+G55+G59</f>
        <v>11879</v>
      </c>
      <c r="H60" s="353"/>
      <c r="I60" s="381">
        <f>+I55+I59</f>
        <v>22245</v>
      </c>
      <c r="J60" s="350">
        <f>+J55+J59</f>
        <v>24321</v>
      </c>
      <c r="K60" s="382"/>
      <c r="L60" s="381">
        <f>+L55+L59</f>
        <v>13821</v>
      </c>
      <c r="M60" s="350">
        <f>+M55+M59</f>
        <v>13818</v>
      </c>
      <c r="N60" s="383"/>
      <c r="O60" s="381">
        <f>+O55+O59</f>
        <v>7096</v>
      </c>
      <c r="P60" s="350">
        <f>+P55+P59</f>
        <v>8157</v>
      </c>
      <c r="Q60" s="382"/>
      <c r="R60" s="381">
        <f>+R55+R59</f>
        <v>1991</v>
      </c>
      <c r="S60" s="350">
        <f>+S55+S59</f>
        <v>2353</v>
      </c>
      <c r="T60" s="383"/>
      <c r="U60" s="381">
        <f>+U55+U59</f>
        <v>3095</v>
      </c>
      <c r="V60" s="350">
        <f>+V55+V59</f>
        <v>8673</v>
      </c>
      <c r="W60" s="383"/>
      <c r="X60" s="381">
        <f>+X55+X59</f>
        <v>0</v>
      </c>
      <c r="Y60" s="350">
        <f>+Y55+Y59</f>
        <v>0</v>
      </c>
      <c r="Z60" s="354"/>
      <c r="AA60" s="344">
        <f>+AA55+AA59</f>
        <v>59111</v>
      </c>
      <c r="AB60" s="350">
        <f>+AB55+AB59</f>
        <v>70282</v>
      </c>
      <c r="AC60" s="351"/>
    </row>
    <row r="61" spans="1:29" s="384" customFormat="1" ht="13.5" customHeight="1">
      <c r="A61" s="240" t="s">
        <v>179</v>
      </c>
      <c r="B61" s="291" t="s">
        <v>137</v>
      </c>
      <c r="C61" s="381">
        <f>+SUM(C62:C66)</f>
        <v>249</v>
      </c>
      <c r="D61" s="381">
        <f>+SUM(D62:D66)</f>
        <v>273</v>
      </c>
      <c r="E61" s="382"/>
      <c r="F61" s="381">
        <f>+SUM(F62:F66)</f>
        <v>2969</v>
      </c>
      <c r="G61" s="350">
        <f>+SUM(G62:G66)</f>
        <v>2873</v>
      </c>
      <c r="H61" s="353"/>
      <c r="I61" s="381">
        <f>+SUM(I62:I66)</f>
        <v>6973</v>
      </c>
      <c r="J61" s="350">
        <f>+SUM(J62:J66)</f>
        <v>6431</v>
      </c>
      <c r="K61" s="382"/>
      <c r="L61" s="381">
        <f>+SUM(L62:L66)</f>
        <v>4070</v>
      </c>
      <c r="M61" s="350">
        <f>+SUM(M62:M66)</f>
        <v>3405</v>
      </c>
      <c r="N61" s="383"/>
      <c r="O61" s="381">
        <f>+SUM(O62:O66)</f>
        <v>2091</v>
      </c>
      <c r="P61" s="350">
        <f>+SUM(P62:P66)</f>
        <v>2019</v>
      </c>
      <c r="Q61" s="382"/>
      <c r="R61" s="381">
        <f>+SUM(R62:R66)</f>
        <v>605</v>
      </c>
      <c r="S61" s="350">
        <f>+SUM(S62:S66)</f>
        <v>565</v>
      </c>
      <c r="T61" s="383"/>
      <c r="U61" s="381">
        <f>+SUM(U62:U66)</f>
        <v>936</v>
      </c>
      <c r="V61" s="350">
        <f>+SUM(V62:V66)</f>
        <v>2068</v>
      </c>
      <c r="W61" s="383"/>
      <c r="X61" s="381">
        <f>+SUM(X62:X66)</f>
        <v>0</v>
      </c>
      <c r="Y61" s="350">
        <f>+SUM(Y62:Y66)</f>
        <v>0</v>
      </c>
      <c r="Z61" s="354"/>
      <c r="AA61" s="344">
        <f>+SUM(AA62:AA66)</f>
        <v>17893</v>
      </c>
      <c r="AB61" s="350">
        <f>+SUM(AB62:AB66)</f>
        <v>17634</v>
      </c>
      <c r="AC61" s="351"/>
    </row>
    <row r="62" spans="1:29" ht="13.5" customHeight="1">
      <c r="A62" s="241" t="s">
        <v>179</v>
      </c>
      <c r="B62" s="292" t="s">
        <v>281</v>
      </c>
      <c r="C62" s="259">
        <f>+'[5]Segítő Szolgálat'!$B38</f>
        <v>207</v>
      </c>
      <c r="D62" s="257">
        <f>+'[6]Segítő Szolgálat'!$B$38</f>
        <v>224</v>
      </c>
      <c r="E62" s="260"/>
      <c r="F62" s="259">
        <f>+'[5]Segítő Szolgálat'!$C38</f>
        <v>2621</v>
      </c>
      <c r="G62" s="257">
        <f>+'[6]Segítő Szolgálat'!$C$38</f>
        <v>2500</v>
      </c>
      <c r="H62" s="258"/>
      <c r="I62" s="259">
        <f>+'[5]Segítő Szolgálat'!$D38</f>
        <v>5779</v>
      </c>
      <c r="J62" s="257">
        <f>+'[6]Segítő Szolgálat'!$D$38</f>
        <v>5154</v>
      </c>
      <c r="K62" s="260"/>
      <c r="L62" s="259">
        <f>+'[5]Segítő Szolgálat'!$E38</f>
        <v>3592</v>
      </c>
      <c r="M62" s="257">
        <f>+'[6]Segítő Szolgálat'!$E$38</f>
        <v>2892</v>
      </c>
      <c r="N62" s="261"/>
      <c r="O62" s="259">
        <f>+'[5]Segítő Szolgálat'!$F38</f>
        <v>1793</v>
      </c>
      <c r="P62" s="257">
        <f>+'[6]Segítő Szolgálat'!$F$38</f>
        <v>1693</v>
      </c>
      <c r="Q62" s="260"/>
      <c r="R62" s="259">
        <f>+'[5]Segítő Szolgálat'!$G38</f>
        <v>521</v>
      </c>
      <c r="S62" s="257">
        <f>+'[6]Segítő Szolgálat'!$G$38</f>
        <v>472</v>
      </c>
      <c r="T62" s="261"/>
      <c r="U62" s="259">
        <f>+'[5]Segítő Szolgálat'!$H38</f>
        <v>810</v>
      </c>
      <c r="V62" s="257">
        <f>+'[6]Segítő Szolgálat'!$H$38</f>
        <v>1853</v>
      </c>
      <c r="W62" s="261"/>
      <c r="X62" s="259">
        <f>+'[5]Segítő Szolgálat'!$I38</f>
        <v>0</v>
      </c>
      <c r="Y62" s="257"/>
      <c r="Z62" s="304"/>
      <c r="AA62" s="262">
        <f t="shared" ref="AA62:AB69" si="9">+C62+F62+I62+L62+O62+R62+U62+X62</f>
        <v>15323</v>
      </c>
      <c r="AB62" s="257">
        <f t="shared" si="9"/>
        <v>14788</v>
      </c>
      <c r="AC62" s="263"/>
    </row>
    <row r="63" spans="1:29" ht="13.5" customHeight="1">
      <c r="A63" s="242" t="s">
        <v>179</v>
      </c>
      <c r="B63" s="249" t="s">
        <v>282</v>
      </c>
      <c r="C63" s="251">
        <f>+'[5]Segítő Szolgálat'!$B39</f>
        <v>32</v>
      </c>
      <c r="D63" s="245">
        <f>+'[6]Segítő Szolgálat'!$B$39</f>
        <v>32</v>
      </c>
      <c r="E63" s="252"/>
      <c r="F63" s="251">
        <f>+'[5]Segítő Szolgálat'!$C39</f>
        <v>253</v>
      </c>
      <c r="G63" s="245">
        <f>+'[6]Segítő Szolgálat'!$C$39</f>
        <v>253</v>
      </c>
      <c r="H63" s="250"/>
      <c r="I63" s="251">
        <f>+'[5]Segítő Szolgálat'!$D39</f>
        <v>917</v>
      </c>
      <c r="J63" s="245">
        <f>+'[6]Segítő Szolgálat'!$D$39</f>
        <v>917</v>
      </c>
      <c r="K63" s="252"/>
      <c r="L63" s="251">
        <f>+'[5]Segítő Szolgálat'!$E39</f>
        <v>348</v>
      </c>
      <c r="M63" s="245">
        <f>+'[6]Segítő Szolgálat'!$E$39</f>
        <v>348</v>
      </c>
      <c r="N63" s="253"/>
      <c r="O63" s="251">
        <f>+'[5]Segítő Szolgálat'!$F39</f>
        <v>221</v>
      </c>
      <c r="P63" s="245">
        <f>+'[6]Segítő Szolgálat'!$F$39</f>
        <v>221</v>
      </c>
      <c r="Q63" s="252"/>
      <c r="R63" s="251">
        <f>+'[5]Segítő Szolgálat'!$G39</f>
        <v>63</v>
      </c>
      <c r="S63" s="245">
        <f>+'[6]Segítő Szolgálat'!$G$39</f>
        <v>63</v>
      </c>
      <c r="T63" s="253"/>
      <c r="U63" s="251">
        <f>+'[5]Segítő Szolgálat'!$H39</f>
        <v>95</v>
      </c>
      <c r="V63" s="245">
        <f>+'[6]Segítő Szolgálat'!$H$39</f>
        <v>95</v>
      </c>
      <c r="W63" s="253"/>
      <c r="X63" s="251">
        <f>+'[5]Segítő Szolgálat'!$I39</f>
        <v>0</v>
      </c>
      <c r="Y63" s="245"/>
      <c r="Z63" s="305"/>
      <c r="AA63" s="262">
        <f t="shared" si="9"/>
        <v>1929</v>
      </c>
      <c r="AB63" s="257">
        <f t="shared" si="9"/>
        <v>1929</v>
      </c>
      <c r="AC63" s="246"/>
    </row>
    <row r="64" spans="1:29" ht="13.5" customHeight="1">
      <c r="A64" s="242" t="s">
        <v>179</v>
      </c>
      <c r="B64" s="249" t="s">
        <v>283</v>
      </c>
      <c r="C64" s="251">
        <f>+'[5]Segítő Szolgálat'!$B40</f>
        <v>5</v>
      </c>
      <c r="D64" s="245">
        <f>+'[6]Segítő Szolgálat'!$B$40</f>
        <v>11</v>
      </c>
      <c r="E64" s="252"/>
      <c r="F64" s="251">
        <f>+'[5]Segítő Szolgálat'!$C40</f>
        <v>48</v>
      </c>
      <c r="G64" s="245">
        <f>+'[6]Segítő Szolgálat'!$C$40</f>
        <v>77</v>
      </c>
      <c r="H64" s="250"/>
      <c r="I64" s="251">
        <f>+'[5]Segítő Szolgálat'!$D40</f>
        <v>135</v>
      </c>
      <c r="J64" s="245">
        <f>+'[6]Segítő Szolgálat'!$D$40</f>
        <v>231</v>
      </c>
      <c r="K64" s="252"/>
      <c r="L64" s="251">
        <f>+'[5]Segítő Szolgálat'!$E40</f>
        <v>65</v>
      </c>
      <c r="M64" s="245">
        <f>+'[6]Segítő Szolgálat'!$E$40</f>
        <v>106</v>
      </c>
      <c r="N64" s="253"/>
      <c r="O64" s="251">
        <f>+'[5]Segítő Szolgálat'!$F40</f>
        <v>38</v>
      </c>
      <c r="P64" s="245">
        <f>+'[6]Segítő Szolgálat'!$F$40</f>
        <v>67</v>
      </c>
      <c r="Q64" s="252"/>
      <c r="R64" s="251">
        <f>+'[5]Segítő Szolgálat'!$G40</f>
        <v>10</v>
      </c>
      <c r="S64" s="245">
        <f>+'[6]Segítő Szolgálat'!$G$40</f>
        <v>19</v>
      </c>
      <c r="T64" s="253"/>
      <c r="U64" s="251">
        <f>+'[5]Segítő Szolgálat'!$H40</f>
        <v>15</v>
      </c>
      <c r="V64" s="245">
        <f>+'[6]Segítő Szolgálat'!$H$40</f>
        <v>77</v>
      </c>
      <c r="W64" s="253"/>
      <c r="X64" s="251">
        <f>+'[5]Segítő Szolgálat'!$I40</f>
        <v>0</v>
      </c>
      <c r="Y64" s="245"/>
      <c r="Z64" s="305"/>
      <c r="AA64" s="262">
        <f t="shared" si="9"/>
        <v>316</v>
      </c>
      <c r="AB64" s="257">
        <f t="shared" si="9"/>
        <v>588</v>
      </c>
      <c r="AC64" s="246"/>
    </row>
    <row r="65" spans="1:29" ht="13.5" customHeight="1">
      <c r="A65" s="242" t="s">
        <v>179</v>
      </c>
      <c r="B65" s="249" t="s">
        <v>284</v>
      </c>
      <c r="C65" s="251">
        <f>+'[5]Segítő Szolgálat'!$B41</f>
        <v>0</v>
      </c>
      <c r="D65" s="245"/>
      <c r="E65" s="252"/>
      <c r="F65" s="251">
        <f>+'[5]Segítő Szolgálat'!$C41</f>
        <v>0</v>
      </c>
      <c r="G65" s="245"/>
      <c r="H65" s="250"/>
      <c r="I65" s="251">
        <f>+'[5]Segítő Szolgálat'!$D41</f>
        <v>0</v>
      </c>
      <c r="J65" s="245"/>
      <c r="K65" s="252"/>
      <c r="L65" s="251">
        <f>+'[5]Segítő Szolgálat'!$E41</f>
        <v>0</v>
      </c>
      <c r="M65" s="245"/>
      <c r="N65" s="253"/>
      <c r="O65" s="251">
        <f>+'[5]Segítő Szolgálat'!$F41</f>
        <v>0</v>
      </c>
      <c r="P65" s="245"/>
      <c r="Q65" s="252"/>
      <c r="R65" s="251">
        <f>+'[5]Segítő Szolgálat'!$G41</f>
        <v>0</v>
      </c>
      <c r="S65" s="245"/>
      <c r="T65" s="253"/>
      <c r="U65" s="251">
        <f>+'[5]Segítő Szolgálat'!$H41</f>
        <v>0</v>
      </c>
      <c r="V65" s="245"/>
      <c r="W65" s="253"/>
      <c r="X65" s="251">
        <f>+'[5]Segítő Szolgálat'!$I41</f>
        <v>0</v>
      </c>
      <c r="Y65" s="245"/>
      <c r="Z65" s="305"/>
      <c r="AA65" s="262">
        <f t="shared" si="9"/>
        <v>0</v>
      </c>
      <c r="AB65" s="257">
        <f t="shared" si="9"/>
        <v>0</v>
      </c>
      <c r="AC65" s="246"/>
    </row>
    <row r="66" spans="1:29" ht="13.5" customHeight="1">
      <c r="A66" s="242" t="s">
        <v>179</v>
      </c>
      <c r="B66" s="249" t="s">
        <v>285</v>
      </c>
      <c r="C66" s="251">
        <f>+'[5]Segítő Szolgálat'!$B42</f>
        <v>5</v>
      </c>
      <c r="D66" s="245">
        <f>+'[6]Segítő Szolgálat'!$B$42</f>
        <v>6</v>
      </c>
      <c r="E66" s="252"/>
      <c r="F66" s="251">
        <f>+'[5]Segítő Szolgálat'!$C42</f>
        <v>47</v>
      </c>
      <c r="G66" s="245">
        <f>+'[6]Segítő Szolgálat'!$C$42</f>
        <v>43</v>
      </c>
      <c r="H66" s="250"/>
      <c r="I66" s="251">
        <f>+'[5]Segítő Szolgálat'!$D42</f>
        <v>142</v>
      </c>
      <c r="J66" s="245">
        <f>+'[6]Segítő Szolgálat'!$D$42</f>
        <v>129</v>
      </c>
      <c r="K66" s="252"/>
      <c r="L66" s="251">
        <f>+'[5]Segítő Szolgálat'!$E42</f>
        <v>65</v>
      </c>
      <c r="M66" s="245">
        <f>+'[6]Segítő Szolgálat'!$E$42</f>
        <v>59</v>
      </c>
      <c r="N66" s="253"/>
      <c r="O66" s="251">
        <f>+'[5]Segítő Szolgálat'!$F42</f>
        <v>39</v>
      </c>
      <c r="P66" s="245">
        <f>+'[6]Segítő Szolgálat'!$F$42</f>
        <v>38</v>
      </c>
      <c r="Q66" s="252"/>
      <c r="R66" s="251">
        <f>+'[5]Segítő Szolgálat'!$G42</f>
        <v>11</v>
      </c>
      <c r="S66" s="245">
        <f>+'[6]Segítő Szolgálat'!$G$42</f>
        <v>11</v>
      </c>
      <c r="T66" s="253"/>
      <c r="U66" s="251">
        <f>+'[5]Segítő Szolgálat'!$H42</f>
        <v>16</v>
      </c>
      <c r="V66" s="245">
        <f>+'[6]Segítő Szolgálat'!$H$42</f>
        <v>43</v>
      </c>
      <c r="W66" s="253"/>
      <c r="X66" s="251">
        <f>+'[5]Segítő Szolgálat'!$I42</f>
        <v>0</v>
      </c>
      <c r="Y66" s="245"/>
      <c r="Z66" s="305"/>
      <c r="AA66" s="262">
        <f t="shared" si="9"/>
        <v>325</v>
      </c>
      <c r="AB66" s="257">
        <f t="shared" si="9"/>
        <v>329</v>
      </c>
      <c r="AC66" s="246"/>
    </row>
    <row r="67" spans="1:29" ht="13.5" customHeight="1">
      <c r="A67" s="237" t="s">
        <v>223</v>
      </c>
      <c r="B67" s="289" t="s">
        <v>224</v>
      </c>
      <c r="C67" s="259">
        <f>+[7]Sheet!$E$10</f>
        <v>10</v>
      </c>
      <c r="D67" s="257">
        <f>+[8]Sheet!$E$10</f>
        <v>25</v>
      </c>
      <c r="E67" s="260"/>
      <c r="F67" s="251">
        <f>+[7]Sheet!$K$10</f>
        <v>10</v>
      </c>
      <c r="G67" s="257">
        <f>+[8]Sheet!$K$10</f>
        <v>25</v>
      </c>
      <c r="H67" s="258"/>
      <c r="I67" s="251">
        <f>+[7]Sheet!$I$10</f>
        <v>0</v>
      </c>
      <c r="J67" s="257">
        <f>+[8]Sheet!$I$10</f>
        <v>0</v>
      </c>
      <c r="K67" s="260"/>
      <c r="L67" s="251">
        <f>+[7]Sheet!$G$10</f>
        <v>8</v>
      </c>
      <c r="M67" s="257">
        <f>+[8]Sheet!$G$10</f>
        <v>18</v>
      </c>
      <c r="N67" s="261"/>
      <c r="O67" s="251"/>
      <c r="P67" s="257">
        <f>+[8]Sheet!$M$10</f>
        <v>0</v>
      </c>
      <c r="Q67" s="260"/>
      <c r="R67" s="251"/>
      <c r="S67" s="257">
        <f>+[8]Sheet!$O$10</f>
        <v>0</v>
      </c>
      <c r="T67" s="261"/>
      <c r="U67" s="251">
        <f>+[7]Sheet!$Q$10</f>
        <v>30</v>
      </c>
      <c r="V67" s="257">
        <f>+[8]Sheet!$Q$10</f>
        <v>30</v>
      </c>
      <c r="W67" s="261"/>
      <c r="X67" s="251"/>
      <c r="Y67" s="257"/>
      <c r="Z67" s="304"/>
      <c r="AA67" s="262">
        <f t="shared" si="9"/>
        <v>58</v>
      </c>
      <c r="AB67" s="257">
        <f t="shared" si="9"/>
        <v>98</v>
      </c>
      <c r="AC67" s="263"/>
    </row>
    <row r="68" spans="1:29" ht="15.75" customHeight="1">
      <c r="A68" s="238" t="s">
        <v>225</v>
      </c>
      <c r="B68" s="248" t="s">
        <v>385</v>
      </c>
      <c r="C68" s="251">
        <f>+[7]Sheet!$E$17</f>
        <v>228</v>
      </c>
      <c r="D68" s="245">
        <f>+[8]Sheet!$E$17</f>
        <v>27</v>
      </c>
      <c r="E68" s="252"/>
      <c r="F68" s="251">
        <f>+[7]Sheet!$K$17</f>
        <v>420</v>
      </c>
      <c r="G68" s="245">
        <f>+[8]Sheet!$K$17</f>
        <v>300</v>
      </c>
      <c r="H68" s="250"/>
      <c r="I68" s="251">
        <f>+[7]Sheet!$I$17</f>
        <v>870</v>
      </c>
      <c r="J68" s="245">
        <f>+[8]Sheet!$I$17</f>
        <v>525</v>
      </c>
      <c r="K68" s="252"/>
      <c r="L68" s="251">
        <f>+[7]Sheet!$G$17</f>
        <v>225</v>
      </c>
      <c r="M68" s="245">
        <f>+[8]Sheet!$G$17</f>
        <v>70</v>
      </c>
      <c r="N68" s="253"/>
      <c r="O68" s="251">
        <f>+[7]Sheet!$M$17</f>
        <v>1280</v>
      </c>
      <c r="P68" s="245">
        <f>+[8]Sheet!$M$17</f>
        <v>1175</v>
      </c>
      <c r="Q68" s="252"/>
      <c r="R68" s="251">
        <f>+[7]Sheet!$O$17</f>
        <v>1252</v>
      </c>
      <c r="S68" s="245">
        <f>+[8]Sheet!$O$17</f>
        <v>1322</v>
      </c>
      <c r="T68" s="253"/>
      <c r="U68" s="251">
        <f>+[7]Sheet!$Q$17</f>
        <v>75</v>
      </c>
      <c r="V68" s="245">
        <f>+[8]Sheet!$Q$17</f>
        <v>90</v>
      </c>
      <c r="W68" s="253"/>
      <c r="X68" s="251">
        <f>+[7]Sheet!$R$17</f>
        <v>5</v>
      </c>
      <c r="Y68" s="245">
        <f>+[8]Sheet!$S$17</f>
        <v>5</v>
      </c>
      <c r="Z68" s="305"/>
      <c r="AA68" s="262">
        <f t="shared" si="9"/>
        <v>4355</v>
      </c>
      <c r="AB68" s="257">
        <f t="shared" si="9"/>
        <v>3514</v>
      </c>
      <c r="AC68" s="246"/>
    </row>
    <row r="69" spans="1:29" ht="13.5" customHeight="1">
      <c r="A69" s="239" t="s">
        <v>227</v>
      </c>
      <c r="B69" s="290" t="s">
        <v>228</v>
      </c>
      <c r="C69" s="272"/>
      <c r="D69" s="270"/>
      <c r="E69" s="273"/>
      <c r="F69" s="272"/>
      <c r="G69" s="270"/>
      <c r="H69" s="271"/>
      <c r="I69" s="272"/>
      <c r="J69" s="270"/>
      <c r="K69" s="273"/>
      <c r="L69" s="272"/>
      <c r="M69" s="270"/>
      <c r="N69" s="274"/>
      <c r="O69" s="272"/>
      <c r="P69" s="270"/>
      <c r="Q69" s="273"/>
      <c r="R69" s="272"/>
      <c r="S69" s="270"/>
      <c r="T69" s="274"/>
      <c r="U69" s="272"/>
      <c r="V69" s="270"/>
      <c r="W69" s="274"/>
      <c r="X69" s="272"/>
      <c r="Y69" s="270"/>
      <c r="Z69" s="306"/>
      <c r="AA69" s="262">
        <f t="shared" si="9"/>
        <v>0</v>
      </c>
      <c r="AB69" s="257">
        <f t="shared" si="9"/>
        <v>0</v>
      </c>
      <c r="AC69" s="276"/>
    </row>
    <row r="70" spans="1:29" s="384" customFormat="1" ht="13.5" customHeight="1">
      <c r="A70" s="240" t="s">
        <v>180</v>
      </c>
      <c r="B70" s="291" t="s">
        <v>138</v>
      </c>
      <c r="C70" s="381">
        <f>SUM(C67:C69)</f>
        <v>238</v>
      </c>
      <c r="D70" s="352">
        <f>SUM(D67:D69)</f>
        <v>52</v>
      </c>
      <c r="E70" s="382"/>
      <c r="F70" s="381">
        <f>SUM(F67:F69)</f>
        <v>430</v>
      </c>
      <c r="G70" s="350">
        <f>SUM(G67:G69)</f>
        <v>325</v>
      </c>
      <c r="H70" s="353"/>
      <c r="I70" s="381">
        <f>SUM(I67:I69)</f>
        <v>870</v>
      </c>
      <c r="J70" s="350">
        <f>SUM(J67:J69)</f>
        <v>525</v>
      </c>
      <c r="K70" s="382"/>
      <c r="L70" s="381">
        <f>SUM(L67:L69)</f>
        <v>233</v>
      </c>
      <c r="M70" s="350">
        <f>SUM(M67:M69)</f>
        <v>88</v>
      </c>
      <c r="N70" s="383"/>
      <c r="O70" s="381">
        <f>SUM(O67:O69)</f>
        <v>1280</v>
      </c>
      <c r="P70" s="350">
        <f>SUM(P67:P69)</f>
        <v>1175</v>
      </c>
      <c r="Q70" s="382"/>
      <c r="R70" s="381">
        <f>SUM(R67:R69)</f>
        <v>1252</v>
      </c>
      <c r="S70" s="350">
        <f>SUM(S67:S69)</f>
        <v>1322</v>
      </c>
      <c r="T70" s="383"/>
      <c r="U70" s="381">
        <f>SUM(U67:U69)</f>
        <v>105</v>
      </c>
      <c r="V70" s="350">
        <f>SUM(V67:V69)</f>
        <v>120</v>
      </c>
      <c r="W70" s="383"/>
      <c r="X70" s="381">
        <f>SUM(X67:X69)</f>
        <v>5</v>
      </c>
      <c r="Y70" s="350">
        <f>SUM(Y67:Y69)</f>
        <v>5</v>
      </c>
      <c r="Z70" s="354"/>
      <c r="AA70" s="344">
        <f>SUM(AA67:AA69)</f>
        <v>4413</v>
      </c>
      <c r="AB70" s="350">
        <f>SUM(AB67:AB69)</f>
        <v>3612</v>
      </c>
      <c r="AC70" s="351"/>
    </row>
    <row r="71" spans="1:29" ht="13.5" customHeight="1">
      <c r="A71" s="237" t="s">
        <v>229</v>
      </c>
      <c r="B71" s="289" t="s">
        <v>230</v>
      </c>
      <c r="C71" s="259"/>
      <c r="D71" s="257"/>
      <c r="E71" s="260"/>
      <c r="F71" s="316"/>
      <c r="G71" s="257"/>
      <c r="H71" s="258"/>
      <c r="I71" s="259"/>
      <c r="J71" s="257"/>
      <c r="K71" s="260"/>
      <c r="L71" s="316">
        <f>+[7]Sheet!$G$26</f>
        <v>300</v>
      </c>
      <c r="M71" s="257">
        <f>+[8]Sheet!$G$26</f>
        <v>300</v>
      </c>
      <c r="N71" s="261"/>
      <c r="O71" s="316"/>
      <c r="P71" s="257"/>
      <c r="Q71" s="260"/>
      <c r="R71" s="316"/>
      <c r="S71" s="257"/>
      <c r="T71" s="261"/>
      <c r="U71" s="316"/>
      <c r="V71" s="257"/>
      <c r="W71" s="261"/>
      <c r="X71" s="316"/>
      <c r="Y71" s="257"/>
      <c r="Z71" s="304"/>
      <c r="AA71" s="262">
        <f t="shared" ref="AA71:AB72" si="10">+C71+F71+I71+L71+O71+R71+U71+X71</f>
        <v>300</v>
      </c>
      <c r="AB71" s="257">
        <f t="shared" si="10"/>
        <v>300</v>
      </c>
      <c r="AC71" s="263"/>
    </row>
    <row r="72" spans="1:29" ht="13.5" customHeight="1">
      <c r="A72" s="239" t="s">
        <v>231</v>
      </c>
      <c r="B72" s="290" t="s">
        <v>232</v>
      </c>
      <c r="C72" s="272">
        <f>+[7]Sheet!$E$29</f>
        <v>25</v>
      </c>
      <c r="D72" s="270">
        <f>+[8]Sheet!$E$29</f>
        <v>47</v>
      </c>
      <c r="E72" s="273"/>
      <c r="F72" s="311">
        <f>+[7]Sheet!$K$29</f>
        <v>267</v>
      </c>
      <c r="G72" s="270">
        <f>+[8]Sheet!$K$29</f>
        <v>200</v>
      </c>
      <c r="H72" s="271"/>
      <c r="I72" s="272">
        <f>+[7]Sheet!$I$29</f>
        <v>87</v>
      </c>
      <c r="J72" s="270">
        <f>+[8]Sheet!$I$29</f>
        <v>90</v>
      </c>
      <c r="K72" s="273"/>
      <c r="L72" s="311">
        <f>+[7]Sheet!$G$29</f>
        <v>175</v>
      </c>
      <c r="M72" s="270">
        <f>+[8]Sheet!$G$29</f>
        <v>190</v>
      </c>
      <c r="N72" s="274"/>
      <c r="O72" s="311">
        <f>+[7]Sheet!$M$29</f>
        <v>87</v>
      </c>
      <c r="P72" s="270">
        <f>+[8]Sheet!$M$29</f>
        <v>90</v>
      </c>
      <c r="Q72" s="273"/>
      <c r="R72" s="311">
        <f>+[7]Sheet!$O$29</f>
        <v>12</v>
      </c>
      <c r="S72" s="270">
        <f>+[8]Sheet!$O$29</f>
        <v>12</v>
      </c>
      <c r="T72" s="274"/>
      <c r="U72" s="311">
        <f>+[7]Sheet!$Q$29</f>
        <v>50</v>
      </c>
      <c r="V72" s="270">
        <f>+[8]Sheet!$Q$29</f>
        <v>150</v>
      </c>
      <c r="W72" s="274"/>
      <c r="X72" s="311">
        <f>+[7]Sheet!$R$29</f>
        <v>24</v>
      </c>
      <c r="Y72" s="270">
        <f>+[8]Sheet!$S$29</f>
        <v>29</v>
      </c>
      <c r="Z72" s="306"/>
      <c r="AA72" s="262">
        <f t="shared" si="10"/>
        <v>727</v>
      </c>
      <c r="AB72" s="257">
        <f>+D72+G72+J72+M72+P72+S72+V72+Y72</f>
        <v>808</v>
      </c>
      <c r="AC72" s="276"/>
    </row>
    <row r="73" spans="1:29" s="384" customFormat="1" ht="13.5" customHeight="1">
      <c r="A73" s="240" t="s">
        <v>181</v>
      </c>
      <c r="B73" s="291" t="s">
        <v>139</v>
      </c>
      <c r="C73" s="381">
        <f>SUM(C71:C72)</f>
        <v>25</v>
      </c>
      <c r="D73" s="352">
        <f>SUM(D71:D72)</f>
        <v>47</v>
      </c>
      <c r="E73" s="382"/>
      <c r="F73" s="381">
        <f>SUM(F71:F72)</f>
        <v>267</v>
      </c>
      <c r="G73" s="350">
        <f>SUM(G71:G72)</f>
        <v>200</v>
      </c>
      <c r="H73" s="353"/>
      <c r="I73" s="381">
        <f>SUM(I71:I72)</f>
        <v>87</v>
      </c>
      <c r="J73" s="350">
        <f>SUM(J71:J72)</f>
        <v>90</v>
      </c>
      <c r="K73" s="382"/>
      <c r="L73" s="381">
        <f>SUM(L71:L72)</f>
        <v>475</v>
      </c>
      <c r="M73" s="350">
        <f>SUM(M71:M72)</f>
        <v>490</v>
      </c>
      <c r="N73" s="383"/>
      <c r="O73" s="381">
        <f>SUM(O71:O72)</f>
        <v>87</v>
      </c>
      <c r="P73" s="350">
        <f>SUM(P71:P72)</f>
        <v>90</v>
      </c>
      <c r="Q73" s="382"/>
      <c r="R73" s="381">
        <f>SUM(R71:R72)</f>
        <v>12</v>
      </c>
      <c r="S73" s="350">
        <f>SUM(S71:S72)</f>
        <v>12</v>
      </c>
      <c r="T73" s="383"/>
      <c r="U73" s="381">
        <f>SUM(U71:U72)</f>
        <v>50</v>
      </c>
      <c r="V73" s="350">
        <f>SUM(V71:V72)</f>
        <v>150</v>
      </c>
      <c r="W73" s="383"/>
      <c r="X73" s="381">
        <f>SUM(X71:X72)</f>
        <v>24</v>
      </c>
      <c r="Y73" s="350">
        <f>SUM(Y71:Y72)</f>
        <v>29</v>
      </c>
      <c r="Z73" s="354"/>
      <c r="AA73" s="344">
        <f>SUM(AA71:AA72)</f>
        <v>1027</v>
      </c>
      <c r="AB73" s="350">
        <f>SUM(AB71:AB72)</f>
        <v>1108</v>
      </c>
      <c r="AC73" s="351"/>
    </row>
    <row r="74" spans="1:29" ht="13.5" customHeight="1">
      <c r="A74" s="237" t="s">
        <v>233</v>
      </c>
      <c r="B74" s="289" t="s">
        <v>234</v>
      </c>
      <c r="C74" s="316">
        <f>+[7]Sheet!$E$33</f>
        <v>268</v>
      </c>
      <c r="D74" s="257">
        <f>+[8]Sheet!$E$33</f>
        <v>273</v>
      </c>
      <c r="E74" s="260"/>
      <c r="F74" s="316">
        <f>+[7]Sheet!$K$33</f>
        <v>430</v>
      </c>
      <c r="G74" s="257">
        <f>+[8]Sheet!$K$33</f>
        <v>444</v>
      </c>
      <c r="H74" s="258"/>
      <c r="I74" s="316">
        <f>+[7]Sheet!$I$33</f>
        <v>563</v>
      </c>
      <c r="J74" s="257">
        <f>+[8]Sheet!$I$33</f>
        <v>563</v>
      </c>
      <c r="K74" s="260"/>
      <c r="L74" s="316">
        <f>+[7]Sheet!$G$33</f>
        <v>430</v>
      </c>
      <c r="M74" s="257">
        <f>+[8]Sheet!$G$33</f>
        <v>434</v>
      </c>
      <c r="N74" s="261"/>
      <c r="O74" s="259">
        <f>+[7]Sheet!$M$33</f>
        <v>563</v>
      </c>
      <c r="P74" s="257">
        <f>+[8]Sheet!$M$33</f>
        <v>563</v>
      </c>
      <c r="Q74" s="260"/>
      <c r="R74" s="316"/>
      <c r="S74" s="257">
        <f>+[8]Sheet!$O$33</f>
        <v>0</v>
      </c>
      <c r="T74" s="261"/>
      <c r="U74" s="259">
        <f>+[7]Sheet!$Q$33</f>
        <v>76</v>
      </c>
      <c r="V74" s="257">
        <f>+[8]Sheet!$Q$33</f>
        <v>228</v>
      </c>
      <c r="W74" s="261"/>
      <c r="X74" s="259"/>
      <c r="Y74" s="257"/>
      <c r="Z74" s="304"/>
      <c r="AA74" s="262">
        <f t="shared" ref="AA74:AB77" si="11">+C74+F74+I74+L74+O74+R74+U74+X74</f>
        <v>2330</v>
      </c>
      <c r="AB74" s="257">
        <f t="shared" si="11"/>
        <v>2505</v>
      </c>
      <c r="AC74" s="263"/>
    </row>
    <row r="75" spans="1:29" ht="13.5" customHeight="1">
      <c r="A75" s="238" t="s">
        <v>235</v>
      </c>
      <c r="B75" s="248" t="s">
        <v>3</v>
      </c>
      <c r="C75" s="251">
        <f>+[7]Sheet!$E$35</f>
        <v>120</v>
      </c>
      <c r="D75" s="245">
        <f>+[8]Sheet!$E$35</f>
        <v>60</v>
      </c>
      <c r="E75" s="252"/>
      <c r="F75" s="251"/>
      <c r="G75" s="245"/>
      <c r="H75" s="250"/>
      <c r="I75" s="251"/>
      <c r="J75" s="245"/>
      <c r="K75" s="252"/>
      <c r="L75" s="251"/>
      <c r="M75" s="245"/>
      <c r="N75" s="253"/>
      <c r="O75" s="251"/>
      <c r="P75" s="245"/>
      <c r="Q75" s="252"/>
      <c r="R75" s="251"/>
      <c r="S75" s="245"/>
      <c r="T75" s="253"/>
      <c r="U75" s="251"/>
      <c r="V75" s="245"/>
      <c r="W75" s="253"/>
      <c r="X75" s="251">
        <f>+[7]Sheet!$R$35</f>
        <v>2300</v>
      </c>
      <c r="Y75" s="245">
        <f>+[8]Sheet!$S$35</f>
        <v>1500</v>
      </c>
      <c r="Z75" s="305"/>
      <c r="AA75" s="262">
        <f t="shared" si="11"/>
        <v>2420</v>
      </c>
      <c r="AB75" s="257">
        <f t="shared" si="11"/>
        <v>1560</v>
      </c>
      <c r="AC75" s="246"/>
    </row>
    <row r="76" spans="1:29" ht="13.5" customHeight="1">
      <c r="A76" s="238" t="s">
        <v>236</v>
      </c>
      <c r="B76" s="248" t="s">
        <v>237</v>
      </c>
      <c r="C76" s="251"/>
      <c r="D76" s="245"/>
      <c r="E76" s="252"/>
      <c r="F76" s="251"/>
      <c r="G76" s="245"/>
      <c r="H76" s="250"/>
      <c r="I76" s="251"/>
      <c r="J76" s="245"/>
      <c r="K76" s="252"/>
      <c r="L76" s="251"/>
      <c r="M76" s="245"/>
      <c r="N76" s="253"/>
      <c r="O76" s="251"/>
      <c r="P76" s="245"/>
      <c r="Q76" s="252"/>
      <c r="R76" s="251"/>
      <c r="S76" s="245"/>
      <c r="T76" s="253"/>
      <c r="U76" s="251"/>
      <c r="V76" s="245"/>
      <c r="W76" s="253"/>
      <c r="X76" s="251"/>
      <c r="Y76" s="245"/>
      <c r="Z76" s="305"/>
      <c r="AA76" s="262">
        <f t="shared" si="11"/>
        <v>0</v>
      </c>
      <c r="AB76" s="257">
        <f t="shared" si="11"/>
        <v>0</v>
      </c>
      <c r="AC76" s="246"/>
    </row>
    <row r="77" spans="1:29" ht="13.5" customHeight="1">
      <c r="A77" s="238" t="s">
        <v>238</v>
      </c>
      <c r="B77" s="248" t="s">
        <v>239</v>
      </c>
      <c r="C77" s="251">
        <f>+[7]Sheet!$E$39</f>
        <v>40</v>
      </c>
      <c r="D77" s="245">
        <f>+[8]Sheet!$E$39</f>
        <v>10</v>
      </c>
      <c r="E77" s="252"/>
      <c r="F77" s="251">
        <f>+[7]Sheet!$K$39</f>
        <v>200</v>
      </c>
      <c r="G77" s="245">
        <f>+[8]Sheet!$K$39</f>
        <v>200</v>
      </c>
      <c r="H77" s="250"/>
      <c r="I77" s="251">
        <f>+[7]Sheet!$I$39</f>
        <v>200</v>
      </c>
      <c r="J77" s="245">
        <f>+[8]Sheet!$I$39</f>
        <v>350</v>
      </c>
      <c r="K77" s="252"/>
      <c r="L77" s="251"/>
      <c r="M77" s="245">
        <f>+[8]Sheet!$G$39</f>
        <v>0</v>
      </c>
      <c r="N77" s="253"/>
      <c r="O77" s="251">
        <f>+[7]Sheet!$M$39</f>
        <v>400</v>
      </c>
      <c r="P77" s="245">
        <f>+[8]Sheet!$M$39</f>
        <v>500</v>
      </c>
      <c r="Q77" s="252"/>
      <c r="R77" s="251">
        <f>+[7]Sheet!$O$39</f>
        <v>1000</v>
      </c>
      <c r="S77" s="245">
        <f>+[8]Sheet!$O$39</f>
        <v>1000</v>
      </c>
      <c r="T77" s="253"/>
      <c r="U77" s="251"/>
      <c r="V77" s="245"/>
      <c r="W77" s="253"/>
      <c r="X77" s="251"/>
      <c r="Y77" s="245"/>
      <c r="Z77" s="305"/>
      <c r="AA77" s="262">
        <f t="shared" si="11"/>
        <v>1840</v>
      </c>
      <c r="AB77" s="257">
        <f t="shared" si="11"/>
        <v>2060</v>
      </c>
      <c r="AC77" s="246"/>
    </row>
    <row r="78" spans="1:29" ht="13.5" customHeight="1">
      <c r="A78" s="238" t="s">
        <v>240</v>
      </c>
      <c r="B78" s="248" t="s">
        <v>241</v>
      </c>
      <c r="C78" s="251"/>
      <c r="D78" s="245"/>
      <c r="E78" s="252"/>
      <c r="F78" s="251"/>
      <c r="G78" s="245"/>
      <c r="H78" s="250"/>
      <c r="I78" s="251"/>
      <c r="J78" s="245"/>
      <c r="K78" s="252"/>
      <c r="L78" s="251"/>
      <c r="M78" s="245"/>
      <c r="N78" s="253"/>
      <c r="O78" s="251"/>
      <c r="P78" s="245"/>
      <c r="Q78" s="252"/>
      <c r="R78" s="251"/>
      <c r="S78" s="245"/>
      <c r="T78" s="253"/>
      <c r="U78" s="251"/>
      <c r="V78" s="245"/>
      <c r="W78" s="253"/>
      <c r="X78" s="251"/>
      <c r="Y78" s="245"/>
      <c r="Z78" s="305"/>
      <c r="AA78" s="254">
        <f>+SUM(AA79:AA80)</f>
        <v>0</v>
      </c>
      <c r="AB78" s="245">
        <f>+SUM(AB79:AB80)</f>
        <v>0</v>
      </c>
      <c r="AC78" s="246"/>
    </row>
    <row r="79" spans="1:29" ht="13.5" customHeight="1">
      <c r="A79" s="242" t="s">
        <v>240</v>
      </c>
      <c r="B79" s="249" t="s">
        <v>286</v>
      </c>
      <c r="C79" s="251"/>
      <c r="D79" s="245"/>
      <c r="E79" s="252"/>
      <c r="F79" s="251"/>
      <c r="G79" s="245"/>
      <c r="H79" s="250"/>
      <c r="I79" s="251"/>
      <c r="J79" s="245"/>
      <c r="K79" s="252"/>
      <c r="L79" s="251"/>
      <c r="M79" s="245"/>
      <c r="N79" s="253"/>
      <c r="O79" s="251"/>
      <c r="P79" s="245"/>
      <c r="Q79" s="252"/>
      <c r="R79" s="251"/>
      <c r="S79" s="245"/>
      <c r="T79" s="253"/>
      <c r="U79" s="251"/>
      <c r="V79" s="245"/>
      <c r="W79" s="253"/>
      <c r="X79" s="251"/>
      <c r="Y79" s="245"/>
      <c r="Z79" s="305"/>
      <c r="AA79" s="262">
        <f t="shared" ref="AA79:AB82" si="12">+C79+F79+I79+L79+O79+R79+U79+X79</f>
        <v>0</v>
      </c>
      <c r="AB79" s="257">
        <f t="shared" si="12"/>
        <v>0</v>
      </c>
      <c r="AC79" s="246"/>
    </row>
    <row r="80" spans="1:29" ht="13.5" customHeight="1">
      <c r="A80" s="242" t="s">
        <v>240</v>
      </c>
      <c r="B80" s="249" t="s">
        <v>287</v>
      </c>
      <c r="C80" s="251"/>
      <c r="D80" s="245"/>
      <c r="E80" s="252"/>
      <c r="F80" s="251"/>
      <c r="G80" s="245"/>
      <c r="H80" s="250"/>
      <c r="I80" s="251"/>
      <c r="J80" s="245"/>
      <c r="K80" s="252"/>
      <c r="L80" s="251"/>
      <c r="M80" s="245"/>
      <c r="N80" s="253"/>
      <c r="O80" s="251"/>
      <c r="P80" s="245"/>
      <c r="Q80" s="252"/>
      <c r="R80" s="251"/>
      <c r="S80" s="245"/>
      <c r="T80" s="253"/>
      <c r="U80" s="251"/>
      <c r="V80" s="245"/>
      <c r="W80" s="253"/>
      <c r="X80" s="251"/>
      <c r="Y80" s="245"/>
      <c r="Z80" s="305"/>
      <c r="AA80" s="262">
        <f t="shared" si="12"/>
        <v>0</v>
      </c>
      <c r="AB80" s="257">
        <f t="shared" si="12"/>
        <v>0</v>
      </c>
      <c r="AC80" s="246"/>
    </row>
    <row r="81" spans="1:29" ht="13.5" customHeight="1">
      <c r="A81" s="238" t="s">
        <v>242</v>
      </c>
      <c r="B81" s="248" t="s">
        <v>243</v>
      </c>
      <c r="C81" s="251"/>
      <c r="D81" s="245">
        <f>+[8]Sheet!$E$41</f>
        <v>0</v>
      </c>
      <c r="E81" s="252"/>
      <c r="F81" s="251">
        <f>+[7]Sheet!$K$41</f>
        <v>800</v>
      </c>
      <c r="G81" s="245">
        <f>+[8]Sheet!$K$41</f>
        <v>900</v>
      </c>
      <c r="H81" s="250"/>
      <c r="I81" s="251"/>
      <c r="J81" s="245">
        <f>+[8]Sheet!$I$41</f>
        <v>0</v>
      </c>
      <c r="K81" s="252"/>
      <c r="L81" s="251">
        <f>+[7]Sheet!$G$41</f>
        <v>980</v>
      </c>
      <c r="M81" s="245">
        <f>+[8]Sheet!$G$41</f>
        <v>1100</v>
      </c>
      <c r="N81" s="253"/>
      <c r="O81" s="251"/>
      <c r="P81" s="245">
        <f>+[8]Sheet!$M$41</f>
        <v>65</v>
      </c>
      <c r="Q81" s="252"/>
      <c r="R81" s="251"/>
      <c r="S81" s="245"/>
      <c r="T81" s="253"/>
      <c r="U81" s="251"/>
      <c r="V81" s="245"/>
      <c r="W81" s="253"/>
      <c r="X81" s="251"/>
      <c r="Y81" s="245"/>
      <c r="Z81" s="305"/>
      <c r="AA81" s="262">
        <f t="shared" si="12"/>
        <v>1780</v>
      </c>
      <c r="AB81" s="257">
        <f t="shared" si="12"/>
        <v>2065</v>
      </c>
      <c r="AC81" s="246"/>
    </row>
    <row r="82" spans="1:29" ht="13.5" customHeight="1">
      <c r="A82" s="239" t="s">
        <v>244</v>
      </c>
      <c r="B82" s="290" t="s">
        <v>384</v>
      </c>
      <c r="C82" s="311">
        <f>+[7]Sheet!$E$51</f>
        <v>380</v>
      </c>
      <c r="D82" s="270">
        <f>+[8]Sheet!$E$51</f>
        <v>380</v>
      </c>
      <c r="E82" s="273"/>
      <c r="F82" s="311">
        <f>+[7]Sheet!$K$51</f>
        <v>1320</v>
      </c>
      <c r="G82" s="270">
        <f>+[8]Sheet!$K$51</f>
        <v>1320</v>
      </c>
      <c r="H82" s="271"/>
      <c r="I82" s="311">
        <f>+[7]Sheet!$I$51</f>
        <v>780</v>
      </c>
      <c r="J82" s="270">
        <f>+[8]Sheet!$I$51</f>
        <v>780</v>
      </c>
      <c r="K82" s="273"/>
      <c r="L82" s="311">
        <f>+[7]Sheet!$G$51</f>
        <v>625</v>
      </c>
      <c r="M82" s="270">
        <f>+[8]Sheet!$G$51</f>
        <v>645</v>
      </c>
      <c r="N82" s="274"/>
      <c r="O82" s="272">
        <f>+[7]Sheet!$M$51</f>
        <v>713</v>
      </c>
      <c r="P82" s="270">
        <f>+[8]Sheet!$M$51</f>
        <v>713</v>
      </c>
      <c r="Q82" s="273"/>
      <c r="R82" s="311">
        <f>+[7]Sheet!$O$51</f>
        <v>30</v>
      </c>
      <c r="S82" s="270">
        <f>+[8]Sheet!$O$51</f>
        <v>50</v>
      </c>
      <c r="T82" s="274"/>
      <c r="U82" s="272">
        <f>+[7]Sheet!$Q$51</f>
        <v>70</v>
      </c>
      <c r="V82" s="270">
        <f>+[8]Sheet!$Q$51</f>
        <v>210</v>
      </c>
      <c r="W82" s="274"/>
      <c r="X82" s="272"/>
      <c r="Y82" s="270"/>
      <c r="Z82" s="306"/>
      <c r="AA82" s="262">
        <f t="shared" si="12"/>
        <v>3918</v>
      </c>
      <c r="AB82" s="257">
        <f t="shared" si="12"/>
        <v>4098</v>
      </c>
      <c r="AC82" s="276"/>
    </row>
    <row r="83" spans="1:29" s="384" customFormat="1" ht="13.5" customHeight="1">
      <c r="A83" s="240" t="s">
        <v>182</v>
      </c>
      <c r="B83" s="291" t="s">
        <v>140</v>
      </c>
      <c r="C83" s="381">
        <f>+SUM(C74:C78,C81:C82)</f>
        <v>808</v>
      </c>
      <c r="D83" s="352">
        <f>+SUM(D74:D78,D81:D82)</f>
        <v>723</v>
      </c>
      <c r="E83" s="382"/>
      <c r="F83" s="381">
        <f>+SUM(F74:F78,F81:F82)</f>
        <v>2750</v>
      </c>
      <c r="G83" s="350">
        <f>+SUM(G74:G78,G81:G82)</f>
        <v>2864</v>
      </c>
      <c r="H83" s="353"/>
      <c r="I83" s="381">
        <f>+SUM(I74:I78,I81:I82)</f>
        <v>1543</v>
      </c>
      <c r="J83" s="350">
        <f>+SUM(J74:J78,J81:J82)</f>
        <v>1693</v>
      </c>
      <c r="K83" s="382"/>
      <c r="L83" s="381">
        <f>+SUM(L74:L78,L81:L82)</f>
        <v>2035</v>
      </c>
      <c r="M83" s="350">
        <f>+SUM(M74:M78,M81:M82)</f>
        <v>2179</v>
      </c>
      <c r="N83" s="383"/>
      <c r="O83" s="381">
        <f>+SUM(O74:O78,O81:O82)</f>
        <v>1676</v>
      </c>
      <c r="P83" s="350">
        <f>+SUM(P74:P78,P81:P82)</f>
        <v>1841</v>
      </c>
      <c r="Q83" s="382"/>
      <c r="R83" s="381">
        <f>+SUM(R74:R78,R81:R82)</f>
        <v>1030</v>
      </c>
      <c r="S83" s="350">
        <f>+SUM(S74:S78,S81:S82)</f>
        <v>1050</v>
      </c>
      <c r="T83" s="383"/>
      <c r="U83" s="381">
        <f>+SUM(U74:U78,U81:U82)</f>
        <v>146</v>
      </c>
      <c r="V83" s="350">
        <f>+SUM(V74:V78,V81:V82)</f>
        <v>438</v>
      </c>
      <c r="W83" s="383"/>
      <c r="X83" s="381">
        <f>+SUM(X74:X78,X81:X82)</f>
        <v>2300</v>
      </c>
      <c r="Y83" s="350">
        <f>+SUM(Y74:Y78,Y81:Y82)</f>
        <v>1500</v>
      </c>
      <c r="Z83" s="354"/>
      <c r="AA83" s="344">
        <f>+SUM(AA74:AA78,AA81:AA82)</f>
        <v>12288</v>
      </c>
      <c r="AB83" s="350">
        <f>+SUM(AB74:AB78,AB81:AB82)</f>
        <v>12288</v>
      </c>
      <c r="AC83" s="351"/>
    </row>
    <row r="84" spans="1:29" ht="13.5" customHeight="1">
      <c r="A84" s="237" t="s">
        <v>246</v>
      </c>
      <c r="B84" s="289" t="s">
        <v>247</v>
      </c>
      <c r="C84" s="259">
        <f>+[7]Sheet!$E$52</f>
        <v>15</v>
      </c>
      <c r="D84" s="257">
        <f>+[8]Sheet!$E$54</f>
        <v>0</v>
      </c>
      <c r="E84" s="260"/>
      <c r="F84" s="259">
        <f>+[7]Sheet!$K$52</f>
        <v>200</v>
      </c>
      <c r="G84" s="257">
        <f>+[8]Sheet!$K$54</f>
        <v>150</v>
      </c>
      <c r="H84" s="258"/>
      <c r="I84" s="259">
        <f>+[7]Sheet!$I$52</f>
        <v>60</v>
      </c>
      <c r="J84" s="257">
        <f>+[8]Sheet!$I$54</f>
        <v>60</v>
      </c>
      <c r="K84" s="260"/>
      <c r="L84" s="259">
        <f>+[7]Sheet!$G$52</f>
        <v>280</v>
      </c>
      <c r="M84" s="257">
        <f>+[8]Sheet!$G$54</f>
        <v>295</v>
      </c>
      <c r="N84" s="261"/>
      <c r="O84" s="259">
        <f>+[7]Sheet!$M$52</f>
        <v>70</v>
      </c>
      <c r="P84" s="257">
        <f>+[8]Sheet!$M$54</f>
        <v>75</v>
      </c>
      <c r="Q84" s="260"/>
      <c r="R84" s="259"/>
      <c r="S84" s="257">
        <f>+[8]Sheet!$O$54</f>
        <v>0</v>
      </c>
      <c r="T84" s="261"/>
      <c r="U84" s="259">
        <f>+[7]Sheet!$Q$52</f>
        <v>15</v>
      </c>
      <c r="V84" s="257">
        <f>+[8]Sheet!$Q$54</f>
        <v>0</v>
      </c>
      <c r="W84" s="261"/>
      <c r="X84" s="259"/>
      <c r="Y84" s="257"/>
      <c r="Z84" s="304"/>
      <c r="AA84" s="262">
        <f t="shared" ref="AA84:AB85" si="13">+C84+F84+I84+L84+O84+R84+U84+X84</f>
        <v>640</v>
      </c>
      <c r="AB84" s="257">
        <f t="shared" si="13"/>
        <v>580</v>
      </c>
      <c r="AC84" s="263"/>
    </row>
    <row r="85" spans="1:29" ht="13.5" customHeight="1">
      <c r="A85" s="239" t="s">
        <v>248</v>
      </c>
      <c r="B85" s="290" t="s">
        <v>249</v>
      </c>
      <c r="C85" s="272"/>
      <c r="D85" s="270"/>
      <c r="E85" s="273"/>
      <c r="F85" s="272"/>
      <c r="G85" s="270"/>
      <c r="H85" s="271"/>
      <c r="I85" s="272"/>
      <c r="J85" s="270"/>
      <c r="K85" s="273"/>
      <c r="L85" s="272"/>
      <c r="M85" s="270"/>
      <c r="N85" s="274"/>
      <c r="O85" s="272"/>
      <c r="P85" s="270"/>
      <c r="Q85" s="273"/>
      <c r="R85" s="272"/>
      <c r="S85" s="270"/>
      <c r="T85" s="274"/>
      <c r="U85" s="272"/>
      <c r="V85" s="270"/>
      <c r="W85" s="274"/>
      <c r="X85" s="272"/>
      <c r="Y85" s="270"/>
      <c r="Z85" s="306"/>
      <c r="AA85" s="262">
        <f t="shared" si="13"/>
        <v>0</v>
      </c>
      <c r="AB85" s="257">
        <f t="shared" si="13"/>
        <v>0</v>
      </c>
      <c r="AC85" s="276"/>
    </row>
    <row r="86" spans="1:29" s="384" customFormat="1" ht="13.5" customHeight="1">
      <c r="A86" s="240" t="s">
        <v>183</v>
      </c>
      <c r="B86" s="291" t="s">
        <v>141</v>
      </c>
      <c r="C86" s="381">
        <f>+SUM(C84:C85)</f>
        <v>15</v>
      </c>
      <c r="D86" s="352">
        <f>+SUM(D84:D85)</f>
        <v>0</v>
      </c>
      <c r="E86" s="382"/>
      <c r="F86" s="381">
        <f>+SUM(F84:F85)</f>
        <v>200</v>
      </c>
      <c r="G86" s="350">
        <f>+SUM(G84:G85)</f>
        <v>150</v>
      </c>
      <c r="H86" s="353"/>
      <c r="I86" s="381">
        <f>+SUM(I84:I85)</f>
        <v>60</v>
      </c>
      <c r="J86" s="350">
        <f>+SUM(J84:J85)</f>
        <v>60</v>
      </c>
      <c r="K86" s="382"/>
      <c r="L86" s="381">
        <f>+SUM(L84:L85)</f>
        <v>280</v>
      </c>
      <c r="M86" s="350">
        <f>+SUM(M84:M85)</f>
        <v>295</v>
      </c>
      <c r="N86" s="383"/>
      <c r="O86" s="381">
        <f>+SUM(O84:O85)</f>
        <v>70</v>
      </c>
      <c r="P86" s="350">
        <f>+SUM(P84:P85)</f>
        <v>75</v>
      </c>
      <c r="Q86" s="382"/>
      <c r="R86" s="381">
        <f>+SUM(R84:R85)</f>
        <v>0</v>
      </c>
      <c r="S86" s="350">
        <f>+SUM(S84:S85)</f>
        <v>0</v>
      </c>
      <c r="T86" s="383"/>
      <c r="U86" s="381">
        <f>+SUM(U84:U85)</f>
        <v>15</v>
      </c>
      <c r="V86" s="350">
        <f>+SUM(V84:V85)</f>
        <v>0</v>
      </c>
      <c r="W86" s="383"/>
      <c r="X86" s="381">
        <f>+SUM(X84:X85)</f>
        <v>0</v>
      </c>
      <c r="Y86" s="350">
        <f>+SUM(Y84:Y85)</f>
        <v>0</v>
      </c>
      <c r="Z86" s="354"/>
      <c r="AA86" s="344">
        <f>+SUM(AA84:AA85)</f>
        <v>640</v>
      </c>
      <c r="AB86" s="350">
        <f>+SUM(AB84:AB85)</f>
        <v>580</v>
      </c>
      <c r="AC86" s="351"/>
    </row>
    <row r="87" spans="1:29" ht="13.5" customHeight="1">
      <c r="A87" s="237" t="s">
        <v>250</v>
      </c>
      <c r="B87" s="289" t="s">
        <v>251</v>
      </c>
      <c r="C87" s="259">
        <f>+[7]Sheet!$E$55</f>
        <v>289</v>
      </c>
      <c r="D87" s="257">
        <f>+[8]Sheet!$E$55</f>
        <v>222</v>
      </c>
      <c r="E87" s="260"/>
      <c r="F87" s="259">
        <f>+[7]Sheet!$K$55</f>
        <v>764</v>
      </c>
      <c r="G87" s="257">
        <f>+[8]Sheet!$K$55</f>
        <v>753</v>
      </c>
      <c r="H87" s="258"/>
      <c r="I87" s="259">
        <f>+[7]Sheet!$I$55</f>
        <v>675</v>
      </c>
      <c r="J87" s="257">
        <f>+[8]Sheet!$I$55</f>
        <v>623</v>
      </c>
      <c r="K87" s="260"/>
      <c r="L87" s="259">
        <f>+[7]Sheet!$G$55</f>
        <v>696</v>
      </c>
      <c r="M87" s="257">
        <f>+[8]Sheet!$G$55</f>
        <v>744</v>
      </c>
      <c r="N87" s="261"/>
      <c r="O87" s="259">
        <f>+[7]Sheet!$M$55</f>
        <v>822</v>
      </c>
      <c r="P87" s="257">
        <f>+[8]Sheet!$M$55</f>
        <v>839</v>
      </c>
      <c r="Q87" s="260"/>
      <c r="R87" s="259">
        <f>+[7]Sheet!$O$55</f>
        <v>611</v>
      </c>
      <c r="S87" s="257">
        <f>+[8]Sheet!$O$55</f>
        <v>644</v>
      </c>
      <c r="T87" s="261"/>
      <c r="U87" s="259">
        <f>+[7]Sheet!$Q$55</f>
        <v>69</v>
      </c>
      <c r="V87" s="257">
        <f>+[8]Sheet!$Q$55</f>
        <v>191</v>
      </c>
      <c r="W87" s="261"/>
      <c r="X87" s="838">
        <f>+'[4]3.SZ.TÁBL. SEGÍTŐ SZOLGÁLAT'!$X$87</f>
        <v>629</v>
      </c>
      <c r="Y87" s="257">
        <f>+[8]Sheet!$S$55</f>
        <v>414</v>
      </c>
      <c r="Z87" s="304"/>
      <c r="AA87" s="262">
        <f t="shared" ref="AA87:AB90" si="14">+C87+F87+I87+L87+O87+R87+U87+X87</f>
        <v>4555</v>
      </c>
      <c r="AB87" s="257">
        <f t="shared" si="14"/>
        <v>4430</v>
      </c>
      <c r="AC87" s="263"/>
    </row>
    <row r="88" spans="1:29" ht="13.5" customHeight="1">
      <c r="A88" s="238" t="s">
        <v>252</v>
      </c>
      <c r="B88" s="248" t="s">
        <v>253</v>
      </c>
      <c r="C88" s="251"/>
      <c r="D88" s="245"/>
      <c r="E88" s="252"/>
      <c r="F88" s="251"/>
      <c r="G88" s="245"/>
      <c r="H88" s="250"/>
      <c r="I88" s="251"/>
      <c r="J88" s="245"/>
      <c r="K88" s="252"/>
      <c r="L88" s="251"/>
      <c r="M88" s="245"/>
      <c r="N88" s="253"/>
      <c r="O88" s="251"/>
      <c r="P88" s="245"/>
      <c r="Q88" s="252"/>
      <c r="R88" s="251"/>
      <c r="S88" s="245"/>
      <c r="T88" s="253"/>
      <c r="U88" s="251"/>
      <c r="V88" s="245"/>
      <c r="W88" s="253"/>
      <c r="X88" s="251"/>
      <c r="Y88" s="245"/>
      <c r="Z88" s="305"/>
      <c r="AA88" s="262">
        <f t="shared" si="14"/>
        <v>0</v>
      </c>
      <c r="AB88" s="257">
        <f t="shared" si="14"/>
        <v>0</v>
      </c>
      <c r="AC88" s="246"/>
    </row>
    <row r="89" spans="1:29" ht="13.5" customHeight="1">
      <c r="A89" s="238" t="s">
        <v>254</v>
      </c>
      <c r="B89" s="248" t="s">
        <v>255</v>
      </c>
      <c r="C89" s="251"/>
      <c r="D89" s="245"/>
      <c r="E89" s="252"/>
      <c r="F89" s="251"/>
      <c r="G89" s="245"/>
      <c r="H89" s="250"/>
      <c r="I89" s="251"/>
      <c r="J89" s="245"/>
      <c r="K89" s="252"/>
      <c r="L89" s="251"/>
      <c r="M89" s="245"/>
      <c r="N89" s="253"/>
      <c r="O89" s="251"/>
      <c r="P89" s="245"/>
      <c r="Q89" s="252"/>
      <c r="R89" s="251"/>
      <c r="S89" s="245"/>
      <c r="T89" s="253"/>
      <c r="U89" s="251"/>
      <c r="V89" s="245"/>
      <c r="W89" s="253"/>
      <c r="X89" s="251"/>
      <c r="Y89" s="245"/>
      <c r="Z89" s="305"/>
      <c r="AA89" s="262">
        <f t="shared" si="14"/>
        <v>0</v>
      </c>
      <c r="AB89" s="257">
        <f t="shared" si="14"/>
        <v>0</v>
      </c>
      <c r="AC89" s="246"/>
    </row>
    <row r="90" spans="1:29" ht="13.5" customHeight="1">
      <c r="A90" s="238" t="s">
        <v>256</v>
      </c>
      <c r="B90" s="248" t="s">
        <v>257</v>
      </c>
      <c r="C90" s="251"/>
      <c r="D90" s="245"/>
      <c r="E90" s="252"/>
      <c r="F90" s="251"/>
      <c r="G90" s="245"/>
      <c r="H90" s="250"/>
      <c r="I90" s="251"/>
      <c r="J90" s="245"/>
      <c r="K90" s="252"/>
      <c r="L90" s="251"/>
      <c r="M90" s="245"/>
      <c r="N90" s="253"/>
      <c r="O90" s="251"/>
      <c r="P90" s="245"/>
      <c r="Q90" s="252"/>
      <c r="R90" s="251"/>
      <c r="S90" s="245"/>
      <c r="T90" s="253"/>
      <c r="U90" s="251"/>
      <c r="V90" s="245"/>
      <c r="W90" s="253"/>
      <c r="X90" s="251"/>
      <c r="Y90" s="245"/>
      <c r="Z90" s="305"/>
      <c r="AA90" s="262">
        <f t="shared" si="14"/>
        <v>0</v>
      </c>
      <c r="AB90" s="257">
        <f t="shared" si="14"/>
        <v>0</v>
      </c>
      <c r="AC90" s="246"/>
    </row>
    <row r="91" spans="1:29" ht="13.5" customHeight="1">
      <c r="A91" s="239" t="s">
        <v>258</v>
      </c>
      <c r="B91" s="290" t="s">
        <v>423</v>
      </c>
      <c r="C91" s="272">
        <f>C92+C93</f>
        <v>20</v>
      </c>
      <c r="D91" s="269">
        <f>D92+D93</f>
        <v>51</v>
      </c>
      <c r="E91" s="273"/>
      <c r="F91" s="272">
        <f>F92+F93</f>
        <v>25</v>
      </c>
      <c r="G91" s="270">
        <f>G92+G93</f>
        <v>598</v>
      </c>
      <c r="H91" s="271"/>
      <c r="I91" s="272">
        <f>I92+I93</f>
        <v>70</v>
      </c>
      <c r="J91" s="270">
        <f>J92+J93</f>
        <v>1241</v>
      </c>
      <c r="K91" s="273"/>
      <c r="L91" s="272"/>
      <c r="M91" s="270">
        <f>M92+M93</f>
        <v>657</v>
      </c>
      <c r="N91" s="274"/>
      <c r="O91" s="272">
        <f>O92+O93</f>
        <v>200</v>
      </c>
      <c r="P91" s="270">
        <f>P92+P93</f>
        <v>605</v>
      </c>
      <c r="Q91" s="273"/>
      <c r="R91" s="272">
        <f>R92+R93</f>
        <v>320</v>
      </c>
      <c r="S91" s="270">
        <f>S92+S93</f>
        <v>427</v>
      </c>
      <c r="T91" s="274"/>
      <c r="U91" s="272"/>
      <c r="V91" s="270">
        <f>V92+V93</f>
        <v>421</v>
      </c>
      <c r="W91" s="274"/>
      <c r="X91" s="272"/>
      <c r="Y91" s="270"/>
      <c r="Z91" s="306"/>
      <c r="AA91" s="262">
        <f t="shared" ref="AA91:AB93" si="15">+C91+F91+I91+L91+O91+R91+U91+X91</f>
        <v>635</v>
      </c>
      <c r="AB91" s="257">
        <f t="shared" si="15"/>
        <v>4000</v>
      </c>
      <c r="AC91" s="276"/>
    </row>
    <row r="92" spans="1:29" ht="13.5" customHeight="1">
      <c r="A92" s="820"/>
      <c r="B92" s="821" t="s">
        <v>424</v>
      </c>
      <c r="C92" s="283">
        <f>+'[4]3.SZ.TÁBL. SEGÍTŐ SZOLGÁLAT'!$C$91</f>
        <v>20</v>
      </c>
      <c r="D92" s="281">
        <f>+[8]Sheet!$E$57</f>
        <v>0</v>
      </c>
      <c r="E92" s="284"/>
      <c r="F92" s="283">
        <f>+'[4]3.SZ.TÁBL. SEGÍTŐ SZOLGÁLAT'!$F$91</f>
        <v>25</v>
      </c>
      <c r="G92" s="281">
        <f>+[8]Sheet!$K$57</f>
        <v>30</v>
      </c>
      <c r="H92" s="282"/>
      <c r="I92" s="283">
        <f>+'[4]3.SZ.TÁBL. SEGÍTŐ SZOLGÁLAT'!$I$91</f>
        <v>70</v>
      </c>
      <c r="J92" s="281">
        <f>+[8]Sheet!$I$57</f>
        <v>70</v>
      </c>
      <c r="K92" s="284"/>
      <c r="L92" s="283"/>
      <c r="M92" s="281">
        <f>+[8]Sheet!$G$57</f>
        <v>0</v>
      </c>
      <c r="N92" s="285"/>
      <c r="O92" s="283">
        <f>+'[4]3.SZ.TÁBL. SEGÍTŐ SZOLGÁLAT'!$O$91</f>
        <v>200</v>
      </c>
      <c r="P92" s="281">
        <f>+[8]Sheet!$M$57</f>
        <v>220</v>
      </c>
      <c r="Q92" s="284"/>
      <c r="R92" s="283">
        <f>+'[4]3.SZ.TÁBL. SEGÍTŐ SZOLGÁLAT'!$R$91</f>
        <v>320</v>
      </c>
      <c r="S92" s="281">
        <f>+[8]Sheet!$O$57</f>
        <v>320</v>
      </c>
      <c r="T92" s="285"/>
      <c r="U92" s="283"/>
      <c r="V92" s="281"/>
      <c r="W92" s="285"/>
      <c r="X92" s="283"/>
      <c r="Y92" s="281"/>
      <c r="Z92" s="307"/>
      <c r="AA92" s="262">
        <f t="shared" si="15"/>
        <v>635</v>
      </c>
      <c r="AB92" s="257">
        <f t="shared" si="15"/>
        <v>640</v>
      </c>
      <c r="AC92" s="287"/>
    </row>
    <row r="93" spans="1:29" ht="13.5" customHeight="1">
      <c r="A93" s="820"/>
      <c r="B93" s="822" t="s">
        <v>430</v>
      </c>
      <c r="C93" s="283"/>
      <c r="D93" s="281">
        <f>+'[6]Segítő Szolgálat'!$B$43</f>
        <v>51</v>
      </c>
      <c r="E93" s="284"/>
      <c r="F93" s="283"/>
      <c r="G93" s="281">
        <f>+'[6]Segítő Szolgálat'!$C$43</f>
        <v>568</v>
      </c>
      <c r="H93" s="282"/>
      <c r="I93" s="283"/>
      <c r="J93" s="281">
        <f>+'[6]Segítő Szolgálat'!$D$43</f>
        <v>1171</v>
      </c>
      <c r="K93" s="284"/>
      <c r="L93" s="283"/>
      <c r="M93" s="281">
        <f>+'[6]Segítő Szolgálat'!$E$43</f>
        <v>657</v>
      </c>
      <c r="N93" s="285"/>
      <c r="O93" s="283"/>
      <c r="P93" s="281">
        <f>+'[6]Segítő Szolgálat'!$F$43</f>
        <v>385</v>
      </c>
      <c r="Q93" s="284"/>
      <c r="R93" s="283"/>
      <c r="S93" s="281">
        <f>+'[6]Segítő Szolgálat'!$G$43</f>
        <v>107</v>
      </c>
      <c r="T93" s="285"/>
      <c r="U93" s="283"/>
      <c r="V93" s="281">
        <f>+'[6]Segítő Szolgálat'!$H$43</f>
        <v>421</v>
      </c>
      <c r="W93" s="285"/>
      <c r="X93" s="283"/>
      <c r="Y93" s="281"/>
      <c r="Z93" s="307"/>
      <c r="AA93" s="262">
        <f t="shared" si="15"/>
        <v>0</v>
      </c>
      <c r="AB93" s="257">
        <f t="shared" si="15"/>
        <v>3360</v>
      </c>
      <c r="AC93" s="287"/>
    </row>
    <row r="94" spans="1:29" s="384" customFormat="1" ht="13.5" customHeight="1">
      <c r="A94" s="240" t="s">
        <v>184</v>
      </c>
      <c r="B94" s="291" t="s">
        <v>142</v>
      </c>
      <c r="C94" s="381">
        <f>SUM(C87:C91)</f>
        <v>309</v>
      </c>
      <c r="D94" s="352">
        <f>SUM(D87:D91)</f>
        <v>273</v>
      </c>
      <c r="E94" s="382"/>
      <c r="F94" s="381">
        <f>SUM(F87:F91)</f>
        <v>789</v>
      </c>
      <c r="G94" s="350">
        <f>SUM(G87:G91)</f>
        <v>1351</v>
      </c>
      <c r="H94" s="353"/>
      <c r="I94" s="381">
        <f>SUM(I87:I91)</f>
        <v>745</v>
      </c>
      <c r="J94" s="350">
        <f>SUM(J87:J91)</f>
        <v>1864</v>
      </c>
      <c r="K94" s="382"/>
      <c r="L94" s="381">
        <f>SUM(L87:L91)</f>
        <v>696</v>
      </c>
      <c r="M94" s="350">
        <f>SUM(M87:M91)</f>
        <v>1401</v>
      </c>
      <c r="N94" s="383"/>
      <c r="O94" s="381">
        <f>SUM(O87:O91)</f>
        <v>1022</v>
      </c>
      <c r="P94" s="350">
        <f>SUM(P87:P91)</f>
        <v>1444</v>
      </c>
      <c r="Q94" s="382"/>
      <c r="R94" s="381">
        <f>SUM(R87:R91)</f>
        <v>931</v>
      </c>
      <c r="S94" s="350">
        <f>SUM(S87:S91)</f>
        <v>1071</v>
      </c>
      <c r="T94" s="383"/>
      <c r="U94" s="381">
        <f>SUM(U87:U91)</f>
        <v>69</v>
      </c>
      <c r="V94" s="350">
        <f>SUM(V87:V91)</f>
        <v>612</v>
      </c>
      <c r="W94" s="383"/>
      <c r="X94" s="381">
        <f>SUM(X87:X91)</f>
        <v>629</v>
      </c>
      <c r="Y94" s="350">
        <f>SUM(Y87:Y91)</f>
        <v>414</v>
      </c>
      <c r="Z94" s="354"/>
      <c r="AA94" s="344">
        <f>SUM(AA87:AA91)</f>
        <v>5190</v>
      </c>
      <c r="AB94" s="350">
        <f>SUM(AB87:AB91)</f>
        <v>8430</v>
      </c>
      <c r="AC94" s="351"/>
    </row>
    <row r="95" spans="1:29" s="384" customFormat="1" ht="13.5" customHeight="1">
      <c r="A95" s="240" t="s">
        <v>185</v>
      </c>
      <c r="B95" s="291" t="s">
        <v>143</v>
      </c>
      <c r="C95" s="381">
        <f>+C70+C73+C83+C86+C94</f>
        <v>1395</v>
      </c>
      <c r="D95" s="352">
        <f>+D70+D73+D83+D86+D94</f>
        <v>1095</v>
      </c>
      <c r="E95" s="382"/>
      <c r="F95" s="381">
        <f>+F70+F73+F83+F86+F94</f>
        <v>4436</v>
      </c>
      <c r="G95" s="350">
        <f>+G70+G73+G83+G86+G94</f>
        <v>4890</v>
      </c>
      <c r="H95" s="353"/>
      <c r="I95" s="381">
        <f>+I70+I73+I83+I86+I94</f>
        <v>3305</v>
      </c>
      <c r="J95" s="350">
        <f>+J70+J73+J83+J86+J94</f>
        <v>4232</v>
      </c>
      <c r="K95" s="382"/>
      <c r="L95" s="381">
        <f>+L70+L73+L83+L86+L94</f>
        <v>3719</v>
      </c>
      <c r="M95" s="350">
        <f>+M70+M73+M83+M86+M94</f>
        <v>4453</v>
      </c>
      <c r="N95" s="383"/>
      <c r="O95" s="381">
        <f>+O70+O73+O83+O86+O94</f>
        <v>4135</v>
      </c>
      <c r="P95" s="350">
        <f>+P70+P73+P83+P86+P94</f>
        <v>4625</v>
      </c>
      <c r="Q95" s="382"/>
      <c r="R95" s="381">
        <f>+R70+R73+R83+R86+R94</f>
        <v>3225</v>
      </c>
      <c r="S95" s="350">
        <f>+S70+S73+S83+S86+S94</f>
        <v>3455</v>
      </c>
      <c r="T95" s="383"/>
      <c r="U95" s="381">
        <f>+U70+U73+U83+U86+U94</f>
        <v>385</v>
      </c>
      <c r="V95" s="350">
        <f>+V70+V73+V83+V86+V94</f>
        <v>1320</v>
      </c>
      <c r="W95" s="383"/>
      <c r="X95" s="381">
        <f>+X70+X73+X83+X86+X94</f>
        <v>2958</v>
      </c>
      <c r="Y95" s="350">
        <f>+Y70+Y73+Y83+Y86+Y94</f>
        <v>1948</v>
      </c>
      <c r="Z95" s="354"/>
      <c r="AA95" s="344">
        <f>+AA70+AA73+AA83+AA86+AA94</f>
        <v>23558</v>
      </c>
      <c r="AB95" s="350">
        <f>+AB70+AB73+AB83+AB86+AB94</f>
        <v>26018</v>
      </c>
      <c r="AC95" s="351"/>
    </row>
    <row r="96" spans="1:29" ht="13.5" customHeight="1">
      <c r="A96" s="237" t="s">
        <v>308</v>
      </c>
      <c r="B96" s="378" t="s">
        <v>309</v>
      </c>
      <c r="C96" s="259">
        <f>+C97</f>
        <v>0</v>
      </c>
      <c r="D96" s="257"/>
      <c r="E96" s="260"/>
      <c r="F96" s="259">
        <f>+F97</f>
        <v>0</v>
      </c>
      <c r="G96" s="257"/>
      <c r="H96" s="258"/>
      <c r="I96" s="259">
        <f>+I97</f>
        <v>0</v>
      </c>
      <c r="J96" s="257"/>
      <c r="K96" s="260"/>
      <c r="L96" s="259">
        <f>+L97</f>
        <v>0</v>
      </c>
      <c r="M96" s="257"/>
      <c r="N96" s="261"/>
      <c r="O96" s="259">
        <f>+O97</f>
        <v>0</v>
      </c>
      <c r="P96" s="257"/>
      <c r="Q96" s="260"/>
      <c r="R96" s="259">
        <f>+R97</f>
        <v>0</v>
      </c>
      <c r="S96" s="257"/>
      <c r="T96" s="261"/>
      <c r="U96" s="259">
        <f>+U97</f>
        <v>0</v>
      </c>
      <c r="V96" s="257"/>
      <c r="W96" s="261"/>
      <c r="X96" s="259"/>
      <c r="Y96" s="257"/>
      <c r="Z96" s="304"/>
      <c r="AA96" s="262">
        <f t="shared" ref="AA96:AA98" si="16">+C96+F96+I96+L96+O96+R96+U96+X96</f>
        <v>0</v>
      </c>
      <c r="AB96" s="257"/>
      <c r="AC96" s="263"/>
    </row>
    <row r="97" spans="1:29" ht="13.5" customHeight="1">
      <c r="A97" s="243" t="s">
        <v>308</v>
      </c>
      <c r="B97" s="293" t="s">
        <v>114</v>
      </c>
      <c r="C97" s="272"/>
      <c r="D97" s="270"/>
      <c r="E97" s="273"/>
      <c r="F97" s="272"/>
      <c r="G97" s="270"/>
      <c r="H97" s="271"/>
      <c r="I97" s="272"/>
      <c r="J97" s="270"/>
      <c r="K97" s="273"/>
      <c r="L97" s="272"/>
      <c r="M97" s="270"/>
      <c r="N97" s="274"/>
      <c r="O97" s="272"/>
      <c r="P97" s="270"/>
      <c r="Q97" s="273"/>
      <c r="R97" s="272"/>
      <c r="S97" s="270"/>
      <c r="T97" s="274"/>
      <c r="U97" s="272"/>
      <c r="V97" s="270"/>
      <c r="W97" s="274"/>
      <c r="X97" s="272"/>
      <c r="Y97" s="270"/>
      <c r="Z97" s="306"/>
      <c r="AA97" s="262">
        <f t="shared" si="16"/>
        <v>0</v>
      </c>
      <c r="AB97" s="270"/>
      <c r="AC97" s="276"/>
    </row>
    <row r="98" spans="1:29" ht="13.5" customHeight="1">
      <c r="A98" s="377" t="s">
        <v>310</v>
      </c>
      <c r="B98" s="379" t="s">
        <v>311</v>
      </c>
      <c r="C98" s="311"/>
      <c r="D98" s="308"/>
      <c r="E98" s="312"/>
      <c r="F98" s="311"/>
      <c r="G98" s="308"/>
      <c r="H98" s="310"/>
      <c r="I98" s="311"/>
      <c r="J98" s="308"/>
      <c r="K98" s="312"/>
      <c r="L98" s="311"/>
      <c r="M98" s="308"/>
      <c r="N98" s="313"/>
      <c r="O98" s="311"/>
      <c r="P98" s="308"/>
      <c r="Q98" s="312"/>
      <c r="R98" s="311"/>
      <c r="S98" s="308"/>
      <c r="T98" s="313"/>
      <c r="U98" s="311"/>
      <c r="V98" s="308"/>
      <c r="W98" s="313"/>
      <c r="X98" s="311"/>
      <c r="Y98" s="308"/>
      <c r="Z98" s="839"/>
      <c r="AA98" s="262">
        <f t="shared" si="16"/>
        <v>0</v>
      </c>
      <c r="AB98" s="308"/>
      <c r="AC98" s="309"/>
    </row>
    <row r="99" spans="1:29" s="384" customFormat="1" ht="13.5" customHeight="1">
      <c r="A99" s="240" t="s">
        <v>186</v>
      </c>
      <c r="B99" s="291" t="s">
        <v>144</v>
      </c>
      <c r="C99" s="381">
        <f>+C96+C98</f>
        <v>0</v>
      </c>
      <c r="D99" s="352">
        <f>+D96+D98</f>
        <v>0</v>
      </c>
      <c r="E99" s="382"/>
      <c r="F99" s="381">
        <f>+F96+F98</f>
        <v>0</v>
      </c>
      <c r="G99" s="350">
        <f>+G96+G98</f>
        <v>0</v>
      </c>
      <c r="H99" s="353"/>
      <c r="I99" s="381">
        <f>+I96+I98</f>
        <v>0</v>
      </c>
      <c r="J99" s="350">
        <f>+J96+J98</f>
        <v>0</v>
      </c>
      <c r="K99" s="382"/>
      <c r="L99" s="381">
        <f>+L96+L98</f>
        <v>0</v>
      </c>
      <c r="M99" s="350">
        <f>+M96+M98</f>
        <v>0</v>
      </c>
      <c r="N99" s="383"/>
      <c r="O99" s="381">
        <f>+O96+O98</f>
        <v>0</v>
      </c>
      <c r="P99" s="350">
        <f>+P96+P98</f>
        <v>0</v>
      </c>
      <c r="Q99" s="382"/>
      <c r="R99" s="381">
        <f>+R96+R98</f>
        <v>0</v>
      </c>
      <c r="S99" s="350">
        <f>+S96+S98</f>
        <v>0</v>
      </c>
      <c r="T99" s="383"/>
      <c r="U99" s="381">
        <f>+U96+U98</f>
        <v>0</v>
      </c>
      <c r="V99" s="350">
        <f>+V96+V98</f>
        <v>0</v>
      </c>
      <c r="W99" s="383"/>
      <c r="X99" s="381">
        <f>+X96+X98</f>
        <v>0</v>
      </c>
      <c r="Y99" s="350">
        <f>+Y96+Y98</f>
        <v>0</v>
      </c>
      <c r="Z99" s="354"/>
      <c r="AA99" s="344">
        <f>+AA96+AA98</f>
        <v>0</v>
      </c>
      <c r="AB99" s="350"/>
      <c r="AC99" s="351"/>
    </row>
    <row r="100" spans="1:29" ht="13.5" customHeight="1">
      <c r="A100" s="237" t="s">
        <v>259</v>
      </c>
      <c r="B100" s="289" t="s">
        <v>260</v>
      </c>
      <c r="C100" s="259"/>
      <c r="D100" s="257"/>
      <c r="E100" s="260"/>
      <c r="F100" s="259"/>
      <c r="G100" s="257"/>
      <c r="H100" s="258"/>
      <c r="I100" s="259"/>
      <c r="J100" s="257"/>
      <c r="K100" s="260"/>
      <c r="L100" s="259"/>
      <c r="M100" s="257"/>
      <c r="N100" s="261"/>
      <c r="O100" s="259"/>
      <c r="P100" s="257"/>
      <c r="Q100" s="260"/>
      <c r="R100" s="259"/>
      <c r="S100" s="257"/>
      <c r="T100" s="261"/>
      <c r="U100" s="259"/>
      <c r="V100" s="257"/>
      <c r="W100" s="261"/>
      <c r="X100" s="259"/>
      <c r="Y100" s="257"/>
      <c r="Z100" s="304"/>
      <c r="AA100" s="262">
        <f t="shared" ref="AA100:AB106" si="17">+C100+F100+I100+L100+O100+R100+U100+X100</f>
        <v>0</v>
      </c>
      <c r="AB100" s="257"/>
      <c r="AC100" s="263"/>
    </row>
    <row r="101" spans="1:29" ht="13.5" customHeight="1">
      <c r="A101" s="238" t="s">
        <v>261</v>
      </c>
      <c r="B101" s="248" t="s">
        <v>262</v>
      </c>
      <c r="C101" s="251"/>
      <c r="D101" s="245"/>
      <c r="E101" s="252"/>
      <c r="F101" s="251"/>
      <c r="G101" s="245"/>
      <c r="H101" s="250"/>
      <c r="I101" s="251"/>
      <c r="J101" s="245"/>
      <c r="K101" s="252"/>
      <c r="L101" s="251"/>
      <c r="M101" s="245"/>
      <c r="N101" s="253"/>
      <c r="O101" s="251"/>
      <c r="P101" s="245"/>
      <c r="Q101" s="252"/>
      <c r="R101" s="251"/>
      <c r="S101" s="245"/>
      <c r="T101" s="253"/>
      <c r="U101" s="251"/>
      <c r="V101" s="245"/>
      <c r="W101" s="253"/>
      <c r="X101" s="251"/>
      <c r="Y101" s="245"/>
      <c r="Z101" s="305"/>
      <c r="AA101" s="262">
        <f t="shared" si="17"/>
        <v>0</v>
      </c>
      <c r="AB101" s="245"/>
      <c r="AC101" s="246"/>
    </row>
    <row r="102" spans="1:29" ht="13.5" customHeight="1">
      <c r="A102" s="238" t="s">
        <v>263</v>
      </c>
      <c r="B102" s="248" t="s">
        <v>264</v>
      </c>
      <c r="C102" s="251"/>
      <c r="D102" s="245"/>
      <c r="E102" s="252"/>
      <c r="F102" s="251">
        <v>142</v>
      </c>
      <c r="G102" s="245"/>
      <c r="H102" s="250"/>
      <c r="I102" s="251"/>
      <c r="J102" s="245"/>
      <c r="K102" s="252"/>
      <c r="L102" s="251"/>
      <c r="M102" s="245"/>
      <c r="N102" s="253"/>
      <c r="O102" s="251"/>
      <c r="P102" s="245"/>
      <c r="Q102" s="252"/>
      <c r="R102" s="251"/>
      <c r="S102" s="245"/>
      <c r="T102" s="253"/>
      <c r="U102" s="251"/>
      <c r="V102" s="245"/>
      <c r="W102" s="253"/>
      <c r="X102" s="251"/>
      <c r="Y102" s="245"/>
      <c r="Z102" s="305"/>
      <c r="AA102" s="262">
        <f t="shared" si="17"/>
        <v>142</v>
      </c>
      <c r="AB102" s="257">
        <f t="shared" si="17"/>
        <v>0</v>
      </c>
      <c r="AC102" s="246"/>
    </row>
    <row r="103" spans="1:29" ht="13.5" customHeight="1">
      <c r="A103" s="238" t="s">
        <v>265</v>
      </c>
      <c r="B103" s="248" t="s">
        <v>266</v>
      </c>
      <c r="C103" s="251"/>
      <c r="D103" s="245"/>
      <c r="E103" s="252"/>
      <c r="F103" s="251">
        <f>8+1425</f>
        <v>1433</v>
      </c>
      <c r="G103" s="245"/>
      <c r="H103" s="250"/>
      <c r="I103" s="251"/>
      <c r="J103" s="245"/>
      <c r="K103" s="252"/>
      <c r="L103" s="251"/>
      <c r="M103" s="245"/>
      <c r="N103" s="253"/>
      <c r="O103" s="251"/>
      <c r="P103" s="245"/>
      <c r="Q103" s="252"/>
      <c r="R103" s="251"/>
      <c r="S103" s="245"/>
      <c r="T103" s="253"/>
      <c r="U103" s="251"/>
      <c r="V103" s="245"/>
      <c r="W103" s="253"/>
      <c r="X103" s="251"/>
      <c r="Y103" s="245"/>
      <c r="Z103" s="305"/>
      <c r="AA103" s="262">
        <f t="shared" si="17"/>
        <v>1433</v>
      </c>
      <c r="AB103" s="257">
        <f t="shared" si="17"/>
        <v>0</v>
      </c>
      <c r="AC103" s="246"/>
    </row>
    <row r="104" spans="1:29" ht="13.5" customHeight="1">
      <c r="A104" s="238" t="s">
        <v>267</v>
      </c>
      <c r="B104" s="248" t="s">
        <v>268</v>
      </c>
      <c r="C104" s="251"/>
      <c r="D104" s="245"/>
      <c r="E104" s="252"/>
      <c r="F104" s="251"/>
      <c r="G104" s="245"/>
      <c r="H104" s="250"/>
      <c r="I104" s="251"/>
      <c r="J104" s="245"/>
      <c r="K104" s="252"/>
      <c r="L104" s="251"/>
      <c r="M104" s="245"/>
      <c r="N104" s="253"/>
      <c r="O104" s="251"/>
      <c r="P104" s="245"/>
      <c r="Q104" s="252"/>
      <c r="R104" s="251"/>
      <c r="S104" s="245"/>
      <c r="T104" s="253"/>
      <c r="U104" s="251"/>
      <c r="V104" s="245"/>
      <c r="W104" s="253"/>
      <c r="X104" s="251"/>
      <c r="Y104" s="245"/>
      <c r="Z104" s="305"/>
      <c r="AA104" s="262">
        <f t="shared" si="17"/>
        <v>0</v>
      </c>
      <c r="AB104" s="245"/>
      <c r="AC104" s="246"/>
    </row>
    <row r="105" spans="1:29" ht="13.5" customHeight="1">
      <c r="A105" s="238" t="s">
        <v>269</v>
      </c>
      <c r="B105" s="248" t="s">
        <v>270</v>
      </c>
      <c r="C105" s="251"/>
      <c r="D105" s="245"/>
      <c r="E105" s="252"/>
      <c r="F105" s="251"/>
      <c r="G105" s="245"/>
      <c r="H105" s="250"/>
      <c r="I105" s="251"/>
      <c r="J105" s="245"/>
      <c r="K105" s="252"/>
      <c r="L105" s="251"/>
      <c r="M105" s="245"/>
      <c r="N105" s="253"/>
      <c r="O105" s="251"/>
      <c r="P105" s="245"/>
      <c r="Q105" s="252"/>
      <c r="R105" s="251"/>
      <c r="S105" s="245"/>
      <c r="T105" s="253"/>
      <c r="U105" s="251"/>
      <c r="V105" s="245"/>
      <c r="W105" s="253"/>
      <c r="X105" s="251"/>
      <c r="Y105" s="245"/>
      <c r="Z105" s="305"/>
      <c r="AA105" s="262">
        <f t="shared" si="17"/>
        <v>0</v>
      </c>
      <c r="AB105" s="245"/>
      <c r="AC105" s="246"/>
    </row>
    <row r="106" spans="1:29" ht="13.5" customHeight="1">
      <c r="A106" s="239" t="s">
        <v>271</v>
      </c>
      <c r="B106" s="290" t="s">
        <v>272</v>
      </c>
      <c r="C106" s="272"/>
      <c r="D106" s="270"/>
      <c r="E106" s="273"/>
      <c r="F106" s="272">
        <v>425</v>
      </c>
      <c r="G106" s="270"/>
      <c r="H106" s="271"/>
      <c r="I106" s="272"/>
      <c r="J106" s="270"/>
      <c r="K106" s="273"/>
      <c r="L106" s="272"/>
      <c r="M106" s="270"/>
      <c r="N106" s="274"/>
      <c r="O106" s="272"/>
      <c r="P106" s="270"/>
      <c r="Q106" s="273"/>
      <c r="R106" s="272"/>
      <c r="S106" s="270"/>
      <c r="T106" s="274"/>
      <c r="U106" s="272"/>
      <c r="V106" s="270"/>
      <c r="W106" s="274"/>
      <c r="X106" s="272"/>
      <c r="Y106" s="270"/>
      <c r="Z106" s="306"/>
      <c r="AA106" s="262">
        <f t="shared" si="17"/>
        <v>425</v>
      </c>
      <c r="AB106" s="257">
        <f t="shared" si="17"/>
        <v>0</v>
      </c>
      <c r="AC106" s="276"/>
    </row>
    <row r="107" spans="1:29" s="384" customFormat="1" ht="13.5" customHeight="1">
      <c r="A107" s="240" t="s">
        <v>187</v>
      </c>
      <c r="B107" s="291" t="s">
        <v>99</v>
      </c>
      <c r="C107" s="381">
        <f>SUM(C100:C106)</f>
        <v>0</v>
      </c>
      <c r="D107" s="352">
        <f>SUM(D100:D106)</f>
        <v>0</v>
      </c>
      <c r="E107" s="382"/>
      <c r="F107" s="381">
        <f>SUM(F100:F106)</f>
        <v>2000</v>
      </c>
      <c r="G107" s="350">
        <f>SUM(G100:G106)</f>
        <v>0</v>
      </c>
      <c r="H107" s="353"/>
      <c r="I107" s="381">
        <f>SUM(I100:I106)</f>
        <v>0</v>
      </c>
      <c r="J107" s="350">
        <f>SUM(J100:J106)</f>
        <v>0</v>
      </c>
      <c r="K107" s="382"/>
      <c r="L107" s="381">
        <f>SUM(L100:L106)</f>
        <v>0</v>
      </c>
      <c r="M107" s="350">
        <f>SUM(M100:M106)</f>
        <v>0</v>
      </c>
      <c r="N107" s="383"/>
      <c r="O107" s="381">
        <f>SUM(O100:O106)</f>
        <v>0</v>
      </c>
      <c r="P107" s="350">
        <f>SUM(P100:P106)</f>
        <v>0</v>
      </c>
      <c r="Q107" s="382"/>
      <c r="R107" s="381">
        <f>SUM(R100:R106)</f>
        <v>0</v>
      </c>
      <c r="S107" s="350">
        <f>SUM(S100:S106)</f>
        <v>0</v>
      </c>
      <c r="T107" s="383"/>
      <c r="U107" s="381">
        <f>SUM(U100:U106)</f>
        <v>0</v>
      </c>
      <c r="V107" s="350">
        <f>SUM(V100:V106)</f>
        <v>0</v>
      </c>
      <c r="W107" s="383"/>
      <c r="X107" s="381">
        <f>SUM(X100:X106)</f>
        <v>0</v>
      </c>
      <c r="Y107" s="350">
        <f>SUM(Y100:Y106)</f>
        <v>0</v>
      </c>
      <c r="Z107" s="354"/>
      <c r="AA107" s="344">
        <f>SUM(AA100:AA106)</f>
        <v>2000</v>
      </c>
      <c r="AB107" s="350">
        <f>SUM(AB100:AB106)</f>
        <v>0</v>
      </c>
      <c r="AC107" s="351"/>
    </row>
    <row r="108" spans="1:29" ht="13.5" customHeight="1">
      <c r="A108" s="237" t="s">
        <v>273</v>
      </c>
      <c r="B108" s="289" t="s">
        <v>274</v>
      </c>
      <c r="C108" s="259"/>
      <c r="D108" s="257"/>
      <c r="E108" s="260"/>
      <c r="F108" s="259"/>
      <c r="G108" s="257"/>
      <c r="H108" s="258"/>
      <c r="I108" s="259"/>
      <c r="J108" s="257"/>
      <c r="K108" s="260"/>
      <c r="L108" s="259"/>
      <c r="M108" s="257"/>
      <c r="N108" s="261"/>
      <c r="O108" s="259"/>
      <c r="P108" s="257"/>
      <c r="Q108" s="260"/>
      <c r="R108" s="259"/>
      <c r="S108" s="257"/>
      <c r="T108" s="261"/>
      <c r="U108" s="259"/>
      <c r="V108" s="257"/>
      <c r="W108" s="261"/>
      <c r="X108" s="259"/>
      <c r="Y108" s="257"/>
      <c r="Z108" s="304"/>
      <c r="AA108" s="262">
        <f t="shared" ref="AA108:AA111" si="18">+C108+F108+I108+L108+O108+R108+U108+X108</f>
        <v>0</v>
      </c>
      <c r="AB108" s="257"/>
      <c r="AC108" s="263"/>
    </row>
    <row r="109" spans="1:29" ht="13.5" customHeight="1">
      <c r="A109" s="238" t="s">
        <v>275</v>
      </c>
      <c r="B109" s="248" t="s">
        <v>276</v>
      </c>
      <c r="C109" s="251"/>
      <c r="D109" s="245"/>
      <c r="E109" s="252"/>
      <c r="F109" s="251"/>
      <c r="G109" s="245"/>
      <c r="H109" s="250"/>
      <c r="I109" s="251"/>
      <c r="J109" s="245"/>
      <c r="K109" s="252"/>
      <c r="L109" s="251"/>
      <c r="M109" s="245"/>
      <c r="N109" s="253"/>
      <c r="O109" s="251"/>
      <c r="P109" s="245"/>
      <c r="Q109" s="252"/>
      <c r="R109" s="251"/>
      <c r="S109" s="245"/>
      <c r="T109" s="253"/>
      <c r="U109" s="251"/>
      <c r="V109" s="245"/>
      <c r="W109" s="253"/>
      <c r="X109" s="251"/>
      <c r="Y109" s="245"/>
      <c r="Z109" s="305"/>
      <c r="AA109" s="262">
        <f t="shared" si="18"/>
        <v>0</v>
      </c>
      <c r="AB109" s="245"/>
      <c r="AC109" s="246"/>
    </row>
    <row r="110" spans="1:29" ht="13.5" customHeight="1">
      <c r="A110" s="238" t="s">
        <v>277</v>
      </c>
      <c r="B110" s="248" t="s">
        <v>278</v>
      </c>
      <c r="C110" s="251"/>
      <c r="D110" s="245"/>
      <c r="E110" s="252"/>
      <c r="F110" s="251"/>
      <c r="G110" s="245"/>
      <c r="H110" s="250"/>
      <c r="I110" s="251"/>
      <c r="J110" s="245"/>
      <c r="K110" s="252"/>
      <c r="L110" s="251"/>
      <c r="M110" s="245"/>
      <c r="N110" s="253"/>
      <c r="O110" s="251"/>
      <c r="P110" s="245"/>
      <c r="Q110" s="252"/>
      <c r="R110" s="251"/>
      <c r="S110" s="245"/>
      <c r="T110" s="253"/>
      <c r="U110" s="251"/>
      <c r="V110" s="245"/>
      <c r="W110" s="253"/>
      <c r="X110" s="251"/>
      <c r="Y110" s="245"/>
      <c r="Z110" s="305"/>
      <c r="AA110" s="262">
        <f t="shared" si="18"/>
        <v>0</v>
      </c>
      <c r="AB110" s="245"/>
      <c r="AC110" s="246"/>
    </row>
    <row r="111" spans="1:29" ht="13.5" customHeight="1">
      <c r="A111" s="239" t="s">
        <v>279</v>
      </c>
      <c r="B111" s="290" t="s">
        <v>280</v>
      </c>
      <c r="C111" s="272"/>
      <c r="D111" s="270"/>
      <c r="E111" s="273"/>
      <c r="F111" s="272"/>
      <c r="G111" s="270"/>
      <c r="H111" s="271"/>
      <c r="I111" s="272"/>
      <c r="J111" s="270"/>
      <c r="K111" s="273"/>
      <c r="L111" s="272"/>
      <c r="M111" s="270"/>
      <c r="N111" s="274"/>
      <c r="O111" s="272"/>
      <c r="P111" s="270"/>
      <c r="Q111" s="273"/>
      <c r="R111" s="272"/>
      <c r="S111" s="270"/>
      <c r="T111" s="274"/>
      <c r="U111" s="272"/>
      <c r="V111" s="270"/>
      <c r="W111" s="274"/>
      <c r="X111" s="272"/>
      <c r="Y111" s="270"/>
      <c r="Z111" s="306"/>
      <c r="AA111" s="262">
        <f t="shared" si="18"/>
        <v>0</v>
      </c>
      <c r="AB111" s="270"/>
      <c r="AC111" s="276"/>
    </row>
    <row r="112" spans="1:29" s="384" customFormat="1" ht="13.5" customHeight="1">
      <c r="A112" s="240" t="s">
        <v>188</v>
      </c>
      <c r="B112" s="291" t="s">
        <v>145</v>
      </c>
      <c r="C112" s="381">
        <f>SUM(C108:C111)</f>
        <v>0</v>
      </c>
      <c r="D112" s="352">
        <f>SUM(D108:D111)</f>
        <v>0</v>
      </c>
      <c r="E112" s="382"/>
      <c r="F112" s="381">
        <f>SUM(F108:F111)</f>
        <v>0</v>
      </c>
      <c r="G112" s="350">
        <f>SUM(G108:G111)</f>
        <v>0</v>
      </c>
      <c r="H112" s="353"/>
      <c r="I112" s="381">
        <f>SUM(I108:I111)</f>
        <v>0</v>
      </c>
      <c r="J112" s="350">
        <f>SUM(J108:J111)</f>
        <v>0</v>
      </c>
      <c r="K112" s="382"/>
      <c r="L112" s="837"/>
      <c r="M112" s="350">
        <f>SUM(L108:L111)</f>
        <v>0</v>
      </c>
      <c r="N112" s="383"/>
      <c r="O112" s="381">
        <f>SUM(O108:O111)</f>
        <v>0</v>
      </c>
      <c r="P112" s="350"/>
      <c r="Q112" s="382"/>
      <c r="R112" s="381">
        <f>SUM(R108:R111)</f>
        <v>0</v>
      </c>
      <c r="S112" s="350">
        <f>SUM(S108:S111)</f>
        <v>0</v>
      </c>
      <c r="T112" s="383"/>
      <c r="U112" s="381">
        <f>SUM(U108:U111)</f>
        <v>0</v>
      </c>
      <c r="V112" s="350">
        <f>SUM(V108:V111)</f>
        <v>0</v>
      </c>
      <c r="W112" s="383"/>
      <c r="X112" s="381">
        <f>SUM(X108:X111)</f>
        <v>0</v>
      </c>
      <c r="Y112" s="350"/>
      <c r="Z112" s="354"/>
      <c r="AA112" s="344">
        <f>SUM(AA108:AA111)</f>
        <v>0</v>
      </c>
      <c r="AB112" s="350"/>
      <c r="AC112" s="351"/>
    </row>
    <row r="113" spans="1:29" s="384" customFormat="1" ht="13.5" customHeight="1">
      <c r="A113" s="240" t="s">
        <v>189</v>
      </c>
      <c r="B113" s="291" t="s">
        <v>146</v>
      </c>
      <c r="C113" s="381"/>
      <c r="D113" s="350"/>
      <c r="E113" s="382"/>
      <c r="F113" s="381"/>
      <c r="G113" s="350"/>
      <c r="H113" s="353"/>
      <c r="I113" s="381"/>
      <c r="J113" s="350"/>
      <c r="K113" s="382"/>
      <c r="L113" s="381"/>
      <c r="M113" s="350"/>
      <c r="N113" s="383"/>
      <c r="O113" s="381"/>
      <c r="P113" s="350"/>
      <c r="Q113" s="382"/>
      <c r="R113" s="381"/>
      <c r="S113" s="350"/>
      <c r="T113" s="383"/>
      <c r="U113" s="381"/>
      <c r="V113" s="350"/>
      <c r="W113" s="383"/>
      <c r="X113" s="381"/>
      <c r="Y113" s="350"/>
      <c r="Z113" s="354"/>
      <c r="AA113" s="262">
        <f t="shared" ref="AA113" si="19">+C113+F113+I113+L113+O113+R113+U113+X113</f>
        <v>0</v>
      </c>
      <c r="AB113" s="350"/>
      <c r="AC113" s="351"/>
    </row>
    <row r="114" spans="1:29" s="384" customFormat="1" ht="13.5" customHeight="1">
      <c r="A114" s="244" t="s">
        <v>190</v>
      </c>
      <c r="B114" s="291" t="s">
        <v>147</v>
      </c>
      <c r="C114" s="381">
        <f>+C60+C61+C95+C99+C107+C112+C113</f>
        <v>2441</v>
      </c>
      <c r="D114" s="352">
        <f>+D60+D61+D95+D99+D107+D112+D113</f>
        <v>2449</v>
      </c>
      <c r="E114" s="382"/>
      <c r="F114" s="381">
        <f>+F60+F61+F95+F99+F107+F112+F113</f>
        <v>19471</v>
      </c>
      <c r="G114" s="350">
        <f>+G60+G61+G95+G99+G107+G112+G113</f>
        <v>19642</v>
      </c>
      <c r="H114" s="353"/>
      <c r="I114" s="381">
        <f>+I60+I61+I95+I99+I107+I112+I113</f>
        <v>32523</v>
      </c>
      <c r="J114" s="350">
        <f>+J60+J61+J95+J99+J107+J112+J113</f>
        <v>34984</v>
      </c>
      <c r="K114" s="382"/>
      <c r="L114" s="381">
        <f>+L60+L61+L95+L99+L107+M112+L113</f>
        <v>21610</v>
      </c>
      <c r="M114" s="350">
        <f>+M60+M61+M95+M99+M107+N112+M113</f>
        <v>21676</v>
      </c>
      <c r="N114" s="383"/>
      <c r="O114" s="381">
        <f>+O60+O61+O95+O99+O107+O112+O113</f>
        <v>13322</v>
      </c>
      <c r="P114" s="350">
        <f>+P60+P61+P95+P99+P107+P112+P113</f>
        <v>14801</v>
      </c>
      <c r="Q114" s="382"/>
      <c r="R114" s="381">
        <f>+R60+R61+R95+R99+R107+R112+R113</f>
        <v>5821</v>
      </c>
      <c r="S114" s="350">
        <f>+S60+S61+S95+S99+S107+S112+S113</f>
        <v>6373</v>
      </c>
      <c r="T114" s="383"/>
      <c r="U114" s="381">
        <f>+U60+U61+U95+U99+U107+U112+U113</f>
        <v>4416</v>
      </c>
      <c r="V114" s="350">
        <f>+V60+V61+V95+V99+V107+V112+V113</f>
        <v>12061</v>
      </c>
      <c r="W114" s="383"/>
      <c r="X114" s="381">
        <f>+X60+X61+X95+X99+X107+X112+X113</f>
        <v>2958</v>
      </c>
      <c r="Y114" s="350">
        <f>+Y60+Y61+Y95+Y99+Y107+Y112+Y113</f>
        <v>1948</v>
      </c>
      <c r="Z114" s="354"/>
      <c r="AA114" s="344">
        <f>+AA60+AA61+AA95+AA99+AA107+AA112+AA113</f>
        <v>102562</v>
      </c>
      <c r="AB114" s="350">
        <f>+AB60+AB61+AB95+AB99+AB107+AB112+AB113</f>
        <v>113934</v>
      </c>
      <c r="AC114" s="351"/>
    </row>
    <row r="115" spans="1:29" s="384" customFormat="1" ht="13.5" customHeight="1" thickBot="1">
      <c r="A115" s="294" t="s">
        <v>191</v>
      </c>
      <c r="B115" s="295" t="s">
        <v>148</v>
      </c>
      <c r="C115" s="385"/>
      <c r="D115" s="372"/>
      <c r="E115" s="386"/>
      <c r="F115" s="385"/>
      <c r="G115" s="372"/>
      <c r="H115" s="374"/>
      <c r="I115" s="385"/>
      <c r="J115" s="372"/>
      <c r="K115" s="386"/>
      <c r="L115" s="385"/>
      <c r="M115" s="372"/>
      <c r="N115" s="387"/>
      <c r="O115" s="385"/>
      <c r="P115" s="372"/>
      <c r="Q115" s="386"/>
      <c r="R115" s="385"/>
      <c r="S115" s="372"/>
      <c r="T115" s="387"/>
      <c r="U115" s="385"/>
      <c r="V115" s="372"/>
      <c r="W115" s="387"/>
      <c r="X115" s="385"/>
      <c r="Y115" s="372"/>
      <c r="Z115" s="375"/>
      <c r="AA115" s="262">
        <f t="shared" ref="AA115" si="20">+C115+F115+I115+L115+O115+R115+U115+X115</f>
        <v>0</v>
      </c>
      <c r="AB115" s="372"/>
      <c r="AC115" s="373"/>
    </row>
    <row r="116" spans="1:29" s="384" customFormat="1" ht="13.5" customHeight="1" thickBot="1">
      <c r="A116" s="861" t="s">
        <v>294</v>
      </c>
      <c r="B116" s="882"/>
      <c r="C116" s="388">
        <f>+SUM(C114:C115)</f>
        <v>2441</v>
      </c>
      <c r="D116" s="363">
        <f>+SUM(D114:D115)</f>
        <v>2449</v>
      </c>
      <c r="E116" s="389"/>
      <c r="F116" s="388">
        <f>+SUM(F114:F115)</f>
        <v>19471</v>
      </c>
      <c r="G116" s="361">
        <f>+SUM(G114:G115)</f>
        <v>19642</v>
      </c>
      <c r="H116" s="364"/>
      <c r="I116" s="388">
        <f>+SUM(I114:I115)</f>
        <v>32523</v>
      </c>
      <c r="J116" s="361">
        <f>+SUM(J114:J115)</f>
        <v>34984</v>
      </c>
      <c r="K116" s="389"/>
      <c r="L116" s="388">
        <f>+SUM(L114:L115)</f>
        <v>21610</v>
      </c>
      <c r="M116" s="361">
        <f>+SUM(M114:M115)</f>
        <v>21676</v>
      </c>
      <c r="N116" s="390"/>
      <c r="O116" s="388">
        <f>+SUM(O114:O115)</f>
        <v>13322</v>
      </c>
      <c r="P116" s="361">
        <f>+SUM(P114:P115)</f>
        <v>14801</v>
      </c>
      <c r="Q116" s="389"/>
      <c r="R116" s="388">
        <f>+SUM(R114:R115)</f>
        <v>5821</v>
      </c>
      <c r="S116" s="361">
        <f>+SUM(S114:S115)</f>
        <v>6373</v>
      </c>
      <c r="T116" s="390"/>
      <c r="U116" s="388">
        <f>+SUM(U114:U115)</f>
        <v>4416</v>
      </c>
      <c r="V116" s="361">
        <f>+SUM(V114:V115)</f>
        <v>12061</v>
      </c>
      <c r="W116" s="390"/>
      <c r="X116" s="388">
        <f>+SUM(X114:X115)</f>
        <v>2958</v>
      </c>
      <c r="Y116" s="361">
        <f>+SUM(Y114:Y115)</f>
        <v>1948</v>
      </c>
      <c r="Z116" s="365"/>
      <c r="AA116" s="360">
        <f>+SUM(AA114:AA115)</f>
        <v>102562</v>
      </c>
      <c r="AB116" s="361">
        <f>+SUM(AB114:AB115)</f>
        <v>113934</v>
      </c>
      <c r="AC116" s="362"/>
    </row>
    <row r="117" spans="1:29" ht="13.5" customHeight="1" thickBot="1"/>
    <row r="118" spans="1:29" s="384" customFormat="1" ht="13.5" customHeight="1" thickBot="1">
      <c r="A118" s="859" t="s">
        <v>312</v>
      </c>
      <c r="B118" s="860"/>
      <c r="C118" s="388">
        <f>+C40-C116</f>
        <v>0</v>
      </c>
      <c r="D118" s="388">
        <f>+D40-D116</f>
        <v>0</v>
      </c>
      <c r="E118" s="389"/>
      <c r="F118" s="388">
        <f>+F40-F116</f>
        <v>0</v>
      </c>
      <c r="G118" s="388">
        <f>+G40-G116</f>
        <v>0</v>
      </c>
      <c r="H118" s="389"/>
      <c r="I118" s="388">
        <f>+I40-I116</f>
        <v>0</v>
      </c>
      <c r="J118" s="388">
        <f>+J40-J116</f>
        <v>0</v>
      </c>
      <c r="K118" s="389"/>
      <c r="L118" s="388">
        <f>+L40-L116</f>
        <v>0</v>
      </c>
      <c r="M118" s="388">
        <f>+M40-M116</f>
        <v>0</v>
      </c>
      <c r="N118" s="389"/>
      <c r="O118" s="388">
        <f>+O40-O116</f>
        <v>0</v>
      </c>
      <c r="P118" s="388">
        <f>+P40-P116</f>
        <v>0</v>
      </c>
      <c r="Q118" s="389"/>
      <c r="R118" s="388">
        <f>+R40-R116</f>
        <v>0</v>
      </c>
      <c r="S118" s="388">
        <f>+S40-S116</f>
        <v>0</v>
      </c>
      <c r="T118" s="389"/>
      <c r="U118" s="388">
        <f>+U40-U116</f>
        <v>0</v>
      </c>
      <c r="V118" s="388">
        <f>+V40-V116</f>
        <v>0</v>
      </c>
      <c r="W118" s="389"/>
      <c r="X118" s="388">
        <f>+X40-X116</f>
        <v>0</v>
      </c>
      <c r="Y118" s="388">
        <f>+Y40-Y116</f>
        <v>0</v>
      </c>
      <c r="Z118" s="389"/>
      <c r="AA118" s="388">
        <f>+AA40-AA116</f>
        <v>0</v>
      </c>
      <c r="AB118" s="388">
        <f>+AB40-AB116</f>
        <v>0</v>
      </c>
      <c r="AC118" s="389"/>
    </row>
    <row r="119" spans="1:29" ht="13.5" customHeight="1"/>
    <row r="120" spans="1:29" ht="13.5" customHeight="1"/>
    <row r="121" spans="1:29" ht="13.5" customHeight="1">
      <c r="B121" s="66" t="s">
        <v>306</v>
      </c>
      <c r="C121" s="395">
        <f>+(C70+C73+C83)*0.27</f>
        <v>289.17</v>
      </c>
      <c r="F121" s="395">
        <f>+(F70+F73+F83)*0.27</f>
        <v>930.69</v>
      </c>
      <c r="I121" s="395">
        <f>+(I70+I73+I83)*0.27</f>
        <v>675</v>
      </c>
      <c r="J121" s="68"/>
      <c r="K121" s="68"/>
      <c r="L121" s="395">
        <f>+(L70+L73+L83)*0.27</f>
        <v>740.61</v>
      </c>
      <c r="M121" s="68"/>
      <c r="O121" s="395">
        <f>+(O70+O73+O83)*0.27</f>
        <v>821.61</v>
      </c>
      <c r="R121" s="395">
        <f>+(R70+R73+R83)*0.27</f>
        <v>619.38</v>
      </c>
      <c r="S121" s="68"/>
      <c r="U121" s="395">
        <f>+(U70+U73+U83)*0.27</f>
        <v>81.27000000000001</v>
      </c>
      <c r="V121" s="8"/>
      <c r="W121" s="8"/>
      <c r="X121" s="395">
        <f>+(X70+X73+X83)*0.27</f>
        <v>628.83000000000004</v>
      </c>
      <c r="Y121" s="8"/>
      <c r="Z121" s="8"/>
      <c r="AA121" s="8"/>
      <c r="AB121" s="8"/>
      <c r="AC121" s="8"/>
    </row>
    <row r="122" spans="1:29" ht="13.5" customHeight="1">
      <c r="B122" s="66" t="s">
        <v>302</v>
      </c>
      <c r="C122" s="392">
        <v>543</v>
      </c>
      <c r="D122" s="392"/>
      <c r="E122" s="392"/>
      <c r="F122" s="392">
        <v>566</v>
      </c>
      <c r="G122" s="392"/>
      <c r="H122" s="392"/>
      <c r="I122" s="392">
        <v>436</v>
      </c>
      <c r="J122" s="392"/>
      <c r="K122" s="392"/>
      <c r="L122" s="392">
        <v>824</v>
      </c>
      <c r="M122" s="392"/>
      <c r="N122" s="392"/>
      <c r="O122" s="392">
        <v>678</v>
      </c>
      <c r="P122" s="392"/>
      <c r="Q122" s="392"/>
      <c r="R122" s="392">
        <v>476</v>
      </c>
      <c r="S122" s="392"/>
      <c r="T122" s="392"/>
      <c r="U122" s="498">
        <v>66</v>
      </c>
      <c r="V122" s="498"/>
      <c r="W122" s="498"/>
      <c r="X122" s="498">
        <v>66</v>
      </c>
      <c r="Y122" s="498"/>
      <c r="Z122" s="498"/>
      <c r="AA122" s="498"/>
      <c r="AB122" s="498"/>
      <c r="AC122" s="498"/>
    </row>
    <row r="123" spans="1:29" ht="15" customHeight="1">
      <c r="C123" s="392"/>
      <c r="D123" s="392"/>
      <c r="E123" s="392"/>
      <c r="F123" s="392"/>
      <c r="G123" s="392"/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392"/>
      <c r="AA123" s="392"/>
      <c r="AB123" s="392"/>
      <c r="AC123" s="392"/>
    </row>
    <row r="126" spans="1:29" ht="15" customHeight="1">
      <c r="B126" s="66" t="s">
        <v>432</v>
      </c>
      <c r="C126" s="67">
        <v>1758</v>
      </c>
      <c r="E126" s="393"/>
      <c r="W126" s="393"/>
      <c r="Z126" s="393"/>
    </row>
    <row r="127" spans="1:29" ht="15" customHeight="1">
      <c r="B127" s="66" t="s">
        <v>4</v>
      </c>
      <c r="C127" s="67">
        <v>0</v>
      </c>
      <c r="D127" s="394">
        <f>+C127/$C$134</f>
        <v>0</v>
      </c>
      <c r="E127" s="395">
        <f>+$C$126*$D127</f>
        <v>0</v>
      </c>
      <c r="V127" s="394"/>
      <c r="W127" s="395"/>
      <c r="Y127" s="394"/>
      <c r="Z127" s="395"/>
    </row>
    <row r="128" spans="1:29" ht="15" customHeight="1">
      <c r="B128" s="66" t="s">
        <v>6</v>
      </c>
      <c r="C128" s="67">
        <v>0</v>
      </c>
      <c r="D128" s="394">
        <f t="shared" ref="D128:D132" si="21">+C128/$C$134</f>
        <v>0</v>
      </c>
      <c r="E128" s="395">
        <f t="shared" ref="E128:E132" si="22">+$C$126*$D128</f>
        <v>0</v>
      </c>
      <c r="V128" s="394"/>
      <c r="W128" s="395"/>
      <c r="Y128" s="394"/>
      <c r="Z128" s="395"/>
    </row>
    <row r="129" spans="2:27" ht="15" customHeight="1">
      <c r="B129" s="66" t="s">
        <v>7</v>
      </c>
      <c r="C129" s="67">
        <v>0</v>
      </c>
      <c r="D129" s="394">
        <f t="shared" si="21"/>
        <v>0</v>
      </c>
      <c r="E129" s="395">
        <f t="shared" si="22"/>
        <v>0</v>
      </c>
      <c r="V129" s="394"/>
      <c r="W129" s="395"/>
      <c r="Y129" s="394"/>
      <c r="Z129" s="395"/>
    </row>
    <row r="130" spans="2:27" ht="15" customHeight="1">
      <c r="B130" s="66" t="s">
        <v>8</v>
      </c>
      <c r="C130" s="67">
        <v>3</v>
      </c>
      <c r="D130" s="394">
        <f t="shared" si="21"/>
        <v>1</v>
      </c>
      <c r="E130" s="395">
        <f t="shared" si="22"/>
        <v>1758</v>
      </c>
      <c r="F130" s="67">
        <v>1758</v>
      </c>
      <c r="V130" s="394"/>
      <c r="W130" s="395"/>
      <c r="X130" s="67">
        <v>1005</v>
      </c>
      <c r="Y130" s="394"/>
      <c r="Z130" s="395"/>
    </row>
    <row r="131" spans="2:27" ht="15" customHeight="1">
      <c r="B131" s="66" t="s">
        <v>9</v>
      </c>
      <c r="C131" s="67">
        <v>0</v>
      </c>
      <c r="D131" s="394">
        <f t="shared" si="21"/>
        <v>0</v>
      </c>
      <c r="E131" s="395">
        <f t="shared" si="22"/>
        <v>0</v>
      </c>
      <c r="V131" s="394"/>
      <c r="W131" s="395"/>
      <c r="Y131" s="394"/>
      <c r="Z131" s="395"/>
    </row>
    <row r="132" spans="2:27" ht="15" customHeight="1">
      <c r="B132" s="66" t="s">
        <v>10</v>
      </c>
      <c r="C132" s="67">
        <v>0</v>
      </c>
      <c r="D132" s="394">
        <f t="shared" si="21"/>
        <v>0</v>
      </c>
      <c r="E132" s="395">
        <f t="shared" si="22"/>
        <v>0</v>
      </c>
      <c r="V132" s="394"/>
      <c r="W132" s="395"/>
      <c r="Y132" s="394"/>
      <c r="Z132" s="395"/>
    </row>
    <row r="133" spans="2:27" ht="15" customHeight="1">
      <c r="B133" s="66" t="s">
        <v>300</v>
      </c>
      <c r="D133" s="394"/>
      <c r="E133" s="395"/>
      <c r="V133" s="394"/>
      <c r="W133" s="395"/>
      <c r="Y133" s="394"/>
      <c r="Z133" s="395"/>
    </row>
    <row r="134" spans="2:27" ht="15" customHeight="1">
      <c r="C134" s="67">
        <f>SUM(C127:C133)</f>
        <v>3</v>
      </c>
      <c r="D134" s="398">
        <f>SUM(D127:D133)</f>
        <v>1</v>
      </c>
      <c r="E134" s="395">
        <f>SUM(E127:E133)</f>
        <v>1758</v>
      </c>
      <c r="F134" s="395">
        <f>SUM(F127:F133)</f>
        <v>1758</v>
      </c>
      <c r="U134" s="67">
        <f t="shared" ref="U134:AA134" si="23">SUM(U127:U133)</f>
        <v>0</v>
      </c>
      <c r="V134" s="513"/>
      <c r="W134" s="395"/>
      <c r="X134" s="67">
        <f t="shared" si="23"/>
        <v>1005</v>
      </c>
      <c r="Y134" s="513"/>
      <c r="Z134" s="395"/>
      <c r="AA134" s="395">
        <f t="shared" si="23"/>
        <v>0</v>
      </c>
    </row>
    <row r="135" spans="2:27" ht="15" customHeight="1">
      <c r="E135" s="396"/>
    </row>
    <row r="136" spans="2:27" ht="15" customHeight="1">
      <c r="B136" s="66" t="s">
        <v>314</v>
      </c>
      <c r="F136" s="67">
        <v>9742</v>
      </c>
      <c r="I136" s="67">
        <v>19875</v>
      </c>
      <c r="L136" s="67">
        <v>6676</v>
      </c>
      <c r="O136" s="67">
        <v>4241</v>
      </c>
    </row>
    <row r="137" spans="2:27" ht="15" customHeight="1">
      <c r="B137" s="69" t="s">
        <v>4</v>
      </c>
      <c r="C137" s="840">
        <v>2771</v>
      </c>
      <c r="D137" s="394">
        <f>+C137/$C$144</f>
        <v>0.14732309001010155</v>
      </c>
      <c r="F137" s="395">
        <f>+$F$136*D137</f>
        <v>1435.2215428784093</v>
      </c>
      <c r="G137" s="67">
        <v>1435</v>
      </c>
      <c r="I137" s="395">
        <f>+$I$136*D137</f>
        <v>2928.0464139507681</v>
      </c>
      <c r="J137" s="67">
        <v>2928</v>
      </c>
      <c r="L137" s="395">
        <f>+$L$136*D137</f>
        <v>983.52894890743789</v>
      </c>
      <c r="M137" s="67">
        <v>983</v>
      </c>
      <c r="O137" s="395">
        <f>+$O$136*D147</f>
        <v>722.74360393603934</v>
      </c>
      <c r="P137" s="67">
        <v>723</v>
      </c>
      <c r="R137" s="67">
        <v>3373</v>
      </c>
    </row>
    <row r="138" spans="2:27" ht="15" customHeight="1">
      <c r="B138" s="69" t="s">
        <v>6</v>
      </c>
      <c r="C138" s="840">
        <v>1262</v>
      </c>
      <c r="D138" s="394">
        <f t="shared" ref="D138:D143" si="24">+C138/$C$144</f>
        <v>6.7095539369450799E-2</v>
      </c>
      <c r="F138" s="395">
        <f t="shared" ref="F138:F143" si="25">+$F$136*D138</f>
        <v>653.64474453718969</v>
      </c>
      <c r="G138" s="67">
        <v>654</v>
      </c>
      <c r="I138" s="395">
        <f t="shared" ref="I138:I143" si="26">+$I$136*D138</f>
        <v>1333.5238449678345</v>
      </c>
      <c r="J138" s="67">
        <v>1334</v>
      </c>
      <c r="L138" s="395">
        <f t="shared" ref="L138:L143" si="27">+$L$136*D138</f>
        <v>447.92982083045354</v>
      </c>
      <c r="M138" s="67">
        <v>448</v>
      </c>
      <c r="O138" s="395">
        <f t="shared" ref="O138:O142" si="28">+$O$136*D148</f>
        <v>329.160024600246</v>
      </c>
      <c r="P138" s="67">
        <v>329</v>
      </c>
    </row>
    <row r="139" spans="2:27" ht="15" customHeight="1">
      <c r="B139" s="69" t="s">
        <v>7</v>
      </c>
      <c r="C139" s="840">
        <v>1090</v>
      </c>
      <c r="D139" s="394">
        <f t="shared" si="24"/>
        <v>5.7950980913392527E-2</v>
      </c>
      <c r="F139" s="395">
        <f t="shared" si="25"/>
        <v>564.55845605827005</v>
      </c>
      <c r="G139" s="67">
        <v>565</v>
      </c>
      <c r="I139" s="395">
        <f t="shared" si="26"/>
        <v>1151.7757456536765</v>
      </c>
      <c r="J139" s="67">
        <v>1152</v>
      </c>
      <c r="L139" s="395">
        <f t="shared" si="27"/>
        <v>386.8807485778085</v>
      </c>
      <c r="M139" s="67">
        <v>387</v>
      </c>
      <c r="O139" s="395">
        <f t="shared" si="28"/>
        <v>284.29827798277978</v>
      </c>
      <c r="P139" s="67">
        <v>284</v>
      </c>
    </row>
    <row r="140" spans="2:27" ht="15" customHeight="1">
      <c r="B140" s="69" t="s">
        <v>8</v>
      </c>
      <c r="C140" s="840">
        <v>5699</v>
      </c>
      <c r="D140" s="394">
        <f t="shared" si="24"/>
        <v>0.30299324791323301</v>
      </c>
      <c r="F140" s="395">
        <f t="shared" si="25"/>
        <v>2951.7602211707158</v>
      </c>
      <c r="G140" s="67">
        <v>2952</v>
      </c>
      <c r="I140" s="395">
        <f t="shared" si="26"/>
        <v>6021.9908022755062</v>
      </c>
      <c r="J140" s="67">
        <v>6022</v>
      </c>
      <c r="L140" s="395">
        <f t="shared" si="27"/>
        <v>2022.7829230687437</v>
      </c>
      <c r="M140" s="67">
        <v>2023</v>
      </c>
      <c r="O140" s="395">
        <f t="shared" si="28"/>
        <v>1486.4365928659288</v>
      </c>
      <c r="P140" s="67">
        <v>1487</v>
      </c>
    </row>
    <row r="141" spans="2:27" ht="15" customHeight="1">
      <c r="B141" s="69" t="s">
        <v>9</v>
      </c>
      <c r="C141" s="840">
        <v>3360</v>
      </c>
      <c r="D141" s="394">
        <f t="shared" si="24"/>
        <v>0.17863788611834761</v>
      </c>
      <c r="F141" s="395">
        <f t="shared" si="25"/>
        <v>1740.2902865649423</v>
      </c>
      <c r="G141" s="67">
        <v>1740</v>
      </c>
      <c r="I141" s="395">
        <f t="shared" si="26"/>
        <v>3550.4279866021589</v>
      </c>
      <c r="J141" s="67">
        <v>3550</v>
      </c>
      <c r="L141" s="395">
        <f t="shared" si="27"/>
        <v>1192.5865277260887</v>
      </c>
      <c r="M141" s="67">
        <v>1193</v>
      </c>
      <c r="O141" s="395">
        <f t="shared" si="28"/>
        <v>876.36900369003695</v>
      </c>
      <c r="P141" s="67">
        <v>876</v>
      </c>
    </row>
    <row r="142" spans="2:27" ht="15" customHeight="1">
      <c r="B142" s="69" t="s">
        <v>10</v>
      </c>
      <c r="C142" s="840">
        <v>2078</v>
      </c>
      <c r="D142" s="394">
        <f t="shared" si="24"/>
        <v>0.11047902599819236</v>
      </c>
      <c r="E142" s="8"/>
      <c r="F142" s="395">
        <f t="shared" si="25"/>
        <v>1076.2866712743898</v>
      </c>
      <c r="G142" s="67">
        <v>1076</v>
      </c>
      <c r="I142" s="395">
        <f t="shared" si="26"/>
        <v>2195.770641714073</v>
      </c>
      <c r="J142" s="67">
        <v>2196</v>
      </c>
      <c r="L142" s="395">
        <f t="shared" si="27"/>
        <v>737.55797756393213</v>
      </c>
      <c r="M142" s="67">
        <v>737</v>
      </c>
      <c r="O142" s="395">
        <f t="shared" si="28"/>
        <v>541.99249692496926</v>
      </c>
      <c r="P142" s="67">
        <v>542</v>
      </c>
    </row>
    <row r="143" spans="2:27" ht="15" customHeight="1">
      <c r="B143" s="69" t="s">
        <v>300</v>
      </c>
      <c r="C143" s="840">
        <v>2549</v>
      </c>
      <c r="D143" s="394">
        <f t="shared" si="24"/>
        <v>0.13552022967728214</v>
      </c>
      <c r="E143" s="8"/>
      <c r="F143" s="395">
        <f t="shared" si="25"/>
        <v>1320.2380775160825</v>
      </c>
      <c r="G143" s="67">
        <v>1320</v>
      </c>
      <c r="I143" s="395">
        <f t="shared" si="26"/>
        <v>2693.4645648359824</v>
      </c>
      <c r="J143" s="67">
        <v>2693</v>
      </c>
      <c r="L143" s="395">
        <f t="shared" si="27"/>
        <v>904.73305332553559</v>
      </c>
      <c r="M143" s="67">
        <v>905</v>
      </c>
      <c r="O143" s="395"/>
    </row>
    <row r="144" spans="2:27" ht="15" customHeight="1">
      <c r="B144" s="69"/>
      <c r="C144" s="48">
        <f>SUM(C137:C143)</f>
        <v>18809</v>
      </c>
      <c r="D144" s="398">
        <f>SUM(D137:D143)</f>
        <v>1</v>
      </c>
      <c r="E144" s="8"/>
      <c r="F144" s="395">
        <f>SUM(F137:F143)</f>
        <v>9741.9999999999982</v>
      </c>
      <c r="G144" s="395">
        <f>SUM(G137:G143)</f>
        <v>9742</v>
      </c>
      <c r="I144" s="395">
        <f>SUM(I137:I143)</f>
        <v>19875</v>
      </c>
      <c r="J144" s="395">
        <f>SUM(J137:J143)</f>
        <v>19875</v>
      </c>
      <c r="L144" s="395">
        <f>SUM(L137:L143)</f>
        <v>6676</v>
      </c>
      <c r="M144" s="395">
        <f>SUM(M137:M143)</f>
        <v>6676</v>
      </c>
      <c r="O144" s="395">
        <f>SUM(O137:O143)</f>
        <v>4241.0000000000009</v>
      </c>
      <c r="P144" s="395">
        <f>SUM(P137:P143)</f>
        <v>4241</v>
      </c>
    </row>
    <row r="146" spans="2:7" ht="15" customHeight="1">
      <c r="B146" s="66" t="s">
        <v>314</v>
      </c>
    </row>
    <row r="147" spans="2:7" ht="15" customHeight="1">
      <c r="B147" s="69" t="s">
        <v>4</v>
      </c>
      <c r="C147" s="840">
        <v>2771</v>
      </c>
      <c r="D147" s="394">
        <f>+C147/$C$153</f>
        <v>0.17041820418204182</v>
      </c>
    </row>
    <row r="148" spans="2:7" ht="15" customHeight="1">
      <c r="B148" s="69" t="s">
        <v>6</v>
      </c>
      <c r="C148" s="840">
        <v>1262</v>
      </c>
      <c r="D148" s="394">
        <f t="shared" ref="D148:D152" si="29">+C148/$C$153</f>
        <v>7.7613776137761381E-2</v>
      </c>
      <c r="F148" s="499"/>
      <c r="G148" s="499"/>
    </row>
    <row r="149" spans="2:7" ht="15" customHeight="1">
      <c r="B149" s="69" t="s">
        <v>7</v>
      </c>
      <c r="C149" s="840">
        <v>1090</v>
      </c>
      <c r="D149" s="394">
        <f t="shared" si="29"/>
        <v>6.7035670356703561E-2</v>
      </c>
      <c r="F149" s="500"/>
      <c r="G149" s="500"/>
    </row>
    <row r="150" spans="2:7" ht="15" customHeight="1">
      <c r="B150" s="69" t="s">
        <v>8</v>
      </c>
      <c r="C150" s="840">
        <v>5699</v>
      </c>
      <c r="D150" s="394">
        <f t="shared" si="29"/>
        <v>0.35049200492004923</v>
      </c>
      <c r="F150" s="499"/>
      <c r="G150" s="499"/>
    </row>
    <row r="151" spans="2:7" ht="15" customHeight="1">
      <c r="B151" s="69" t="s">
        <v>9</v>
      </c>
      <c r="C151" s="840">
        <v>3360</v>
      </c>
      <c r="D151" s="394">
        <f t="shared" si="29"/>
        <v>0.20664206642066421</v>
      </c>
      <c r="F151" s="500"/>
      <c r="G151" s="500"/>
    </row>
    <row r="152" spans="2:7" ht="15" customHeight="1">
      <c r="B152" s="69" t="s">
        <v>10</v>
      </c>
      <c r="C152" s="840">
        <v>2078</v>
      </c>
      <c r="D152" s="394">
        <f t="shared" si="29"/>
        <v>0.12779827798277982</v>
      </c>
      <c r="F152" s="499"/>
      <c r="G152" s="499"/>
    </row>
    <row r="153" spans="2:7" ht="15" customHeight="1">
      <c r="B153" s="69"/>
      <c r="C153" s="48">
        <f>SUM(C147:C152)</f>
        <v>16260</v>
      </c>
      <c r="D153" s="398">
        <f>SUM(D147:D152)</f>
        <v>1</v>
      </c>
      <c r="F153" s="500"/>
      <c r="G153" s="500"/>
    </row>
    <row r="154" spans="2:7" ht="15" customHeight="1">
      <c r="F154" s="499"/>
      <c r="G154" s="499"/>
    </row>
    <row r="155" spans="2:7" ht="15" customHeight="1">
      <c r="F155" s="500"/>
      <c r="G155" s="500"/>
    </row>
    <row r="156" spans="2:7" ht="15" customHeight="1">
      <c r="F156" s="499"/>
      <c r="G156" s="499"/>
    </row>
    <row r="157" spans="2:7" ht="15" customHeight="1">
      <c r="F157" s="500"/>
      <c r="G157" s="500"/>
    </row>
    <row r="158" spans="2:7" ht="15" customHeight="1">
      <c r="F158" s="499"/>
      <c r="G158" s="499"/>
    </row>
    <row r="159" spans="2:7" ht="15" customHeight="1">
      <c r="F159" s="500"/>
      <c r="G159" s="500"/>
    </row>
    <row r="160" spans="2:7" ht="15" customHeight="1">
      <c r="F160" s="499"/>
      <c r="G160" s="499"/>
    </row>
    <row r="161" spans="6:7" ht="15" customHeight="1">
      <c r="F161" s="500"/>
      <c r="G161" s="500"/>
    </row>
    <row r="162" spans="6:7" ht="15" customHeight="1">
      <c r="F162" s="499"/>
      <c r="G162" s="499"/>
    </row>
  </sheetData>
  <mergeCells count="14">
    <mergeCell ref="A118:B118"/>
    <mergeCell ref="A116:B116"/>
    <mergeCell ref="O1:Q1"/>
    <mergeCell ref="I1:K1"/>
    <mergeCell ref="AA1:AC1"/>
    <mergeCell ref="R1:T1"/>
    <mergeCell ref="X1:Z1"/>
    <mergeCell ref="L1:N1"/>
    <mergeCell ref="A1:A2"/>
    <mergeCell ref="B1:B2"/>
    <mergeCell ref="A40:B40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Roman,Félkövér"&amp;14
&amp;16 2017. ÉVI KÖLTSÉGVETÉS&amp;14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7"/>
  <sheetViews>
    <sheetView zoomScaleSheetLayoutView="70" workbookViewId="0">
      <pane xSplit="2" ySplit="2" topLeftCell="M63" activePane="bottomRight" state="frozen"/>
      <selection pane="topRight" activeCell="C1" sqref="C1"/>
      <selection pane="bottomLeft" activeCell="A3" sqref="A3"/>
      <selection pane="bottomRight" activeCell="S56" sqref="S56"/>
    </sheetView>
  </sheetViews>
  <sheetFormatPr defaultColWidth="8.85546875" defaultRowHeight="12.75"/>
  <cols>
    <col min="1" max="1" width="6.28515625" style="8" customWidth="1"/>
    <col min="2" max="2" width="60.7109375" style="66" customWidth="1"/>
    <col min="3" max="8" width="10.7109375" style="67" customWidth="1"/>
    <col min="9" max="14" width="10.7109375" style="68" customWidth="1"/>
    <col min="15" max="17" width="10.7109375" style="67" customWidth="1"/>
    <col min="18" max="20" width="10.7109375" style="68" customWidth="1"/>
    <col min="21" max="21" width="8.85546875" style="8"/>
    <col min="22" max="22" width="40.7109375" style="8" customWidth="1"/>
    <col min="23" max="16384" width="8.85546875" style="8"/>
  </cols>
  <sheetData>
    <row r="1" spans="1:20" s="9" customFormat="1" ht="33" customHeight="1">
      <c r="A1" s="865" t="s">
        <v>150</v>
      </c>
      <c r="B1" s="867" t="s">
        <v>175</v>
      </c>
      <c r="C1" s="896" t="s">
        <v>295</v>
      </c>
      <c r="D1" s="897"/>
      <c r="E1" s="898"/>
      <c r="F1" s="896" t="s">
        <v>296</v>
      </c>
      <c r="G1" s="897"/>
      <c r="H1" s="898"/>
      <c r="I1" s="897" t="s">
        <v>15</v>
      </c>
      <c r="J1" s="897"/>
      <c r="K1" s="897"/>
      <c r="L1" s="896" t="s">
        <v>297</v>
      </c>
      <c r="M1" s="897"/>
      <c r="N1" s="898"/>
      <c r="O1" s="897" t="s">
        <v>16</v>
      </c>
      <c r="P1" s="897"/>
      <c r="Q1" s="897"/>
      <c r="R1" s="896" t="s">
        <v>301</v>
      </c>
      <c r="S1" s="897"/>
      <c r="T1" s="898"/>
    </row>
    <row r="2" spans="1:20" s="9" customFormat="1" ht="27" customHeight="1">
      <c r="A2" s="866"/>
      <c r="B2" s="868"/>
      <c r="C2" s="192" t="s">
        <v>431</v>
      </c>
      <c r="D2" s="193" t="s">
        <v>418</v>
      </c>
      <c r="E2" s="187" t="s">
        <v>110</v>
      </c>
      <c r="F2" s="192" t="s">
        <v>431</v>
      </c>
      <c r="G2" s="193" t="s">
        <v>418</v>
      </c>
      <c r="H2" s="187" t="s">
        <v>110</v>
      </c>
      <c r="I2" s="192" t="s">
        <v>431</v>
      </c>
      <c r="J2" s="193" t="s">
        <v>418</v>
      </c>
      <c r="K2" s="303" t="s">
        <v>110</v>
      </c>
      <c r="L2" s="192" t="s">
        <v>431</v>
      </c>
      <c r="M2" s="193" t="s">
        <v>418</v>
      </c>
      <c r="N2" s="187" t="s">
        <v>110</v>
      </c>
      <c r="O2" s="192" t="s">
        <v>431</v>
      </c>
      <c r="P2" s="193" t="s">
        <v>418</v>
      </c>
      <c r="Q2" s="303" t="s">
        <v>110</v>
      </c>
      <c r="R2" s="192" t="s">
        <v>431</v>
      </c>
      <c r="S2" s="193" t="s">
        <v>418</v>
      </c>
      <c r="T2" s="187" t="s">
        <v>110</v>
      </c>
    </row>
    <row r="3" spans="1:20" ht="13.5" customHeight="1">
      <c r="A3" s="207" t="s">
        <v>151</v>
      </c>
      <c r="B3" s="218" t="s">
        <v>111</v>
      </c>
      <c r="C3" s="262"/>
      <c r="D3" s="257"/>
      <c r="E3" s="263"/>
      <c r="F3" s="262"/>
      <c r="G3" s="257"/>
      <c r="H3" s="263"/>
      <c r="I3" s="256"/>
      <c r="J3" s="257"/>
      <c r="K3" s="258"/>
      <c r="L3" s="262"/>
      <c r="M3" s="257"/>
      <c r="N3" s="304"/>
      <c r="O3" s="256"/>
      <c r="P3" s="257"/>
      <c r="Q3" s="258"/>
      <c r="R3" s="262"/>
      <c r="S3" s="257"/>
      <c r="T3" s="304"/>
    </row>
    <row r="4" spans="1:20" ht="13.5" customHeight="1">
      <c r="A4" s="195" t="s">
        <v>152</v>
      </c>
      <c r="B4" s="216" t="s">
        <v>112</v>
      </c>
      <c r="C4" s="254"/>
      <c r="D4" s="245"/>
      <c r="E4" s="246"/>
      <c r="F4" s="254"/>
      <c r="G4" s="245"/>
      <c r="H4" s="246"/>
      <c r="I4" s="247"/>
      <c r="J4" s="245"/>
      <c r="K4" s="250"/>
      <c r="L4" s="254"/>
      <c r="M4" s="245"/>
      <c r="N4" s="305"/>
      <c r="O4" s="247"/>
      <c r="P4" s="245"/>
      <c r="Q4" s="250"/>
      <c r="R4" s="254"/>
      <c r="S4" s="245"/>
      <c r="T4" s="305"/>
    </row>
    <row r="5" spans="1:20" ht="13.5" customHeight="1">
      <c r="A5" s="197"/>
      <c r="B5" s="501" t="s">
        <v>113</v>
      </c>
      <c r="C5" s="254"/>
      <c r="D5" s="245"/>
      <c r="E5" s="246"/>
      <c r="F5" s="254"/>
      <c r="G5" s="245"/>
      <c r="H5" s="246"/>
      <c r="I5" s="247"/>
      <c r="J5" s="245"/>
      <c r="K5" s="250"/>
      <c r="L5" s="254"/>
      <c r="M5" s="245"/>
      <c r="N5" s="305"/>
      <c r="O5" s="247"/>
      <c r="P5" s="245"/>
      <c r="Q5" s="250"/>
      <c r="R5" s="254"/>
      <c r="S5" s="245"/>
      <c r="T5" s="305"/>
    </row>
    <row r="6" spans="1:20" ht="13.5" customHeight="1">
      <c r="A6" s="206"/>
      <c r="B6" s="502" t="s">
        <v>114</v>
      </c>
      <c r="C6" s="275"/>
      <c r="D6" s="270"/>
      <c r="E6" s="276"/>
      <c r="F6" s="275"/>
      <c r="G6" s="270"/>
      <c r="H6" s="276"/>
      <c r="I6" s="269"/>
      <c r="J6" s="270"/>
      <c r="K6" s="271"/>
      <c r="L6" s="275"/>
      <c r="M6" s="270"/>
      <c r="N6" s="306"/>
      <c r="O6" s="269"/>
      <c r="P6" s="270"/>
      <c r="Q6" s="271"/>
      <c r="R6" s="275"/>
      <c r="S6" s="270"/>
      <c r="T6" s="306"/>
    </row>
    <row r="7" spans="1:20" s="384" customFormat="1" ht="13.5" customHeight="1">
      <c r="A7" s="185" t="s">
        <v>153</v>
      </c>
      <c r="B7" s="180" t="s">
        <v>115</v>
      </c>
      <c r="C7" s="344">
        <f>SUM(C3:C4)</f>
        <v>0</v>
      </c>
      <c r="D7" s="350"/>
      <c r="E7" s="351"/>
      <c r="F7" s="344">
        <f>SUM(F3:F4)</f>
        <v>0</v>
      </c>
      <c r="G7" s="350"/>
      <c r="H7" s="351"/>
      <c r="I7" s="344">
        <f>SUM(I3:I4)</f>
        <v>0</v>
      </c>
      <c r="J7" s="350"/>
      <c r="K7" s="353"/>
      <c r="L7" s="344">
        <f>SUM(L3:L4)</f>
        <v>0</v>
      </c>
      <c r="M7" s="350"/>
      <c r="N7" s="354"/>
      <c r="O7" s="344">
        <f>SUM(O3:O4)</f>
        <v>0</v>
      </c>
      <c r="P7" s="350"/>
      <c r="Q7" s="353"/>
      <c r="R7" s="344">
        <f>SUM(R3:R4)</f>
        <v>0</v>
      </c>
      <c r="S7" s="344">
        <f>SUM(S3:S4)</f>
        <v>0</v>
      </c>
      <c r="T7" s="354"/>
    </row>
    <row r="8" spans="1:20" ht="13.5" customHeight="1">
      <c r="A8" s="207" t="s">
        <v>154</v>
      </c>
      <c r="B8" s="218" t="s">
        <v>149</v>
      </c>
      <c r="C8" s="262"/>
      <c r="D8" s="257"/>
      <c r="E8" s="263"/>
      <c r="F8" s="262"/>
      <c r="G8" s="257"/>
      <c r="H8" s="263"/>
      <c r="I8" s="262"/>
      <c r="J8" s="257"/>
      <c r="K8" s="258"/>
      <c r="L8" s="262"/>
      <c r="M8" s="257"/>
      <c r="N8" s="304"/>
      <c r="O8" s="262"/>
      <c r="P8" s="257"/>
      <c r="Q8" s="258"/>
      <c r="R8" s="262"/>
      <c r="S8" s="257"/>
      <c r="T8" s="304"/>
    </row>
    <row r="9" spans="1:20" ht="13.5" customHeight="1">
      <c r="A9" s="195" t="s">
        <v>155</v>
      </c>
      <c r="B9" s="216" t="s">
        <v>116</v>
      </c>
      <c r="C9" s="254"/>
      <c r="D9" s="245"/>
      <c r="E9" s="246"/>
      <c r="F9" s="254"/>
      <c r="G9" s="245"/>
      <c r="H9" s="246"/>
      <c r="I9" s="254"/>
      <c r="J9" s="245"/>
      <c r="K9" s="250"/>
      <c r="L9" s="254"/>
      <c r="M9" s="245"/>
      <c r="N9" s="305"/>
      <c r="O9" s="254"/>
      <c r="P9" s="245"/>
      <c r="Q9" s="250"/>
      <c r="R9" s="254"/>
      <c r="S9" s="245"/>
      <c r="T9" s="305"/>
    </row>
    <row r="10" spans="1:20" s="332" customFormat="1" ht="13.5" customHeight="1">
      <c r="A10" s="206"/>
      <c r="B10" s="502" t="s">
        <v>114</v>
      </c>
      <c r="C10" s="345"/>
      <c r="D10" s="346"/>
      <c r="E10" s="347"/>
      <c r="F10" s="345"/>
      <c r="G10" s="346"/>
      <c r="H10" s="347"/>
      <c r="I10" s="345"/>
      <c r="J10" s="346"/>
      <c r="K10" s="348"/>
      <c r="L10" s="345"/>
      <c r="M10" s="346"/>
      <c r="N10" s="349"/>
      <c r="O10" s="345"/>
      <c r="P10" s="346"/>
      <c r="Q10" s="348"/>
      <c r="R10" s="345"/>
      <c r="S10" s="346"/>
      <c r="T10" s="349"/>
    </row>
    <row r="11" spans="1:20" s="384" customFormat="1" ht="13.5" customHeight="1">
      <c r="A11" s="185" t="s">
        <v>156</v>
      </c>
      <c r="B11" s="180" t="s">
        <v>117</v>
      </c>
      <c r="C11" s="344">
        <f>SUM(C8:C9)</f>
        <v>0</v>
      </c>
      <c r="D11" s="350"/>
      <c r="E11" s="351"/>
      <c r="F11" s="344">
        <f>SUM(F8:F9)</f>
        <v>0</v>
      </c>
      <c r="G11" s="350"/>
      <c r="H11" s="351"/>
      <c r="I11" s="344">
        <f>SUM(I8:I9)</f>
        <v>0</v>
      </c>
      <c r="J11" s="350"/>
      <c r="K11" s="353"/>
      <c r="L11" s="344">
        <f>SUM(L8:L9)</f>
        <v>0</v>
      </c>
      <c r="M11" s="350"/>
      <c r="N11" s="354"/>
      <c r="O11" s="344">
        <f>SUM(O8:O9)</f>
        <v>0</v>
      </c>
      <c r="P11" s="350"/>
      <c r="Q11" s="353"/>
      <c r="R11" s="344">
        <f>SUM(R8:R9)</f>
        <v>0</v>
      </c>
      <c r="S11" s="344">
        <f>SUM(S8:S9)</f>
        <v>0</v>
      </c>
      <c r="T11" s="354"/>
    </row>
    <row r="12" spans="1:20" ht="13.5" customHeight="1">
      <c r="A12" s="207" t="s">
        <v>157</v>
      </c>
      <c r="B12" s="218" t="s">
        <v>118</v>
      </c>
      <c r="C12" s="262"/>
      <c r="D12" s="257"/>
      <c r="E12" s="263"/>
      <c r="F12" s="262"/>
      <c r="G12" s="257"/>
      <c r="H12" s="263"/>
      <c r="I12" s="262"/>
      <c r="J12" s="257"/>
      <c r="K12" s="258"/>
      <c r="L12" s="262"/>
      <c r="M12" s="257"/>
      <c r="N12" s="304"/>
      <c r="O12" s="262"/>
      <c r="P12" s="257"/>
      <c r="Q12" s="258"/>
      <c r="R12" s="262"/>
      <c r="S12" s="257"/>
      <c r="T12" s="304"/>
    </row>
    <row r="13" spans="1:20" ht="13.5" customHeight="1">
      <c r="A13" s="195" t="s">
        <v>158</v>
      </c>
      <c r="B13" s="216" t="s">
        <v>119</v>
      </c>
      <c r="C13" s="254"/>
      <c r="D13" s="245"/>
      <c r="E13" s="246"/>
      <c r="F13" s="254"/>
      <c r="G13" s="245"/>
      <c r="H13" s="246"/>
      <c r="I13" s="254"/>
      <c r="J13" s="245"/>
      <c r="K13" s="250"/>
      <c r="L13" s="254"/>
      <c r="M13" s="245"/>
      <c r="N13" s="305"/>
      <c r="O13" s="254"/>
      <c r="P13" s="245"/>
      <c r="Q13" s="250"/>
      <c r="R13" s="254"/>
      <c r="S13" s="245"/>
      <c r="T13" s="305"/>
    </row>
    <row r="14" spans="1:20" ht="13.5" customHeight="1">
      <c r="A14" s="195" t="s">
        <v>159</v>
      </c>
      <c r="B14" s="216" t="s">
        <v>120</v>
      </c>
      <c r="C14" s="254"/>
      <c r="D14" s="245"/>
      <c r="E14" s="246"/>
      <c r="F14" s="254"/>
      <c r="G14" s="245"/>
      <c r="H14" s="246"/>
      <c r="I14" s="254"/>
      <c r="J14" s="245"/>
      <c r="K14" s="250"/>
      <c r="L14" s="254"/>
      <c r="M14" s="245"/>
      <c r="N14" s="305"/>
      <c r="O14" s="254"/>
      <c r="P14" s="245"/>
      <c r="Q14" s="250"/>
      <c r="R14" s="254"/>
      <c r="S14" s="245"/>
      <c r="T14" s="305"/>
    </row>
    <row r="15" spans="1:20" ht="13.5" customHeight="1">
      <c r="A15" s="195" t="s">
        <v>160</v>
      </c>
      <c r="B15" s="216" t="s">
        <v>121</v>
      </c>
      <c r="C15" s="254"/>
      <c r="D15" s="245"/>
      <c r="E15" s="246"/>
      <c r="F15" s="254"/>
      <c r="G15" s="245"/>
      <c r="H15" s="246"/>
      <c r="I15" s="254"/>
      <c r="J15" s="245"/>
      <c r="K15" s="250"/>
      <c r="L15" s="254"/>
      <c r="M15" s="245"/>
      <c r="N15" s="305"/>
      <c r="O15" s="254"/>
      <c r="P15" s="245"/>
      <c r="Q15" s="250"/>
      <c r="R15" s="254"/>
      <c r="S15" s="245"/>
      <c r="T15" s="305"/>
    </row>
    <row r="16" spans="1:20" ht="13.5" customHeight="1">
      <c r="A16" s="195" t="s">
        <v>161</v>
      </c>
      <c r="B16" s="216" t="s">
        <v>122</v>
      </c>
      <c r="C16" s="254"/>
      <c r="D16" s="245"/>
      <c r="E16" s="246"/>
      <c r="F16" s="254"/>
      <c r="G16" s="245"/>
      <c r="H16" s="246"/>
      <c r="I16" s="254"/>
      <c r="J16" s="245"/>
      <c r="K16" s="250"/>
      <c r="L16" s="254"/>
      <c r="M16" s="245"/>
      <c r="N16" s="305"/>
      <c r="O16" s="254"/>
      <c r="P16" s="245"/>
      <c r="Q16" s="250"/>
      <c r="R16" s="254">
        <f>+C16+F16+I16+L16+O16</f>
        <v>0</v>
      </c>
      <c r="S16" s="245">
        <f>+D16+G16+J16+M16+P16</f>
        <v>0</v>
      </c>
      <c r="T16" s="305"/>
    </row>
    <row r="17" spans="1:20" ht="13.5" customHeight="1">
      <c r="A17" s="195" t="s">
        <v>162</v>
      </c>
      <c r="B17" s="216" t="s">
        <v>123</v>
      </c>
      <c r="C17" s="254"/>
      <c r="D17" s="245"/>
      <c r="E17" s="246"/>
      <c r="F17" s="254"/>
      <c r="G17" s="245"/>
      <c r="H17" s="246"/>
      <c r="I17" s="254"/>
      <c r="J17" s="245"/>
      <c r="K17" s="250"/>
      <c r="L17" s="254"/>
      <c r="M17" s="245"/>
      <c r="N17" s="305"/>
      <c r="O17" s="254"/>
      <c r="P17" s="245"/>
      <c r="Q17" s="250"/>
      <c r="R17" s="254"/>
      <c r="S17" s="245"/>
      <c r="T17" s="305"/>
    </row>
    <row r="18" spans="1:20" ht="13.5" customHeight="1">
      <c r="A18" s="195" t="s">
        <v>163</v>
      </c>
      <c r="B18" s="216" t="s">
        <v>124</v>
      </c>
      <c r="C18" s="254"/>
      <c r="D18" s="245"/>
      <c r="E18" s="246"/>
      <c r="F18" s="254"/>
      <c r="G18" s="245"/>
      <c r="H18" s="246"/>
      <c r="I18" s="254"/>
      <c r="J18" s="245"/>
      <c r="K18" s="250"/>
      <c r="L18" s="254"/>
      <c r="M18" s="245"/>
      <c r="N18" s="305"/>
      <c r="O18" s="254"/>
      <c r="P18" s="245"/>
      <c r="Q18" s="250"/>
      <c r="R18" s="254"/>
      <c r="S18" s="245"/>
      <c r="T18" s="305"/>
    </row>
    <row r="19" spans="1:20" ht="13.5" customHeight="1">
      <c r="A19" s="195" t="s">
        <v>164</v>
      </c>
      <c r="B19" s="216" t="s">
        <v>125</v>
      </c>
      <c r="C19" s="254"/>
      <c r="D19" s="245"/>
      <c r="E19" s="246"/>
      <c r="F19" s="254"/>
      <c r="G19" s="245"/>
      <c r="H19" s="246"/>
      <c r="I19" s="254"/>
      <c r="J19" s="245"/>
      <c r="K19" s="250"/>
      <c r="L19" s="254"/>
      <c r="M19" s="245"/>
      <c r="N19" s="305"/>
      <c r="O19" s="254"/>
      <c r="P19" s="245"/>
      <c r="Q19" s="250"/>
      <c r="R19" s="254"/>
      <c r="S19" s="245"/>
      <c r="T19" s="305"/>
    </row>
    <row r="20" spans="1:20" ht="13.5" customHeight="1">
      <c r="A20" s="209" t="s">
        <v>165</v>
      </c>
      <c r="B20" s="219" t="s">
        <v>126</v>
      </c>
      <c r="C20" s="275"/>
      <c r="D20" s="270"/>
      <c r="E20" s="276"/>
      <c r="F20" s="275"/>
      <c r="G20" s="270"/>
      <c r="H20" s="276"/>
      <c r="I20" s="275"/>
      <c r="J20" s="270"/>
      <c r="K20" s="271"/>
      <c r="L20" s="275"/>
      <c r="M20" s="270"/>
      <c r="N20" s="306"/>
      <c r="O20" s="275"/>
      <c r="P20" s="270"/>
      <c r="Q20" s="271"/>
      <c r="R20" s="275"/>
      <c r="S20" s="270"/>
      <c r="T20" s="306"/>
    </row>
    <row r="21" spans="1:20" s="384" customFormat="1" ht="13.5" customHeight="1">
      <c r="A21" s="185" t="s">
        <v>166</v>
      </c>
      <c r="B21" s="180" t="s">
        <v>127</v>
      </c>
      <c r="C21" s="344">
        <f>SUM(C12:C20)</f>
        <v>0</v>
      </c>
      <c r="D21" s="350"/>
      <c r="E21" s="351"/>
      <c r="F21" s="344">
        <f>SUM(F12:F20)</f>
        <v>0</v>
      </c>
      <c r="G21" s="350"/>
      <c r="H21" s="351"/>
      <c r="I21" s="344">
        <f>SUM(I12:I20)</f>
        <v>0</v>
      </c>
      <c r="J21" s="350"/>
      <c r="K21" s="353"/>
      <c r="L21" s="344">
        <f>SUM(L12:L20)</f>
        <v>0</v>
      </c>
      <c r="M21" s="350"/>
      <c r="N21" s="354"/>
      <c r="O21" s="344">
        <f>SUM(O12:O20)</f>
        <v>0</v>
      </c>
      <c r="P21" s="350"/>
      <c r="Q21" s="353"/>
      <c r="R21" s="344">
        <f>SUM(R12:R20)</f>
        <v>0</v>
      </c>
      <c r="S21" s="344">
        <f>SUM(S12:S20)</f>
        <v>0</v>
      </c>
      <c r="T21" s="354"/>
    </row>
    <row r="22" spans="1:20" s="384" customFormat="1" ht="13.5" customHeight="1">
      <c r="A22" s="185" t="s">
        <v>167</v>
      </c>
      <c r="B22" s="180" t="s">
        <v>128</v>
      </c>
      <c r="C22" s="344"/>
      <c r="D22" s="350"/>
      <c r="E22" s="351"/>
      <c r="F22" s="344"/>
      <c r="G22" s="350"/>
      <c r="H22" s="351"/>
      <c r="I22" s="344"/>
      <c r="J22" s="350"/>
      <c r="K22" s="353"/>
      <c r="L22" s="344"/>
      <c r="M22" s="350"/>
      <c r="N22" s="354"/>
      <c r="O22" s="344"/>
      <c r="P22" s="350"/>
      <c r="Q22" s="353"/>
      <c r="R22" s="344"/>
      <c r="S22" s="350"/>
      <c r="T22" s="354"/>
    </row>
    <row r="23" spans="1:20" ht="13.5" customHeight="1">
      <c r="A23" s="210" t="s">
        <v>168</v>
      </c>
      <c r="B23" s="220" t="s">
        <v>129</v>
      </c>
      <c r="C23" s="286"/>
      <c r="D23" s="281"/>
      <c r="E23" s="287"/>
      <c r="F23" s="286"/>
      <c r="G23" s="281"/>
      <c r="H23" s="287"/>
      <c r="I23" s="286"/>
      <c r="J23" s="281"/>
      <c r="K23" s="282"/>
      <c r="L23" s="286"/>
      <c r="M23" s="281"/>
      <c r="N23" s="307"/>
      <c r="O23" s="286"/>
      <c r="P23" s="281"/>
      <c r="Q23" s="282"/>
      <c r="R23" s="286"/>
      <c r="S23" s="281"/>
      <c r="T23" s="307"/>
    </row>
    <row r="24" spans="1:20" s="384" customFormat="1" ht="13.5" customHeight="1">
      <c r="A24" s="185" t="s">
        <v>169</v>
      </c>
      <c r="B24" s="180" t="s">
        <v>290</v>
      </c>
      <c r="C24" s="344">
        <f>+C23</f>
        <v>0</v>
      </c>
      <c r="D24" s="350"/>
      <c r="E24" s="351"/>
      <c r="F24" s="344">
        <f>+F23</f>
        <v>0</v>
      </c>
      <c r="G24" s="350"/>
      <c r="H24" s="351"/>
      <c r="I24" s="344">
        <f>+I23</f>
        <v>0</v>
      </c>
      <c r="J24" s="350"/>
      <c r="K24" s="353"/>
      <c r="L24" s="344">
        <f>+L23</f>
        <v>0</v>
      </c>
      <c r="M24" s="350"/>
      <c r="N24" s="354"/>
      <c r="O24" s="344">
        <f>+O23</f>
        <v>0</v>
      </c>
      <c r="P24" s="350"/>
      <c r="Q24" s="353"/>
      <c r="R24" s="344">
        <f>+R23</f>
        <v>0</v>
      </c>
      <c r="S24" s="344">
        <f>+S23</f>
        <v>0</v>
      </c>
      <c r="T24" s="354"/>
    </row>
    <row r="25" spans="1:20" ht="13.5" customHeight="1">
      <c r="A25" s="210" t="s">
        <v>170</v>
      </c>
      <c r="B25" s="220" t="s">
        <v>130</v>
      </c>
      <c r="C25" s="286"/>
      <c r="D25" s="281"/>
      <c r="E25" s="287"/>
      <c r="F25" s="286"/>
      <c r="G25" s="281"/>
      <c r="H25" s="287"/>
      <c r="I25" s="286"/>
      <c r="J25" s="281"/>
      <c r="K25" s="282"/>
      <c r="L25" s="286"/>
      <c r="M25" s="281"/>
      <c r="N25" s="307"/>
      <c r="O25" s="286"/>
      <c r="P25" s="281"/>
      <c r="Q25" s="282"/>
      <c r="R25" s="286"/>
      <c r="S25" s="281"/>
      <c r="T25" s="307"/>
    </row>
    <row r="26" spans="1:20" s="384" customFormat="1" ht="13.5" customHeight="1">
      <c r="A26" s="185" t="s">
        <v>171</v>
      </c>
      <c r="B26" s="180" t="s">
        <v>291</v>
      </c>
      <c r="C26" s="344">
        <f>+C25</f>
        <v>0</v>
      </c>
      <c r="D26" s="350"/>
      <c r="E26" s="351"/>
      <c r="F26" s="344">
        <f>+F25</f>
        <v>0</v>
      </c>
      <c r="G26" s="350"/>
      <c r="H26" s="351"/>
      <c r="I26" s="344">
        <f>+I25</f>
        <v>0</v>
      </c>
      <c r="J26" s="350"/>
      <c r="K26" s="353"/>
      <c r="L26" s="344">
        <f>+L25</f>
        <v>0</v>
      </c>
      <c r="M26" s="350"/>
      <c r="N26" s="354"/>
      <c r="O26" s="344">
        <f>+O25</f>
        <v>0</v>
      </c>
      <c r="P26" s="350"/>
      <c r="Q26" s="353"/>
      <c r="R26" s="344">
        <f>+R25</f>
        <v>0</v>
      </c>
      <c r="S26" s="344">
        <f>+S25</f>
        <v>0</v>
      </c>
      <c r="T26" s="354"/>
    </row>
    <row r="27" spans="1:20" s="384" customFormat="1" ht="13.5" customHeight="1">
      <c r="A27" s="185" t="s">
        <v>172</v>
      </c>
      <c r="B27" s="180" t="s">
        <v>131</v>
      </c>
      <c r="C27" s="344">
        <f>+C7+C11+C21+C22+C24+C26</f>
        <v>0</v>
      </c>
      <c r="D27" s="350"/>
      <c r="E27" s="351"/>
      <c r="F27" s="344">
        <f>+F7+F11+F21+F22+F24+F26</f>
        <v>0</v>
      </c>
      <c r="G27" s="350"/>
      <c r="H27" s="351"/>
      <c r="I27" s="344">
        <f>+I7+I11+I21+I22+I24+I26</f>
        <v>0</v>
      </c>
      <c r="J27" s="350"/>
      <c r="K27" s="353"/>
      <c r="L27" s="344">
        <f>+L7+L11+L21+L22+L24+L26</f>
        <v>0</v>
      </c>
      <c r="M27" s="350"/>
      <c r="N27" s="354"/>
      <c r="O27" s="344">
        <f>+O7+O11+O21+O22+O24+O26</f>
        <v>0</v>
      </c>
      <c r="P27" s="350"/>
      <c r="Q27" s="353"/>
      <c r="S27" s="344">
        <f>+R7+R11+R21+R22+R24+R26</f>
        <v>0</v>
      </c>
      <c r="T27" s="354"/>
    </row>
    <row r="28" spans="1:20" s="384" customFormat="1" ht="13.5" customHeight="1">
      <c r="A28" s="288" t="s">
        <v>173</v>
      </c>
      <c r="B28" s="180" t="s">
        <v>132</v>
      </c>
      <c r="C28" s="344"/>
      <c r="D28" s="350"/>
      <c r="E28" s="351"/>
      <c r="F28" s="344"/>
      <c r="G28" s="350"/>
      <c r="H28" s="351"/>
      <c r="I28" s="344"/>
      <c r="J28" s="350"/>
      <c r="K28" s="353"/>
      <c r="L28" s="344"/>
      <c r="M28" s="350"/>
      <c r="N28" s="354"/>
      <c r="O28" s="344"/>
      <c r="P28" s="350"/>
      <c r="Q28" s="353"/>
      <c r="R28" s="254">
        <f>+C28+F28+I28+L28+O28</f>
        <v>0</v>
      </c>
      <c r="S28" s="350"/>
      <c r="T28" s="354"/>
    </row>
    <row r="29" spans="1:20" s="384" customFormat="1" ht="13.5" customHeight="1">
      <c r="A29" s="288" t="s">
        <v>288</v>
      </c>
      <c r="B29" s="180" t="s">
        <v>289</v>
      </c>
      <c r="C29" s="344">
        <f>+SUM(C30:C31)</f>
        <v>33688</v>
      </c>
      <c r="D29" s="350">
        <f>+SUM(D30:D31)</f>
        <v>31151</v>
      </c>
      <c r="E29" s="351"/>
      <c r="F29" s="344">
        <f>+SUM(F30:F31)</f>
        <v>53963</v>
      </c>
      <c r="G29" s="350">
        <f>+SUM(G30:G31)</f>
        <v>59294</v>
      </c>
      <c r="H29" s="351"/>
      <c r="I29" s="344">
        <f>+SUM(I30:I31)</f>
        <v>28489</v>
      </c>
      <c r="J29" s="350">
        <f>+SUM(J30:J31)</f>
        <v>26410</v>
      </c>
      <c r="K29" s="353"/>
      <c r="L29" s="344">
        <f>+SUM(L30:L31)</f>
        <v>50679</v>
      </c>
      <c r="M29" s="350">
        <f>+SUM(M30:M31)</f>
        <v>50720</v>
      </c>
      <c r="N29" s="354"/>
      <c r="O29" s="344">
        <f>+SUM(O30:O31)</f>
        <v>11045</v>
      </c>
      <c r="P29" s="350">
        <f>+SUM(P30:P31)</f>
        <v>12630</v>
      </c>
      <c r="Q29" s="353"/>
      <c r="R29" s="344">
        <f>+SUM(R30:R31)</f>
        <v>177864</v>
      </c>
      <c r="S29" s="344">
        <f>+SUM(S30:S31)</f>
        <v>180205</v>
      </c>
      <c r="T29" s="354"/>
    </row>
    <row r="30" spans="1:20" ht="13.5" customHeight="1">
      <c r="A30" s="322"/>
      <c r="B30" s="215" t="s">
        <v>298</v>
      </c>
      <c r="C30" s="319">
        <f>+'[4]4.SZ.TÁBL. ÓVODA'!C30</f>
        <v>27747</v>
      </c>
      <c r="D30" s="314">
        <f>+'5.SZ.TÁBL. ÓVODAI NORMATÍVA'!C17</f>
        <v>28137</v>
      </c>
      <c r="E30" s="320"/>
      <c r="F30" s="319">
        <f>+'[4]4.SZ.TÁBL. ÓVODA'!F30</f>
        <v>50466</v>
      </c>
      <c r="G30" s="314">
        <f>+'5.SZ.TÁBL. ÓVODAI NORMATÍVA'!E17</f>
        <v>48993</v>
      </c>
      <c r="H30" s="320"/>
      <c r="I30" s="319">
        <f>+'[4]4.SZ.TÁBL. ÓVODA'!I30</f>
        <v>25297</v>
      </c>
      <c r="J30" s="314">
        <f>+'5.SZ.TÁBL. ÓVODAI NORMATÍVA'!G17</f>
        <v>23461</v>
      </c>
      <c r="K30" s="315"/>
      <c r="L30" s="319">
        <f>+'[4]4.SZ.TÁBL. ÓVODA'!L30</f>
        <v>50679</v>
      </c>
      <c r="M30" s="314">
        <f>+'5.SZ.TÁBL. ÓVODAI NORMATÍVA'!I17</f>
        <v>50720</v>
      </c>
      <c r="N30" s="340"/>
      <c r="O30" s="319">
        <f>+'[4]4.SZ.TÁBL. ÓVODA'!O30</f>
        <v>5298</v>
      </c>
      <c r="P30" s="314">
        <f>+'5.SZ.TÁBL. ÓVODAI NORMATÍVA'!K17</f>
        <v>5465</v>
      </c>
      <c r="Q30" s="315"/>
      <c r="R30" s="319">
        <f t="shared" ref="R30:S34" si="0">+C30+F30+I30+L30+O30</f>
        <v>159487</v>
      </c>
      <c r="S30" s="314">
        <f t="shared" si="0"/>
        <v>156776</v>
      </c>
      <c r="T30" s="340"/>
    </row>
    <row r="31" spans="1:20" ht="13.5" customHeight="1">
      <c r="A31" s="323"/>
      <c r="B31" s="216" t="s">
        <v>299</v>
      </c>
      <c r="C31" s="254">
        <f>+SUM(C32:C34)</f>
        <v>5941</v>
      </c>
      <c r="D31" s="245">
        <f>+SUM(D32:D34)</f>
        <v>3014</v>
      </c>
      <c r="E31" s="246"/>
      <c r="F31" s="254">
        <f>+SUM(F32:F34)</f>
        <v>3497</v>
      </c>
      <c r="G31" s="245">
        <f>+SUM(G32:G34)</f>
        <v>10301</v>
      </c>
      <c r="H31" s="246"/>
      <c r="I31" s="254">
        <f>+SUM(I32:I34)</f>
        <v>3192</v>
      </c>
      <c r="J31" s="245">
        <f>+SUM(J32:J34)</f>
        <v>2949</v>
      </c>
      <c r="K31" s="250"/>
      <c r="L31" s="254">
        <f>+SUM(L32:L34)</f>
        <v>0</v>
      </c>
      <c r="M31" s="245">
        <f>+SUM(M32:M34)</f>
        <v>0</v>
      </c>
      <c r="N31" s="305"/>
      <c r="O31" s="254">
        <f>+SUM(O32:O34)</f>
        <v>5747</v>
      </c>
      <c r="P31" s="245">
        <f>+SUM(P32:P34)</f>
        <v>7165</v>
      </c>
      <c r="Q31" s="250"/>
      <c r="R31" s="254">
        <f t="shared" si="0"/>
        <v>18377</v>
      </c>
      <c r="S31" s="245">
        <f t="shared" si="0"/>
        <v>23429</v>
      </c>
      <c r="T31" s="305"/>
    </row>
    <row r="32" spans="1:20" s="332" customFormat="1" ht="13.5" customHeight="1">
      <c r="A32" s="324"/>
      <c r="B32" s="501" t="s">
        <v>4</v>
      </c>
      <c r="C32" s="330">
        <f>+'[4]4.SZ.TÁBL. ÓVODA'!C32</f>
        <v>2376</v>
      </c>
      <c r="D32" s="325">
        <f>+F123</f>
        <v>1205</v>
      </c>
      <c r="E32" s="331"/>
      <c r="F32" s="330">
        <f>+'[4]4.SZ.TÁBL. ÓVODA'!F32</f>
        <v>3497</v>
      </c>
      <c r="G32" s="325">
        <v>10301</v>
      </c>
      <c r="H32" s="331"/>
      <c r="I32" s="330">
        <f>+'[4]4.SZ.TÁBL. ÓVODA'!I32</f>
        <v>0</v>
      </c>
      <c r="J32" s="325"/>
      <c r="K32" s="326"/>
      <c r="L32" s="330">
        <f>+'[4]4.SZ.TÁBL. ÓVODA'!L32</f>
        <v>0</v>
      </c>
      <c r="M32" s="325"/>
      <c r="N32" s="341"/>
      <c r="O32" s="330">
        <f>+'[4]4.SZ.TÁBL. ÓVODA'!O32</f>
        <v>2299</v>
      </c>
      <c r="P32" s="325">
        <f>+Q123</f>
        <v>2866</v>
      </c>
      <c r="Q32" s="326"/>
      <c r="R32" s="330">
        <f t="shared" si="0"/>
        <v>8172</v>
      </c>
      <c r="S32" s="325">
        <f t="shared" si="0"/>
        <v>14372</v>
      </c>
      <c r="T32" s="341"/>
    </row>
    <row r="33" spans="1:20" s="332" customFormat="1" ht="13.5" customHeight="1">
      <c r="A33" s="324"/>
      <c r="B33" s="501" t="s">
        <v>6</v>
      </c>
      <c r="C33" s="330">
        <f>+'[4]4.SZ.TÁBL. ÓVODA'!C33</f>
        <v>1189</v>
      </c>
      <c r="D33" s="325">
        <f t="shared" ref="D33:D34" si="1">+F124</f>
        <v>604</v>
      </c>
      <c r="E33" s="331"/>
      <c r="F33" s="330">
        <f>+'[4]4.SZ.TÁBL. ÓVODA'!F33</f>
        <v>0</v>
      </c>
      <c r="G33" s="325"/>
      <c r="H33" s="331"/>
      <c r="I33" s="330">
        <f>+'[4]4.SZ.TÁBL. ÓVODA'!I33</f>
        <v>3192</v>
      </c>
      <c r="J33" s="325">
        <v>2949</v>
      </c>
      <c r="K33" s="326"/>
      <c r="L33" s="330">
        <f>+'[4]4.SZ.TÁBL. ÓVODA'!L33</f>
        <v>0</v>
      </c>
      <c r="M33" s="325"/>
      <c r="N33" s="341"/>
      <c r="O33" s="330">
        <f>+'[4]4.SZ.TÁBL. ÓVODA'!O33</f>
        <v>1149</v>
      </c>
      <c r="P33" s="325">
        <f t="shared" ref="P33:P34" si="2">+Q124</f>
        <v>1433</v>
      </c>
      <c r="Q33" s="326"/>
      <c r="R33" s="330">
        <f t="shared" si="0"/>
        <v>5530</v>
      </c>
      <c r="S33" s="325">
        <f t="shared" si="0"/>
        <v>4986</v>
      </c>
      <c r="T33" s="341"/>
    </row>
    <row r="34" spans="1:20" s="332" customFormat="1" ht="13.5" customHeight="1">
      <c r="A34" s="333"/>
      <c r="B34" s="503" t="s">
        <v>10</v>
      </c>
      <c r="C34" s="330">
        <f>+'[4]4.SZ.TÁBL. ÓVODA'!C34</f>
        <v>2376</v>
      </c>
      <c r="D34" s="325">
        <f t="shared" si="1"/>
        <v>1205</v>
      </c>
      <c r="E34" s="337"/>
      <c r="F34" s="330">
        <f>+'[4]4.SZ.TÁBL. ÓVODA'!F34</f>
        <v>0</v>
      </c>
      <c r="G34" s="334"/>
      <c r="H34" s="337"/>
      <c r="I34" s="330">
        <f>+'[4]4.SZ.TÁBL. ÓVODA'!I34</f>
        <v>0</v>
      </c>
      <c r="J34" s="334"/>
      <c r="K34" s="335"/>
      <c r="L34" s="330">
        <f>+'[4]4.SZ.TÁBL. ÓVODA'!L34</f>
        <v>0</v>
      </c>
      <c r="M34" s="334"/>
      <c r="N34" s="343"/>
      <c r="O34" s="330">
        <f>+'[4]4.SZ.TÁBL. ÓVODA'!O34</f>
        <v>2299</v>
      </c>
      <c r="P34" s="325">
        <f t="shared" si="2"/>
        <v>2866</v>
      </c>
      <c r="Q34" s="335"/>
      <c r="R34" s="336">
        <f t="shared" si="0"/>
        <v>4675</v>
      </c>
      <c r="S34" s="334">
        <f t="shared" si="0"/>
        <v>4071</v>
      </c>
      <c r="T34" s="343"/>
    </row>
    <row r="35" spans="1:20" s="384" customFormat="1" ht="13.5" customHeight="1" thickBot="1">
      <c r="A35" s="338" t="s">
        <v>174</v>
      </c>
      <c r="B35" s="339" t="s">
        <v>133</v>
      </c>
      <c r="C35" s="355">
        <f>SUM(C28:C29)</f>
        <v>33688</v>
      </c>
      <c r="D35" s="356">
        <f>SUM(D28:D29)</f>
        <v>31151</v>
      </c>
      <c r="E35" s="357"/>
      <c r="F35" s="355">
        <f>SUM(F28:F29)</f>
        <v>53963</v>
      </c>
      <c r="G35" s="356">
        <f>SUM(G28:G29)</f>
        <v>59294</v>
      </c>
      <c r="H35" s="357"/>
      <c r="I35" s="355">
        <f>SUM(I28:I29)</f>
        <v>28489</v>
      </c>
      <c r="J35" s="356">
        <f>SUM(J28:J29)</f>
        <v>26410</v>
      </c>
      <c r="K35" s="358"/>
      <c r="L35" s="355">
        <f>SUM(L28:L29)</f>
        <v>50679</v>
      </c>
      <c r="M35" s="356">
        <f>SUM(M28:M29)</f>
        <v>50720</v>
      </c>
      <c r="N35" s="359"/>
      <c r="O35" s="355">
        <f>SUM(O28:O29)</f>
        <v>11045</v>
      </c>
      <c r="P35" s="356">
        <f>SUM(P28:P29)</f>
        <v>12630</v>
      </c>
      <c r="Q35" s="358"/>
      <c r="R35" s="355">
        <f>SUM(R28:R29)</f>
        <v>177864</v>
      </c>
      <c r="S35" s="355">
        <f>SUM(S28:S29)</f>
        <v>180205</v>
      </c>
      <c r="T35" s="359"/>
    </row>
    <row r="36" spans="1:20" s="384" customFormat="1" ht="13.5" customHeight="1" thickBot="1">
      <c r="A36" s="859" t="s">
        <v>0</v>
      </c>
      <c r="B36" s="899"/>
      <c r="C36" s="360">
        <f>+C27+C35</f>
        <v>33688</v>
      </c>
      <c r="D36" s="361">
        <f>+D27+D35</f>
        <v>31151</v>
      </c>
      <c r="E36" s="362"/>
      <c r="F36" s="360">
        <f>+F27+F35</f>
        <v>53963</v>
      </c>
      <c r="G36" s="361">
        <f>+G27+G35</f>
        <v>59294</v>
      </c>
      <c r="H36" s="362"/>
      <c r="I36" s="360">
        <f>+I27+I35</f>
        <v>28489</v>
      </c>
      <c r="J36" s="361">
        <f>+J27+J35</f>
        <v>26410</v>
      </c>
      <c r="K36" s="364"/>
      <c r="L36" s="360">
        <f>+L27+L35</f>
        <v>50679</v>
      </c>
      <c r="M36" s="361">
        <f>+M27+M35</f>
        <v>50720</v>
      </c>
      <c r="N36" s="365"/>
      <c r="O36" s="360">
        <f>+O27+O35</f>
        <v>11045</v>
      </c>
      <c r="P36" s="361">
        <f>+P27+P35</f>
        <v>12630</v>
      </c>
      <c r="Q36" s="364"/>
      <c r="R36" s="360">
        <f>+S27+R35</f>
        <v>177864</v>
      </c>
      <c r="S36" s="360">
        <f>+T27+S35</f>
        <v>180205</v>
      </c>
      <c r="T36" s="365"/>
    </row>
    <row r="37" spans="1:20" ht="13.5" customHeight="1">
      <c r="A37" s="237" t="s">
        <v>192</v>
      </c>
      <c r="B37" s="296" t="s">
        <v>193</v>
      </c>
      <c r="C37" s="262">
        <f>+'[9]Óvoda össz'!$B16</f>
        <v>18252</v>
      </c>
      <c r="D37" s="257">
        <f>+'[10]Óvoda össz'!$B$16</f>
        <v>17407</v>
      </c>
      <c r="E37" s="263"/>
      <c r="F37" s="262">
        <f>+'[9]Óvoda össz'!$C16</f>
        <v>34244</v>
      </c>
      <c r="G37" s="257">
        <f>+'[10]Óvoda össz'!$C$16</f>
        <v>36815</v>
      </c>
      <c r="H37" s="263"/>
      <c r="I37" s="262">
        <f>+'[9]Óvoda össz'!$D16</f>
        <v>19558</v>
      </c>
      <c r="J37" s="257">
        <f>+'[11]Óvoda össz'!$D$16</f>
        <v>19053</v>
      </c>
      <c r="K37" s="258"/>
      <c r="L37" s="262">
        <f>+'[9]Óvoda össz'!$E16</f>
        <v>30492</v>
      </c>
      <c r="M37" s="257">
        <f>+'[10]Óvoda össz'!$E$16</f>
        <v>33985</v>
      </c>
      <c r="N37" s="304"/>
      <c r="O37" s="262">
        <f>+'[9]Óvoda össz'!$F16</f>
        <v>5801</v>
      </c>
      <c r="P37" s="257">
        <f>+'[10]Óvoda össz'!$F$16</f>
        <v>6295</v>
      </c>
      <c r="Q37" s="258"/>
      <c r="R37" s="262">
        <f>+C37+F37+I37+L37+O37</f>
        <v>108347</v>
      </c>
      <c r="S37" s="262">
        <f>+D37+G37+J37+M37+P37</f>
        <v>113555</v>
      </c>
      <c r="T37" s="304"/>
    </row>
    <row r="38" spans="1:20" ht="13.5" customHeight="1">
      <c r="A38" s="238" t="s">
        <v>194</v>
      </c>
      <c r="B38" s="297" t="s">
        <v>195</v>
      </c>
      <c r="C38" s="262">
        <f>+'[9]Óvoda össz'!$B17</f>
        <v>0</v>
      </c>
      <c r="D38" s="245"/>
      <c r="E38" s="246"/>
      <c r="F38" s="262">
        <f>+'[9]Óvoda össz'!$C17</f>
        <v>0</v>
      </c>
      <c r="G38" s="245"/>
      <c r="H38" s="246"/>
      <c r="I38" s="262">
        <f>+'[9]Óvoda össz'!$D17</f>
        <v>0</v>
      </c>
      <c r="J38" s="245"/>
      <c r="K38" s="250"/>
      <c r="L38" s="262">
        <f>+'[9]Óvoda össz'!$E17</f>
        <v>0</v>
      </c>
      <c r="M38" s="245"/>
      <c r="N38" s="305"/>
      <c r="O38" s="262">
        <f>+'[9]Óvoda össz'!$F17</f>
        <v>0</v>
      </c>
      <c r="P38" s="245"/>
      <c r="Q38" s="250"/>
      <c r="R38" s="262">
        <f t="shared" ref="R38:S54" si="3">+C38+F38+I38+L38+O38</f>
        <v>0</v>
      </c>
      <c r="S38" s="262">
        <f t="shared" si="3"/>
        <v>0</v>
      </c>
      <c r="T38" s="305"/>
    </row>
    <row r="39" spans="1:20" ht="13.5" customHeight="1">
      <c r="A39" s="238" t="s">
        <v>196</v>
      </c>
      <c r="B39" s="297" t="s">
        <v>197</v>
      </c>
      <c r="C39" s="262">
        <f>+'[9]Óvoda össz'!$B18</f>
        <v>0</v>
      </c>
      <c r="D39" s="245"/>
      <c r="E39" s="246"/>
      <c r="F39" s="262">
        <f>+'[9]Óvoda össz'!$C18</f>
        <v>0</v>
      </c>
      <c r="G39" s="245"/>
      <c r="H39" s="246"/>
      <c r="I39" s="262">
        <f>+'[9]Óvoda össz'!$D18</f>
        <v>0</v>
      </c>
      <c r="J39" s="245"/>
      <c r="K39" s="250"/>
      <c r="L39" s="262">
        <f>+'[9]Óvoda össz'!$E18</f>
        <v>0</v>
      </c>
      <c r="M39" s="245"/>
      <c r="N39" s="305"/>
      <c r="O39" s="262">
        <f>+'[9]Óvoda össz'!$F18</f>
        <v>0</v>
      </c>
      <c r="P39" s="245"/>
      <c r="Q39" s="250"/>
      <c r="R39" s="262">
        <f t="shared" si="3"/>
        <v>0</v>
      </c>
      <c r="S39" s="262">
        <f t="shared" si="3"/>
        <v>0</v>
      </c>
      <c r="T39" s="305"/>
    </row>
    <row r="40" spans="1:20" ht="13.5" customHeight="1">
      <c r="A40" s="238" t="s">
        <v>198</v>
      </c>
      <c r="B40" s="297" t="s">
        <v>199</v>
      </c>
      <c r="C40" s="262">
        <f>+'[9]Óvoda össz'!$B19</f>
        <v>302</v>
      </c>
      <c r="D40" s="245">
        <f>+'[10]Óvoda össz'!$B$19</f>
        <v>307</v>
      </c>
      <c r="E40" s="246"/>
      <c r="F40" s="262">
        <f>+'[9]Óvoda össz'!$C19</f>
        <v>665</v>
      </c>
      <c r="G40" s="245">
        <f>+'[10]Óvoda össz'!$C$19</f>
        <v>678</v>
      </c>
      <c r="H40" s="246"/>
      <c r="I40" s="262">
        <f>+'[9]Óvoda össz'!$D19</f>
        <v>303</v>
      </c>
      <c r="J40" s="245">
        <f>+'[10]Óvoda össz'!$D$19</f>
        <v>307</v>
      </c>
      <c r="K40" s="250"/>
      <c r="L40" s="262">
        <f>+'[9]Óvoda össz'!$E19</f>
        <v>605</v>
      </c>
      <c r="M40" s="245">
        <f>+'[10]Óvoda össz'!$E$19</f>
        <v>617</v>
      </c>
      <c r="N40" s="305"/>
      <c r="O40" s="262">
        <f>+'[9]Óvoda össz'!$F19</f>
        <v>91</v>
      </c>
      <c r="P40" s="245">
        <f>+'[10]Óvoda össz'!$F$19</f>
        <v>91</v>
      </c>
      <c r="Q40" s="250"/>
      <c r="R40" s="262">
        <f t="shared" si="3"/>
        <v>1966</v>
      </c>
      <c r="S40" s="262">
        <f t="shared" si="3"/>
        <v>2000</v>
      </c>
      <c r="T40" s="305"/>
    </row>
    <row r="41" spans="1:20" ht="13.5" customHeight="1">
      <c r="A41" s="238" t="s">
        <v>200</v>
      </c>
      <c r="B41" s="297" t="s">
        <v>201</v>
      </c>
      <c r="C41" s="262">
        <f>+'[9]Óvoda össz'!$B20</f>
        <v>0</v>
      </c>
      <c r="D41" s="245"/>
      <c r="E41" s="246"/>
      <c r="F41" s="262">
        <f>+'[9]Óvoda össz'!$C20</f>
        <v>0</v>
      </c>
      <c r="G41" s="245"/>
      <c r="H41" s="246"/>
      <c r="I41" s="262">
        <f>+'[9]Óvoda össz'!$D20</f>
        <v>0</v>
      </c>
      <c r="J41" s="245"/>
      <c r="K41" s="250"/>
      <c r="L41" s="262">
        <f>+'[9]Óvoda össz'!$E20</f>
        <v>0</v>
      </c>
      <c r="M41" s="245"/>
      <c r="N41" s="305"/>
      <c r="O41" s="262">
        <f>+'[9]Óvoda össz'!$F20</f>
        <v>0</v>
      </c>
      <c r="P41" s="245"/>
      <c r="Q41" s="250"/>
      <c r="R41" s="262">
        <f t="shared" si="3"/>
        <v>0</v>
      </c>
      <c r="S41" s="262">
        <f t="shared" si="3"/>
        <v>0</v>
      </c>
      <c r="T41" s="305"/>
    </row>
    <row r="42" spans="1:20" ht="13.5" customHeight="1">
      <c r="A42" s="238" t="s">
        <v>202</v>
      </c>
      <c r="B42" s="297" t="s">
        <v>1</v>
      </c>
      <c r="C42" s="262">
        <f>+'[9]Óvoda össz'!$B21</f>
        <v>1772</v>
      </c>
      <c r="D42" s="245"/>
      <c r="E42" s="246"/>
      <c r="F42" s="262">
        <f>+'[9]Óvoda össz'!$C21</f>
        <v>0</v>
      </c>
      <c r="G42" s="245">
        <f>+'[10]Óvoda össz'!$C$21</f>
        <v>903</v>
      </c>
      <c r="H42" s="246"/>
      <c r="I42" s="262">
        <f>+'[9]Óvoda össz'!$D21</f>
        <v>1771</v>
      </c>
      <c r="J42" s="245"/>
      <c r="K42" s="250"/>
      <c r="L42" s="262">
        <f>+'[9]Óvoda össz'!$E21</f>
        <v>0</v>
      </c>
      <c r="M42" s="245"/>
      <c r="N42" s="305"/>
      <c r="O42" s="262">
        <f>+'[9]Óvoda össz'!$F21</f>
        <v>0</v>
      </c>
      <c r="P42" s="245">
        <f>+'[10]Óvoda össz'!$F$21</f>
        <v>983</v>
      </c>
      <c r="Q42" s="250"/>
      <c r="R42" s="262">
        <f t="shared" si="3"/>
        <v>3543</v>
      </c>
      <c r="S42" s="262">
        <f t="shared" si="3"/>
        <v>1886</v>
      </c>
      <c r="T42" s="305"/>
    </row>
    <row r="43" spans="1:20" ht="13.5" customHeight="1">
      <c r="A43" s="238" t="s">
        <v>203</v>
      </c>
      <c r="B43" s="297" t="s">
        <v>204</v>
      </c>
      <c r="C43" s="262">
        <f>+'[9]Óvoda össz'!$B22</f>
        <v>410</v>
      </c>
      <c r="D43" s="245">
        <f>+'[10]Óvoda össz'!$B$22</f>
        <v>395</v>
      </c>
      <c r="E43" s="246"/>
      <c r="F43" s="262">
        <f>+'[9]Óvoda össz'!$C22</f>
        <v>792</v>
      </c>
      <c r="G43" s="245">
        <f>+'[10]Óvoda össz'!$C$22</f>
        <v>807</v>
      </c>
      <c r="H43" s="246"/>
      <c r="I43" s="262">
        <f>+'[9]Óvoda össz'!$D22</f>
        <v>415</v>
      </c>
      <c r="J43" s="245">
        <f>+'[10]Óvoda össz'!$D$22</f>
        <v>390</v>
      </c>
      <c r="K43" s="250"/>
      <c r="L43" s="262">
        <f>+'[9]Óvoda össz'!$E22</f>
        <v>720</v>
      </c>
      <c r="M43" s="245">
        <f>+'[10]Óvoda össz'!$E$22</f>
        <v>735</v>
      </c>
      <c r="N43" s="305"/>
      <c r="O43" s="262">
        <f>+'[9]Óvoda össz'!$F22</f>
        <v>108</v>
      </c>
      <c r="P43" s="245">
        <f>+'[10]Óvoda össz'!$F$22</f>
        <v>108</v>
      </c>
      <c r="Q43" s="250"/>
      <c r="R43" s="262">
        <f t="shared" si="3"/>
        <v>2445</v>
      </c>
      <c r="S43" s="262">
        <f t="shared" si="3"/>
        <v>2435</v>
      </c>
      <c r="T43" s="305"/>
    </row>
    <row r="44" spans="1:20" ht="13.5" customHeight="1">
      <c r="A44" s="238" t="s">
        <v>205</v>
      </c>
      <c r="B44" s="297" t="s">
        <v>206</v>
      </c>
      <c r="C44" s="262">
        <f>+'[9]Óvoda össz'!$B23</f>
        <v>0</v>
      </c>
      <c r="D44" s="245"/>
      <c r="E44" s="246"/>
      <c r="F44" s="262">
        <f>+'[9]Óvoda össz'!$C23</f>
        <v>0</v>
      </c>
      <c r="G44" s="245"/>
      <c r="H44" s="246"/>
      <c r="I44" s="262">
        <f>+'[9]Óvoda össz'!$D23</f>
        <v>0</v>
      </c>
      <c r="J44" s="245"/>
      <c r="K44" s="250"/>
      <c r="L44" s="262">
        <f>+'[9]Óvoda össz'!$E23</f>
        <v>0</v>
      </c>
      <c r="M44" s="245"/>
      <c r="N44" s="305"/>
      <c r="O44" s="262">
        <f>+'[9]Óvoda össz'!$F23</f>
        <v>0</v>
      </c>
      <c r="P44" s="245"/>
      <c r="Q44" s="250"/>
      <c r="R44" s="262">
        <f t="shared" si="3"/>
        <v>0</v>
      </c>
      <c r="S44" s="262">
        <f t="shared" si="3"/>
        <v>0</v>
      </c>
      <c r="T44" s="305"/>
    </row>
    <row r="45" spans="1:20" ht="13.5" customHeight="1">
      <c r="A45" s="238" t="s">
        <v>207</v>
      </c>
      <c r="B45" s="297" t="s">
        <v>2</v>
      </c>
      <c r="C45" s="262">
        <f>+'[9]Óvoda össz'!$B24</f>
        <v>142</v>
      </c>
      <c r="D45" s="245">
        <f>+'[10]Óvoda össz'!$B$24</f>
        <v>197</v>
      </c>
      <c r="E45" s="246"/>
      <c r="F45" s="262">
        <f>+'[9]Óvoda össz'!$C24</f>
        <v>320</v>
      </c>
      <c r="G45" s="245">
        <f>+'[10]Óvoda össz'!$C$24</f>
        <v>314</v>
      </c>
      <c r="H45" s="246"/>
      <c r="I45" s="262">
        <f>+'[9]Óvoda össz'!$D24</f>
        <v>114</v>
      </c>
      <c r="J45" s="245">
        <f>+'[10]Óvoda össz'!$D$24</f>
        <v>211</v>
      </c>
      <c r="K45" s="250"/>
      <c r="L45" s="262">
        <f>+'[9]Óvoda össz'!$E24</f>
        <v>286</v>
      </c>
      <c r="M45" s="245">
        <f>+'[10]Óvoda össz'!$E$24</f>
        <v>351</v>
      </c>
      <c r="N45" s="305"/>
      <c r="O45" s="262">
        <f>+'[9]Óvoda össz'!$F24</f>
        <v>36</v>
      </c>
      <c r="P45" s="245">
        <f>+'[10]Óvoda össz'!$F$24</f>
        <v>53</v>
      </c>
      <c r="Q45" s="250"/>
      <c r="R45" s="262">
        <f t="shared" si="3"/>
        <v>898</v>
      </c>
      <c r="S45" s="262">
        <f t="shared" si="3"/>
        <v>1126</v>
      </c>
      <c r="T45" s="305"/>
    </row>
    <row r="46" spans="1:20" ht="13.5" customHeight="1">
      <c r="A46" s="238" t="s">
        <v>208</v>
      </c>
      <c r="B46" s="297" t="s">
        <v>209</v>
      </c>
      <c r="C46" s="262">
        <f>+'[9]Óvoda össz'!$B25</f>
        <v>0</v>
      </c>
      <c r="D46" s="245"/>
      <c r="E46" s="246"/>
      <c r="F46" s="262">
        <f>+'[9]Óvoda össz'!$C25</f>
        <v>0</v>
      </c>
      <c r="G46" s="245"/>
      <c r="H46" s="246"/>
      <c r="I46" s="262">
        <f>+'[9]Óvoda össz'!$D25</f>
        <v>0</v>
      </c>
      <c r="J46" s="245"/>
      <c r="K46" s="250"/>
      <c r="L46" s="262">
        <f>+'[9]Óvoda össz'!$E25</f>
        <v>0</v>
      </c>
      <c r="M46" s="245"/>
      <c r="N46" s="305"/>
      <c r="O46" s="262">
        <f>+'[9]Óvoda össz'!$F25</f>
        <v>0</v>
      </c>
      <c r="P46" s="245"/>
      <c r="Q46" s="250"/>
      <c r="R46" s="262">
        <f t="shared" si="3"/>
        <v>0</v>
      </c>
      <c r="S46" s="262">
        <f t="shared" si="3"/>
        <v>0</v>
      </c>
      <c r="T46" s="305"/>
    </row>
    <row r="47" spans="1:20" ht="13.5" customHeight="1">
      <c r="A47" s="238" t="s">
        <v>210</v>
      </c>
      <c r="B47" s="297" t="s">
        <v>211</v>
      </c>
      <c r="C47" s="262">
        <f>+'[9]Óvoda össz'!$B26</f>
        <v>0</v>
      </c>
      <c r="D47" s="245"/>
      <c r="E47" s="246"/>
      <c r="F47" s="262">
        <f>+'[9]Óvoda össz'!$C26</f>
        <v>0</v>
      </c>
      <c r="G47" s="245"/>
      <c r="H47" s="246"/>
      <c r="I47" s="262">
        <f>+'[9]Óvoda össz'!$D26</f>
        <v>0</v>
      </c>
      <c r="J47" s="245"/>
      <c r="K47" s="250"/>
      <c r="L47" s="262">
        <f>+'[9]Óvoda össz'!$E26</f>
        <v>0</v>
      </c>
      <c r="M47" s="245"/>
      <c r="N47" s="305"/>
      <c r="O47" s="262">
        <f>+'[9]Óvoda össz'!$F26</f>
        <v>0</v>
      </c>
      <c r="P47" s="245"/>
      <c r="Q47" s="250"/>
      <c r="R47" s="262">
        <f t="shared" si="3"/>
        <v>0</v>
      </c>
      <c r="S47" s="262">
        <f t="shared" si="3"/>
        <v>0</v>
      </c>
      <c r="T47" s="305"/>
    </row>
    <row r="48" spans="1:20" ht="13.5" customHeight="1">
      <c r="A48" s="238" t="s">
        <v>212</v>
      </c>
      <c r="B48" s="297" t="s">
        <v>213</v>
      </c>
      <c r="C48" s="262">
        <f>+'[9]Óvoda össz'!$B27</f>
        <v>0</v>
      </c>
      <c r="D48" s="245"/>
      <c r="E48" s="246"/>
      <c r="F48" s="262">
        <f>+'[9]Óvoda össz'!$C27</f>
        <v>0</v>
      </c>
      <c r="G48" s="245"/>
      <c r="H48" s="246"/>
      <c r="I48" s="262">
        <f>+'[9]Óvoda össz'!$D27</f>
        <v>0</v>
      </c>
      <c r="J48" s="245"/>
      <c r="K48" s="250"/>
      <c r="L48" s="262">
        <f>+'[9]Óvoda össz'!$E27</f>
        <v>0</v>
      </c>
      <c r="M48" s="245"/>
      <c r="N48" s="305"/>
      <c r="O48" s="262">
        <f>+'[9]Óvoda össz'!$F27</f>
        <v>0</v>
      </c>
      <c r="P48" s="245"/>
      <c r="Q48" s="250"/>
      <c r="R48" s="262">
        <f t="shared" si="3"/>
        <v>0</v>
      </c>
      <c r="S48" s="262">
        <f t="shared" si="3"/>
        <v>0</v>
      </c>
      <c r="T48" s="305"/>
    </row>
    <row r="49" spans="1:20" ht="13.5" customHeight="1">
      <c r="A49" s="238" t="s">
        <v>214</v>
      </c>
      <c r="B49" s="297" t="s">
        <v>215</v>
      </c>
      <c r="C49" s="262">
        <f>+'[9]Óvoda össz'!$B28</f>
        <v>0</v>
      </c>
      <c r="D49" s="245"/>
      <c r="E49" s="246"/>
      <c r="F49" s="262">
        <f>+'[9]Óvoda össz'!$C28</f>
        <v>0</v>
      </c>
      <c r="G49" s="245"/>
      <c r="H49" s="246"/>
      <c r="I49" s="262">
        <f>+'[9]Óvoda össz'!$D28</f>
        <v>0</v>
      </c>
      <c r="J49" s="245"/>
      <c r="K49" s="250"/>
      <c r="L49" s="262">
        <f>+'[9]Óvoda össz'!$E28</f>
        <v>0</v>
      </c>
      <c r="M49" s="245"/>
      <c r="N49" s="305"/>
      <c r="O49" s="262">
        <f>+'[9]Óvoda össz'!$F28</f>
        <v>0</v>
      </c>
      <c r="P49" s="245"/>
      <c r="Q49" s="250"/>
      <c r="R49" s="262">
        <f t="shared" si="3"/>
        <v>0</v>
      </c>
      <c r="S49" s="262">
        <f t="shared" si="3"/>
        <v>0</v>
      </c>
      <c r="T49" s="305"/>
    </row>
    <row r="50" spans="1:20" ht="13.5" customHeight="1">
      <c r="A50" s="239" t="s">
        <v>214</v>
      </c>
      <c r="B50" s="298" t="s">
        <v>216</v>
      </c>
      <c r="C50" s="262">
        <f>+'[9]Óvoda össz'!$B29</f>
        <v>0</v>
      </c>
      <c r="D50" s="270"/>
      <c r="E50" s="276"/>
      <c r="F50" s="262">
        <f>+'[9]Óvoda össz'!$C29</f>
        <v>0</v>
      </c>
      <c r="G50" s="270"/>
      <c r="H50" s="276"/>
      <c r="I50" s="262">
        <f>+'[9]Óvoda össz'!$D29</f>
        <v>0</v>
      </c>
      <c r="J50" s="270"/>
      <c r="K50" s="271"/>
      <c r="L50" s="262">
        <f>+'[9]Óvoda össz'!$E29</f>
        <v>0</v>
      </c>
      <c r="M50" s="270"/>
      <c r="N50" s="306"/>
      <c r="O50" s="262">
        <f>+'[9]Óvoda össz'!$F29</f>
        <v>0</v>
      </c>
      <c r="P50" s="270"/>
      <c r="Q50" s="271"/>
      <c r="R50" s="262">
        <f t="shared" si="3"/>
        <v>0</v>
      </c>
      <c r="S50" s="262">
        <f t="shared" si="3"/>
        <v>0</v>
      </c>
      <c r="T50" s="306"/>
    </row>
    <row r="51" spans="1:20" s="384" customFormat="1" ht="13.5" customHeight="1">
      <c r="A51" s="240" t="s">
        <v>176</v>
      </c>
      <c r="B51" s="299" t="s">
        <v>134</v>
      </c>
      <c r="C51" s="344">
        <f>SUM(C37:C50)</f>
        <v>20878</v>
      </c>
      <c r="D51" s="344">
        <f>SUM(D37:D50)</f>
        <v>18306</v>
      </c>
      <c r="E51" s="351"/>
      <c r="F51" s="344">
        <f>SUM(F37:F50)</f>
        <v>36021</v>
      </c>
      <c r="G51" s="344">
        <f>SUM(G37:G50)</f>
        <v>39517</v>
      </c>
      <c r="H51" s="351"/>
      <c r="I51" s="344">
        <f>SUM(I37:I50)</f>
        <v>22161</v>
      </c>
      <c r="J51" s="344">
        <f>SUM(J37:J50)</f>
        <v>19961</v>
      </c>
      <c r="K51" s="353"/>
      <c r="L51" s="344">
        <f>SUM(L37:L50)</f>
        <v>32103</v>
      </c>
      <c r="M51" s="344">
        <f>SUM(M37:M50)</f>
        <v>35688</v>
      </c>
      <c r="N51" s="354"/>
      <c r="O51" s="344">
        <f>SUM(O37:O50)</f>
        <v>6036</v>
      </c>
      <c r="P51" s="344">
        <f>SUM(P37:P50)</f>
        <v>7530</v>
      </c>
      <c r="Q51" s="353"/>
      <c r="R51" s="344">
        <f>SUM(R37:R50)</f>
        <v>117199</v>
      </c>
      <c r="S51" s="344">
        <f>SUM(S37:S50)</f>
        <v>121002</v>
      </c>
      <c r="T51" s="354"/>
    </row>
    <row r="52" spans="1:20" ht="13.5" customHeight="1">
      <c r="A52" s="237" t="s">
        <v>217</v>
      </c>
      <c r="B52" s="296" t="s">
        <v>218</v>
      </c>
      <c r="C52" s="262">
        <f>+'[9]Óvoda össz'!$B31</f>
        <v>0</v>
      </c>
      <c r="D52" s="257"/>
      <c r="E52" s="263"/>
      <c r="F52" s="262">
        <f>+'[9]Óvoda össz'!$C31</f>
        <v>0</v>
      </c>
      <c r="G52" s="257"/>
      <c r="H52" s="263"/>
      <c r="I52" s="262">
        <f>+'[9]Óvoda össz'!$D31</f>
        <v>0</v>
      </c>
      <c r="J52" s="257"/>
      <c r="K52" s="258"/>
      <c r="L52" s="262">
        <f>+'[9]Óvoda össz'!$E31</f>
        <v>0</v>
      </c>
      <c r="M52" s="257"/>
      <c r="N52" s="304"/>
      <c r="O52" s="262">
        <f>+'[9]Óvoda össz'!$F31</f>
        <v>0</v>
      </c>
      <c r="P52" s="257"/>
      <c r="Q52" s="258"/>
      <c r="R52" s="262">
        <f t="shared" si="3"/>
        <v>0</v>
      </c>
      <c r="S52" s="262">
        <f t="shared" si="3"/>
        <v>0</v>
      </c>
      <c r="T52" s="304"/>
    </row>
    <row r="53" spans="1:20" ht="13.5" customHeight="1">
      <c r="A53" s="238" t="s">
        <v>219</v>
      </c>
      <c r="B53" s="297" t="s">
        <v>220</v>
      </c>
      <c r="C53" s="262">
        <f>+'[9]Óvoda össz'!$B32</f>
        <v>0</v>
      </c>
      <c r="D53" s="245"/>
      <c r="E53" s="246"/>
      <c r="F53" s="262">
        <f>+'[9]Óvoda össz'!$C32</f>
        <v>112</v>
      </c>
      <c r="G53" s="245">
        <f>+'[10]Óvoda össz'!$C$32</f>
        <v>0</v>
      </c>
      <c r="H53" s="246"/>
      <c r="I53" s="262">
        <f>+'[9]Óvoda össz'!$D32</f>
        <v>0</v>
      </c>
      <c r="J53" s="245"/>
      <c r="K53" s="250"/>
      <c r="L53" s="262">
        <f>+'[9]Óvoda össz'!$E32</f>
        <v>441</v>
      </c>
      <c r="M53" s="245"/>
      <c r="N53" s="305"/>
      <c r="O53" s="262">
        <f>+'[9]Óvoda össz'!$F32</f>
        <v>0</v>
      </c>
      <c r="P53" s="245"/>
      <c r="Q53" s="250"/>
      <c r="R53" s="262">
        <f t="shared" si="3"/>
        <v>553</v>
      </c>
      <c r="S53" s="262">
        <f t="shared" si="3"/>
        <v>0</v>
      </c>
      <c r="T53" s="305"/>
    </row>
    <row r="54" spans="1:20" ht="13.5" customHeight="1">
      <c r="A54" s="239" t="s">
        <v>221</v>
      </c>
      <c r="B54" s="298" t="s">
        <v>222</v>
      </c>
      <c r="C54" s="262">
        <f>+'[9]Óvoda össz'!$B33</f>
        <v>10</v>
      </c>
      <c r="D54" s="270">
        <f>+'[10]Óvoda össz'!$B$33</f>
        <v>10</v>
      </c>
      <c r="E54" s="276"/>
      <c r="F54" s="262">
        <f>+'[9]Óvoda össz'!$C33</f>
        <v>30</v>
      </c>
      <c r="G54" s="270">
        <f>+'[10]Óvoda össz'!$C$33</f>
        <v>30</v>
      </c>
      <c r="H54" s="276"/>
      <c r="I54" s="262">
        <f>+'[9]Óvoda össz'!$D33</f>
        <v>0</v>
      </c>
      <c r="J54" s="270"/>
      <c r="K54" s="271"/>
      <c r="L54" s="262">
        <f>+'[9]Óvoda össz'!$E33</f>
        <v>0</v>
      </c>
      <c r="M54" s="270"/>
      <c r="N54" s="306"/>
      <c r="O54" s="262">
        <f>+'[9]Óvoda össz'!$F33</f>
        <v>200</v>
      </c>
      <c r="P54" s="270">
        <f>+'[10]Óvoda össz'!$F$33</f>
        <v>20</v>
      </c>
      <c r="Q54" s="271"/>
      <c r="R54" s="262">
        <f t="shared" si="3"/>
        <v>240</v>
      </c>
      <c r="S54" s="262">
        <f t="shared" si="3"/>
        <v>60</v>
      </c>
      <c r="T54" s="306"/>
    </row>
    <row r="55" spans="1:20" s="384" customFormat="1" ht="13.5" customHeight="1">
      <c r="A55" s="240" t="s">
        <v>177</v>
      </c>
      <c r="B55" s="299" t="s">
        <v>135</v>
      </c>
      <c r="C55" s="344">
        <f>SUM(C52:C54)</f>
        <v>10</v>
      </c>
      <c r="D55" s="344">
        <f>SUM(D52:D54)</f>
        <v>10</v>
      </c>
      <c r="E55" s="351"/>
      <c r="F55" s="344">
        <f>SUM(F52:F54)</f>
        <v>142</v>
      </c>
      <c r="G55" s="344">
        <f>SUM(G52:G54)</f>
        <v>30</v>
      </c>
      <c r="H55" s="351"/>
      <c r="I55" s="344">
        <f>SUM(I52:I54)</f>
        <v>0</v>
      </c>
      <c r="J55" s="350"/>
      <c r="K55" s="353"/>
      <c r="L55" s="344">
        <f>SUM(L52:L54)</f>
        <v>441</v>
      </c>
      <c r="M55" s="344">
        <f>SUM(M52:M54)</f>
        <v>0</v>
      </c>
      <c r="N55" s="354"/>
      <c r="O55" s="344">
        <f>SUM(O52:O54)</f>
        <v>200</v>
      </c>
      <c r="P55" s="344">
        <f>SUM(P52:P54)</f>
        <v>20</v>
      </c>
      <c r="Q55" s="353"/>
      <c r="R55" s="344">
        <f>SUM(R52:R54)</f>
        <v>793</v>
      </c>
      <c r="S55" s="344">
        <f>SUM(S52:S54)</f>
        <v>60</v>
      </c>
      <c r="T55" s="354"/>
    </row>
    <row r="56" spans="1:20" s="384" customFormat="1" ht="13.5" customHeight="1">
      <c r="A56" s="240" t="s">
        <v>178</v>
      </c>
      <c r="B56" s="299" t="s">
        <v>136</v>
      </c>
      <c r="C56" s="344">
        <f>+C51+C55</f>
        <v>20888</v>
      </c>
      <c r="D56" s="344">
        <f>+D51+D55</f>
        <v>18316</v>
      </c>
      <c r="E56" s="351"/>
      <c r="F56" s="344">
        <f>+F51+F55</f>
        <v>36163</v>
      </c>
      <c r="G56" s="344">
        <f>+G51+G55</f>
        <v>39547</v>
      </c>
      <c r="H56" s="351"/>
      <c r="I56" s="344">
        <f>+I51+I55</f>
        <v>22161</v>
      </c>
      <c r="J56" s="344">
        <f>+J51+J55</f>
        <v>19961</v>
      </c>
      <c r="K56" s="353"/>
      <c r="L56" s="344">
        <f>+L51+L55</f>
        <v>32544</v>
      </c>
      <c r="M56" s="344">
        <f>+M51+M55</f>
        <v>35688</v>
      </c>
      <c r="N56" s="354"/>
      <c r="O56" s="344">
        <f>+O51+O55</f>
        <v>6236</v>
      </c>
      <c r="P56" s="344">
        <f>+P51+P55</f>
        <v>7550</v>
      </c>
      <c r="Q56" s="353"/>
      <c r="R56" s="344">
        <f>+R51+R55</f>
        <v>117992</v>
      </c>
      <c r="S56" s="344">
        <f>+S51+S55</f>
        <v>121062</v>
      </c>
      <c r="T56" s="354"/>
    </row>
    <row r="57" spans="1:20" s="384" customFormat="1" ht="13.5" customHeight="1">
      <c r="A57" s="240" t="s">
        <v>179</v>
      </c>
      <c r="B57" s="299" t="s">
        <v>137</v>
      </c>
      <c r="C57" s="344">
        <f>SUM(C58:C62)</f>
        <v>5952</v>
      </c>
      <c r="D57" s="344">
        <f>SUM(D58:D62)</f>
        <v>4412</v>
      </c>
      <c r="E57" s="351"/>
      <c r="F57" s="344">
        <f>SUM(F58:F62)</f>
        <v>10389</v>
      </c>
      <c r="G57" s="344">
        <f>SUM(G58:G62)</f>
        <v>9511</v>
      </c>
      <c r="H57" s="351"/>
      <c r="I57" s="344">
        <f>SUM(I58:I62)</f>
        <v>6277</v>
      </c>
      <c r="J57" s="344">
        <f>SUM(J58:J62)</f>
        <v>4683</v>
      </c>
      <c r="K57" s="353"/>
      <c r="L57" s="344">
        <f>SUM(L58:L62)</f>
        <v>9350</v>
      </c>
      <c r="M57" s="344">
        <f>SUM(M58:M62)</f>
        <v>8565</v>
      </c>
      <c r="N57" s="354"/>
      <c r="O57" s="344">
        <f>SUM(O58:O62)</f>
        <v>1816</v>
      </c>
      <c r="P57" s="344">
        <f>SUM(P58:P62)</f>
        <v>1773</v>
      </c>
      <c r="Q57" s="353"/>
      <c r="R57" s="344">
        <f>SUM(R58:R62)</f>
        <v>33784</v>
      </c>
      <c r="S57" s="344">
        <f>SUM(S58:S62)</f>
        <v>28944</v>
      </c>
      <c r="T57" s="354"/>
    </row>
    <row r="58" spans="1:20" s="332" customFormat="1" ht="13.5" customHeight="1">
      <c r="A58" s="241" t="s">
        <v>179</v>
      </c>
      <c r="B58" s="300" t="s">
        <v>281</v>
      </c>
      <c r="C58" s="262">
        <f>+'[9]Óvoda össz'!$B37</f>
        <v>5488</v>
      </c>
      <c r="D58" s="367">
        <f>+'[10]Óvoda össz'!$B$37</f>
        <v>3897</v>
      </c>
      <c r="E58" s="368"/>
      <c r="F58" s="262">
        <f>+'[9]Óvoda össz'!$C37</f>
        <v>9456</v>
      </c>
      <c r="G58" s="367">
        <f>+'[10]Óvoda össz'!$C$37</f>
        <v>8447</v>
      </c>
      <c r="H58" s="368"/>
      <c r="I58" s="262">
        <f>+'[9]Óvoda össz'!$D37</f>
        <v>5841</v>
      </c>
      <c r="J58" s="367">
        <f>+'[10]Óvoda össz'!$D$37</f>
        <v>4195</v>
      </c>
      <c r="K58" s="369"/>
      <c r="L58" s="262">
        <f>+'[9]Óvoda össz'!$E37</f>
        <v>8515</v>
      </c>
      <c r="M58" s="367">
        <f>+'[10]Óvoda össz'!$E$37</f>
        <v>7612</v>
      </c>
      <c r="N58" s="370"/>
      <c r="O58" s="262">
        <f>+'[9]Óvoda össz'!$F37</f>
        <v>1591</v>
      </c>
      <c r="P58" s="367">
        <f>+'[10]Óvoda össz'!$F$37</f>
        <v>1621</v>
      </c>
      <c r="Q58" s="369"/>
      <c r="R58" s="366">
        <f t="shared" ref="R58:S86" si="4">+C58+F58+I58+L58+O58</f>
        <v>30891</v>
      </c>
      <c r="S58" s="366">
        <f t="shared" si="4"/>
        <v>25772</v>
      </c>
      <c r="T58" s="370"/>
    </row>
    <row r="59" spans="1:20" s="332" customFormat="1" ht="13.5" customHeight="1">
      <c r="A59" s="242" t="s">
        <v>179</v>
      </c>
      <c r="B59" s="301" t="s">
        <v>282</v>
      </c>
      <c r="C59" s="262">
        <f>+'[9]Óvoda össz'!$B38</f>
        <v>317</v>
      </c>
      <c r="D59" s="325">
        <f>+'[10]Óvoda össz'!$B$38</f>
        <v>317</v>
      </c>
      <c r="E59" s="331"/>
      <c r="F59" s="262">
        <f>+'[9]Óvoda össz'!$C38</f>
        <v>645</v>
      </c>
      <c r="G59" s="325">
        <f>+'[10]Óvoda össz'!$C$38</f>
        <v>645</v>
      </c>
      <c r="H59" s="331"/>
      <c r="I59" s="262">
        <f>+'[9]Óvoda össz'!$D38</f>
        <v>293</v>
      </c>
      <c r="J59" s="325">
        <f>+'[10]Óvoda össz'!$D$38</f>
        <v>293</v>
      </c>
      <c r="K59" s="326"/>
      <c r="L59" s="262">
        <f>+'[9]Óvoda össz'!$E38</f>
        <v>586</v>
      </c>
      <c r="M59" s="325">
        <f>+'[10]Óvoda össz'!$E$38</f>
        <v>586</v>
      </c>
      <c r="N59" s="341"/>
      <c r="O59" s="262">
        <f>+'[9]Óvoda össz'!$F38</f>
        <v>88</v>
      </c>
      <c r="P59" s="325">
        <f>+'[10]Óvoda össz'!$F$38</f>
        <v>88</v>
      </c>
      <c r="Q59" s="326"/>
      <c r="R59" s="366">
        <f t="shared" si="4"/>
        <v>1929</v>
      </c>
      <c r="S59" s="366">
        <f t="shared" si="4"/>
        <v>1929</v>
      </c>
      <c r="T59" s="341"/>
    </row>
    <row r="60" spans="1:20" s="332" customFormat="1" ht="13.5" customHeight="1">
      <c r="A60" s="242" t="s">
        <v>179</v>
      </c>
      <c r="B60" s="301" t="s">
        <v>283</v>
      </c>
      <c r="C60" s="262">
        <f>+'[9]Óvoda össz'!$B39</f>
        <v>72</v>
      </c>
      <c r="D60" s="325">
        <f>+'[10]Óvoda össz'!$B$39</f>
        <v>127</v>
      </c>
      <c r="E60" s="331"/>
      <c r="F60" s="262">
        <f>+'[9]Óvoda össz'!$C39</f>
        <v>141</v>
      </c>
      <c r="G60" s="325">
        <f>+'[10]Óvoda össz'!$C$39</f>
        <v>269</v>
      </c>
      <c r="H60" s="331"/>
      <c r="I60" s="262">
        <f>+'[9]Óvoda össz'!$D39</f>
        <v>69</v>
      </c>
      <c r="J60" s="325">
        <f>+'[10]Óvoda össz'!$D$39</f>
        <v>125</v>
      </c>
      <c r="K60" s="326"/>
      <c r="L60" s="262">
        <f>+'[9]Óvoda össz'!$E39</f>
        <v>120</v>
      </c>
      <c r="M60" s="325">
        <f>+'[10]Óvoda össz'!$E$39</f>
        <v>236</v>
      </c>
      <c r="N60" s="341"/>
      <c r="O60" s="262">
        <f>+'[9]Óvoda össz'!$F39</f>
        <v>82</v>
      </c>
      <c r="P60" s="325">
        <f>+'[10]Óvoda össz'!$F$39</f>
        <v>41</v>
      </c>
      <c r="Q60" s="326"/>
      <c r="R60" s="366">
        <f t="shared" si="4"/>
        <v>484</v>
      </c>
      <c r="S60" s="366">
        <f t="shared" si="4"/>
        <v>798</v>
      </c>
      <c r="T60" s="341"/>
    </row>
    <row r="61" spans="1:20" s="332" customFormat="1" ht="13.5" customHeight="1">
      <c r="A61" s="242" t="s">
        <v>179</v>
      </c>
      <c r="B61" s="301" t="s">
        <v>284</v>
      </c>
      <c r="C61" s="262">
        <f>+'[9]Óvoda össz'!$B40</f>
        <v>0</v>
      </c>
      <c r="D61" s="325"/>
      <c r="E61" s="331"/>
      <c r="F61" s="262">
        <f>+'[9]Óvoda össz'!$C40</f>
        <v>0</v>
      </c>
      <c r="G61" s="325"/>
      <c r="H61" s="331"/>
      <c r="I61" s="262">
        <f>+'[9]Óvoda össz'!$D40</f>
        <v>0</v>
      </c>
      <c r="J61" s="325"/>
      <c r="K61" s="326"/>
      <c r="L61" s="262">
        <f>+'[9]Óvoda össz'!$E40</f>
        <v>0</v>
      </c>
      <c r="M61" s="325"/>
      <c r="N61" s="341"/>
      <c r="O61" s="262">
        <f>+'[9]Óvoda össz'!$F40</f>
        <v>0</v>
      </c>
      <c r="P61" s="325"/>
      <c r="Q61" s="326"/>
      <c r="R61" s="366">
        <f t="shared" si="4"/>
        <v>0</v>
      </c>
      <c r="S61" s="366">
        <f t="shared" si="4"/>
        <v>0</v>
      </c>
      <c r="T61" s="341"/>
    </row>
    <row r="62" spans="1:20" s="332" customFormat="1" ht="13.5" customHeight="1">
      <c r="A62" s="242" t="s">
        <v>179</v>
      </c>
      <c r="B62" s="301" t="s">
        <v>285</v>
      </c>
      <c r="C62" s="262">
        <f>+'[9]Óvoda össz'!$B41</f>
        <v>75</v>
      </c>
      <c r="D62" s="325">
        <f>+'[10]Óvoda össz'!$B$41</f>
        <v>71</v>
      </c>
      <c r="E62" s="331"/>
      <c r="F62" s="262">
        <f>+'[9]Óvoda össz'!$C41</f>
        <v>147</v>
      </c>
      <c r="G62" s="325">
        <f>+'[10]Óvoda össz'!$C$41</f>
        <v>150</v>
      </c>
      <c r="H62" s="331"/>
      <c r="I62" s="262">
        <f>+'[9]Óvoda össz'!$D41</f>
        <v>74</v>
      </c>
      <c r="J62" s="325">
        <f>+'[10]Óvoda össz'!$D$41</f>
        <v>70</v>
      </c>
      <c r="K62" s="326"/>
      <c r="L62" s="262">
        <f>+'[9]Óvoda össz'!$E41</f>
        <v>129</v>
      </c>
      <c r="M62" s="325">
        <f>+'[10]Óvoda össz'!$E$41</f>
        <v>131</v>
      </c>
      <c r="N62" s="341"/>
      <c r="O62" s="262">
        <f>+'[9]Óvoda össz'!$F41</f>
        <v>55</v>
      </c>
      <c r="P62" s="325">
        <f>+'[10]Óvoda össz'!$F$41</f>
        <v>23</v>
      </c>
      <c r="Q62" s="326"/>
      <c r="R62" s="366">
        <f t="shared" si="4"/>
        <v>480</v>
      </c>
      <c r="S62" s="366">
        <f t="shared" si="4"/>
        <v>445</v>
      </c>
      <c r="T62" s="341"/>
    </row>
    <row r="63" spans="1:20" ht="13.5" customHeight="1">
      <c r="A63" s="237" t="s">
        <v>223</v>
      </c>
      <c r="B63" s="296" t="s">
        <v>224</v>
      </c>
      <c r="C63" s="262">
        <f>+[12]Sheet!$E$9</f>
        <v>160</v>
      </c>
      <c r="D63" s="257">
        <f>+[13]Sheet!$E$9</f>
        <v>160</v>
      </c>
      <c r="E63" s="263"/>
      <c r="F63" s="262">
        <f>+[12]Sheet!$G$9</f>
        <v>531</v>
      </c>
      <c r="G63" s="257">
        <f>+[13]Sheet!$G$9</f>
        <v>531</v>
      </c>
      <c r="H63" s="263"/>
      <c r="I63" s="262"/>
      <c r="J63" s="257">
        <f>+[13]Sheet!$I$9</f>
        <v>0</v>
      </c>
      <c r="K63" s="258"/>
      <c r="L63" s="262"/>
      <c r="M63" s="257">
        <f>+[13]Sheet!$K$9</f>
        <v>0</v>
      </c>
      <c r="N63" s="304"/>
      <c r="O63" s="262">
        <f>+[12]Sheet!$M$9</f>
        <v>92</v>
      </c>
      <c r="P63" s="257">
        <f>+[13]Sheet!$M$9</f>
        <v>92</v>
      </c>
      <c r="Q63" s="258"/>
      <c r="R63" s="262">
        <f t="shared" si="4"/>
        <v>783</v>
      </c>
      <c r="S63" s="262">
        <f t="shared" si="4"/>
        <v>783</v>
      </c>
      <c r="T63" s="304"/>
    </row>
    <row r="64" spans="1:20" ht="13.5" customHeight="1">
      <c r="A64" s="238" t="s">
        <v>225</v>
      </c>
      <c r="B64" s="297" t="s">
        <v>226</v>
      </c>
      <c r="C64" s="254">
        <f>+[12]Sheet!$E$16</f>
        <v>275</v>
      </c>
      <c r="D64" s="245">
        <f>+[13]Sheet!$E$16</f>
        <v>275</v>
      </c>
      <c r="E64" s="246"/>
      <c r="F64" s="254">
        <f>+[12]Sheet!$G$16</f>
        <v>430</v>
      </c>
      <c r="G64" s="245">
        <f>+[13]Sheet!$G$16</f>
        <v>430</v>
      </c>
      <c r="H64" s="246"/>
      <c r="I64" s="254"/>
      <c r="J64" s="245">
        <f>+[13]Sheet!$I$16</f>
        <v>0</v>
      </c>
      <c r="K64" s="250"/>
      <c r="L64" s="254"/>
      <c r="M64" s="245">
        <f>+[13]Sheet!$K$16</f>
        <v>0</v>
      </c>
      <c r="N64" s="305"/>
      <c r="O64" s="254">
        <f>+[12]Sheet!$M$16</f>
        <v>240</v>
      </c>
      <c r="P64" s="245">
        <f>+[13]Sheet!$M$16</f>
        <v>240</v>
      </c>
      <c r="Q64" s="250"/>
      <c r="R64" s="254">
        <f t="shared" si="4"/>
        <v>945</v>
      </c>
      <c r="S64" s="254">
        <f t="shared" si="4"/>
        <v>945</v>
      </c>
      <c r="T64" s="305"/>
    </row>
    <row r="65" spans="1:20" ht="13.5" customHeight="1">
      <c r="A65" s="239" t="s">
        <v>227</v>
      </c>
      <c r="B65" s="298" t="s">
        <v>228</v>
      </c>
      <c r="C65" s="275"/>
      <c r="D65" s="270"/>
      <c r="E65" s="276"/>
      <c r="F65" s="275"/>
      <c r="G65" s="270"/>
      <c r="H65" s="276"/>
      <c r="I65" s="275"/>
      <c r="J65" s="270"/>
      <c r="K65" s="271"/>
      <c r="L65" s="275"/>
      <c r="M65" s="270"/>
      <c r="N65" s="306"/>
      <c r="O65" s="275"/>
      <c r="P65" s="270"/>
      <c r="Q65" s="271"/>
      <c r="R65" s="275">
        <f t="shared" si="4"/>
        <v>0</v>
      </c>
      <c r="S65" s="275">
        <f t="shared" si="4"/>
        <v>0</v>
      </c>
      <c r="T65" s="306"/>
    </row>
    <row r="66" spans="1:20" s="384" customFormat="1" ht="13.5" customHeight="1">
      <c r="A66" s="240" t="s">
        <v>180</v>
      </c>
      <c r="B66" s="299" t="s">
        <v>138</v>
      </c>
      <c r="C66" s="344">
        <f>SUM(C63:C65)</f>
        <v>435</v>
      </c>
      <c r="D66" s="344">
        <f>SUM(D63:D65)</f>
        <v>435</v>
      </c>
      <c r="E66" s="351"/>
      <c r="F66" s="344">
        <f>SUM(F63:F65)</f>
        <v>961</v>
      </c>
      <c r="G66" s="344">
        <f>SUM(G63:G65)</f>
        <v>961</v>
      </c>
      <c r="H66" s="351"/>
      <c r="I66" s="344">
        <f>SUM(I63:I65)</f>
        <v>0</v>
      </c>
      <c r="J66" s="344">
        <f>SUM(J63:J65)</f>
        <v>0</v>
      </c>
      <c r="K66" s="353"/>
      <c r="L66" s="344">
        <f>SUM(L63:L65)</f>
        <v>0</v>
      </c>
      <c r="M66" s="344">
        <f>SUM(M63:M65)</f>
        <v>0</v>
      </c>
      <c r="N66" s="354"/>
      <c r="O66" s="344">
        <f>SUM(O63:O65)</f>
        <v>332</v>
      </c>
      <c r="P66" s="344">
        <f>SUM(P63:P65)</f>
        <v>332</v>
      </c>
      <c r="Q66" s="353"/>
      <c r="R66" s="344">
        <f>SUM(R63:R65)</f>
        <v>1728</v>
      </c>
      <c r="S66" s="344">
        <f>SUM(S63:S65)</f>
        <v>1728</v>
      </c>
      <c r="T66" s="354"/>
    </row>
    <row r="67" spans="1:20" ht="13.5" customHeight="1">
      <c r="A67" s="237" t="s">
        <v>229</v>
      </c>
      <c r="B67" s="296" t="s">
        <v>230</v>
      </c>
      <c r="C67" s="262"/>
      <c r="D67" s="257"/>
      <c r="E67" s="263"/>
      <c r="F67" s="262"/>
      <c r="G67" s="257"/>
      <c r="H67" s="263"/>
      <c r="I67" s="262"/>
      <c r="J67" s="257"/>
      <c r="K67" s="258"/>
      <c r="L67" s="262"/>
      <c r="M67" s="257"/>
      <c r="N67" s="304"/>
      <c r="O67" s="262">
        <f>+[12]Sheet!$M$25</f>
        <v>180</v>
      </c>
      <c r="P67" s="257">
        <f>+[13]Sheet!$M$25</f>
        <v>180</v>
      </c>
      <c r="Q67" s="258"/>
      <c r="R67" s="262">
        <f t="shared" si="4"/>
        <v>180</v>
      </c>
      <c r="S67" s="262">
        <f t="shared" si="4"/>
        <v>180</v>
      </c>
      <c r="T67" s="304"/>
    </row>
    <row r="68" spans="1:20" ht="13.5" customHeight="1">
      <c r="A68" s="239" t="s">
        <v>231</v>
      </c>
      <c r="B68" s="298" t="s">
        <v>232</v>
      </c>
      <c r="C68" s="275">
        <f>+[12]Sheet!$E$28</f>
        <v>200</v>
      </c>
      <c r="D68" s="270">
        <f>+[13]Sheet!$E$28</f>
        <v>200</v>
      </c>
      <c r="E68" s="276"/>
      <c r="F68" s="275">
        <f>+[12]Sheet!$G$28</f>
        <v>150</v>
      </c>
      <c r="G68" s="270">
        <f>+[13]Sheet!$G$28</f>
        <v>150</v>
      </c>
      <c r="H68" s="276"/>
      <c r="I68" s="275">
        <f>+[12]Sheet!$I$28</f>
        <v>40</v>
      </c>
      <c r="J68" s="270">
        <f>+[13]Sheet!$I$28</f>
        <v>40</v>
      </c>
      <c r="K68" s="271"/>
      <c r="L68" s="275">
        <f>+[12]Sheet!$K$28</f>
        <v>40</v>
      </c>
      <c r="M68" s="270">
        <f>+[13]Sheet!$K$28</f>
        <v>40</v>
      </c>
      <c r="N68" s="306"/>
      <c r="O68" s="275">
        <f>+[12]Sheet!$M$28</f>
        <v>105</v>
      </c>
      <c r="P68" s="270">
        <f>+[13]Sheet!$M$28</f>
        <v>105</v>
      </c>
      <c r="Q68" s="271"/>
      <c r="R68" s="275">
        <f t="shared" si="4"/>
        <v>535</v>
      </c>
      <c r="S68" s="275">
        <f t="shared" si="4"/>
        <v>535</v>
      </c>
      <c r="T68" s="306"/>
    </row>
    <row r="69" spans="1:20" s="384" customFormat="1" ht="13.5" customHeight="1">
      <c r="A69" s="240" t="s">
        <v>181</v>
      </c>
      <c r="B69" s="299" t="s">
        <v>139</v>
      </c>
      <c r="C69" s="344">
        <f>SUM(C67:C68)</f>
        <v>200</v>
      </c>
      <c r="D69" s="344">
        <f>SUM(D67:D68)</f>
        <v>200</v>
      </c>
      <c r="E69" s="351"/>
      <c r="F69" s="344">
        <f>SUM(F67:F68)</f>
        <v>150</v>
      </c>
      <c r="G69" s="344">
        <f>SUM(G67:G68)</f>
        <v>150</v>
      </c>
      <c r="H69" s="351"/>
      <c r="I69" s="344">
        <f>SUM(I67:I68)</f>
        <v>40</v>
      </c>
      <c r="J69" s="344">
        <f>SUM(J67:J68)</f>
        <v>40</v>
      </c>
      <c r="K69" s="353"/>
      <c r="L69" s="344">
        <f>SUM(L67:L68)</f>
        <v>40</v>
      </c>
      <c r="M69" s="344">
        <f>SUM(M67:M68)</f>
        <v>40</v>
      </c>
      <c r="N69" s="354"/>
      <c r="O69" s="344">
        <f>SUM(O67:O68)</f>
        <v>285</v>
      </c>
      <c r="P69" s="344">
        <f>SUM(P67:P68)</f>
        <v>285</v>
      </c>
      <c r="Q69" s="353"/>
      <c r="R69" s="344">
        <f>SUM(R67:R68)</f>
        <v>715</v>
      </c>
      <c r="S69" s="344">
        <f>SUM(S67:S68)</f>
        <v>715</v>
      </c>
      <c r="T69" s="354"/>
    </row>
    <row r="70" spans="1:20" ht="13.5" customHeight="1">
      <c r="A70" s="237" t="s">
        <v>233</v>
      </c>
      <c r="B70" s="296" t="s">
        <v>234</v>
      </c>
      <c r="C70" s="262">
        <f>+[12]Sheet!$E$32</f>
        <v>865</v>
      </c>
      <c r="D70" s="257">
        <f>+[13]Sheet!$E$32</f>
        <v>865</v>
      </c>
      <c r="E70" s="263"/>
      <c r="F70" s="262">
        <f>+[12]Sheet!$G$32</f>
        <v>2300</v>
      </c>
      <c r="G70" s="257">
        <f>+[13]Sheet!$G$32</f>
        <v>2300</v>
      </c>
      <c r="H70" s="263"/>
      <c r="I70" s="262"/>
      <c r="J70" s="257"/>
      <c r="K70" s="258"/>
      <c r="L70" s="262"/>
      <c r="M70" s="257"/>
      <c r="N70" s="304"/>
      <c r="O70" s="262"/>
      <c r="P70" s="257"/>
      <c r="Q70" s="258"/>
      <c r="R70" s="262">
        <f t="shared" si="4"/>
        <v>3165</v>
      </c>
      <c r="S70" s="262">
        <f t="shared" si="4"/>
        <v>3165</v>
      </c>
      <c r="T70" s="304"/>
    </row>
    <row r="71" spans="1:20" ht="13.5" customHeight="1">
      <c r="A71" s="238" t="s">
        <v>235</v>
      </c>
      <c r="B71" s="297" t="s">
        <v>3</v>
      </c>
      <c r="C71" s="254">
        <f>+[12]Sheet!$E$34</f>
        <v>3083</v>
      </c>
      <c r="D71" s="245">
        <f>+[13]Sheet!$E$34</f>
        <v>3083</v>
      </c>
      <c r="E71" s="246"/>
      <c r="F71" s="254"/>
      <c r="G71" s="245"/>
      <c r="H71" s="246"/>
      <c r="I71" s="254"/>
      <c r="J71" s="245"/>
      <c r="K71" s="250"/>
      <c r="L71" s="254"/>
      <c r="M71" s="245"/>
      <c r="N71" s="305"/>
      <c r="O71" s="254"/>
      <c r="P71" s="245"/>
      <c r="Q71" s="250"/>
      <c r="R71" s="254">
        <f t="shared" si="4"/>
        <v>3083</v>
      </c>
      <c r="S71" s="254">
        <f t="shared" si="4"/>
        <v>3083</v>
      </c>
      <c r="T71" s="305"/>
    </row>
    <row r="72" spans="1:20" ht="13.5" customHeight="1">
      <c r="A72" s="238" t="s">
        <v>236</v>
      </c>
      <c r="B72" s="297" t="s">
        <v>237</v>
      </c>
      <c r="C72" s="254"/>
      <c r="D72" s="245"/>
      <c r="E72" s="246"/>
      <c r="F72" s="254"/>
      <c r="G72" s="245"/>
      <c r="H72" s="246"/>
      <c r="I72" s="254"/>
      <c r="J72" s="245"/>
      <c r="K72" s="250"/>
      <c r="L72" s="254"/>
      <c r="M72" s="245"/>
      <c r="N72" s="305"/>
      <c r="O72" s="254"/>
      <c r="P72" s="245"/>
      <c r="Q72" s="250"/>
      <c r="R72" s="254">
        <f t="shared" si="4"/>
        <v>0</v>
      </c>
      <c r="S72" s="254">
        <f t="shared" si="4"/>
        <v>0</v>
      </c>
      <c r="T72" s="305"/>
    </row>
    <row r="73" spans="1:20" ht="13.5" customHeight="1">
      <c r="A73" s="238" t="s">
        <v>238</v>
      </c>
      <c r="B73" s="297" t="s">
        <v>239</v>
      </c>
      <c r="C73" s="254">
        <f>+[12]Sheet!$E$38</f>
        <v>100</v>
      </c>
      <c r="D73" s="245">
        <f>+[13]Sheet!$E$38</f>
        <v>200</v>
      </c>
      <c r="E73" s="246"/>
      <c r="F73" s="254">
        <f>+[12]Sheet!$G$38</f>
        <v>950</v>
      </c>
      <c r="G73" s="245">
        <f>+[13]Sheet!$G$38</f>
        <v>800</v>
      </c>
      <c r="H73" s="246"/>
      <c r="I73" s="254"/>
      <c r="J73" s="245"/>
      <c r="K73" s="250"/>
      <c r="L73" s="254"/>
      <c r="M73" s="245"/>
      <c r="N73" s="305"/>
      <c r="O73" s="254">
        <f>+[12]Sheet!$M$38</f>
        <v>100</v>
      </c>
      <c r="P73" s="245">
        <f>+[13]Sheet!$M$38</f>
        <v>100</v>
      </c>
      <c r="Q73" s="250"/>
      <c r="R73" s="254">
        <f t="shared" si="4"/>
        <v>1150</v>
      </c>
      <c r="S73" s="254">
        <f t="shared" si="4"/>
        <v>1100</v>
      </c>
      <c r="T73" s="305"/>
    </row>
    <row r="74" spans="1:20" ht="13.5" customHeight="1">
      <c r="A74" s="238" t="s">
        <v>240</v>
      </c>
      <c r="B74" s="297" t="s">
        <v>241</v>
      </c>
      <c r="C74" s="254"/>
      <c r="D74" s="245"/>
      <c r="E74" s="246"/>
      <c r="F74" s="254"/>
      <c r="G74" s="245"/>
      <c r="H74" s="246"/>
      <c r="I74" s="254"/>
      <c r="J74" s="245"/>
      <c r="K74" s="250"/>
      <c r="L74" s="254"/>
      <c r="M74" s="245"/>
      <c r="N74" s="305"/>
      <c r="O74" s="254"/>
      <c r="P74" s="245"/>
      <c r="Q74" s="250"/>
      <c r="R74" s="254">
        <f>SUM(R75:R76)</f>
        <v>0</v>
      </c>
      <c r="S74" s="254">
        <f>SUM(S75:S76)</f>
        <v>0</v>
      </c>
      <c r="T74" s="305"/>
    </row>
    <row r="75" spans="1:20" s="332" customFormat="1" ht="13.5" customHeight="1">
      <c r="A75" s="242" t="s">
        <v>240</v>
      </c>
      <c r="B75" s="301" t="s">
        <v>286</v>
      </c>
      <c r="C75" s="330"/>
      <c r="D75" s="325"/>
      <c r="E75" s="331"/>
      <c r="F75" s="330"/>
      <c r="G75" s="325"/>
      <c r="H75" s="331"/>
      <c r="I75" s="330"/>
      <c r="J75" s="325"/>
      <c r="K75" s="326"/>
      <c r="L75" s="330"/>
      <c r="M75" s="325"/>
      <c r="N75" s="341"/>
      <c r="O75" s="330"/>
      <c r="P75" s="325"/>
      <c r="Q75" s="326"/>
      <c r="R75" s="254">
        <f t="shared" si="4"/>
        <v>0</v>
      </c>
      <c r="S75" s="254">
        <f t="shared" si="4"/>
        <v>0</v>
      </c>
      <c r="T75" s="341"/>
    </row>
    <row r="76" spans="1:20" s="332" customFormat="1" ht="13.5" customHeight="1">
      <c r="A76" s="242" t="s">
        <v>240</v>
      </c>
      <c r="B76" s="301" t="s">
        <v>287</v>
      </c>
      <c r="C76" s="330"/>
      <c r="D76" s="325"/>
      <c r="E76" s="331"/>
      <c r="F76" s="330"/>
      <c r="G76" s="325"/>
      <c r="H76" s="331"/>
      <c r="I76" s="330"/>
      <c r="J76" s="325"/>
      <c r="K76" s="326"/>
      <c r="L76" s="330"/>
      <c r="M76" s="325"/>
      <c r="N76" s="341"/>
      <c r="O76" s="330"/>
      <c r="P76" s="325"/>
      <c r="Q76" s="326"/>
      <c r="R76" s="254">
        <f t="shared" si="4"/>
        <v>0</v>
      </c>
      <c r="S76" s="254">
        <f t="shared" si="4"/>
        <v>0</v>
      </c>
      <c r="T76" s="341"/>
    </row>
    <row r="77" spans="1:20" ht="13.5" customHeight="1">
      <c r="A77" s="238" t="s">
        <v>242</v>
      </c>
      <c r="B77" s="297" t="s">
        <v>243</v>
      </c>
      <c r="C77" s="254">
        <f>+[12]Sheet!$E$40</f>
        <v>570</v>
      </c>
      <c r="D77" s="245">
        <f>+[13]Sheet!$E$40</f>
        <v>512</v>
      </c>
      <c r="E77" s="246"/>
      <c r="F77" s="254">
        <f>+[12]Sheet!$G$40</f>
        <v>735</v>
      </c>
      <c r="G77" s="245">
        <f>+[13]Sheet!$G$40</f>
        <v>1560</v>
      </c>
      <c r="H77" s="246"/>
      <c r="I77" s="254"/>
      <c r="J77" s="245">
        <f>+[13]Sheet!$I$40</f>
        <v>600</v>
      </c>
      <c r="K77" s="250"/>
      <c r="L77" s="254">
        <f>+[12]Sheet!$K$39</f>
        <v>494</v>
      </c>
      <c r="M77" s="245">
        <f>+[13]Sheet!$K$40</f>
        <v>1600</v>
      </c>
      <c r="N77" s="305"/>
      <c r="O77" s="254">
        <f>+[12]Sheet!$M$40</f>
        <v>250</v>
      </c>
      <c r="P77" s="245">
        <f>+[13]Sheet!$M$40</f>
        <v>250</v>
      </c>
      <c r="Q77" s="250"/>
      <c r="R77" s="254">
        <f t="shared" si="4"/>
        <v>2049</v>
      </c>
      <c r="S77" s="254">
        <f t="shared" si="4"/>
        <v>4522</v>
      </c>
      <c r="T77" s="305"/>
    </row>
    <row r="78" spans="1:20" ht="13.5" customHeight="1">
      <c r="A78" s="239" t="s">
        <v>244</v>
      </c>
      <c r="B78" s="298" t="s">
        <v>245</v>
      </c>
      <c r="C78" s="275">
        <f>+[12]Sheet!$E$50</f>
        <v>100</v>
      </c>
      <c r="D78" s="270">
        <f>+[13]Sheet!$E$50</f>
        <v>100</v>
      </c>
      <c r="E78" s="276"/>
      <c r="F78" s="275">
        <f>+[12]Sheet!$G$50</f>
        <v>300</v>
      </c>
      <c r="G78" s="270">
        <f>+[13]Sheet!$G$50</f>
        <v>338</v>
      </c>
      <c r="H78" s="276"/>
      <c r="I78" s="275"/>
      <c r="J78" s="270"/>
      <c r="K78" s="271"/>
      <c r="L78" s="275"/>
      <c r="M78" s="270"/>
      <c r="N78" s="306"/>
      <c r="O78" s="275">
        <f>+[12]Sheet!$M$50</f>
        <v>1200</v>
      </c>
      <c r="P78" s="270">
        <f>+[13]Sheet!$M$50</f>
        <v>1380</v>
      </c>
      <c r="Q78" s="271"/>
      <c r="R78" s="275">
        <f t="shared" si="4"/>
        <v>1600</v>
      </c>
      <c r="S78" s="275">
        <f t="shared" si="4"/>
        <v>1818</v>
      </c>
      <c r="T78" s="306"/>
    </row>
    <row r="79" spans="1:20" s="384" customFormat="1" ht="13.5" customHeight="1">
      <c r="A79" s="240" t="s">
        <v>182</v>
      </c>
      <c r="B79" s="299" t="s">
        <v>140</v>
      </c>
      <c r="C79" s="344">
        <f>SUM(C70:C78)-SUM(C75:C76)</f>
        <v>4718</v>
      </c>
      <c r="D79" s="344">
        <f>SUM(D70:D78)-SUM(D75:D76)</f>
        <v>4760</v>
      </c>
      <c r="E79" s="351"/>
      <c r="F79" s="344">
        <f>SUM(F70:F78)-SUM(F75:F76)</f>
        <v>4285</v>
      </c>
      <c r="G79" s="344">
        <f>SUM(G70:G78)-SUM(G75:G76)</f>
        <v>4998</v>
      </c>
      <c r="H79" s="351"/>
      <c r="I79" s="344">
        <f>SUM(I70:I78)-SUM(I75:I76)</f>
        <v>0</v>
      </c>
      <c r="J79" s="344">
        <f>SUM(J70:J78)-SUM(J75:J76)</f>
        <v>600</v>
      </c>
      <c r="K79" s="353"/>
      <c r="L79" s="344">
        <f>SUM(L70:L78)-SUM(L75:L76)</f>
        <v>494</v>
      </c>
      <c r="M79" s="344">
        <f>SUM(M70:M78)-SUM(M75:M76)</f>
        <v>1600</v>
      </c>
      <c r="N79" s="354"/>
      <c r="O79" s="344">
        <f>SUM(O70:O78)-SUM(O75:O76)</f>
        <v>1550</v>
      </c>
      <c r="P79" s="344">
        <f>SUM(P70:P78)-SUM(P75:P76)</f>
        <v>1730</v>
      </c>
      <c r="Q79" s="353"/>
      <c r="R79" s="344">
        <f>SUM(R70:R78)-SUM(R75:R76)</f>
        <v>11047</v>
      </c>
      <c r="S79" s="344">
        <f>SUM(S70:S78)-SUM(S75:S76)</f>
        <v>13688</v>
      </c>
      <c r="T79" s="354"/>
    </row>
    <row r="80" spans="1:20" ht="13.5" customHeight="1">
      <c r="A80" s="237" t="s">
        <v>246</v>
      </c>
      <c r="B80" s="296" t="s">
        <v>247</v>
      </c>
      <c r="C80" s="262">
        <f>+[12]Sheet!$E$51</f>
        <v>50</v>
      </c>
      <c r="D80" s="257">
        <f>+[13]Sheet!$E$53</f>
        <v>50</v>
      </c>
      <c r="E80" s="263"/>
      <c r="F80" s="262">
        <f>+[12]Sheet!$G$51</f>
        <v>50</v>
      </c>
      <c r="G80" s="257">
        <f>+[13]Sheet!$G$53</f>
        <v>50</v>
      </c>
      <c r="H80" s="263"/>
      <c r="I80" s="262"/>
      <c r="J80" s="257"/>
      <c r="K80" s="258"/>
      <c r="L80" s="262"/>
      <c r="M80" s="257"/>
      <c r="N80" s="304"/>
      <c r="O80" s="262">
        <f>+[12]Sheet!$M$51</f>
        <v>50</v>
      </c>
      <c r="P80" s="257">
        <f>+[13]Sheet!$M$53</f>
        <v>50</v>
      </c>
      <c r="Q80" s="258"/>
      <c r="R80" s="262">
        <f t="shared" si="4"/>
        <v>150</v>
      </c>
      <c r="S80" s="262">
        <f t="shared" si="4"/>
        <v>150</v>
      </c>
      <c r="T80" s="304"/>
    </row>
    <row r="81" spans="1:20" ht="13.5" customHeight="1">
      <c r="A81" s="239" t="s">
        <v>248</v>
      </c>
      <c r="B81" s="298" t="s">
        <v>249</v>
      </c>
      <c r="C81" s="275"/>
      <c r="D81" s="270"/>
      <c r="E81" s="276"/>
      <c r="F81" s="275"/>
      <c r="G81" s="270"/>
      <c r="H81" s="276"/>
      <c r="I81" s="275"/>
      <c r="J81" s="270"/>
      <c r="K81" s="271"/>
      <c r="L81" s="275"/>
      <c r="M81" s="270"/>
      <c r="N81" s="306"/>
      <c r="O81" s="275"/>
      <c r="P81" s="270"/>
      <c r="Q81" s="271"/>
      <c r="R81" s="275">
        <f t="shared" si="4"/>
        <v>0</v>
      </c>
      <c r="S81" s="275">
        <f t="shared" si="4"/>
        <v>0</v>
      </c>
      <c r="T81" s="306"/>
    </row>
    <row r="82" spans="1:20" s="384" customFormat="1" ht="13.5" customHeight="1">
      <c r="A82" s="240" t="s">
        <v>183</v>
      </c>
      <c r="B82" s="299" t="s">
        <v>141</v>
      </c>
      <c r="C82" s="344">
        <f>SUM(C80:C81)</f>
        <v>50</v>
      </c>
      <c r="D82" s="344">
        <f>SUM(D80:D81)</f>
        <v>50</v>
      </c>
      <c r="E82" s="351"/>
      <c r="F82" s="344">
        <f>SUM(F80:F81)</f>
        <v>50</v>
      </c>
      <c r="G82" s="344">
        <f>SUM(G80:G81)</f>
        <v>50</v>
      </c>
      <c r="H82" s="351"/>
      <c r="I82" s="344">
        <f>SUM(I80:I81)</f>
        <v>0</v>
      </c>
      <c r="J82" s="344">
        <f>SUM(J80:J81)</f>
        <v>0</v>
      </c>
      <c r="K82" s="353"/>
      <c r="L82" s="344">
        <f>SUM(L80:L81)</f>
        <v>0</v>
      </c>
      <c r="M82" s="344">
        <f>SUM(M80:M81)</f>
        <v>0</v>
      </c>
      <c r="N82" s="354"/>
      <c r="O82" s="344">
        <f>SUM(O80:O81)</f>
        <v>50</v>
      </c>
      <c r="P82" s="344">
        <f>SUM(P80:P81)</f>
        <v>50</v>
      </c>
      <c r="Q82" s="353"/>
      <c r="R82" s="344">
        <f>SUM(R80:R81)</f>
        <v>150</v>
      </c>
      <c r="S82" s="344">
        <f>SUM(S80:S81)</f>
        <v>150</v>
      </c>
      <c r="T82" s="354"/>
    </row>
    <row r="83" spans="1:20" ht="13.5" customHeight="1">
      <c r="A83" s="237" t="s">
        <v>250</v>
      </c>
      <c r="B83" s="296" t="s">
        <v>251</v>
      </c>
      <c r="C83" s="262">
        <f>+[12]Sheet!$E$54</f>
        <v>1445</v>
      </c>
      <c r="D83" s="257">
        <f>+[13]Sheet!$E$54</f>
        <v>1457</v>
      </c>
      <c r="E83" s="263"/>
      <c r="F83" s="262">
        <f>+[12]Sheet!$G$54</f>
        <v>1457</v>
      </c>
      <c r="G83" s="257">
        <f>+[13]Sheet!$G$54</f>
        <v>1649</v>
      </c>
      <c r="H83" s="263"/>
      <c r="I83" s="262">
        <f>+[12]Sheet!$I$54</f>
        <v>11</v>
      </c>
      <c r="J83" s="257">
        <f>+[13]Sheet!$I$54</f>
        <v>173</v>
      </c>
      <c r="K83" s="258"/>
      <c r="L83" s="262">
        <f>+[12]Sheet!$K$54</f>
        <v>144</v>
      </c>
      <c r="M83" s="257">
        <f>+[13]Sheet!$K$54</f>
        <v>443</v>
      </c>
      <c r="N83" s="304"/>
      <c r="O83" s="262">
        <f>+[12]Sheet!$M$54</f>
        <v>585</v>
      </c>
      <c r="P83" s="257">
        <f>+[13]Sheet!$M$54</f>
        <v>350</v>
      </c>
      <c r="Q83" s="258"/>
      <c r="R83" s="262">
        <f t="shared" si="4"/>
        <v>3642</v>
      </c>
      <c r="S83" s="262">
        <f t="shared" si="4"/>
        <v>4072</v>
      </c>
      <c r="T83" s="304"/>
    </row>
    <row r="84" spans="1:20" ht="13.5" customHeight="1">
      <c r="A84" s="238" t="s">
        <v>252</v>
      </c>
      <c r="B84" s="297" t="s">
        <v>253</v>
      </c>
      <c r="C84" s="254"/>
      <c r="D84" s="245"/>
      <c r="E84" s="246"/>
      <c r="F84" s="254"/>
      <c r="G84" s="245"/>
      <c r="H84" s="246"/>
      <c r="I84" s="254"/>
      <c r="J84" s="245"/>
      <c r="K84" s="250"/>
      <c r="L84" s="254"/>
      <c r="M84" s="245"/>
      <c r="N84" s="305"/>
      <c r="O84" s="254"/>
      <c r="P84" s="245"/>
      <c r="Q84" s="250"/>
      <c r="R84" s="254">
        <f t="shared" si="4"/>
        <v>0</v>
      </c>
      <c r="S84" s="245"/>
      <c r="T84" s="305"/>
    </row>
    <row r="85" spans="1:20" ht="13.5" customHeight="1">
      <c r="A85" s="238" t="s">
        <v>254</v>
      </c>
      <c r="B85" s="297" t="s">
        <v>255</v>
      </c>
      <c r="C85" s="254"/>
      <c r="D85" s="245"/>
      <c r="E85" s="246"/>
      <c r="F85" s="254"/>
      <c r="G85" s="245"/>
      <c r="H85" s="246"/>
      <c r="I85" s="254"/>
      <c r="J85" s="245"/>
      <c r="K85" s="250"/>
      <c r="L85" s="254"/>
      <c r="M85" s="245"/>
      <c r="N85" s="305"/>
      <c r="O85" s="254"/>
      <c r="P85" s="245"/>
      <c r="Q85" s="250"/>
      <c r="R85" s="254">
        <f t="shared" si="4"/>
        <v>0</v>
      </c>
      <c r="S85" s="245"/>
      <c r="T85" s="305"/>
    </row>
    <row r="86" spans="1:20" ht="13.5" customHeight="1">
      <c r="A86" s="238" t="s">
        <v>256</v>
      </c>
      <c r="B86" s="297" t="s">
        <v>257</v>
      </c>
      <c r="C86" s="254"/>
      <c r="D86" s="245"/>
      <c r="E86" s="246"/>
      <c r="F86" s="254"/>
      <c r="G86" s="245"/>
      <c r="H86" s="246"/>
      <c r="I86" s="254"/>
      <c r="J86" s="245"/>
      <c r="K86" s="250"/>
      <c r="L86" s="254"/>
      <c r="M86" s="245"/>
      <c r="N86" s="305"/>
      <c r="O86" s="254"/>
      <c r="P86" s="245"/>
      <c r="Q86" s="250"/>
      <c r="R86" s="254">
        <f t="shared" si="4"/>
        <v>0</v>
      </c>
      <c r="S86" s="245"/>
      <c r="T86" s="305"/>
    </row>
    <row r="87" spans="1:20" ht="13.5" customHeight="1">
      <c r="A87" s="239" t="s">
        <v>258</v>
      </c>
      <c r="B87" s="298" t="s">
        <v>18</v>
      </c>
      <c r="C87" s="275">
        <f>C88</f>
        <v>0</v>
      </c>
      <c r="D87" s="275">
        <f>D88</f>
        <v>886</v>
      </c>
      <c r="E87" s="276"/>
      <c r="F87" s="275">
        <f>F88</f>
        <v>0</v>
      </c>
      <c r="G87" s="275">
        <f>G88</f>
        <v>1920</v>
      </c>
      <c r="H87" s="276"/>
      <c r="I87" s="275">
        <f>I88</f>
        <v>0</v>
      </c>
      <c r="J87" s="275">
        <f>J88</f>
        <v>953</v>
      </c>
      <c r="K87" s="271"/>
      <c r="L87" s="275">
        <f>L88</f>
        <v>0</v>
      </c>
      <c r="M87" s="275">
        <f>M88</f>
        <v>1730</v>
      </c>
      <c r="N87" s="306"/>
      <c r="O87" s="275">
        <f>O88</f>
        <v>0</v>
      </c>
      <c r="P87" s="275">
        <f>P88</f>
        <v>369</v>
      </c>
      <c r="Q87" s="271"/>
      <c r="R87" s="275">
        <f>R88</f>
        <v>0</v>
      </c>
      <c r="S87" s="275">
        <f>S88</f>
        <v>5858</v>
      </c>
      <c r="T87" s="306"/>
    </row>
    <row r="88" spans="1:20" ht="13.5" customHeight="1">
      <c r="A88" s="820"/>
      <c r="B88" s="822" t="s">
        <v>425</v>
      </c>
      <c r="C88" s="286"/>
      <c r="D88" s="281">
        <f>+'[10]Óvoda össz'!$B$42</f>
        <v>886</v>
      </c>
      <c r="E88" s="287"/>
      <c r="F88" s="286"/>
      <c r="G88" s="281">
        <f>+'[10]Óvoda össz'!$C$42</f>
        <v>1920</v>
      </c>
      <c r="H88" s="287"/>
      <c r="I88" s="286"/>
      <c r="J88" s="281">
        <f>+'[10]Óvoda össz'!$D$42</f>
        <v>953</v>
      </c>
      <c r="K88" s="282"/>
      <c r="L88" s="286"/>
      <c r="M88" s="281">
        <f>+'[10]Óvoda össz'!$E$42</f>
        <v>1730</v>
      </c>
      <c r="N88" s="307"/>
      <c r="O88" s="286"/>
      <c r="P88" s="281">
        <f>+'[10]Óvoda össz'!$F$42</f>
        <v>369</v>
      </c>
      <c r="Q88" s="282"/>
      <c r="R88" s="286">
        <f>C88+F88+I88+L88+O88</f>
        <v>0</v>
      </c>
      <c r="S88" s="286">
        <f>D88+G88+J88+M88+P88</f>
        <v>5858</v>
      </c>
      <c r="T88" s="307"/>
    </row>
    <row r="89" spans="1:20" s="384" customFormat="1" ht="13.5" customHeight="1">
      <c r="A89" s="240" t="s">
        <v>184</v>
      </c>
      <c r="B89" s="299" t="s">
        <v>142</v>
      </c>
      <c r="C89" s="344">
        <f>SUM(C83:C87)</f>
        <v>1445</v>
      </c>
      <c r="D89" s="344">
        <f>SUM(D83:D87)</f>
        <v>2343</v>
      </c>
      <c r="E89" s="351"/>
      <c r="F89" s="344">
        <f>SUM(F83:F87)</f>
        <v>1457</v>
      </c>
      <c r="G89" s="344">
        <f>SUM(G83:G87)</f>
        <v>3569</v>
      </c>
      <c r="H89" s="351"/>
      <c r="I89" s="344">
        <f>SUM(I83:I87)</f>
        <v>11</v>
      </c>
      <c r="J89" s="344">
        <f>SUM(J83:J87)</f>
        <v>1126</v>
      </c>
      <c r="K89" s="353"/>
      <c r="L89" s="344">
        <f>SUM(L83:L87)</f>
        <v>144</v>
      </c>
      <c r="M89" s="344">
        <f>SUM(M83:M87)</f>
        <v>2173</v>
      </c>
      <c r="N89" s="354"/>
      <c r="O89" s="344">
        <f>SUM(O83:O87)</f>
        <v>585</v>
      </c>
      <c r="P89" s="344">
        <f>SUM(P83:P87)</f>
        <v>719</v>
      </c>
      <c r="Q89" s="353"/>
      <c r="R89" s="344">
        <f>SUM(R83:R87)</f>
        <v>3642</v>
      </c>
      <c r="S89" s="344">
        <f>SUM(S83:S87)</f>
        <v>9930</v>
      </c>
      <c r="T89" s="354"/>
    </row>
    <row r="90" spans="1:20" s="384" customFormat="1" ht="13.5" customHeight="1">
      <c r="A90" s="240" t="s">
        <v>185</v>
      </c>
      <c r="B90" s="299" t="s">
        <v>143</v>
      </c>
      <c r="C90" s="344">
        <f>+C66+C69+C79+C82+C89</f>
        <v>6848</v>
      </c>
      <c r="D90" s="344">
        <f>+D66+D69+D79+D82+D89</f>
        <v>7788</v>
      </c>
      <c r="E90" s="351"/>
      <c r="F90" s="344">
        <f>+F66+F69+F79+F82+F89</f>
        <v>6903</v>
      </c>
      <c r="G90" s="344">
        <f>+G66+G69+G79+G82+G89</f>
        <v>9728</v>
      </c>
      <c r="H90" s="351"/>
      <c r="I90" s="344">
        <f>+I66+I69+I79+I82+I89</f>
        <v>51</v>
      </c>
      <c r="J90" s="344">
        <f>+J66+J69+J79+J82+J89</f>
        <v>1766</v>
      </c>
      <c r="K90" s="353"/>
      <c r="L90" s="344">
        <f>+L66+L69+L79+L82+L89</f>
        <v>678</v>
      </c>
      <c r="M90" s="344">
        <f>+M66+M69+M79+M82+M89</f>
        <v>3813</v>
      </c>
      <c r="N90" s="354"/>
      <c r="O90" s="344">
        <f>+O66+O69+O79+O82+O89</f>
        <v>2802</v>
      </c>
      <c r="P90" s="344">
        <f>+P66+P69+P79+P82+P89</f>
        <v>3116</v>
      </c>
      <c r="Q90" s="353"/>
      <c r="R90" s="344">
        <f>+R66+R69+R79+R82+R89</f>
        <v>17282</v>
      </c>
      <c r="S90" s="344">
        <f>+S66+S69+S79+S82+S89</f>
        <v>26211</v>
      </c>
      <c r="T90" s="354"/>
    </row>
    <row r="91" spans="1:20" ht="13.5" customHeight="1">
      <c r="A91" s="237" t="s">
        <v>308</v>
      </c>
      <c r="B91" s="231" t="s">
        <v>309</v>
      </c>
      <c r="C91" s="262"/>
      <c r="D91" s="257"/>
      <c r="E91" s="263"/>
      <c r="F91" s="262"/>
      <c r="G91" s="257"/>
      <c r="H91" s="263"/>
      <c r="I91" s="262">
        <f>SUM(I92)</f>
        <v>0</v>
      </c>
      <c r="J91" s="257"/>
      <c r="K91" s="258"/>
      <c r="L91" s="262">
        <f>SUM(L92)</f>
        <v>8107</v>
      </c>
      <c r="M91" s="257">
        <f>SUM(M92)</f>
        <v>2654</v>
      </c>
      <c r="N91" s="304"/>
      <c r="O91" s="262"/>
      <c r="P91" s="257"/>
      <c r="Q91" s="258"/>
      <c r="R91" s="262">
        <f t="shared" ref="R91:S95" si="5">+C91+F91+I91+L91+O91</f>
        <v>8107</v>
      </c>
      <c r="S91" s="262">
        <f t="shared" si="5"/>
        <v>2654</v>
      </c>
      <c r="T91" s="304"/>
    </row>
    <row r="92" spans="1:20" s="332" customFormat="1" ht="13.5" customHeight="1">
      <c r="A92" s="243" t="s">
        <v>308</v>
      </c>
      <c r="B92" s="232" t="s">
        <v>114</v>
      </c>
      <c r="C92" s="345"/>
      <c r="D92" s="346"/>
      <c r="E92" s="347"/>
      <c r="F92" s="345"/>
      <c r="G92" s="346"/>
      <c r="H92" s="347"/>
      <c r="I92" s="345"/>
      <c r="J92" s="346"/>
      <c r="K92" s="348"/>
      <c r="L92" s="345">
        <f>+[12]Sheet!$K$61</f>
        <v>8107</v>
      </c>
      <c r="M92" s="346">
        <v>2654</v>
      </c>
      <c r="N92" s="349"/>
      <c r="O92" s="345"/>
      <c r="P92" s="346"/>
      <c r="Q92" s="348"/>
      <c r="R92" s="275">
        <f t="shared" ref="R92:S92" si="6">+C92+F92+I92+L92+O92</f>
        <v>8107</v>
      </c>
      <c r="S92" s="275">
        <f t="shared" si="6"/>
        <v>2654</v>
      </c>
      <c r="T92" s="349"/>
    </row>
    <row r="93" spans="1:20" ht="13.5" customHeight="1">
      <c r="A93" s="376" t="s">
        <v>310</v>
      </c>
      <c r="B93" s="380" t="s">
        <v>311</v>
      </c>
      <c r="C93" s="275">
        <f>+SUM(C94:C95)</f>
        <v>0</v>
      </c>
      <c r="D93" s="270"/>
      <c r="E93" s="276"/>
      <c r="F93" s="275">
        <f>+SUM(F94:F95)</f>
        <v>0</v>
      </c>
      <c r="G93" s="270"/>
      <c r="H93" s="276"/>
      <c r="I93" s="275">
        <f>+SUM(I94:I95)</f>
        <v>0</v>
      </c>
      <c r="J93" s="270"/>
      <c r="K93" s="271"/>
      <c r="L93" s="275">
        <f>+SUM(L94:L95)</f>
        <v>0</v>
      </c>
      <c r="M93" s="270"/>
      <c r="N93" s="306"/>
      <c r="O93" s="275">
        <f>+SUM(O94:O95)</f>
        <v>0</v>
      </c>
      <c r="P93" s="270"/>
      <c r="Q93" s="271"/>
      <c r="R93" s="275">
        <f t="shared" si="5"/>
        <v>0</v>
      </c>
      <c r="S93" s="275">
        <f t="shared" si="5"/>
        <v>0</v>
      </c>
      <c r="T93" s="306"/>
    </row>
    <row r="94" spans="1:20" s="332" customFormat="1" ht="13.5" customHeight="1">
      <c r="A94" s="506"/>
      <c r="B94" s="507" t="s">
        <v>352</v>
      </c>
      <c r="C94" s="330"/>
      <c r="D94" s="325"/>
      <c r="E94" s="331"/>
      <c r="F94" s="330"/>
      <c r="G94" s="325"/>
      <c r="H94" s="331"/>
      <c r="I94" s="330"/>
      <c r="J94" s="325"/>
      <c r="K94" s="326"/>
      <c r="L94" s="330"/>
      <c r="M94" s="325"/>
      <c r="N94" s="341"/>
      <c r="O94" s="330"/>
      <c r="P94" s="325"/>
      <c r="Q94" s="326"/>
      <c r="R94" s="345">
        <f t="shared" si="5"/>
        <v>0</v>
      </c>
      <c r="S94" s="345">
        <f t="shared" si="5"/>
        <v>0</v>
      </c>
      <c r="T94" s="341"/>
    </row>
    <row r="95" spans="1:20" s="332" customFormat="1" ht="13.5" customHeight="1">
      <c r="A95" s="508"/>
      <c r="B95" s="507" t="s">
        <v>353</v>
      </c>
      <c r="C95" s="336"/>
      <c r="D95" s="334"/>
      <c r="E95" s="337"/>
      <c r="F95" s="336"/>
      <c r="G95" s="334"/>
      <c r="H95" s="337"/>
      <c r="I95" s="336"/>
      <c r="J95" s="334"/>
      <c r="K95" s="335"/>
      <c r="L95" s="336"/>
      <c r="M95" s="334"/>
      <c r="N95" s="343"/>
      <c r="O95" s="336"/>
      <c r="P95" s="334"/>
      <c r="Q95" s="335"/>
      <c r="R95" s="345">
        <f t="shared" si="5"/>
        <v>0</v>
      </c>
      <c r="S95" s="345">
        <f t="shared" si="5"/>
        <v>0</v>
      </c>
      <c r="T95" s="343"/>
    </row>
    <row r="96" spans="1:20" s="384" customFormat="1" ht="13.5" customHeight="1">
      <c r="A96" s="240" t="s">
        <v>186</v>
      </c>
      <c r="B96" s="299" t="s">
        <v>144</v>
      </c>
      <c r="C96" s="344">
        <f>+C91+C93</f>
        <v>0</v>
      </c>
      <c r="D96" s="344">
        <f>+D91+D93</f>
        <v>0</v>
      </c>
      <c r="E96" s="351"/>
      <c r="F96" s="344">
        <f>+F91+F93</f>
        <v>0</v>
      </c>
      <c r="G96" s="344">
        <f>+G91+G93</f>
        <v>0</v>
      </c>
      <c r="H96" s="351"/>
      <c r="I96" s="344">
        <f>+I91+I93</f>
        <v>0</v>
      </c>
      <c r="J96" s="344">
        <f>+J91+J93</f>
        <v>0</v>
      </c>
      <c r="K96" s="353"/>
      <c r="L96" s="344">
        <f>+L91+L93</f>
        <v>8107</v>
      </c>
      <c r="M96" s="344">
        <f>+M91+M93</f>
        <v>2654</v>
      </c>
      <c r="N96" s="354"/>
      <c r="O96" s="344">
        <f>+O91+O93</f>
        <v>0</v>
      </c>
      <c r="P96" s="344">
        <f>+P91+P93</f>
        <v>0</v>
      </c>
      <c r="Q96" s="353"/>
      <c r="R96" s="344">
        <f>+R91+R93</f>
        <v>8107</v>
      </c>
      <c r="S96" s="344">
        <f>+S91+S93</f>
        <v>2654</v>
      </c>
      <c r="T96" s="354"/>
    </row>
    <row r="97" spans="1:20" ht="13.5" customHeight="1">
      <c r="A97" s="237" t="s">
        <v>259</v>
      </c>
      <c r="B97" s="296" t="s">
        <v>260</v>
      </c>
      <c r="C97" s="262"/>
      <c r="D97" s="257"/>
      <c r="E97" s="263"/>
      <c r="F97" s="262"/>
      <c r="G97" s="257"/>
      <c r="H97" s="263"/>
      <c r="I97" s="262"/>
      <c r="J97" s="257"/>
      <c r="K97" s="258"/>
      <c r="L97" s="262"/>
      <c r="M97" s="257"/>
      <c r="N97" s="304"/>
      <c r="O97" s="262"/>
      <c r="P97" s="257"/>
      <c r="Q97" s="258"/>
      <c r="R97" s="262">
        <f t="shared" ref="R97:S112" si="7">+C97+F97+I97+L97+O97</f>
        <v>0</v>
      </c>
      <c r="S97" s="262">
        <f t="shared" si="7"/>
        <v>0</v>
      </c>
      <c r="T97" s="304"/>
    </row>
    <row r="98" spans="1:20" ht="13.5" customHeight="1">
      <c r="A98" s="238" t="s">
        <v>261</v>
      </c>
      <c r="B98" s="297" t="s">
        <v>262</v>
      </c>
      <c r="C98" s="254"/>
      <c r="D98" s="245"/>
      <c r="E98" s="246"/>
      <c r="F98" s="254"/>
      <c r="G98" s="245"/>
      <c r="H98" s="246"/>
      <c r="I98" s="254"/>
      <c r="J98" s="245"/>
      <c r="K98" s="250"/>
      <c r="L98" s="254"/>
      <c r="M98" s="245"/>
      <c r="N98" s="305"/>
      <c r="O98" s="254"/>
      <c r="P98" s="245"/>
      <c r="Q98" s="250"/>
      <c r="R98" s="254">
        <f t="shared" si="7"/>
        <v>0</v>
      </c>
      <c r="S98" s="254">
        <f t="shared" si="7"/>
        <v>0</v>
      </c>
      <c r="T98" s="305"/>
    </row>
    <row r="99" spans="1:20" ht="13.5" customHeight="1">
      <c r="A99" s="238" t="s">
        <v>263</v>
      </c>
      <c r="B99" s="297" t="s">
        <v>264</v>
      </c>
      <c r="C99" s="254"/>
      <c r="D99" s="245"/>
      <c r="E99" s="246"/>
      <c r="F99" s="254"/>
      <c r="G99" s="245"/>
      <c r="H99" s="246"/>
      <c r="I99" s="254"/>
      <c r="J99" s="245"/>
      <c r="K99" s="250"/>
      <c r="L99" s="254"/>
      <c r="M99" s="245"/>
      <c r="N99" s="305"/>
      <c r="O99" s="254">
        <f>+[12]Sheet!$M$65</f>
        <v>150</v>
      </c>
      <c r="P99" s="245">
        <f>+[13]Sheet!$M$65</f>
        <v>150</v>
      </c>
      <c r="Q99" s="250"/>
      <c r="R99" s="254">
        <f t="shared" si="7"/>
        <v>150</v>
      </c>
      <c r="S99" s="254">
        <f t="shared" si="7"/>
        <v>150</v>
      </c>
      <c r="T99" s="305"/>
    </row>
    <row r="100" spans="1:20" ht="13.5" customHeight="1">
      <c r="A100" s="238" t="s">
        <v>265</v>
      </c>
      <c r="B100" s="297" t="s">
        <v>266</v>
      </c>
      <c r="C100" s="254"/>
      <c r="D100" s="245">
        <f>+[13]Sheet!$E$66</f>
        <v>500</v>
      </c>
      <c r="E100" s="246"/>
      <c r="F100" s="254">
        <f>+[12]Sheet!$G$66</f>
        <v>400</v>
      </c>
      <c r="G100" s="245">
        <f>+[13]Sheet!$G$66</f>
        <v>400</v>
      </c>
      <c r="H100" s="246"/>
      <c r="I100" s="254"/>
      <c r="J100" s="245"/>
      <c r="K100" s="250"/>
      <c r="L100" s="254"/>
      <c r="M100" s="245"/>
      <c r="N100" s="305"/>
      <c r="O100" s="254"/>
      <c r="P100" s="245"/>
      <c r="Q100" s="250"/>
      <c r="R100" s="254">
        <f t="shared" si="7"/>
        <v>400</v>
      </c>
      <c r="S100" s="254">
        <f t="shared" si="7"/>
        <v>900</v>
      </c>
      <c r="T100" s="305"/>
    </row>
    <row r="101" spans="1:20" ht="13.5" customHeight="1">
      <c r="A101" s="238" t="s">
        <v>267</v>
      </c>
      <c r="B101" s="297" t="s">
        <v>268</v>
      </c>
      <c r="C101" s="254"/>
      <c r="D101" s="245"/>
      <c r="E101" s="246"/>
      <c r="F101" s="254"/>
      <c r="G101" s="245"/>
      <c r="H101" s="246"/>
      <c r="I101" s="254"/>
      <c r="J101" s="245"/>
      <c r="K101" s="250"/>
      <c r="L101" s="254"/>
      <c r="M101" s="245"/>
      <c r="N101" s="305"/>
      <c r="O101" s="254"/>
      <c r="P101" s="245"/>
      <c r="Q101" s="250"/>
      <c r="R101" s="254">
        <f t="shared" si="7"/>
        <v>0</v>
      </c>
      <c r="S101" s="254">
        <f t="shared" si="7"/>
        <v>0</v>
      </c>
      <c r="T101" s="305"/>
    </row>
    <row r="102" spans="1:20" ht="13.5" customHeight="1">
      <c r="A102" s="238" t="s">
        <v>269</v>
      </c>
      <c r="B102" s="297" t="s">
        <v>270</v>
      </c>
      <c r="C102" s="254"/>
      <c r="D102" s="245"/>
      <c r="E102" s="246"/>
      <c r="F102" s="254"/>
      <c r="G102" s="245"/>
      <c r="H102" s="246"/>
      <c r="I102" s="254"/>
      <c r="J102" s="245"/>
      <c r="K102" s="250"/>
      <c r="L102" s="254"/>
      <c r="M102" s="245"/>
      <c r="N102" s="305"/>
      <c r="O102" s="254"/>
      <c r="P102" s="245"/>
      <c r="Q102" s="250"/>
      <c r="R102" s="254">
        <f t="shared" si="7"/>
        <v>0</v>
      </c>
      <c r="S102" s="254">
        <f t="shared" si="7"/>
        <v>0</v>
      </c>
      <c r="T102" s="305"/>
    </row>
    <row r="103" spans="1:20" ht="13.5" customHeight="1">
      <c r="A103" s="239" t="s">
        <v>271</v>
      </c>
      <c r="B103" s="298" t="s">
        <v>272</v>
      </c>
      <c r="C103" s="275">
        <f>+C120</f>
        <v>0</v>
      </c>
      <c r="D103" s="270">
        <f>+[13]Sheet!$E$67</f>
        <v>135</v>
      </c>
      <c r="E103" s="276"/>
      <c r="F103" s="275">
        <f>+[12]Sheet!$G$67</f>
        <v>108</v>
      </c>
      <c r="G103" s="270">
        <f>+[13]Sheet!$G$67</f>
        <v>108</v>
      </c>
      <c r="H103" s="276"/>
      <c r="I103" s="275"/>
      <c r="J103" s="270"/>
      <c r="K103" s="271"/>
      <c r="L103" s="275"/>
      <c r="M103" s="270"/>
      <c r="N103" s="306"/>
      <c r="O103" s="275">
        <f>+[12]Sheet!$M$67</f>
        <v>41</v>
      </c>
      <c r="P103" s="270">
        <f>+[13]Sheet!$M$67</f>
        <v>41</v>
      </c>
      <c r="Q103" s="271"/>
      <c r="R103" s="275">
        <f t="shared" si="7"/>
        <v>149</v>
      </c>
      <c r="S103" s="275">
        <f t="shared" si="7"/>
        <v>284</v>
      </c>
      <c r="T103" s="306"/>
    </row>
    <row r="104" spans="1:20" s="384" customFormat="1" ht="13.5" customHeight="1">
      <c r="A104" s="240" t="s">
        <v>187</v>
      </c>
      <c r="B104" s="299" t="s">
        <v>99</v>
      </c>
      <c r="C104" s="344">
        <f>SUM(C97:C103)</f>
        <v>0</v>
      </c>
      <c r="D104" s="344">
        <f>SUM(D97:D103)</f>
        <v>635</v>
      </c>
      <c r="E104" s="351"/>
      <c r="F104" s="344">
        <f>SUM(F97:F103)</f>
        <v>508</v>
      </c>
      <c r="G104" s="344">
        <f>SUM(G97:G103)</f>
        <v>508</v>
      </c>
      <c r="H104" s="351"/>
      <c r="I104" s="344">
        <f>SUM(I97:I103)</f>
        <v>0</v>
      </c>
      <c r="J104" s="344">
        <f>SUM(J97:J103)</f>
        <v>0</v>
      </c>
      <c r="K104" s="353"/>
      <c r="L104" s="344">
        <f>SUM(L97:L103)</f>
        <v>0</v>
      </c>
      <c r="M104" s="344">
        <f>SUM(M97:M103)</f>
        <v>0</v>
      </c>
      <c r="N104" s="354"/>
      <c r="O104" s="344">
        <f>SUM(O97:O103)</f>
        <v>191</v>
      </c>
      <c r="P104" s="344">
        <f>SUM(P97:P103)</f>
        <v>191</v>
      </c>
      <c r="Q104" s="353"/>
      <c r="R104" s="344">
        <f t="shared" si="7"/>
        <v>699</v>
      </c>
      <c r="S104" s="344">
        <f t="shared" si="7"/>
        <v>1334</v>
      </c>
      <c r="T104" s="354"/>
    </row>
    <row r="105" spans="1:20" ht="13.5" customHeight="1">
      <c r="A105" s="237" t="s">
        <v>273</v>
      </c>
      <c r="B105" s="296" t="s">
        <v>274</v>
      </c>
      <c r="C105" s="262"/>
      <c r="D105" s="257"/>
      <c r="E105" s="263"/>
      <c r="F105" s="262"/>
      <c r="G105" s="257"/>
      <c r="H105" s="263"/>
      <c r="I105" s="262"/>
      <c r="J105" s="257"/>
      <c r="K105" s="258"/>
      <c r="L105" s="262"/>
      <c r="M105" s="257"/>
      <c r="N105" s="304"/>
      <c r="O105" s="262"/>
      <c r="P105" s="257"/>
      <c r="Q105" s="258"/>
      <c r="R105" s="262">
        <f t="shared" si="7"/>
        <v>0</v>
      </c>
      <c r="S105" s="262">
        <f t="shared" si="7"/>
        <v>0</v>
      </c>
      <c r="T105" s="304"/>
    </row>
    <row r="106" spans="1:20" ht="13.5" customHeight="1">
      <c r="A106" s="238" t="s">
        <v>275</v>
      </c>
      <c r="B106" s="297" t="s">
        <v>276</v>
      </c>
      <c r="C106" s="254"/>
      <c r="D106" s="245"/>
      <c r="E106" s="246"/>
      <c r="F106" s="254"/>
      <c r="G106" s="245"/>
      <c r="H106" s="246"/>
      <c r="I106" s="254"/>
      <c r="J106" s="245"/>
      <c r="K106" s="250"/>
      <c r="L106" s="254"/>
      <c r="M106" s="245"/>
      <c r="N106" s="305"/>
      <c r="O106" s="254"/>
      <c r="P106" s="245"/>
      <c r="Q106" s="250"/>
      <c r="R106" s="254">
        <f t="shared" si="7"/>
        <v>0</v>
      </c>
      <c r="S106" s="254">
        <f t="shared" si="7"/>
        <v>0</v>
      </c>
      <c r="T106" s="305"/>
    </row>
    <row r="107" spans="1:20" ht="13.5" customHeight="1">
      <c r="A107" s="238" t="s">
        <v>277</v>
      </c>
      <c r="B107" s="297" t="s">
        <v>278</v>
      </c>
      <c r="C107" s="254"/>
      <c r="D107" s="245"/>
      <c r="E107" s="246"/>
      <c r="F107" s="254"/>
      <c r="G107" s="245"/>
      <c r="H107" s="246"/>
      <c r="I107" s="254"/>
      <c r="J107" s="245"/>
      <c r="K107" s="250"/>
      <c r="L107" s="254"/>
      <c r="M107" s="245"/>
      <c r="N107" s="305"/>
      <c r="O107" s="254"/>
      <c r="P107" s="245"/>
      <c r="Q107" s="250"/>
      <c r="R107" s="254">
        <f t="shared" si="7"/>
        <v>0</v>
      </c>
      <c r="S107" s="254">
        <f t="shared" si="7"/>
        <v>0</v>
      </c>
      <c r="T107" s="305"/>
    </row>
    <row r="108" spans="1:20" ht="13.5" customHeight="1">
      <c r="A108" s="239" t="s">
        <v>279</v>
      </c>
      <c r="B108" s="298" t="s">
        <v>280</v>
      </c>
      <c r="C108" s="275"/>
      <c r="D108" s="270"/>
      <c r="E108" s="276"/>
      <c r="F108" s="275"/>
      <c r="G108" s="270"/>
      <c r="H108" s="276"/>
      <c r="I108" s="275"/>
      <c r="J108" s="270"/>
      <c r="K108" s="271"/>
      <c r="L108" s="275"/>
      <c r="M108" s="270"/>
      <c r="N108" s="306"/>
      <c r="O108" s="275"/>
      <c r="P108" s="270"/>
      <c r="Q108" s="271"/>
      <c r="R108" s="275">
        <f t="shared" si="7"/>
        <v>0</v>
      </c>
      <c r="S108" s="275">
        <f t="shared" si="7"/>
        <v>0</v>
      </c>
      <c r="T108" s="306"/>
    </row>
    <row r="109" spans="1:20" s="384" customFormat="1" ht="13.5" customHeight="1">
      <c r="A109" s="240" t="s">
        <v>188</v>
      </c>
      <c r="B109" s="299" t="s">
        <v>145</v>
      </c>
      <c r="C109" s="344">
        <f>SUM(C105:C108)</f>
        <v>0</v>
      </c>
      <c r="D109" s="350"/>
      <c r="E109" s="351"/>
      <c r="F109" s="344">
        <f>SUM(F105:F108)</f>
        <v>0</v>
      </c>
      <c r="G109" s="350"/>
      <c r="H109" s="351"/>
      <c r="I109" s="344">
        <f>SUM(I105:I108)</f>
        <v>0</v>
      </c>
      <c r="J109" s="344">
        <f>SUM(J105:J108)</f>
        <v>0</v>
      </c>
      <c r="K109" s="353"/>
      <c r="L109" s="344">
        <f>SUM(L105:L108)</f>
        <v>0</v>
      </c>
      <c r="M109" s="344">
        <f>SUM(M105:M108)</f>
        <v>0</v>
      </c>
      <c r="N109" s="354"/>
      <c r="O109" s="344">
        <f>SUM(O105:O108)</f>
        <v>0</v>
      </c>
      <c r="P109" s="350"/>
      <c r="Q109" s="353"/>
      <c r="R109" s="278">
        <f t="shared" si="7"/>
        <v>0</v>
      </c>
      <c r="S109" s="278">
        <f t="shared" si="7"/>
        <v>0</v>
      </c>
      <c r="T109" s="354"/>
    </row>
    <row r="110" spans="1:20" s="384" customFormat="1" ht="13.5" customHeight="1">
      <c r="A110" s="240" t="s">
        <v>189</v>
      </c>
      <c r="B110" s="299" t="s">
        <v>146</v>
      </c>
      <c r="C110" s="344"/>
      <c r="D110" s="350"/>
      <c r="E110" s="351"/>
      <c r="F110" s="344"/>
      <c r="G110" s="350"/>
      <c r="H110" s="351"/>
      <c r="I110" s="344"/>
      <c r="J110" s="350"/>
      <c r="K110" s="353"/>
      <c r="L110" s="344"/>
      <c r="M110" s="350"/>
      <c r="N110" s="354"/>
      <c r="O110" s="344"/>
      <c r="P110" s="350"/>
      <c r="Q110" s="353"/>
      <c r="R110" s="286">
        <f t="shared" si="7"/>
        <v>0</v>
      </c>
      <c r="S110" s="286">
        <f t="shared" si="7"/>
        <v>0</v>
      </c>
      <c r="T110" s="354"/>
    </row>
    <row r="111" spans="1:20" s="384" customFormat="1" ht="13.5" customHeight="1">
      <c r="A111" s="244" t="s">
        <v>190</v>
      </c>
      <c r="B111" s="299" t="s">
        <v>147</v>
      </c>
      <c r="C111" s="344">
        <f>+C56+C57+C90+C96+C104+C109+C110</f>
        <v>33688</v>
      </c>
      <c r="D111" s="344">
        <f>+D56+D57+D90+D96+D104+D109+D110</f>
        <v>31151</v>
      </c>
      <c r="E111" s="351"/>
      <c r="F111" s="344">
        <f>+F56+F57+F90+F96+F104+F109+F110</f>
        <v>53963</v>
      </c>
      <c r="G111" s="344">
        <f>+G56+G57+G90+G96+G104+G109+G110</f>
        <v>59294</v>
      </c>
      <c r="H111" s="351"/>
      <c r="I111" s="344">
        <f>+I56+I57+I90+I96+I104+I109+I110</f>
        <v>28489</v>
      </c>
      <c r="J111" s="344">
        <f>+J56+J57+J90+J96+J104+J109+J110</f>
        <v>26410</v>
      </c>
      <c r="K111" s="353"/>
      <c r="L111" s="344">
        <f>+L56+L57+L90+L96+L104+L109+L110</f>
        <v>50679</v>
      </c>
      <c r="M111" s="344">
        <f>+M56+M57+M90+M96+M104+M109+M110</f>
        <v>50720</v>
      </c>
      <c r="N111" s="354"/>
      <c r="O111" s="344">
        <f>+O56+O57+O90+O96+O104+O109+O110</f>
        <v>11045</v>
      </c>
      <c r="P111" s="344">
        <f>+P56+P57+P90+P96+P104+P109+P110</f>
        <v>12630</v>
      </c>
      <c r="Q111" s="353"/>
      <c r="R111" s="344">
        <f t="shared" si="7"/>
        <v>177864</v>
      </c>
      <c r="S111" s="344">
        <f t="shared" si="7"/>
        <v>180205</v>
      </c>
      <c r="T111" s="354"/>
    </row>
    <row r="112" spans="1:20" s="384" customFormat="1" ht="13.5" customHeight="1" thickBot="1">
      <c r="A112" s="294" t="s">
        <v>191</v>
      </c>
      <c r="B112" s="302" t="s">
        <v>148</v>
      </c>
      <c r="C112" s="371"/>
      <c r="D112" s="372"/>
      <c r="E112" s="373"/>
      <c r="F112" s="371"/>
      <c r="G112" s="372"/>
      <c r="H112" s="373"/>
      <c r="I112" s="371"/>
      <c r="J112" s="372"/>
      <c r="K112" s="374"/>
      <c r="L112" s="371"/>
      <c r="M112" s="372"/>
      <c r="N112" s="375"/>
      <c r="O112" s="371"/>
      <c r="P112" s="372"/>
      <c r="Q112" s="374"/>
      <c r="R112" s="286">
        <f t="shared" si="7"/>
        <v>0</v>
      </c>
      <c r="S112" s="372"/>
      <c r="T112" s="375"/>
    </row>
    <row r="113" spans="1:20" s="384" customFormat="1" ht="13.5" customHeight="1" thickBot="1">
      <c r="A113" s="861" t="s">
        <v>294</v>
      </c>
      <c r="B113" s="862"/>
      <c r="C113" s="360">
        <f>SUM(C111:C112)</f>
        <v>33688</v>
      </c>
      <c r="D113" s="360">
        <f>SUM(D111:D112)</f>
        <v>31151</v>
      </c>
      <c r="E113" s="362"/>
      <c r="F113" s="360">
        <f>SUM(F111:F112)</f>
        <v>53963</v>
      </c>
      <c r="G113" s="360">
        <f>SUM(G111:G112)</f>
        <v>59294</v>
      </c>
      <c r="H113" s="362"/>
      <c r="I113" s="360">
        <f>SUM(I111:I112)</f>
        <v>28489</v>
      </c>
      <c r="J113" s="360">
        <f>SUM(J111:J112)</f>
        <v>26410</v>
      </c>
      <c r="K113" s="364"/>
      <c r="L113" s="360">
        <f>SUM(L111:L112)</f>
        <v>50679</v>
      </c>
      <c r="M113" s="360">
        <f>SUM(M111:M112)</f>
        <v>50720</v>
      </c>
      <c r="N113" s="365"/>
      <c r="O113" s="360">
        <f>SUM(O111:O112)</f>
        <v>11045</v>
      </c>
      <c r="P113" s="360">
        <f>SUM(P111:P112)</f>
        <v>12630</v>
      </c>
      <c r="Q113" s="364"/>
      <c r="R113" s="344">
        <f t="shared" ref="R113:S113" si="8">+C113+F113+I113+L113+O113</f>
        <v>177864</v>
      </c>
      <c r="S113" s="344">
        <f t="shared" si="8"/>
        <v>180205</v>
      </c>
      <c r="T113" s="365"/>
    </row>
    <row r="114" spans="1:20" ht="13.5" customHeight="1" thickBot="1">
      <c r="R114" s="67"/>
    </row>
    <row r="115" spans="1:20" s="384" customFormat="1" ht="13.5" customHeight="1" thickBot="1">
      <c r="A115" s="859" t="s">
        <v>312</v>
      </c>
      <c r="B115" s="899"/>
      <c r="C115" s="360">
        <f>+C36-C113</f>
        <v>0</v>
      </c>
      <c r="D115" s="361">
        <f>+D36-D113</f>
        <v>0</v>
      </c>
      <c r="E115" s="362"/>
      <c r="F115" s="360">
        <f>+F36-F113</f>
        <v>0</v>
      </c>
      <c r="G115" s="361">
        <f>+G36-G113</f>
        <v>0</v>
      </c>
      <c r="H115" s="362"/>
      <c r="I115" s="360">
        <f>+I36-I113</f>
        <v>0</v>
      </c>
      <c r="J115" s="361">
        <f>+J36-J113</f>
        <v>0</v>
      </c>
      <c r="K115" s="362"/>
      <c r="L115" s="360">
        <f>+L36-L113</f>
        <v>0</v>
      </c>
      <c r="M115" s="361">
        <f>+M36-M113</f>
        <v>0</v>
      </c>
      <c r="N115" s="362"/>
      <c r="O115" s="360">
        <f>+O36-O113</f>
        <v>0</v>
      </c>
      <c r="P115" s="361">
        <f>+P36-P113</f>
        <v>0</v>
      </c>
      <c r="Q115" s="362"/>
      <c r="R115" s="360">
        <f>+R36-R113</f>
        <v>0</v>
      </c>
      <c r="S115" s="361">
        <f>+S36-S113</f>
        <v>0</v>
      </c>
      <c r="T115" s="362"/>
    </row>
    <row r="116" spans="1:20" ht="13.5" customHeight="1"/>
    <row r="117" spans="1:20" ht="13.5" customHeight="1">
      <c r="B117" s="66" t="s">
        <v>306</v>
      </c>
      <c r="C117" s="395">
        <f>(+C90-C89)*0.27</f>
        <v>1458.8100000000002</v>
      </c>
      <c r="F117" s="395">
        <f>(+F90-F89)*0.27</f>
        <v>1470.42</v>
      </c>
      <c r="I117" s="395">
        <f>(+I90-I89)*0.27</f>
        <v>10.8</v>
      </c>
      <c r="L117" s="395">
        <f>(+L90-L89)*0.27</f>
        <v>144.18</v>
      </c>
      <c r="O117" s="395">
        <f>(+O90-O89)*0.27</f>
        <v>598.59</v>
      </c>
    </row>
    <row r="118" spans="1:20" ht="13.5" customHeight="1">
      <c r="B118" s="66" t="s">
        <v>302</v>
      </c>
      <c r="C118" s="67">
        <v>2387</v>
      </c>
      <c r="F118" s="395">
        <v>1362</v>
      </c>
      <c r="I118" s="67">
        <v>11</v>
      </c>
      <c r="L118" s="67">
        <v>63</v>
      </c>
      <c r="O118" s="67">
        <v>613</v>
      </c>
    </row>
    <row r="119" spans="1:20" ht="13.5" customHeight="1">
      <c r="B119" s="66" t="s">
        <v>307</v>
      </c>
      <c r="C119" s="395">
        <f>+SUM(C97:C102)*0.27</f>
        <v>0</v>
      </c>
      <c r="F119" s="395">
        <f>+SUM(F97:F102)*0.27</f>
        <v>108</v>
      </c>
      <c r="I119" s="395">
        <f>+SUM(I97:I102)*0.27</f>
        <v>0</v>
      </c>
      <c r="L119" s="395">
        <f>+SUM(L97:L102)*0.27</f>
        <v>0</v>
      </c>
      <c r="O119" s="395">
        <f>+SUM(O97:O102)*0.27</f>
        <v>40.5</v>
      </c>
    </row>
    <row r="120" spans="1:20" ht="13.5" customHeight="1">
      <c r="B120" s="66" t="s">
        <v>302</v>
      </c>
      <c r="F120" s="67">
        <v>81</v>
      </c>
      <c r="O120" s="67">
        <v>14</v>
      </c>
    </row>
    <row r="122" spans="1:20">
      <c r="B122" s="66" t="s">
        <v>313</v>
      </c>
      <c r="D122" s="67">
        <v>3014</v>
      </c>
      <c r="F122" s="68" t="s">
        <v>302</v>
      </c>
      <c r="N122" s="67"/>
      <c r="O122" s="67">
        <v>7165</v>
      </c>
      <c r="Q122" s="68" t="s">
        <v>302</v>
      </c>
      <c r="T122" s="8"/>
    </row>
    <row r="123" spans="1:20">
      <c r="B123" s="66" t="s">
        <v>356</v>
      </c>
      <c r="C123" s="67">
        <v>4</v>
      </c>
      <c r="D123" s="513">
        <f>+C123/C127</f>
        <v>0.4</v>
      </c>
      <c r="E123" s="398">
        <f>+D122*D123</f>
        <v>1205.6000000000001</v>
      </c>
      <c r="F123" s="392">
        <v>1205</v>
      </c>
      <c r="N123" s="67">
        <v>4</v>
      </c>
      <c r="O123" s="513">
        <f>+N123/N127</f>
        <v>0.4</v>
      </c>
      <c r="P123" s="398">
        <f>+O122*O123</f>
        <v>2866</v>
      </c>
      <c r="Q123" s="392">
        <v>2866</v>
      </c>
      <c r="T123" s="8"/>
    </row>
    <row r="124" spans="1:20">
      <c r="B124" s="66" t="s">
        <v>357</v>
      </c>
      <c r="C124" s="67">
        <v>2</v>
      </c>
      <c r="D124" s="513">
        <f>+C124/C127</f>
        <v>0.2</v>
      </c>
      <c r="E124" s="398">
        <f>+D122*D124</f>
        <v>602.80000000000007</v>
      </c>
      <c r="F124" s="392">
        <v>604</v>
      </c>
      <c r="N124" s="67">
        <v>2</v>
      </c>
      <c r="O124" s="513">
        <f>+N124/N127</f>
        <v>0.2</v>
      </c>
      <c r="P124" s="398">
        <f>+O122*O124</f>
        <v>1433</v>
      </c>
      <c r="Q124" s="392">
        <v>1433</v>
      </c>
      <c r="T124" s="8"/>
    </row>
    <row r="125" spans="1:20">
      <c r="B125" s="66" t="s">
        <v>358</v>
      </c>
      <c r="C125" s="67">
        <v>4</v>
      </c>
      <c r="D125" s="513">
        <f>+C125/C127</f>
        <v>0.4</v>
      </c>
      <c r="E125" s="398">
        <f>+D122*D125</f>
        <v>1205.6000000000001</v>
      </c>
      <c r="F125" s="392">
        <v>1205</v>
      </c>
      <c r="N125" s="67">
        <v>4</v>
      </c>
      <c r="O125" s="513">
        <f>+N125/N127</f>
        <v>0.4</v>
      </c>
      <c r="P125" s="398">
        <f>+O122*O125</f>
        <v>2866</v>
      </c>
      <c r="Q125" s="392">
        <v>2866</v>
      </c>
      <c r="T125" s="8"/>
    </row>
    <row r="126" spans="1:20">
      <c r="B126" s="66" t="s">
        <v>359</v>
      </c>
      <c r="D126" s="513">
        <f>+C126/C127</f>
        <v>0</v>
      </c>
      <c r="E126" s="398">
        <f>+D122*D126</f>
        <v>0</v>
      </c>
      <c r="F126" s="392"/>
      <c r="N126" s="67"/>
      <c r="O126" s="513">
        <f>+N126/N127</f>
        <v>0</v>
      </c>
      <c r="P126" s="398">
        <f>+O122*O126</f>
        <v>0</v>
      </c>
      <c r="Q126" s="392"/>
      <c r="T126" s="8"/>
    </row>
    <row r="127" spans="1:20">
      <c r="C127" s="67">
        <f>SUM(C123:C126)</f>
        <v>10</v>
      </c>
      <c r="D127" s="513">
        <f>SUM(D123:D126)</f>
        <v>1</v>
      </c>
      <c r="E127" s="398">
        <f>SUM(E123:E126)</f>
        <v>3014</v>
      </c>
      <c r="F127" s="392">
        <f>SUM(F123:F126)</f>
        <v>3014</v>
      </c>
      <c r="N127" s="67">
        <f>SUM(N123:N126)</f>
        <v>10</v>
      </c>
      <c r="O127" s="513">
        <f>SUM(O123:O126)</f>
        <v>1</v>
      </c>
      <c r="P127" s="398">
        <f>SUM(P123:P126)</f>
        <v>7165</v>
      </c>
      <c r="Q127" s="392">
        <f>SUM(Q123:Q126)</f>
        <v>7165</v>
      </c>
      <c r="T127" s="8"/>
    </row>
  </sheetData>
  <mergeCells count="11">
    <mergeCell ref="R1:T1"/>
    <mergeCell ref="L1:N1"/>
    <mergeCell ref="O1:Q1"/>
    <mergeCell ref="A113:B113"/>
    <mergeCell ref="A115:B115"/>
    <mergeCell ref="A36:B36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
&amp;16 2017. ÉVI KÖLTSÉGVETÉS&amp;14
&amp;R4. sz. táblázat
ÓVODA
Adatok: eFt</oddHeader>
    <oddFooter>&amp;L&amp;F&amp;R&amp;P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N51"/>
  <sheetViews>
    <sheetView topLeftCell="E1" zoomScaleSheetLayoutView="85" workbookViewId="0">
      <selection activeCell="L19" sqref="L19"/>
    </sheetView>
  </sheetViews>
  <sheetFormatPr defaultColWidth="8.85546875" defaultRowHeight="12.75"/>
  <cols>
    <col min="1" max="1" width="33.42578125" style="19" customWidth="1"/>
    <col min="2" max="4" width="12.85546875" style="18" customWidth="1"/>
    <col min="5" max="5" width="12.85546875" style="20" customWidth="1"/>
    <col min="6" max="6" width="12.85546875" style="19" customWidth="1"/>
    <col min="7" max="7" width="13.42578125" style="19" customWidth="1"/>
    <col min="8" max="10" width="11.5703125" style="19" customWidth="1"/>
    <col min="11" max="11" width="13.85546875" style="19" customWidth="1"/>
    <col min="12" max="14" width="11.5703125" style="19" customWidth="1"/>
    <col min="15" max="16384" width="8.85546875" style="19"/>
  </cols>
  <sheetData>
    <row r="1" spans="1:14" s="30" customFormat="1" ht="17.45" customHeight="1" thickBot="1">
      <c r="A1" s="19"/>
      <c r="B1" s="18"/>
      <c r="C1" s="18"/>
      <c r="D1" s="19"/>
      <c r="E1" s="19"/>
      <c r="F1" s="20"/>
      <c r="G1" s="19"/>
      <c r="H1" s="19"/>
      <c r="I1" s="19"/>
      <c r="J1" s="19"/>
      <c r="K1" s="19"/>
      <c r="L1" s="19"/>
    </row>
    <row r="2" spans="1:14" ht="24.75" customHeight="1">
      <c r="B2" s="901" t="s">
        <v>39</v>
      </c>
      <c r="C2" s="902"/>
      <c r="D2" s="903" t="s">
        <v>40</v>
      </c>
      <c r="E2" s="903"/>
      <c r="F2" s="904" t="s">
        <v>41</v>
      </c>
      <c r="G2" s="904"/>
      <c r="H2" s="903" t="s">
        <v>42</v>
      </c>
      <c r="I2" s="903"/>
      <c r="J2" s="867" t="s">
        <v>82</v>
      </c>
      <c r="K2" s="905"/>
      <c r="L2" s="867" t="s">
        <v>21</v>
      </c>
      <c r="M2" s="900"/>
    </row>
    <row r="3" spans="1:14" ht="27" customHeight="1" thickBot="1">
      <c r="A3" s="204"/>
      <c r="B3" s="689" t="s">
        <v>411</v>
      </c>
      <c r="C3" s="749" t="s">
        <v>418</v>
      </c>
      <c r="D3" s="749" t="s">
        <v>411</v>
      </c>
      <c r="E3" s="690" t="s">
        <v>418</v>
      </c>
      <c r="F3" s="690" t="s">
        <v>411</v>
      </c>
      <c r="G3" s="690" t="s">
        <v>418</v>
      </c>
      <c r="H3" s="690" t="s">
        <v>411</v>
      </c>
      <c r="I3" s="690" t="s">
        <v>418</v>
      </c>
      <c r="J3" s="690" t="s">
        <v>411</v>
      </c>
      <c r="K3" s="690" t="s">
        <v>418</v>
      </c>
      <c r="L3" s="690" t="s">
        <v>411</v>
      </c>
      <c r="M3" s="691" t="s">
        <v>418</v>
      </c>
      <c r="N3" s="22"/>
    </row>
    <row r="4" spans="1:14" ht="13.9" customHeight="1">
      <c r="A4" s="717" t="s">
        <v>409</v>
      </c>
      <c r="B4" s="750">
        <f>+'[4]5.SZ.TÁBL. ÓVODAI NORMATÍVA'!$C$32</f>
        <v>10913600</v>
      </c>
      <c r="C4" s="718">
        <f>+'[14]TKT ÓVI NORMATÍVA 2017'!B32</f>
        <v>11323746.666666666</v>
      </c>
      <c r="D4" s="718">
        <f>+'[4]5.SZ.TÁBL. ÓVODAI NORMATÍVA'!$E$32</f>
        <v>22114400</v>
      </c>
      <c r="E4" s="718">
        <f>+'[14]TKT ÓVI NORMATÍVA 2017'!D32</f>
        <v>22349500</v>
      </c>
      <c r="F4" s="718">
        <f>+'[4]5.SZ.TÁBL. ÓVODAI NORMATÍVA'!$G$32</f>
        <v>11200800</v>
      </c>
      <c r="G4" s="718">
        <f>+'[14]TKT ÓVI NORMATÍVA 2017'!F32</f>
        <v>11025753.333333332</v>
      </c>
      <c r="H4" s="718">
        <f>+'[4]5.SZ.TÁBL. ÓVODAI NORMATÍVA'!$I$32</f>
        <v>22688800</v>
      </c>
      <c r="I4" s="718">
        <f>+'[14]TKT ÓVI NORMATÍVA 2017'!H32</f>
        <v>22647493.333333332</v>
      </c>
      <c r="J4" s="718">
        <f>+'[4]5.SZ.TÁBL. ÓVODAI NORMATÍVA'!$K$32</f>
        <v>2297600</v>
      </c>
      <c r="K4" s="718">
        <f>+'[14]TKT ÓVI NORMATÍVA 2017'!J32</f>
        <v>2383946.6666666665</v>
      </c>
      <c r="L4" s="719">
        <f>+B4+D4+F4+H4+J4</f>
        <v>69215200</v>
      </c>
      <c r="M4" s="720">
        <f>+C4+E4+G4+I4+K4</f>
        <v>69730440</v>
      </c>
      <c r="N4" s="22"/>
    </row>
    <row r="5" spans="1:14" ht="13.9" customHeight="1">
      <c r="A5" s="721" t="s">
        <v>410</v>
      </c>
      <c r="B5" s="751">
        <f>+'[4]5.SZ.TÁBL. ÓVODAI NORMATÍVA'!$C$33</f>
        <v>5313200</v>
      </c>
      <c r="C5" s="722">
        <f>+'[14]TKT ÓVI NORMATÍVA 2017'!B33</f>
        <v>5661873.333333333</v>
      </c>
      <c r="D5" s="722">
        <f>+'[4]5.SZ.TÁBL. ÓVODAI NORMATÍVA'!$E$33</f>
        <v>11344400</v>
      </c>
      <c r="E5" s="722">
        <f>+'[14]TKT ÓVI NORMATÍVA 2017'!D33</f>
        <v>10280770</v>
      </c>
      <c r="F5" s="722">
        <f>+'[4]5.SZ.TÁBL. ÓVODAI NORMATÍVA'!$G$33</f>
        <v>6174800</v>
      </c>
      <c r="G5" s="722">
        <f>+'[14]TKT ÓVI NORMATÍVA 2017'!F33</f>
        <v>5363880</v>
      </c>
      <c r="H5" s="722">
        <f>+'[4]5.SZ.TÁBL. ÓVODAI NORMATÍVA'!$I$33</f>
        <v>11057200</v>
      </c>
      <c r="I5" s="722">
        <f>+'[14]TKT ÓVI NORMATÍVA 2017'!H33</f>
        <v>11323746.666666666</v>
      </c>
      <c r="J5" s="722">
        <f>+'[4]5.SZ.TÁBL. ÓVODAI NORMATÍVA'!$K$33</f>
        <v>1148800</v>
      </c>
      <c r="K5" s="722">
        <f>+'[14]TKT ÓVI NORMATÍVA 2017'!J33</f>
        <v>1191973.3333333333</v>
      </c>
      <c r="L5" s="723">
        <f>+B5+D5+F5+H5+J5</f>
        <v>35038400</v>
      </c>
      <c r="M5" s="720">
        <f>+C5+E5+G5+I5+K5</f>
        <v>33822243.333333336</v>
      </c>
      <c r="N5" s="22"/>
    </row>
    <row r="6" spans="1:14" ht="13.9" customHeight="1">
      <c r="A6" s="683" t="s">
        <v>77</v>
      </c>
      <c r="B6" s="752">
        <f t="shared" ref="B6:M6" si="0">SUM(B4:B5)</f>
        <v>16226800</v>
      </c>
      <c r="C6" s="724">
        <f t="shared" si="0"/>
        <v>16985620</v>
      </c>
      <c r="D6" s="724">
        <f t="shared" si="0"/>
        <v>33458800</v>
      </c>
      <c r="E6" s="724">
        <f t="shared" si="0"/>
        <v>32630270</v>
      </c>
      <c r="F6" s="724">
        <f t="shared" si="0"/>
        <v>17375600</v>
      </c>
      <c r="G6" s="724">
        <f t="shared" si="0"/>
        <v>16389633.333333332</v>
      </c>
      <c r="H6" s="724">
        <f t="shared" si="0"/>
        <v>33746000</v>
      </c>
      <c r="I6" s="724">
        <f t="shared" si="0"/>
        <v>33971240</v>
      </c>
      <c r="J6" s="724">
        <f t="shared" si="0"/>
        <v>3446400</v>
      </c>
      <c r="K6" s="724">
        <f t="shared" si="0"/>
        <v>3575920</v>
      </c>
      <c r="L6" s="725">
        <f t="shared" si="0"/>
        <v>104253600</v>
      </c>
      <c r="M6" s="726">
        <f t="shared" si="0"/>
        <v>103552683.33333334</v>
      </c>
      <c r="N6" s="22"/>
    </row>
    <row r="7" spans="1:14">
      <c r="A7" s="683" t="s">
        <v>292</v>
      </c>
      <c r="B7" s="752">
        <f>+'[4]5.SZ.TÁBL. ÓVODAI NORMATÍVA'!$C$35</f>
        <v>129500</v>
      </c>
      <c r="C7" s="724">
        <f>+'[14]TKT ÓVI NORMATÍVA 2017'!B35</f>
        <v>145160</v>
      </c>
      <c r="D7" s="724">
        <f>+'[4]5.SZ.TÁBL. ÓVODAI NORMATÍVA'!$E$35</f>
        <v>276500</v>
      </c>
      <c r="E7" s="724">
        <f>+'[14]TKT ÓVI NORMATÍVA 2017'!D35</f>
        <v>263580</v>
      </c>
      <c r="F7" s="724">
        <f>+'[4]5.SZ.TÁBL. ÓVODAI NORMATÍVA'!$G$35</f>
        <v>150500</v>
      </c>
      <c r="G7" s="724">
        <f>+'[14]TKT ÓVI NORMATÍVA 2017'!F35</f>
        <v>137520</v>
      </c>
      <c r="H7" s="724">
        <f>+'[4]5.SZ.TÁBL. ÓVODAI NORMATÍVA'!$I$35</f>
        <v>269500</v>
      </c>
      <c r="I7" s="724">
        <f>+'[14]TKT ÓVI NORMATÍVA 2017'!H35</f>
        <v>290320</v>
      </c>
      <c r="J7" s="724">
        <f>+'[4]5.SZ.TÁBL. ÓVODAI NORMATÍVA'!$K$35</f>
        <v>28000</v>
      </c>
      <c r="K7" s="725">
        <f>+'[14]TKT ÓVI NORMATÍVA 2017'!J35</f>
        <v>30560</v>
      </c>
      <c r="L7" s="725">
        <f t="shared" ref="L7:M10" si="1">+B7+D7+F7+H7+J7</f>
        <v>854000</v>
      </c>
      <c r="M7" s="726">
        <f t="shared" si="1"/>
        <v>867140</v>
      </c>
      <c r="N7" s="22"/>
    </row>
    <row r="8" spans="1:14">
      <c r="A8" s="683" t="s">
        <v>387</v>
      </c>
      <c r="B8" s="752">
        <f>+'[4]5.SZ.TÁBL. ÓVODAI NORMATÍVA'!$C$36</f>
        <v>384000</v>
      </c>
      <c r="C8" s="724">
        <f>+'[14]TKT ÓVI NORMATÍVA 2017'!B36</f>
        <v>0</v>
      </c>
      <c r="D8" s="724">
        <f>+'[4]5.SZ.TÁBL. ÓVODAI NORMATÍVA'!$E$36</f>
        <v>384000</v>
      </c>
      <c r="E8" s="724">
        <f>+'[14]TKT ÓVI NORMATÍVA 2017'!D36</f>
        <v>418900</v>
      </c>
      <c r="F8" s="724">
        <f>+'[4]5.SZ.TÁBL. ÓVODAI NORMATÍVA'!$G$36</f>
        <v>384000</v>
      </c>
      <c r="G8" s="724">
        <f>+'[14]TKT ÓVI NORMATÍVA 2017'!F36</f>
        <v>0</v>
      </c>
      <c r="H8" s="724">
        <f>+'[4]5.SZ.TÁBL. ÓVODAI NORMATÍVA'!$I$36</f>
        <v>384000</v>
      </c>
      <c r="I8" s="724">
        <f>+'[14]TKT ÓVI NORMATÍVA 2017'!H36</f>
        <v>418900</v>
      </c>
      <c r="J8" s="724">
        <f>+'[4]5.SZ.TÁBL. ÓVODAI NORMATÍVA'!$K$36</f>
        <v>384000</v>
      </c>
      <c r="K8" s="725">
        <f>+'[14]TKT ÓVI NORMATÍVA 2017'!J36</f>
        <v>418900</v>
      </c>
      <c r="L8" s="725">
        <f t="shared" si="1"/>
        <v>1920000</v>
      </c>
      <c r="M8" s="726">
        <f t="shared" si="1"/>
        <v>1256700</v>
      </c>
      <c r="N8" s="22"/>
    </row>
    <row r="9" spans="1:14" ht="13.9" customHeight="1">
      <c r="A9" s="727" t="s">
        <v>409</v>
      </c>
      <c r="B9" s="750">
        <f>+'[4]5.SZ.TÁBL. ÓVODAI NORMATÍVA'!$C$37</f>
        <v>2400000</v>
      </c>
      <c r="C9" s="718">
        <f>+'[14]TKT ÓVI NORMATÍVA 2017'!B37</f>
        <v>2400000</v>
      </c>
      <c r="D9" s="718">
        <f>+'[4]5.SZ.TÁBL. ÓVODAI NORMATÍVA'!$E$37</f>
        <v>6240000</v>
      </c>
      <c r="E9" s="718">
        <f>+'[14]TKT ÓVI NORMATÍVA 2017'!D37</f>
        <v>6240000</v>
      </c>
      <c r="F9" s="718">
        <f>+'[4]5.SZ.TÁBL. ÓVODAI NORMATÍVA'!$G$37</f>
        <v>2400000</v>
      </c>
      <c r="G9" s="718">
        <f>+'[14]TKT ÓVI NORMATÍVA 2017'!F37</f>
        <v>2400000</v>
      </c>
      <c r="H9" s="718">
        <f>+'[4]5.SZ.TÁBL. ÓVODAI NORMATÍVA'!$I$37</f>
        <v>6000000</v>
      </c>
      <c r="I9" s="718">
        <f>+'[14]TKT ÓVI NORMATÍVA 2017'!H37</f>
        <v>6000000</v>
      </c>
      <c r="J9" s="718">
        <f>+'[4]5.SZ.TÁBL. ÓVODAI NORMATÍVA'!$K$37</f>
        <v>960000</v>
      </c>
      <c r="K9" s="719">
        <f>+'[14]TKT ÓVI NORMATÍVA 2017'!J37</f>
        <v>960000</v>
      </c>
      <c r="L9" s="719">
        <f t="shared" si="1"/>
        <v>18000000</v>
      </c>
      <c r="M9" s="720">
        <f t="shared" si="1"/>
        <v>18000000</v>
      </c>
      <c r="N9" s="22"/>
    </row>
    <row r="10" spans="1:14" ht="13.9" customHeight="1">
      <c r="A10" s="721" t="s">
        <v>410</v>
      </c>
      <c r="B10" s="751">
        <f>+'[4]5.SZ.TÁBL. ÓVODAI NORMATÍVA'!$C$38</f>
        <v>1200000</v>
      </c>
      <c r="C10" s="722">
        <f>+'[14]TKT ÓVI NORMATÍVA 2017'!B38</f>
        <v>1200000</v>
      </c>
      <c r="D10" s="722">
        <f>+'[4]5.SZ.TÁBL. ÓVODAI NORMATÍVA'!$E$38</f>
        <v>3120000</v>
      </c>
      <c r="E10" s="722">
        <f>+'[14]TKT ÓVI NORMATÍVA 2017'!D38</f>
        <v>3120000</v>
      </c>
      <c r="F10" s="722">
        <f>+'[4]5.SZ.TÁBL. ÓVODAI NORMATÍVA'!$G$38</f>
        <v>1200000</v>
      </c>
      <c r="G10" s="722">
        <f>+'[14]TKT ÓVI NORMATÍVA 2017'!F38</f>
        <v>1200000</v>
      </c>
      <c r="H10" s="722">
        <f>+'[4]5.SZ.TÁBL. ÓVODAI NORMATÍVA'!$I$38</f>
        <v>3000000</v>
      </c>
      <c r="I10" s="722">
        <f>+'[14]TKT ÓVI NORMATÍVA 2017'!H38</f>
        <v>3000000</v>
      </c>
      <c r="J10" s="722">
        <f>+'[4]5.SZ.TÁBL. ÓVODAI NORMATÍVA'!$K$38</f>
        <v>480000</v>
      </c>
      <c r="K10" s="728">
        <f>+'[14]TKT ÓVI NORMATÍVA 2017'!J38</f>
        <v>480000</v>
      </c>
      <c r="L10" s="723">
        <f t="shared" si="1"/>
        <v>9000000</v>
      </c>
      <c r="M10" s="720">
        <f t="shared" si="1"/>
        <v>9000000</v>
      </c>
      <c r="N10" s="22"/>
    </row>
    <row r="11" spans="1:14" ht="13.9" customHeight="1">
      <c r="A11" s="95" t="s">
        <v>78</v>
      </c>
      <c r="B11" s="752">
        <f t="shared" ref="B11" si="2">SUM(B9:B10)</f>
        <v>3600000</v>
      </c>
      <c r="C11" s="724">
        <f t="shared" ref="C11" si="3">SUM(C9:C10)</f>
        <v>3600000</v>
      </c>
      <c r="D11" s="724">
        <f t="shared" ref="D11:E11" si="4">SUM(D9:D10)</f>
        <v>9360000</v>
      </c>
      <c r="E11" s="724">
        <f t="shared" si="4"/>
        <v>9360000</v>
      </c>
      <c r="F11" s="724">
        <f t="shared" ref="F11:G11" si="5">SUM(F9:F10)</f>
        <v>3600000</v>
      </c>
      <c r="G11" s="724">
        <f t="shared" si="5"/>
        <v>3600000</v>
      </c>
      <c r="H11" s="724">
        <f t="shared" ref="H11:I11" si="6">SUM(H9:H10)</f>
        <v>9000000</v>
      </c>
      <c r="I11" s="724">
        <f t="shared" si="6"/>
        <v>9000000</v>
      </c>
      <c r="J11" s="724">
        <f>SUM(J9:J10)</f>
        <v>1440000</v>
      </c>
      <c r="K11" s="724">
        <f t="shared" ref="K11" si="7">SUM(K9:K10)</f>
        <v>1440000</v>
      </c>
      <c r="L11" s="725">
        <f>SUM(L9:L10)</f>
        <v>27000000</v>
      </c>
      <c r="M11" s="726">
        <f>SUM(M9:M10)</f>
        <v>27000000</v>
      </c>
      <c r="N11" s="22"/>
    </row>
    <row r="12" spans="1:14" ht="13.9" customHeight="1">
      <c r="A12" s="729" t="s">
        <v>409</v>
      </c>
      <c r="B12" s="753">
        <f>+'[4]5.SZ.TÁBL. ÓVODAI NORMATÍVA'!$C$40</f>
        <v>2346666.9966666666</v>
      </c>
      <c r="C12" s="730">
        <f>+'[14]TKT ÓVI NORMATÍVA 2017'!B40</f>
        <v>2346666.9966666666</v>
      </c>
      <c r="D12" s="730">
        <f>+'[4]5.SZ.TÁBL. ÓVODAI NORMATÍVA'!$E$40</f>
        <v>4640000</v>
      </c>
      <c r="E12" s="730">
        <f>+'[14]TKT ÓVI NORMATÍVA 2017'!D40</f>
        <v>4320000</v>
      </c>
      <c r="F12" s="730">
        <f>+'[4]5.SZ.TÁBL. ÓVODAI NORMATÍVA'!$G$40</f>
        <v>2453333.0033333329</v>
      </c>
      <c r="G12" s="730">
        <f>+'[14]TKT ÓVI NORMATÍVA 2017'!F40</f>
        <v>2239999.67</v>
      </c>
      <c r="H12" s="730">
        <f>+'[4]5.SZ.TÁBL. ÓVODAI NORMATÍVA'!$I$40</f>
        <v>4853333.0033333329</v>
      </c>
      <c r="I12" s="730">
        <f>+'[14]TKT ÓVI NORMATÍVA 2017'!H40</f>
        <v>4693333.0033333329</v>
      </c>
      <c r="J12" s="730"/>
      <c r="K12" s="731">
        <f>+'[14]TKT ÓVI NORMATÍVA 2017'!J40</f>
        <v>0</v>
      </c>
      <c r="L12" s="719">
        <f>+B12+D12+F12+H12+J12</f>
        <v>14293333.003333334</v>
      </c>
      <c r="M12" s="720">
        <f>+C12+E12+G12+I12+K12</f>
        <v>13599999.669999998</v>
      </c>
      <c r="N12" s="22"/>
    </row>
    <row r="13" spans="1:14" ht="15" customHeight="1">
      <c r="A13" s="721" t="s">
        <v>410</v>
      </c>
      <c r="B13" s="751">
        <f>+'[4]5.SZ.TÁBL. ÓVODAI NORMATÍVA'!$C$41</f>
        <v>1173333.3333333333</v>
      </c>
      <c r="C13" s="722">
        <f>+'[14]TKT ÓVI NORMATÍVA 2017'!B41</f>
        <v>1173333.3333333333</v>
      </c>
      <c r="D13" s="722">
        <f>+'[4]5.SZ.TÁBL. ÓVODAI NORMATÍVA'!$E$41</f>
        <v>2346666.6666666665</v>
      </c>
      <c r="E13" s="722">
        <f>+'[14]TKT ÓVI NORMATÍVA 2017'!D41</f>
        <v>2000000</v>
      </c>
      <c r="F13" s="722">
        <f>+'[4]5.SZ.TÁBL. ÓVODAI NORMATÍVA'!$G$41</f>
        <v>1333333.3333333333</v>
      </c>
      <c r="G13" s="722">
        <f>+'[14]TKT ÓVI NORMATÍVA 2017'!F41</f>
        <v>1093333.3333333333</v>
      </c>
      <c r="H13" s="722">
        <f>+'[4]5.SZ.TÁBL. ÓVODAI NORMATÍVA'!$I$41</f>
        <v>2426666.6666666665</v>
      </c>
      <c r="I13" s="722">
        <f>+'[14]TKT ÓVI NORMATÍVA 2017'!H41</f>
        <v>2346666.6666666665</v>
      </c>
      <c r="J13" s="722"/>
      <c r="K13" s="728">
        <f>+'[14]TKT ÓVI NORMATÍVA 2017'!J41</f>
        <v>0</v>
      </c>
      <c r="L13" s="723">
        <f>+B13+D13+F13+H13+J13</f>
        <v>7280000</v>
      </c>
      <c r="M13" s="720">
        <f>+C13+E13+G13+I13+K13</f>
        <v>6613333.3333333321</v>
      </c>
      <c r="N13" s="22"/>
    </row>
    <row r="14" spans="1:14" ht="13.9" customHeight="1">
      <c r="A14" s="683" t="s">
        <v>79</v>
      </c>
      <c r="B14" s="752">
        <f t="shared" ref="B14:G14" si="8">SUM(B12:B13)</f>
        <v>3520000.33</v>
      </c>
      <c r="C14" s="724">
        <f t="shared" si="8"/>
        <v>3520000.33</v>
      </c>
      <c r="D14" s="724">
        <f t="shared" si="8"/>
        <v>6986666.666666666</v>
      </c>
      <c r="E14" s="724">
        <f t="shared" si="8"/>
        <v>6320000</v>
      </c>
      <c r="F14" s="724">
        <f t="shared" si="8"/>
        <v>3786666.336666666</v>
      </c>
      <c r="G14" s="724">
        <f t="shared" si="8"/>
        <v>3333333.0033333329</v>
      </c>
      <c r="H14" s="724">
        <f>+'[4]5.SZ.TÁBL. ÓVODAI NORMATÍVA'!$I$42</f>
        <v>7279999.6699999999</v>
      </c>
      <c r="I14" s="724">
        <f>SUM(I12:I13)</f>
        <v>7039999.6699999999</v>
      </c>
      <c r="J14" s="724">
        <f>SUM(J12:J13)</f>
        <v>0</v>
      </c>
      <c r="K14" s="725">
        <f>SUM(K12:K13)</f>
        <v>0</v>
      </c>
      <c r="L14" s="725">
        <f>SUM(L12:L13)</f>
        <v>21573333.003333334</v>
      </c>
      <c r="M14" s="726">
        <f>SUM(M12:M13)</f>
        <v>20213333.00333333</v>
      </c>
      <c r="N14" s="22"/>
    </row>
    <row r="15" spans="1:14" s="30" customFormat="1" ht="15" customHeight="1" thickBot="1">
      <c r="A15" s="732" t="s">
        <v>80</v>
      </c>
      <c r="B15" s="754">
        <f>+'[4]5.SZ.TÁBL. ÓVODAI NORMATÍVA'!$C$43</f>
        <v>3886228</v>
      </c>
      <c r="C15" s="733">
        <f>+'[14]TKT ÓVI NORMATÍVA 2017'!B43</f>
        <v>3886228</v>
      </c>
      <c r="D15" s="733"/>
      <c r="E15" s="733">
        <f>+'[14]TKT ÓVI NORMATÍVA 2017'!D43</f>
        <v>0</v>
      </c>
      <c r="F15" s="733"/>
      <c r="G15" s="733">
        <f>+'[14]TKT ÓVI NORMATÍVA 2017'!F43</f>
        <v>0</v>
      </c>
      <c r="H15" s="733"/>
      <c r="I15" s="733">
        <f>+'[14]TKT ÓVI NORMATÍVA 2017'!H43</f>
        <v>0</v>
      </c>
      <c r="J15" s="733"/>
      <c r="K15" s="734">
        <f>+'[14]TKT ÓVI NORMATÍVA 2017'!J43</f>
        <v>0</v>
      </c>
      <c r="L15" s="734">
        <f>+B15+D15+F15+H15+J15</f>
        <v>3886228</v>
      </c>
      <c r="M15" s="747">
        <f>+C15+E15+G15+I15+K15</f>
        <v>3886228</v>
      </c>
      <c r="N15" s="22"/>
    </row>
    <row r="16" spans="1:14" ht="13.9" customHeight="1" thickBot="1">
      <c r="A16" s="735" t="s">
        <v>81</v>
      </c>
      <c r="B16" s="755">
        <f t="shared" ref="B16:K16" si="9">+B6+B7+B11+B14+B15+B8</f>
        <v>27746528.329999998</v>
      </c>
      <c r="C16" s="736">
        <f t="shared" si="9"/>
        <v>28137008.329999998</v>
      </c>
      <c r="D16" s="736">
        <f t="shared" si="9"/>
        <v>50465966.666666664</v>
      </c>
      <c r="E16" s="736">
        <f t="shared" si="9"/>
        <v>48992750</v>
      </c>
      <c r="F16" s="736">
        <f t="shared" si="9"/>
        <v>25296766.336666666</v>
      </c>
      <c r="G16" s="736">
        <f t="shared" si="9"/>
        <v>23460486.336666666</v>
      </c>
      <c r="H16" s="736">
        <f t="shared" si="9"/>
        <v>50679499.670000002</v>
      </c>
      <c r="I16" s="736">
        <f t="shared" si="9"/>
        <v>50720459.670000002</v>
      </c>
      <c r="J16" s="736">
        <f t="shared" si="9"/>
        <v>5298400</v>
      </c>
      <c r="K16" s="736">
        <f t="shared" si="9"/>
        <v>5465380</v>
      </c>
      <c r="L16" s="736">
        <f t="shared" ref="L16" si="10">+L6+L7+L11+L14+L15+L8</f>
        <v>159487161.00333333</v>
      </c>
      <c r="M16" s="748">
        <f t="shared" ref="M16" si="11">+M6+M7+M11+M14+M15+M8</f>
        <v>156776084.33666667</v>
      </c>
      <c r="N16" s="23"/>
    </row>
    <row r="17" spans="1:14" ht="13.9" customHeight="1">
      <c r="C17" s="18">
        <v>28137</v>
      </c>
      <c r="E17" s="18">
        <v>48993</v>
      </c>
      <c r="F17" s="18"/>
      <c r="G17" s="18">
        <v>23461</v>
      </c>
      <c r="H17" s="22"/>
      <c r="I17" s="22">
        <v>50720</v>
      </c>
      <c r="J17" s="22"/>
      <c r="K17" s="22">
        <v>5465</v>
      </c>
      <c r="L17" s="22"/>
      <c r="M17" s="22">
        <f>+C17+E17+G17+I17+K17</f>
        <v>156776</v>
      </c>
      <c r="N17" s="22"/>
    </row>
    <row r="18" spans="1:14">
      <c r="H18" s="18"/>
      <c r="I18" s="18"/>
      <c r="J18" s="18"/>
      <c r="K18" s="18"/>
      <c r="L18" s="18"/>
      <c r="M18" s="18"/>
      <c r="N18" s="18"/>
    </row>
    <row r="19" spans="1:14">
      <c r="H19" s="18"/>
      <c r="I19" s="18"/>
      <c r="J19" s="18"/>
      <c r="K19" s="18"/>
      <c r="L19" s="18"/>
      <c r="M19" s="18"/>
      <c r="N19" s="18"/>
    </row>
    <row r="20" spans="1:14">
      <c r="A20" s="739"/>
      <c r="B20" s="740"/>
      <c r="C20" s="740"/>
      <c r="D20" s="740"/>
      <c r="E20" s="741"/>
      <c r="F20" s="739"/>
      <c r="G20" s="739"/>
      <c r="H20" s="18"/>
    </row>
    <row r="21" spans="1:14">
      <c r="A21" s="742"/>
      <c r="B21" s="46"/>
      <c r="C21" s="46"/>
      <c r="D21" s="46"/>
      <c r="E21" s="743"/>
      <c r="F21" s="742"/>
      <c r="G21" s="742"/>
    </row>
    <row r="22" spans="1:14">
      <c r="A22" s="742"/>
      <c r="B22" s="46"/>
      <c r="C22" s="46"/>
      <c r="D22" s="46"/>
      <c r="E22" s="743"/>
      <c r="F22" s="742"/>
      <c r="G22" s="742"/>
      <c r="I22" s="714"/>
      <c r="J22" s="714"/>
      <c r="K22" s="714"/>
      <c r="L22" s="714"/>
      <c r="M22" s="714"/>
      <c r="N22" s="714"/>
    </row>
    <row r="23" spans="1:14">
      <c r="A23" s="742"/>
      <c r="B23" s="46"/>
      <c r="C23" s="46"/>
      <c r="D23" s="46"/>
      <c r="E23" s="743"/>
      <c r="F23" s="742"/>
      <c r="G23" s="742"/>
      <c r="H23" s="714"/>
      <c r="I23" s="714"/>
      <c r="J23" s="714"/>
      <c r="K23" s="714"/>
      <c r="L23" s="714"/>
      <c r="M23" s="714"/>
      <c r="N23" s="714"/>
    </row>
    <row r="24" spans="1:14">
      <c r="A24" s="744"/>
      <c r="B24" s="47"/>
      <c r="C24" s="47"/>
      <c r="D24" s="47"/>
      <c r="E24" s="745"/>
      <c r="F24" s="744"/>
      <c r="G24" s="744"/>
      <c r="H24" s="714"/>
      <c r="I24" s="18"/>
      <c r="J24" s="18"/>
      <c r="K24" s="18"/>
      <c r="L24" s="18"/>
      <c r="M24" s="18"/>
      <c r="N24" s="18"/>
    </row>
    <row r="25" spans="1:14">
      <c r="H25" s="18"/>
      <c r="I25" s="684"/>
      <c r="J25" s="684"/>
      <c r="K25" s="684"/>
      <c r="L25" s="684"/>
      <c r="M25" s="18"/>
      <c r="N25" s="18"/>
    </row>
    <row r="26" spans="1:14">
      <c r="H26" s="684"/>
      <c r="I26" s="684"/>
      <c r="J26" s="684"/>
      <c r="K26" s="684"/>
      <c r="L26" s="684"/>
      <c r="M26" s="18"/>
      <c r="N26" s="18"/>
    </row>
    <row r="27" spans="1:14">
      <c r="H27" s="684"/>
      <c r="I27" s="684"/>
      <c r="J27" s="684"/>
      <c r="K27" s="684"/>
      <c r="L27" s="684"/>
      <c r="M27" s="18"/>
      <c r="N27" s="18"/>
    </row>
    <row r="28" spans="1:14">
      <c r="H28" s="684"/>
      <c r="I28" s="684"/>
      <c r="J28" s="684"/>
      <c r="K28" s="684"/>
      <c r="L28" s="684"/>
      <c r="M28" s="18"/>
      <c r="N28" s="18"/>
    </row>
    <row r="29" spans="1:14">
      <c r="H29" s="684"/>
      <c r="I29" s="687"/>
      <c r="J29" s="687"/>
      <c r="K29" s="687"/>
      <c r="L29" s="687"/>
      <c r="M29" s="686"/>
      <c r="N29" s="686"/>
    </row>
    <row r="30" spans="1:14">
      <c r="H30" s="687"/>
      <c r="I30" s="684"/>
      <c r="J30" s="684"/>
      <c r="K30" s="684"/>
      <c r="L30" s="684"/>
      <c r="M30" s="18"/>
      <c r="N30" s="18"/>
    </row>
    <row r="31" spans="1:14">
      <c r="H31" s="684"/>
      <c r="I31" s="746"/>
      <c r="J31" s="746"/>
      <c r="K31" s="746"/>
      <c r="L31" s="746"/>
      <c r="M31" s="686"/>
      <c r="N31" s="686"/>
    </row>
    <row r="32" spans="1:14" s="682" customFormat="1">
      <c r="A32" s="19"/>
      <c r="B32" s="18"/>
      <c r="C32" s="18"/>
      <c r="D32" s="18"/>
      <c r="E32" s="20"/>
      <c r="F32" s="19"/>
      <c r="G32" s="19"/>
      <c r="H32" s="746"/>
      <c r="I32" s="18"/>
      <c r="J32" s="18"/>
      <c r="K32" s="18"/>
      <c r="L32" s="18"/>
      <c r="M32" s="18"/>
      <c r="N32" s="18"/>
    </row>
    <row r="33" spans="1:14">
      <c r="H33" s="18"/>
      <c r="I33" s="688"/>
      <c r="J33" s="688"/>
      <c r="K33" s="688"/>
      <c r="L33" s="688"/>
      <c r="M33" s="688"/>
      <c r="N33" s="688"/>
    </row>
    <row r="34" spans="1:14">
      <c r="H34" s="688"/>
      <c r="I34" s="20"/>
      <c r="J34" s="20"/>
      <c r="K34" s="20"/>
      <c r="L34" s="20"/>
      <c r="M34" s="18"/>
      <c r="N34" s="18"/>
    </row>
    <row r="35" spans="1:14">
      <c r="H35" s="20"/>
      <c r="I35" s="18"/>
      <c r="J35" s="18"/>
      <c r="K35" s="18"/>
      <c r="L35" s="18"/>
      <c r="M35" s="18"/>
      <c r="N35" s="18"/>
    </row>
    <row r="36" spans="1:14">
      <c r="H36" s="18"/>
      <c r="I36" s="18"/>
      <c r="J36" s="18"/>
      <c r="K36" s="18"/>
      <c r="L36" s="18"/>
      <c r="M36" s="18"/>
      <c r="N36" s="18"/>
    </row>
    <row r="37" spans="1:14">
      <c r="H37" s="18"/>
      <c r="I37" s="18"/>
      <c r="J37" s="18"/>
      <c r="K37" s="18"/>
      <c r="L37" s="18"/>
      <c r="M37" s="18"/>
      <c r="N37" s="18"/>
    </row>
    <row r="38" spans="1:14" s="685" customFormat="1">
      <c r="A38" s="19"/>
      <c r="B38" s="18"/>
      <c r="C38" s="18"/>
      <c r="D38" s="18"/>
      <c r="E38" s="20"/>
      <c r="F38" s="19"/>
      <c r="G38" s="19"/>
      <c r="H38" s="18"/>
      <c r="I38" s="737"/>
      <c r="J38" s="737"/>
      <c r="K38" s="737"/>
      <c r="L38" s="737"/>
      <c r="M38" s="737"/>
      <c r="N38" s="737"/>
    </row>
    <row r="39" spans="1:14">
      <c r="H39" s="737"/>
      <c r="I39" s="20"/>
      <c r="J39" s="20"/>
      <c r="K39" s="20"/>
      <c r="L39" s="20"/>
      <c r="M39" s="18"/>
      <c r="N39" s="18"/>
    </row>
    <row r="40" spans="1:14">
      <c r="H40" s="20"/>
      <c r="I40" s="737"/>
      <c r="J40" s="737"/>
      <c r="K40" s="737"/>
      <c r="L40" s="737"/>
      <c r="M40" s="686"/>
      <c r="N40" s="686"/>
    </row>
    <row r="41" spans="1:14">
      <c r="H41" s="737"/>
      <c r="I41" s="20"/>
      <c r="J41" s="20"/>
      <c r="K41" s="20"/>
      <c r="L41" s="20"/>
      <c r="M41" s="20"/>
      <c r="N41" s="20"/>
    </row>
    <row r="42" spans="1:14">
      <c r="H42" s="20"/>
    </row>
    <row r="46" spans="1:14">
      <c r="I46" s="24"/>
      <c r="J46" s="24"/>
      <c r="K46" s="24"/>
      <c r="L46" s="24"/>
    </row>
    <row r="47" spans="1:14">
      <c r="H47" s="739"/>
      <c r="I47" s="24"/>
      <c r="J47" s="24"/>
      <c r="K47" s="24"/>
      <c r="L47" s="24"/>
    </row>
    <row r="48" spans="1:14">
      <c r="H48" s="742"/>
      <c r="I48" s="24"/>
      <c r="J48" s="24"/>
      <c r="K48" s="24"/>
      <c r="L48" s="24"/>
    </row>
    <row r="49" spans="8:12">
      <c r="H49" s="742"/>
      <c r="I49" s="24"/>
      <c r="J49" s="24"/>
      <c r="K49" s="24"/>
      <c r="L49" s="24"/>
    </row>
    <row r="50" spans="8:12">
      <c r="H50" s="742"/>
      <c r="I50" s="24"/>
      <c r="J50" s="24"/>
      <c r="K50" s="24"/>
      <c r="L50" s="24"/>
    </row>
    <row r="51" spans="8:12">
      <c r="H51" s="744"/>
    </row>
  </sheetData>
  <mergeCells count="6">
    <mergeCell ref="L2:M2"/>
    <mergeCell ref="B2:C2"/>
    <mergeCell ref="D2:E2"/>
    <mergeCell ref="F2:G2"/>
    <mergeCell ref="H2:I2"/>
    <mergeCell ref="J2:K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79" orientation="landscape" r:id="rId1"/>
  <headerFooter alignWithMargins="0">
    <oddHeader>&amp;L&amp;"Times New Roman,Félkövér"&amp;13Szent László Völgye TKT&amp;C&amp;"Times New Roman,Félkövér"&amp;14
&amp;16 2017. ÉVI KÖLTSÉGVETÉS&amp;14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L84"/>
  <sheetViews>
    <sheetView tabSelected="1" zoomScaleSheetLayoutView="85" workbookViewId="0">
      <selection activeCell="B16" sqref="B16"/>
    </sheetView>
  </sheetViews>
  <sheetFormatPr defaultColWidth="8.85546875" defaultRowHeight="15"/>
  <cols>
    <col min="1" max="1" width="75.5703125" style="106" customWidth="1"/>
    <col min="2" max="2" width="18.28515625" style="107" customWidth="1"/>
    <col min="3" max="3" width="13.28515625" style="100" customWidth="1"/>
    <col min="4" max="4" width="11" style="100" customWidth="1"/>
    <col min="5" max="6" width="12.5703125" style="100" customWidth="1"/>
    <col min="7" max="7" width="13.85546875" style="120" bestFit="1" customWidth="1"/>
    <col min="8" max="8" width="11.7109375" style="101" customWidth="1"/>
    <col min="9" max="10" width="14" style="101" customWidth="1"/>
    <col min="11" max="11" width="12.85546875" style="101" customWidth="1"/>
    <col min="12" max="16384" width="8.85546875" style="100"/>
  </cols>
  <sheetData>
    <row r="1" spans="1:12" ht="24" customHeight="1" thickBot="1">
      <c r="A1" s="824"/>
      <c r="B1" s="831" t="s">
        <v>398</v>
      </c>
      <c r="C1" s="848" t="s">
        <v>434</v>
      </c>
      <c r="D1" s="715"/>
      <c r="E1" s="715"/>
      <c r="F1" s="715"/>
      <c r="G1" s="98"/>
      <c r="H1" s="99"/>
      <c r="I1" s="99"/>
      <c r="J1" s="99"/>
    </row>
    <row r="2" spans="1:12" ht="34.5" customHeight="1">
      <c r="A2" s="825" t="s">
        <v>75</v>
      </c>
      <c r="B2" s="832"/>
      <c r="C2" s="849"/>
      <c r="D2" s="102" t="s">
        <v>408</v>
      </c>
      <c r="E2" s="715" t="s">
        <v>38</v>
      </c>
      <c r="F2" s="715" t="s">
        <v>399</v>
      </c>
      <c r="G2" s="715" t="s">
        <v>400</v>
      </c>
      <c r="H2" s="98" t="s">
        <v>17</v>
      </c>
      <c r="I2" s="99" t="s">
        <v>293</v>
      </c>
      <c r="J2" s="716" t="s">
        <v>401</v>
      </c>
      <c r="K2" s="716" t="s">
        <v>402</v>
      </c>
      <c r="L2" s="101"/>
    </row>
    <row r="3" spans="1:12">
      <c r="A3" s="826" t="s">
        <v>403</v>
      </c>
      <c r="B3" s="833">
        <f t="shared" ref="B3:B10" si="0">+I3</f>
        <v>15000000</v>
      </c>
      <c r="C3" s="850">
        <v>15000000</v>
      </c>
      <c r="D3" s="103">
        <v>15000</v>
      </c>
      <c r="E3" s="104">
        <v>5</v>
      </c>
      <c r="F3" s="104"/>
      <c r="G3" s="104"/>
      <c r="H3" s="94">
        <v>3000000</v>
      </c>
      <c r="I3" s="101">
        <f>+E3*H3</f>
        <v>15000000</v>
      </c>
      <c r="J3" s="101">
        <f>+F3*H3/2</f>
        <v>0</v>
      </c>
      <c r="L3" s="101"/>
    </row>
    <row r="4" spans="1:12">
      <c r="A4" s="827" t="s">
        <v>404</v>
      </c>
      <c r="B4" s="833">
        <f t="shared" si="0"/>
        <v>9900000</v>
      </c>
      <c r="C4" s="851">
        <v>9900000</v>
      </c>
      <c r="D4" s="103">
        <v>9900</v>
      </c>
      <c r="E4" s="104">
        <v>3.3</v>
      </c>
      <c r="F4" s="104"/>
      <c r="G4" s="104"/>
      <c r="H4" s="94">
        <v>3000000</v>
      </c>
      <c r="I4" s="101">
        <f>+E4*H4</f>
        <v>9900000</v>
      </c>
      <c r="J4" s="101">
        <f>+F4*H4/2</f>
        <v>0</v>
      </c>
      <c r="L4" s="101"/>
    </row>
    <row r="5" spans="1:12">
      <c r="A5" s="827" t="s">
        <v>405</v>
      </c>
      <c r="B5" s="833">
        <f t="shared" si="0"/>
        <v>442880</v>
      </c>
      <c r="C5" s="851">
        <v>996480</v>
      </c>
      <c r="D5" s="103">
        <v>443</v>
      </c>
      <c r="E5" s="103">
        <v>8</v>
      </c>
      <c r="F5" s="103"/>
      <c r="G5" s="103"/>
      <c r="H5" s="94">
        <v>55360</v>
      </c>
      <c r="I5" s="101">
        <f t="shared" ref="I5:I12" si="1">+E5*H5</f>
        <v>442880</v>
      </c>
      <c r="J5" s="101">
        <f t="shared" ref="J5:J11" si="2">+F5*H5</f>
        <v>0</v>
      </c>
      <c r="L5" s="101"/>
    </row>
    <row r="6" spans="1:12">
      <c r="A6" s="827" t="s">
        <v>427</v>
      </c>
      <c r="B6" s="833">
        <f t="shared" si="0"/>
        <v>1025000</v>
      </c>
      <c r="C6" s="851"/>
      <c r="D6" s="103">
        <v>1025</v>
      </c>
      <c r="E6" s="103">
        <v>41</v>
      </c>
      <c r="F6" s="103"/>
      <c r="G6" s="103"/>
      <c r="H6" s="93">
        <v>25000</v>
      </c>
      <c r="I6" s="101">
        <f t="shared" si="1"/>
        <v>1025000</v>
      </c>
      <c r="J6" s="101">
        <f t="shared" si="2"/>
        <v>0</v>
      </c>
      <c r="K6" s="101">
        <f>+G6*H6</f>
        <v>0</v>
      </c>
      <c r="L6" s="101"/>
    </row>
    <row r="7" spans="1:12">
      <c r="A7" s="827" t="s">
        <v>428</v>
      </c>
      <c r="B7" s="833">
        <f t="shared" si="0"/>
        <v>12012000</v>
      </c>
      <c r="C7" s="851">
        <v>20358000</v>
      </c>
      <c r="D7" s="103">
        <v>12012</v>
      </c>
      <c r="E7" s="103">
        <v>44</v>
      </c>
      <c r="F7" s="103"/>
      <c r="G7" s="103"/>
      <c r="H7" s="93">
        <v>273000</v>
      </c>
      <c r="I7" s="101">
        <f t="shared" si="1"/>
        <v>12012000</v>
      </c>
      <c r="J7" s="101">
        <f t="shared" si="2"/>
        <v>0</v>
      </c>
      <c r="K7" s="101">
        <f t="shared" ref="K7:K10" si="3">+G7*H7</f>
        <v>0</v>
      </c>
      <c r="L7" s="101"/>
    </row>
    <row r="8" spans="1:12">
      <c r="A8" s="827" t="s">
        <v>86</v>
      </c>
      <c r="B8" s="833">
        <f t="shared" si="0"/>
        <v>490500</v>
      </c>
      <c r="C8" s="851">
        <v>1144500</v>
      </c>
      <c r="D8" s="103">
        <v>491</v>
      </c>
      <c r="E8" s="103">
        <v>3</v>
      </c>
      <c r="F8" s="205"/>
      <c r="G8" s="205"/>
      <c r="H8" s="93">
        <f>109000*1.5</f>
        <v>163500</v>
      </c>
      <c r="I8" s="101">
        <f t="shared" si="1"/>
        <v>490500</v>
      </c>
      <c r="J8" s="101">
        <f t="shared" si="2"/>
        <v>0</v>
      </c>
      <c r="L8" s="101"/>
    </row>
    <row r="9" spans="1:12">
      <c r="A9" s="827" t="s">
        <v>406</v>
      </c>
      <c r="B9" s="833">
        <f t="shared" si="0"/>
        <v>2500000</v>
      </c>
      <c r="C9" s="851">
        <v>2500000</v>
      </c>
      <c r="D9" s="103">
        <v>2500</v>
      </c>
      <c r="E9" s="205">
        <v>1</v>
      </c>
      <c r="F9" s="103"/>
      <c r="G9" s="103"/>
      <c r="H9" s="93">
        <v>2500000</v>
      </c>
      <c r="I9" s="101">
        <f t="shared" si="1"/>
        <v>2500000</v>
      </c>
      <c r="J9" s="101">
        <f t="shared" si="2"/>
        <v>0</v>
      </c>
      <c r="K9" s="101">
        <f t="shared" ref="K9" si="4">+G9*H9</f>
        <v>0</v>
      </c>
      <c r="L9" s="101"/>
    </row>
    <row r="10" spans="1:12">
      <c r="A10" s="828" t="s">
        <v>429</v>
      </c>
      <c r="B10" s="834">
        <f t="shared" si="0"/>
        <v>6297200</v>
      </c>
      <c r="C10" s="851">
        <v>1743300</v>
      </c>
      <c r="D10" s="103">
        <v>6297</v>
      </c>
      <c r="E10" s="103">
        <v>14</v>
      </c>
      <c r="F10" s="103"/>
      <c r="G10" s="103"/>
      <c r="H10" s="93">
        <v>449800</v>
      </c>
      <c r="I10" s="101">
        <f t="shared" si="1"/>
        <v>6297200</v>
      </c>
      <c r="J10" s="101">
        <f t="shared" si="2"/>
        <v>0</v>
      </c>
      <c r="K10" s="101">
        <f t="shared" si="3"/>
        <v>0</v>
      </c>
      <c r="L10" s="101"/>
    </row>
    <row r="11" spans="1:12">
      <c r="A11" s="829" t="s">
        <v>407</v>
      </c>
      <c r="B11" s="835">
        <f>+I11+I12</f>
        <v>8940000</v>
      </c>
      <c r="C11" s="851">
        <v>8940000</v>
      </c>
      <c r="D11" s="103">
        <v>8940</v>
      </c>
      <c r="E11" s="103">
        <v>1</v>
      </c>
      <c r="F11" s="103"/>
      <c r="G11" s="103"/>
      <c r="H11" s="93">
        <v>3000000</v>
      </c>
      <c r="I11" s="101">
        <f t="shared" si="1"/>
        <v>3000000</v>
      </c>
      <c r="J11" s="101">
        <f t="shared" si="2"/>
        <v>0</v>
      </c>
      <c r="L11" s="101"/>
    </row>
    <row r="12" spans="1:12" ht="24" customHeight="1" thickBot="1">
      <c r="A12" s="830" t="s">
        <v>76</v>
      </c>
      <c r="B12" s="836">
        <f>SUM(B3:B11)</f>
        <v>56607580</v>
      </c>
      <c r="C12" s="852">
        <f>SUM(C3:C11)</f>
        <v>60582280</v>
      </c>
      <c r="D12" s="101">
        <f>SUM(D3:D11)</f>
        <v>56608</v>
      </c>
      <c r="E12" s="103">
        <v>3300</v>
      </c>
      <c r="G12" s="105"/>
      <c r="H12" s="93">
        <v>1800</v>
      </c>
      <c r="I12" s="101">
        <f t="shared" si="1"/>
        <v>5940000</v>
      </c>
    </row>
    <row r="13" spans="1:12">
      <c r="G13" s="105"/>
    </row>
    <row r="66" spans="1:11">
      <c r="A66" s="97"/>
      <c r="B66" s="100"/>
    </row>
    <row r="67" spans="1:11">
      <c r="G67" s="100"/>
      <c r="H67" s="100"/>
      <c r="I67" s="100"/>
      <c r="J67" s="100"/>
      <c r="K67" s="100"/>
    </row>
    <row r="79" spans="1:11">
      <c r="A79" s="108"/>
      <c r="B79" s="109"/>
    </row>
    <row r="80" spans="1:11">
      <c r="A80" s="112"/>
      <c r="B80" s="113"/>
      <c r="C80" s="110"/>
      <c r="D80" s="110"/>
      <c r="E80" s="110"/>
      <c r="F80" s="110"/>
      <c r="G80" s="111"/>
      <c r="H80" s="100"/>
      <c r="I80" s="100"/>
      <c r="J80" s="100"/>
      <c r="K80" s="100"/>
    </row>
    <row r="81" spans="1:11">
      <c r="A81" s="112"/>
      <c r="B81" s="113"/>
      <c r="C81" s="114"/>
      <c r="D81" s="114"/>
      <c r="E81" s="114"/>
      <c r="F81" s="114"/>
      <c r="G81" s="115"/>
      <c r="H81" s="100"/>
      <c r="I81" s="100"/>
      <c r="J81" s="100"/>
      <c r="K81" s="100"/>
    </row>
    <row r="82" spans="1:11">
      <c r="A82" s="112"/>
      <c r="B82" s="113"/>
      <c r="C82" s="114"/>
      <c r="D82" s="114"/>
      <c r="E82" s="114"/>
      <c r="F82" s="114"/>
      <c r="G82" s="115"/>
      <c r="H82" s="100"/>
      <c r="I82" s="100"/>
      <c r="J82" s="100"/>
      <c r="K82" s="100"/>
    </row>
    <row r="83" spans="1:11">
      <c r="A83" s="116"/>
      <c r="B83" s="117"/>
      <c r="C83" s="114"/>
      <c r="D83" s="114"/>
      <c r="E83" s="114"/>
      <c r="F83" s="114"/>
      <c r="G83" s="115"/>
      <c r="H83" s="100"/>
      <c r="I83" s="100"/>
      <c r="J83" s="100"/>
      <c r="K83" s="100"/>
    </row>
    <row r="84" spans="1:11">
      <c r="C84" s="118"/>
      <c r="D84" s="118"/>
      <c r="E84" s="118"/>
      <c r="F84" s="118"/>
      <c r="G84" s="119"/>
      <c r="H84" s="100"/>
      <c r="I84" s="100"/>
      <c r="J84" s="100"/>
      <c r="K84" s="100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Roman,Félkövér"&amp;14
&amp;16 2017. ÉVI KÖLTSÉGVETÉS&amp;14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</sheetPr>
  <dimension ref="A1:W91"/>
  <sheetViews>
    <sheetView workbookViewId="0">
      <selection activeCell="O15" sqref="O15"/>
    </sheetView>
  </sheetViews>
  <sheetFormatPr defaultColWidth="8.85546875" defaultRowHeight="12.75"/>
  <cols>
    <col min="1" max="1" width="29.7109375" style="19" customWidth="1"/>
    <col min="2" max="2" width="9.7109375" style="19" customWidth="1"/>
    <col min="3" max="10" width="7.42578125" style="19" customWidth="1"/>
    <col min="11" max="11" width="8.28515625" style="19" customWidth="1"/>
    <col min="12" max="14" width="7.42578125" style="19" customWidth="1"/>
    <col min="15" max="15" width="9.42578125" style="19" customWidth="1"/>
    <col min="16" max="21" width="8.85546875" style="19"/>
    <col min="22" max="22" width="9.28515625" style="19" customWidth="1"/>
    <col min="23" max="16384" width="8.85546875" style="19"/>
  </cols>
  <sheetData>
    <row r="1" spans="1:23" s="31" customFormat="1" ht="27.6" customHeight="1" thickBot="1">
      <c r="A1" s="81"/>
      <c r="B1" s="82" t="s">
        <v>413</v>
      </c>
      <c r="C1" s="52" t="s">
        <v>45</v>
      </c>
      <c r="D1" s="53" t="s">
        <v>46</v>
      </c>
      <c r="E1" s="53" t="s">
        <v>47</v>
      </c>
      <c r="F1" s="54" t="s">
        <v>48</v>
      </c>
      <c r="G1" s="53" t="s">
        <v>49</v>
      </c>
      <c r="H1" s="53" t="s">
        <v>50</v>
      </c>
      <c r="I1" s="53" t="s">
        <v>51</v>
      </c>
      <c r="J1" s="53" t="s">
        <v>52</v>
      </c>
      <c r="K1" s="53" t="s">
        <v>53</v>
      </c>
      <c r="L1" s="53" t="s">
        <v>54</v>
      </c>
      <c r="M1" s="53" t="s">
        <v>55</v>
      </c>
      <c r="N1" s="85" t="s">
        <v>56</v>
      </c>
      <c r="O1" s="82" t="s">
        <v>421</v>
      </c>
    </row>
    <row r="2" spans="1:23" s="31" customFormat="1" ht="34.9" customHeight="1">
      <c r="A2" s="12" t="s">
        <v>57</v>
      </c>
      <c r="B2" s="1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78"/>
      <c r="Q2" s="83"/>
      <c r="R2" s="66"/>
      <c r="S2" s="66"/>
      <c r="T2" s="66"/>
      <c r="U2" s="66"/>
    </row>
    <row r="3" spans="1:23">
      <c r="A3" s="84" t="s">
        <v>4</v>
      </c>
      <c r="B3" s="55">
        <f>+'[4]7.SZ.TÁBL. PÉNZE. ÁTAD - ÁTVÉT'!$O$3</f>
        <v>18835</v>
      </c>
      <c r="C3" s="40">
        <f>+$S$3</f>
        <v>2307</v>
      </c>
      <c r="D3" s="39">
        <f t="shared" ref="D3:M3" si="0">+$S$3</f>
        <v>2307</v>
      </c>
      <c r="E3" s="39">
        <f t="shared" si="0"/>
        <v>2307</v>
      </c>
      <c r="F3" s="39">
        <f t="shared" si="0"/>
        <v>2307</v>
      </c>
      <c r="G3" s="39">
        <f t="shared" si="0"/>
        <v>2307</v>
      </c>
      <c r="H3" s="39">
        <f t="shared" si="0"/>
        <v>2307</v>
      </c>
      <c r="I3" s="39">
        <f t="shared" si="0"/>
        <v>2307</v>
      </c>
      <c r="J3" s="39">
        <f t="shared" si="0"/>
        <v>2307</v>
      </c>
      <c r="K3" s="39">
        <f t="shared" si="0"/>
        <v>2307</v>
      </c>
      <c r="L3" s="39">
        <f t="shared" si="0"/>
        <v>2307</v>
      </c>
      <c r="M3" s="39">
        <f t="shared" si="0"/>
        <v>2307</v>
      </c>
      <c r="N3" s="74">
        <f>+U3</f>
        <v>2310</v>
      </c>
      <c r="O3" s="55">
        <f>SUM(C3:N3)</f>
        <v>27687</v>
      </c>
      <c r="P3" s="62"/>
      <c r="Q3" s="18">
        <f>+'2.SZ.TÁBL. BEVÉTELEK'!D7+'2.SZ.TÁBL. BEVÉTELEK'!D16+'2.SZ.TÁBL. BEVÉTELEK'!D21+'2.SZ.TÁBL. BEVÉTELEK'!D30+'2.SZ.TÁBL. BEVÉTELEK'!D40+'2.SZ.TÁBL. BEVÉTELEK'!D49</f>
        <v>27687</v>
      </c>
      <c r="R3" s="20">
        <f t="shared" ref="R3:R10" si="1">+Q3/12</f>
        <v>2307.25</v>
      </c>
      <c r="S3" s="45">
        <v>2307</v>
      </c>
      <c r="U3" s="18">
        <f t="shared" ref="U3:U13" si="2">+Q3-SUM(C3:M3)</f>
        <v>2310</v>
      </c>
    </row>
    <row r="4" spans="1:23">
      <c r="A4" s="38" t="s">
        <v>6</v>
      </c>
      <c r="B4" s="55">
        <f>+'[4]7.SZ.TÁBL. PÉNZE. ÁTAD - ÁTVÉT'!$O$4</f>
        <v>9227</v>
      </c>
      <c r="C4" s="40">
        <f>+$S$4</f>
        <v>806</v>
      </c>
      <c r="D4" s="39">
        <f t="shared" ref="D4:M4" si="3">+$S$4</f>
        <v>806</v>
      </c>
      <c r="E4" s="39">
        <f t="shared" si="3"/>
        <v>806</v>
      </c>
      <c r="F4" s="39">
        <f t="shared" si="3"/>
        <v>806</v>
      </c>
      <c r="G4" s="39">
        <f t="shared" si="3"/>
        <v>806</v>
      </c>
      <c r="H4" s="39">
        <f t="shared" si="3"/>
        <v>806</v>
      </c>
      <c r="I4" s="39">
        <f t="shared" si="3"/>
        <v>806</v>
      </c>
      <c r="J4" s="39">
        <f t="shared" si="3"/>
        <v>806</v>
      </c>
      <c r="K4" s="39">
        <f t="shared" si="3"/>
        <v>806</v>
      </c>
      <c r="L4" s="39">
        <f t="shared" si="3"/>
        <v>806</v>
      </c>
      <c r="M4" s="39">
        <f t="shared" si="3"/>
        <v>806</v>
      </c>
      <c r="N4" s="74">
        <f t="shared" ref="N4:N9" si="4">+U4</f>
        <v>806</v>
      </c>
      <c r="O4" s="55">
        <f t="shared" ref="O4:O9" si="5">SUM(C4:N4)</f>
        <v>9672</v>
      </c>
      <c r="P4" s="18"/>
      <c r="Q4" s="18">
        <f>+'2.SZ.TÁBL. BEVÉTELEK'!D9+'2.SZ.TÁBL. BEVÉTELEK'!D17+'2.SZ.TÁBL. BEVÉTELEK'!D22+'2.SZ.TÁBL. BEVÉTELEK'!D32+'2.SZ.TÁBL. BEVÉTELEK'!D41+'2.SZ.TÁBL. BEVÉTELEK'!D51</f>
        <v>9672</v>
      </c>
      <c r="R4" s="20">
        <f t="shared" si="1"/>
        <v>806</v>
      </c>
      <c r="S4" s="45">
        <v>806</v>
      </c>
      <c r="U4" s="18">
        <f t="shared" si="2"/>
        <v>806</v>
      </c>
    </row>
    <row r="5" spans="1:23">
      <c r="A5" s="38" t="s">
        <v>5</v>
      </c>
      <c r="B5" s="55">
        <f>+'[4]7.SZ.TÁBL. PÉNZE. ÁTAD - ÁTVÉT'!$O$5</f>
        <v>4806</v>
      </c>
      <c r="C5" s="40">
        <f>+$S$5</f>
        <v>396</v>
      </c>
      <c r="D5" s="39">
        <f t="shared" ref="D5:M5" si="6">+$S$5</f>
        <v>396</v>
      </c>
      <c r="E5" s="39">
        <f t="shared" si="6"/>
        <v>396</v>
      </c>
      <c r="F5" s="39">
        <f t="shared" si="6"/>
        <v>396</v>
      </c>
      <c r="G5" s="39">
        <f t="shared" si="6"/>
        <v>396</v>
      </c>
      <c r="H5" s="39">
        <f t="shared" si="6"/>
        <v>396</v>
      </c>
      <c r="I5" s="39">
        <f t="shared" si="6"/>
        <v>396</v>
      </c>
      <c r="J5" s="39">
        <f t="shared" si="6"/>
        <v>396</v>
      </c>
      <c r="K5" s="39">
        <f t="shared" si="6"/>
        <v>396</v>
      </c>
      <c r="L5" s="39">
        <f t="shared" si="6"/>
        <v>396</v>
      </c>
      <c r="M5" s="39">
        <f t="shared" si="6"/>
        <v>396</v>
      </c>
      <c r="N5" s="74">
        <f t="shared" si="4"/>
        <v>392</v>
      </c>
      <c r="O5" s="55">
        <f t="shared" si="5"/>
        <v>4748</v>
      </c>
      <c r="Q5" s="18">
        <f>+'2.SZ.TÁBL. BEVÉTELEK'!D8+'2.SZ.TÁBL. BEVÉTELEK'!D31+'2.SZ.TÁBL. BEVÉTELEK'!D50</f>
        <v>4748</v>
      </c>
      <c r="R5" s="20">
        <f t="shared" si="1"/>
        <v>395.66666666666669</v>
      </c>
      <c r="S5" s="45">
        <v>396</v>
      </c>
      <c r="U5" s="18">
        <f t="shared" si="2"/>
        <v>392</v>
      </c>
    </row>
    <row r="6" spans="1:23">
      <c r="A6" s="38" t="s">
        <v>7</v>
      </c>
      <c r="B6" s="55">
        <f>+'[4]7.SZ.TÁBL. PÉNZE. ÁTAD - ÁTVÉT'!$O$6</f>
        <v>2625</v>
      </c>
      <c r="C6" s="40">
        <f>+$S$6</f>
        <v>295</v>
      </c>
      <c r="D6" s="39">
        <f t="shared" ref="D6:M6" si="7">+$S$6</f>
        <v>295</v>
      </c>
      <c r="E6" s="39">
        <f t="shared" si="7"/>
        <v>295</v>
      </c>
      <c r="F6" s="39">
        <f t="shared" si="7"/>
        <v>295</v>
      </c>
      <c r="G6" s="39">
        <f t="shared" si="7"/>
        <v>295</v>
      </c>
      <c r="H6" s="39">
        <f t="shared" si="7"/>
        <v>295</v>
      </c>
      <c r="I6" s="39">
        <f t="shared" si="7"/>
        <v>295</v>
      </c>
      <c r="J6" s="39">
        <f t="shared" si="7"/>
        <v>295</v>
      </c>
      <c r="K6" s="39">
        <f t="shared" si="7"/>
        <v>295</v>
      </c>
      <c r="L6" s="39">
        <f t="shared" si="7"/>
        <v>295</v>
      </c>
      <c r="M6" s="39">
        <f t="shared" si="7"/>
        <v>295</v>
      </c>
      <c r="N6" s="74">
        <f t="shared" si="4"/>
        <v>295</v>
      </c>
      <c r="O6" s="55">
        <f t="shared" si="5"/>
        <v>3540</v>
      </c>
      <c r="Q6" s="18">
        <f>+'2.SZ.TÁBL. BEVÉTELEK'!D10+'2.SZ.TÁBL. BEVÉTELEK'!D23+'2.SZ.TÁBL. BEVÉTELEK'!D33+'2.SZ.TÁBL. BEVÉTELEK'!D42+'2.SZ.TÁBL. BEVÉTELEK'!D52</f>
        <v>3540</v>
      </c>
      <c r="R6" s="20">
        <f t="shared" si="1"/>
        <v>295</v>
      </c>
      <c r="S6" s="45">
        <v>295</v>
      </c>
      <c r="U6" s="18">
        <f t="shared" si="2"/>
        <v>295</v>
      </c>
    </row>
    <row r="7" spans="1:23">
      <c r="A7" s="38" t="s">
        <v>8</v>
      </c>
      <c r="B7" s="55">
        <f>+'[4]7.SZ.TÁBL. PÉNZE. ÁTAD - ÁTVÉT'!$O$7</f>
        <v>13107</v>
      </c>
      <c r="C7" s="40">
        <f>+$S$7</f>
        <v>1595</v>
      </c>
      <c r="D7" s="39">
        <f t="shared" ref="D7:M7" si="8">+$S$7</f>
        <v>1595</v>
      </c>
      <c r="E7" s="39">
        <f t="shared" si="8"/>
        <v>1595</v>
      </c>
      <c r="F7" s="39">
        <f t="shared" si="8"/>
        <v>1595</v>
      </c>
      <c r="G7" s="39">
        <f t="shared" si="8"/>
        <v>1595</v>
      </c>
      <c r="H7" s="39">
        <f t="shared" si="8"/>
        <v>1595</v>
      </c>
      <c r="I7" s="39">
        <f t="shared" si="8"/>
        <v>1595</v>
      </c>
      <c r="J7" s="39">
        <f t="shared" si="8"/>
        <v>1595</v>
      </c>
      <c r="K7" s="39">
        <f t="shared" si="8"/>
        <v>1595</v>
      </c>
      <c r="L7" s="39">
        <f t="shared" si="8"/>
        <v>1595</v>
      </c>
      <c r="M7" s="39">
        <f t="shared" si="8"/>
        <v>1595</v>
      </c>
      <c r="N7" s="74">
        <f t="shared" si="4"/>
        <v>1597</v>
      </c>
      <c r="O7" s="55">
        <f t="shared" si="5"/>
        <v>19142</v>
      </c>
      <c r="P7" s="18"/>
      <c r="Q7" s="18">
        <f>+'2.SZ.TÁBL. BEVÉTELEK'!D11+'2.SZ.TÁBL. BEVÉTELEK'!D24+'2.SZ.TÁBL. BEVÉTELEK'!D34+'2.SZ.TÁBL. BEVÉTELEK'!D43+'2.SZ.TÁBL. BEVÉTELEK'!D58</f>
        <v>19142</v>
      </c>
      <c r="R7" s="20">
        <f t="shared" si="1"/>
        <v>1595.1666666666667</v>
      </c>
      <c r="S7" s="45">
        <v>1595</v>
      </c>
      <c r="U7" s="18">
        <f t="shared" si="2"/>
        <v>1597</v>
      </c>
    </row>
    <row r="8" spans="1:23">
      <c r="A8" s="38" t="s">
        <v>9</v>
      </c>
      <c r="B8" s="55">
        <f>+'[4]7.SZ.TÁBL. PÉNZE. ÁTAD - ÁTVÉT'!$O$8</f>
        <v>7814</v>
      </c>
      <c r="C8" s="40">
        <f>+$S$8</f>
        <v>844</v>
      </c>
      <c r="D8" s="39">
        <f t="shared" ref="D8:M8" si="9">+$S$8</f>
        <v>844</v>
      </c>
      <c r="E8" s="39">
        <f t="shared" si="9"/>
        <v>844</v>
      </c>
      <c r="F8" s="39">
        <f t="shared" si="9"/>
        <v>844</v>
      </c>
      <c r="G8" s="39">
        <f t="shared" si="9"/>
        <v>844</v>
      </c>
      <c r="H8" s="39">
        <f t="shared" si="9"/>
        <v>844</v>
      </c>
      <c r="I8" s="39">
        <f t="shared" si="9"/>
        <v>844</v>
      </c>
      <c r="J8" s="39">
        <f t="shared" si="9"/>
        <v>844</v>
      </c>
      <c r="K8" s="39">
        <f t="shared" si="9"/>
        <v>844</v>
      </c>
      <c r="L8" s="39">
        <f t="shared" si="9"/>
        <v>844</v>
      </c>
      <c r="M8" s="39">
        <f t="shared" si="9"/>
        <v>844</v>
      </c>
      <c r="N8" s="74">
        <f t="shared" si="4"/>
        <v>844</v>
      </c>
      <c r="O8" s="55">
        <f t="shared" si="5"/>
        <v>10128</v>
      </c>
      <c r="P8" s="18"/>
      <c r="Q8" s="18">
        <f>+'2.SZ.TÁBL. BEVÉTELEK'!D12+'2.SZ.TÁBL. BEVÉTELEK'!D25+'2.SZ.TÁBL. BEVÉTELEK'!D35+'2.SZ.TÁBL. BEVÉTELEK'!D44+'2.SZ.TÁBL. BEVÉTELEK'!D53</f>
        <v>10128</v>
      </c>
      <c r="R8" s="20">
        <f t="shared" si="1"/>
        <v>844</v>
      </c>
      <c r="S8" s="45">
        <v>844</v>
      </c>
      <c r="U8" s="18">
        <f t="shared" si="2"/>
        <v>844</v>
      </c>
    </row>
    <row r="9" spans="1:23">
      <c r="A9" s="533" t="s">
        <v>10</v>
      </c>
      <c r="B9" s="532">
        <f>+'[4]7.SZ.TÁBL. PÉNZE. ÁTAD - ÁTVÉT'!$O$9</f>
        <v>11019</v>
      </c>
      <c r="C9" s="534">
        <f>+$S$9</f>
        <v>1007</v>
      </c>
      <c r="D9" s="404">
        <f t="shared" ref="D9:M9" si="10">+$S$9</f>
        <v>1007</v>
      </c>
      <c r="E9" s="404">
        <f t="shared" si="10"/>
        <v>1007</v>
      </c>
      <c r="F9" s="404">
        <f t="shared" si="10"/>
        <v>1007</v>
      </c>
      <c r="G9" s="404">
        <f t="shared" si="10"/>
        <v>1007</v>
      </c>
      <c r="H9" s="404">
        <f t="shared" si="10"/>
        <v>1007</v>
      </c>
      <c r="I9" s="404">
        <f t="shared" si="10"/>
        <v>1007</v>
      </c>
      <c r="J9" s="404">
        <f t="shared" si="10"/>
        <v>1007</v>
      </c>
      <c r="K9" s="404">
        <f t="shared" si="10"/>
        <v>1007</v>
      </c>
      <c r="L9" s="404">
        <f t="shared" si="10"/>
        <v>1007</v>
      </c>
      <c r="M9" s="404">
        <f t="shared" si="10"/>
        <v>1007</v>
      </c>
      <c r="N9" s="405">
        <f t="shared" si="4"/>
        <v>1003</v>
      </c>
      <c r="O9" s="56">
        <f t="shared" si="5"/>
        <v>12080</v>
      </c>
      <c r="P9" s="18"/>
      <c r="Q9" s="18">
        <f>+'2.SZ.TÁBL. BEVÉTELEK'!D13+'2.SZ.TÁBL. BEVÉTELEK'!D18+'2.SZ.TÁBL. BEVÉTELEK'!D26+'2.SZ.TÁBL. BEVÉTELEK'!D36+'2.SZ.TÁBL. BEVÉTELEK'!D45+'2.SZ.TÁBL. BEVÉTELEK'!D54</f>
        <v>12080</v>
      </c>
      <c r="R9" s="20">
        <f t="shared" si="1"/>
        <v>1006.6666666666666</v>
      </c>
      <c r="S9" s="45">
        <v>1007</v>
      </c>
      <c r="U9" s="18">
        <f t="shared" si="2"/>
        <v>1003</v>
      </c>
    </row>
    <row r="10" spans="1:23" ht="13.5" thickBot="1">
      <c r="A10" s="41" t="s">
        <v>300</v>
      </c>
      <c r="B10" s="87">
        <f>+'[4]7.SZ.TÁBL. PÉNZE. ÁTAD - ÁTVÉT'!$O$10</f>
        <v>4459</v>
      </c>
      <c r="C10" s="534">
        <f>+$S$10</f>
        <v>503</v>
      </c>
      <c r="D10" s="404">
        <f t="shared" ref="D10:M10" si="11">+$S$10</f>
        <v>503</v>
      </c>
      <c r="E10" s="404">
        <f t="shared" si="11"/>
        <v>503</v>
      </c>
      <c r="F10" s="404">
        <f t="shared" si="11"/>
        <v>503</v>
      </c>
      <c r="G10" s="404">
        <f t="shared" si="11"/>
        <v>503</v>
      </c>
      <c r="H10" s="404">
        <f t="shared" si="11"/>
        <v>503</v>
      </c>
      <c r="I10" s="404">
        <f t="shared" si="11"/>
        <v>503</v>
      </c>
      <c r="J10" s="404">
        <f t="shared" si="11"/>
        <v>503</v>
      </c>
      <c r="K10" s="404">
        <f t="shared" si="11"/>
        <v>503</v>
      </c>
      <c r="L10" s="404">
        <f t="shared" si="11"/>
        <v>503</v>
      </c>
      <c r="M10" s="404">
        <f t="shared" si="11"/>
        <v>503</v>
      </c>
      <c r="N10" s="405">
        <f t="shared" ref="N10" si="12">+U10</f>
        <v>505</v>
      </c>
      <c r="O10" s="532">
        <f t="shared" ref="O10" si="13">SUM(C10:N10)</f>
        <v>6038</v>
      </c>
      <c r="P10" s="18"/>
      <c r="Q10" s="18">
        <f>+'2.SZ.TÁBL. BEVÉTELEK'!D27+'2.SZ.TÁBL. BEVÉTELEK'!D37+'2.SZ.TÁBL. BEVÉTELEK'!D46+'2.SZ.TÁBL. BEVÉTELEK'!D55</f>
        <v>6038</v>
      </c>
      <c r="R10" s="20">
        <f t="shared" si="1"/>
        <v>503.16666666666669</v>
      </c>
      <c r="S10" s="45">
        <v>503</v>
      </c>
      <c r="U10" s="18">
        <f t="shared" si="2"/>
        <v>505</v>
      </c>
    </row>
    <row r="11" spans="1:23" ht="13.5" thickBot="1">
      <c r="A11" s="42" t="s">
        <v>21</v>
      </c>
      <c r="B11" s="57">
        <f>SUM(B3:B10)</f>
        <v>71892</v>
      </c>
      <c r="C11" s="44">
        <f>SUM(C3:C10)</f>
        <v>7753</v>
      </c>
      <c r="D11" s="43">
        <f t="shared" ref="D11:N11" si="14">SUM(D3:D10)</f>
        <v>7753</v>
      </c>
      <c r="E11" s="43">
        <f t="shared" si="14"/>
        <v>7753</v>
      </c>
      <c r="F11" s="43">
        <f t="shared" si="14"/>
        <v>7753</v>
      </c>
      <c r="G11" s="43">
        <f t="shared" si="14"/>
        <v>7753</v>
      </c>
      <c r="H11" s="43">
        <f t="shared" si="14"/>
        <v>7753</v>
      </c>
      <c r="I11" s="43">
        <f t="shared" si="14"/>
        <v>7753</v>
      </c>
      <c r="J11" s="43">
        <f t="shared" si="14"/>
        <v>7753</v>
      </c>
      <c r="K11" s="43">
        <f t="shared" si="14"/>
        <v>7753</v>
      </c>
      <c r="L11" s="43">
        <f t="shared" si="14"/>
        <v>7753</v>
      </c>
      <c r="M11" s="43">
        <f t="shared" si="14"/>
        <v>7753</v>
      </c>
      <c r="N11" s="43">
        <f t="shared" si="14"/>
        <v>7752</v>
      </c>
      <c r="O11" s="57">
        <f>SUM(O3:O10)</f>
        <v>93035</v>
      </c>
      <c r="Q11" s="20"/>
      <c r="R11" s="20"/>
      <c r="S11" s="20"/>
      <c r="T11" s="20"/>
      <c r="U11" s="20"/>
    </row>
    <row r="12" spans="1:23" s="682" customFormat="1" ht="17.45" customHeight="1">
      <c r="A12" s="814" t="s">
        <v>414</v>
      </c>
      <c r="B12" s="815">
        <f>+'[4]7.SZ.TÁBL. PÉNZE. ÁTAD - ÁTVÉT'!$O$12</f>
        <v>2000</v>
      </c>
      <c r="C12" s="816"/>
      <c r="D12" s="817"/>
      <c r="E12" s="817"/>
      <c r="F12" s="817"/>
      <c r="G12" s="817"/>
      <c r="H12" s="817"/>
      <c r="I12" s="817"/>
      <c r="J12" s="817"/>
      <c r="K12" s="817"/>
      <c r="L12" s="817"/>
      <c r="M12" s="817"/>
      <c r="N12" s="818"/>
      <c r="O12" s="819">
        <f t="shared" ref="O12:O13" si="15">SUM(C12:N12)</f>
        <v>0</v>
      </c>
      <c r="Q12" s="738"/>
      <c r="R12" s="738"/>
      <c r="S12" s="738"/>
      <c r="T12" s="738"/>
      <c r="U12" s="738"/>
    </row>
    <row r="13" spans="1:23" s="494" customFormat="1" ht="19.149999999999999" customHeight="1">
      <c r="A13" s="535" t="s">
        <v>362</v>
      </c>
      <c r="B13" s="532">
        <f>+'[4]7.SZ.TÁBL. PÉNZE. ÁTAD - ÁTVÉT'!$O$13</f>
        <v>220069</v>
      </c>
      <c r="C13" s="545">
        <f>+$S$13</f>
        <v>17782</v>
      </c>
      <c r="D13" s="546">
        <f t="shared" ref="D13:M13" si="16">+$S$13</f>
        <v>17782</v>
      </c>
      <c r="E13" s="546">
        <f t="shared" si="16"/>
        <v>17782</v>
      </c>
      <c r="F13" s="546">
        <f t="shared" si="16"/>
        <v>17782</v>
      </c>
      <c r="G13" s="546">
        <f t="shared" si="16"/>
        <v>17782</v>
      </c>
      <c r="H13" s="546">
        <f t="shared" si="16"/>
        <v>17782</v>
      </c>
      <c r="I13" s="546">
        <f t="shared" si="16"/>
        <v>17782</v>
      </c>
      <c r="J13" s="546">
        <f t="shared" si="16"/>
        <v>17782</v>
      </c>
      <c r="K13" s="546">
        <f t="shared" si="16"/>
        <v>17782</v>
      </c>
      <c r="L13" s="546">
        <f t="shared" si="16"/>
        <v>17782</v>
      </c>
      <c r="M13" s="546">
        <f t="shared" si="16"/>
        <v>17782</v>
      </c>
      <c r="N13" s="547">
        <f>+U13</f>
        <v>17782</v>
      </c>
      <c r="O13" s="544">
        <f t="shared" si="15"/>
        <v>213384</v>
      </c>
      <c r="Q13" s="50">
        <f>+'2.SZ.TÁBL. BEVÉTELEK'!D60</f>
        <v>213384</v>
      </c>
      <c r="R13" s="51">
        <f>+Q13/12</f>
        <v>17782</v>
      </c>
      <c r="S13" s="494">
        <v>17782</v>
      </c>
      <c r="U13" s="49">
        <f t="shared" si="2"/>
        <v>17782</v>
      </c>
      <c r="V13" s="50"/>
    </row>
    <row r="14" spans="1:23" ht="21" customHeight="1" thickBot="1">
      <c r="A14" s="536" t="s">
        <v>363</v>
      </c>
      <c r="B14" s="537">
        <f t="shared" ref="B14:O14" si="17">SUM(B13)</f>
        <v>220069</v>
      </c>
      <c r="C14" s="538">
        <f t="shared" si="17"/>
        <v>17782</v>
      </c>
      <c r="D14" s="538">
        <f t="shared" si="17"/>
        <v>17782</v>
      </c>
      <c r="E14" s="538">
        <f t="shared" si="17"/>
        <v>17782</v>
      </c>
      <c r="F14" s="538">
        <f t="shared" si="17"/>
        <v>17782</v>
      </c>
      <c r="G14" s="538">
        <f t="shared" si="17"/>
        <v>17782</v>
      </c>
      <c r="H14" s="538">
        <f t="shared" si="17"/>
        <v>17782</v>
      </c>
      <c r="I14" s="538">
        <f t="shared" si="17"/>
        <v>17782</v>
      </c>
      <c r="J14" s="538">
        <f t="shared" si="17"/>
        <v>17782</v>
      </c>
      <c r="K14" s="538">
        <f t="shared" si="17"/>
        <v>17782</v>
      </c>
      <c r="L14" s="538">
        <f t="shared" si="17"/>
        <v>17782</v>
      </c>
      <c r="M14" s="538">
        <f t="shared" si="17"/>
        <v>17782</v>
      </c>
      <c r="N14" s="538">
        <f t="shared" si="17"/>
        <v>17782</v>
      </c>
      <c r="O14" s="537">
        <f t="shared" si="17"/>
        <v>213384</v>
      </c>
      <c r="Q14" s="50"/>
      <c r="R14" s="51"/>
      <c r="S14" s="494"/>
      <c r="T14" s="494"/>
      <c r="U14" s="49"/>
      <c r="V14" s="50"/>
      <c r="W14" s="494"/>
    </row>
    <row r="15" spans="1:23" ht="22.5" customHeight="1" thickBot="1">
      <c r="A15" s="539" t="s">
        <v>364</v>
      </c>
      <c r="B15" s="540">
        <f>+B11+B14+B12</f>
        <v>293961</v>
      </c>
      <c r="C15" s="541">
        <f>+C11+C14+C12</f>
        <v>25535</v>
      </c>
      <c r="D15" s="542">
        <f t="shared" ref="D15:N15" si="18">+D11+D14+D12</f>
        <v>25535</v>
      </c>
      <c r="E15" s="542">
        <f t="shared" si="18"/>
        <v>25535</v>
      </c>
      <c r="F15" s="542">
        <f t="shared" si="18"/>
        <v>25535</v>
      </c>
      <c r="G15" s="542">
        <f t="shared" si="18"/>
        <v>25535</v>
      </c>
      <c r="H15" s="542">
        <f t="shared" si="18"/>
        <v>25535</v>
      </c>
      <c r="I15" s="542">
        <f t="shared" si="18"/>
        <v>25535</v>
      </c>
      <c r="J15" s="542">
        <f t="shared" si="18"/>
        <v>25535</v>
      </c>
      <c r="K15" s="542">
        <f t="shared" si="18"/>
        <v>25535</v>
      </c>
      <c r="L15" s="542">
        <f t="shared" si="18"/>
        <v>25535</v>
      </c>
      <c r="M15" s="542">
        <f t="shared" si="18"/>
        <v>25535</v>
      </c>
      <c r="N15" s="543">
        <f t="shared" si="18"/>
        <v>25534</v>
      </c>
      <c r="O15" s="540">
        <f>+O11+O14+O12</f>
        <v>306419</v>
      </c>
      <c r="Q15" s="50"/>
      <c r="R15" s="51"/>
      <c r="S15" s="494"/>
      <c r="T15" s="494"/>
      <c r="U15" s="49"/>
      <c r="V15" s="50"/>
      <c r="W15" s="494"/>
    </row>
    <row r="16" spans="1:23" ht="28.5" customHeight="1" thickBot="1">
      <c r="A16" s="131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Q16" s="50"/>
      <c r="R16" s="51"/>
      <c r="S16" s="494"/>
      <c r="T16" s="494"/>
      <c r="U16" s="49"/>
      <c r="V16" s="50"/>
      <c r="W16" s="494"/>
    </row>
    <row r="17" spans="1:22" ht="37.5" customHeight="1">
      <c r="A17" s="121" t="s">
        <v>58</v>
      </c>
      <c r="B17" s="12"/>
      <c r="C17" s="12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126"/>
      <c r="O17" s="80"/>
    </row>
    <row r="18" spans="1:22" ht="13.5" thickBot="1">
      <c r="A18" s="122" t="s">
        <v>85</v>
      </c>
      <c r="B18" s="55">
        <f>+'[4]7.SZ.TÁBL. PÉNZE. ÁTAD - ÁTVÉT'!$O$18</f>
        <v>6610</v>
      </c>
      <c r="C18" s="40">
        <f>+$S$18</f>
        <v>577</v>
      </c>
      <c r="D18" s="39">
        <f t="shared" ref="D18:M18" si="19">+$S$18</f>
        <v>577</v>
      </c>
      <c r="E18" s="39">
        <f t="shared" si="19"/>
        <v>577</v>
      </c>
      <c r="F18" s="39">
        <f t="shared" si="19"/>
        <v>577</v>
      </c>
      <c r="G18" s="39">
        <f t="shared" si="19"/>
        <v>577</v>
      </c>
      <c r="H18" s="39">
        <f t="shared" si="19"/>
        <v>577</v>
      </c>
      <c r="I18" s="39">
        <f t="shared" si="19"/>
        <v>577</v>
      </c>
      <c r="J18" s="39">
        <f t="shared" si="19"/>
        <v>577</v>
      </c>
      <c r="K18" s="39">
        <f t="shared" si="19"/>
        <v>577</v>
      </c>
      <c r="L18" s="39">
        <f t="shared" si="19"/>
        <v>577</v>
      </c>
      <c r="M18" s="39">
        <f t="shared" si="19"/>
        <v>577</v>
      </c>
      <c r="N18" s="127">
        <f>+U18</f>
        <v>579</v>
      </c>
      <c r="O18" s="55">
        <f>SUM(C18:N18)</f>
        <v>6926</v>
      </c>
      <c r="Q18" s="21">
        <f>+'1.1.SZ.TÁBL. BEV - KIAD'!P86</f>
        <v>6926</v>
      </c>
      <c r="R18" s="20">
        <f>+Q18/12</f>
        <v>577.16666666666663</v>
      </c>
      <c r="S18" s="18">
        <v>577</v>
      </c>
      <c r="T18" s="18"/>
      <c r="U18" s="18">
        <f>+Q18-SUM(C18:M18)</f>
        <v>579</v>
      </c>
    </row>
    <row r="19" spans="1:22" ht="13.5" thickBot="1">
      <c r="A19" s="42" t="s">
        <v>21</v>
      </c>
      <c r="B19" s="57">
        <f>SUM(B18)</f>
        <v>6610</v>
      </c>
      <c r="C19" s="44">
        <f>SUM(C18)</f>
        <v>577</v>
      </c>
      <c r="D19" s="43">
        <f t="shared" ref="D19:N19" si="20">SUM(D18)</f>
        <v>577</v>
      </c>
      <c r="E19" s="43">
        <f t="shared" si="20"/>
        <v>577</v>
      </c>
      <c r="F19" s="43">
        <f t="shared" si="20"/>
        <v>577</v>
      </c>
      <c r="G19" s="43">
        <f t="shared" si="20"/>
        <v>577</v>
      </c>
      <c r="H19" s="43">
        <f t="shared" si="20"/>
        <v>577</v>
      </c>
      <c r="I19" s="43">
        <f t="shared" si="20"/>
        <v>577</v>
      </c>
      <c r="J19" s="43">
        <f t="shared" si="20"/>
        <v>577</v>
      </c>
      <c r="K19" s="43">
        <f t="shared" si="20"/>
        <v>577</v>
      </c>
      <c r="L19" s="43">
        <f t="shared" si="20"/>
        <v>577</v>
      </c>
      <c r="M19" s="43">
        <f t="shared" si="20"/>
        <v>577</v>
      </c>
      <c r="N19" s="86">
        <f t="shared" si="20"/>
        <v>579</v>
      </c>
      <c r="O19" s="57">
        <f>SUM(O18)</f>
        <v>6926</v>
      </c>
      <c r="Q19" s="21"/>
      <c r="R19" s="18"/>
      <c r="S19" s="18"/>
      <c r="T19" s="18"/>
      <c r="U19" s="18"/>
      <c r="V19" s="18"/>
    </row>
    <row r="20" spans="1:22" ht="37.5" customHeight="1">
      <c r="A20" s="121" t="s">
        <v>87</v>
      </c>
      <c r="B20" s="80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6"/>
      <c r="O20" s="80"/>
      <c r="Q20" s="21"/>
      <c r="R20" s="20"/>
      <c r="S20" s="18"/>
      <c r="T20" s="18"/>
      <c r="U20" s="18"/>
      <c r="V20" s="18"/>
    </row>
    <row r="21" spans="1:22">
      <c r="A21" s="123" t="s">
        <v>348</v>
      </c>
      <c r="B21" s="56">
        <f>+'[4]7.SZ.TÁBL. PÉNZE. ÁTAD - ÁTVÉT'!$O$21</f>
        <v>0</v>
      </c>
      <c r="C21" s="40">
        <f>+$S$21</f>
        <v>0</v>
      </c>
      <c r="D21" s="125">
        <f t="shared" ref="D21:M21" si="21">+$S$21</f>
        <v>0</v>
      </c>
      <c r="E21" s="125">
        <f t="shared" si="21"/>
        <v>0</v>
      </c>
      <c r="F21" s="125">
        <f t="shared" si="21"/>
        <v>0</v>
      </c>
      <c r="G21" s="125">
        <f t="shared" si="21"/>
        <v>0</v>
      </c>
      <c r="H21" s="125">
        <f t="shared" si="21"/>
        <v>0</v>
      </c>
      <c r="I21" s="125">
        <f t="shared" si="21"/>
        <v>0</v>
      </c>
      <c r="J21" s="125">
        <f t="shared" si="21"/>
        <v>0</v>
      </c>
      <c r="K21" s="125">
        <f t="shared" si="21"/>
        <v>0</v>
      </c>
      <c r="L21" s="125">
        <f t="shared" si="21"/>
        <v>0</v>
      </c>
      <c r="M21" s="125">
        <f t="shared" si="21"/>
        <v>0</v>
      </c>
      <c r="N21" s="127">
        <f>+U21</f>
        <v>0</v>
      </c>
      <c r="O21" s="55">
        <f>SUM(C21:N21)</f>
        <v>0</v>
      </c>
      <c r="Q21" s="21">
        <f>+'4.SZ.TÁBL. ÓVODA'!I91</f>
        <v>0</v>
      </c>
      <c r="R21" s="45">
        <f>+Q21/12</f>
        <v>0</v>
      </c>
      <c r="S21" s="45">
        <v>0</v>
      </c>
      <c r="T21" s="18"/>
      <c r="U21" s="18">
        <f>+Q21-SUM(C21:M21)</f>
        <v>0</v>
      </c>
    </row>
    <row r="22" spans="1:22" ht="13.5" thickBot="1">
      <c r="A22" s="123" t="s">
        <v>349</v>
      </c>
      <c r="B22" s="56">
        <f>+'[4]7.SZ.TÁBL. PÉNZE. ÁTAD - ÁTVÉT'!$O$22</f>
        <v>8107</v>
      </c>
      <c r="C22" s="40">
        <f>+$S$22</f>
        <v>221</v>
      </c>
      <c r="D22" s="125">
        <f t="shared" ref="D22:M22" si="22">+$S$22</f>
        <v>221</v>
      </c>
      <c r="E22" s="125">
        <f t="shared" si="22"/>
        <v>221</v>
      </c>
      <c r="F22" s="125">
        <f t="shared" si="22"/>
        <v>221</v>
      </c>
      <c r="G22" s="125">
        <f t="shared" si="22"/>
        <v>221</v>
      </c>
      <c r="H22" s="125">
        <f t="shared" si="22"/>
        <v>221</v>
      </c>
      <c r="I22" s="125">
        <f t="shared" si="22"/>
        <v>221</v>
      </c>
      <c r="J22" s="125">
        <f t="shared" si="22"/>
        <v>221</v>
      </c>
      <c r="K22" s="125">
        <f t="shared" si="22"/>
        <v>221</v>
      </c>
      <c r="L22" s="125">
        <f t="shared" si="22"/>
        <v>221</v>
      </c>
      <c r="M22" s="125">
        <f t="shared" si="22"/>
        <v>221</v>
      </c>
      <c r="N22" s="127">
        <f>+U22</f>
        <v>223</v>
      </c>
      <c r="O22" s="55">
        <f>SUM(C22:N22)</f>
        <v>2654</v>
      </c>
      <c r="Q22" s="21">
        <f>+'4.SZ.TÁBL. ÓVODA'!M91</f>
        <v>2654</v>
      </c>
      <c r="R22" s="45">
        <f>+Q22/12</f>
        <v>221.16666666666666</v>
      </c>
      <c r="S22" s="45">
        <v>221</v>
      </c>
      <c r="T22" s="18"/>
      <c r="U22" s="18">
        <f>+Q22-SUM(C22:M22)</f>
        <v>223</v>
      </c>
    </row>
    <row r="23" spans="1:22" ht="13.5" thickBot="1">
      <c r="A23" s="124" t="s">
        <v>21</v>
      </c>
      <c r="B23" s="57">
        <f>SUM(B21:B22)</f>
        <v>8107</v>
      </c>
      <c r="C23" s="44">
        <f t="shared" ref="C23:O23" si="23">SUM(C21:C22)</f>
        <v>221</v>
      </c>
      <c r="D23" s="43">
        <f t="shared" si="23"/>
        <v>221</v>
      </c>
      <c r="E23" s="43">
        <f t="shared" si="23"/>
        <v>221</v>
      </c>
      <c r="F23" s="43">
        <f t="shared" si="23"/>
        <v>221</v>
      </c>
      <c r="G23" s="43">
        <f t="shared" si="23"/>
        <v>221</v>
      </c>
      <c r="H23" s="43">
        <f t="shared" si="23"/>
        <v>221</v>
      </c>
      <c r="I23" s="43">
        <f t="shared" si="23"/>
        <v>221</v>
      </c>
      <c r="J23" s="43">
        <f t="shared" si="23"/>
        <v>221</v>
      </c>
      <c r="K23" s="43">
        <f t="shared" si="23"/>
        <v>221</v>
      </c>
      <c r="L23" s="43">
        <f t="shared" si="23"/>
        <v>221</v>
      </c>
      <c r="M23" s="43">
        <f t="shared" si="23"/>
        <v>221</v>
      </c>
      <c r="N23" s="86">
        <f t="shared" si="23"/>
        <v>223</v>
      </c>
      <c r="O23" s="57">
        <f t="shared" si="23"/>
        <v>2654</v>
      </c>
      <c r="Q23" s="21">
        <f>SUM(Q18:Q22)</f>
        <v>9580</v>
      </c>
    </row>
    <row r="91" spans="1:5">
      <c r="A91" s="24"/>
      <c r="B91" s="24"/>
      <c r="C91" s="24"/>
      <c r="D91" s="24"/>
      <c r="E91" s="24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Roman,Félkövér"&amp;14
&amp;16 2017. ÉVI KÖLTSÉGVETÉS&amp;14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Q90"/>
  <sheetViews>
    <sheetView topLeftCell="A10" workbookViewId="0">
      <selection activeCell="J26" sqref="J26"/>
    </sheetView>
  </sheetViews>
  <sheetFormatPr defaultColWidth="9.140625" defaultRowHeight="15"/>
  <cols>
    <col min="1" max="1" width="32.42578125" style="26" customWidth="1"/>
    <col min="2" max="2" width="9.7109375" style="578" customWidth="1"/>
    <col min="3" max="10" width="8" style="578" bestFit="1" customWidth="1"/>
    <col min="11" max="11" width="10.140625" style="578" bestFit="1" customWidth="1"/>
    <col min="12" max="12" width="8" style="578" bestFit="1" customWidth="1"/>
    <col min="13" max="13" width="8.7109375" style="578" customWidth="1"/>
    <col min="14" max="14" width="8.85546875" style="579" bestFit="1" customWidth="1"/>
    <col min="15" max="15" width="9.7109375" style="578" customWidth="1"/>
    <col min="16" max="16" width="11.5703125" style="26" bestFit="1" customWidth="1"/>
    <col min="17" max="16384" width="9.140625" style="26"/>
  </cols>
  <sheetData>
    <row r="1" spans="1:17" ht="24.75" customHeight="1">
      <c r="A1" s="556" t="s">
        <v>175</v>
      </c>
      <c r="B1" s="549" t="s">
        <v>365</v>
      </c>
      <c r="C1" s="569" t="s">
        <v>60</v>
      </c>
      <c r="D1" s="548" t="s">
        <v>61</v>
      </c>
      <c r="E1" s="548" t="s">
        <v>62</v>
      </c>
      <c r="F1" s="548" t="s">
        <v>63</v>
      </c>
      <c r="G1" s="548" t="s">
        <v>64</v>
      </c>
      <c r="H1" s="548" t="s">
        <v>65</v>
      </c>
      <c r="I1" s="548" t="s">
        <v>66</v>
      </c>
      <c r="J1" s="548" t="s">
        <v>366</v>
      </c>
      <c r="K1" s="548" t="s">
        <v>67</v>
      </c>
      <c r="L1" s="548" t="s">
        <v>68</v>
      </c>
      <c r="M1" s="548" t="s">
        <v>69</v>
      </c>
      <c r="N1" s="573" t="s">
        <v>70</v>
      </c>
      <c r="O1" s="550" t="s">
        <v>367</v>
      </c>
    </row>
    <row r="2" spans="1:17" ht="23.25" customHeight="1">
      <c r="A2" s="557" t="s">
        <v>43</v>
      </c>
      <c r="B2" s="572"/>
      <c r="C2" s="570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74"/>
      <c r="O2" s="576"/>
    </row>
    <row r="3" spans="1:17" ht="15" customHeight="1">
      <c r="A3" s="558" t="s">
        <v>376</v>
      </c>
      <c r="B3" s="584">
        <f>+'1.1.SZ.TÁBL. BEV - KIAD'!T7</f>
        <v>335639</v>
      </c>
      <c r="C3" s="585">
        <v>27970</v>
      </c>
      <c r="D3" s="585">
        <v>27970</v>
      </c>
      <c r="E3" s="585">
        <v>27970</v>
      </c>
      <c r="F3" s="585">
        <v>27970</v>
      </c>
      <c r="G3" s="585">
        <v>27970</v>
      </c>
      <c r="H3" s="585">
        <v>27970</v>
      </c>
      <c r="I3" s="585">
        <v>27970</v>
      </c>
      <c r="J3" s="585">
        <v>27970</v>
      </c>
      <c r="K3" s="585">
        <v>27970</v>
      </c>
      <c r="L3" s="585">
        <v>27970</v>
      </c>
      <c r="M3" s="585">
        <v>27970</v>
      </c>
      <c r="N3" s="585">
        <v>27969</v>
      </c>
      <c r="O3" s="586">
        <f>SUM(C3:N3)</f>
        <v>335639</v>
      </c>
      <c r="P3" s="27"/>
    </row>
    <row r="4" spans="1:17" ht="15" customHeight="1">
      <c r="A4" s="558" t="s">
        <v>127</v>
      </c>
      <c r="B4" s="584">
        <f>+'1.1.SZ.TÁBL. BEV - KIAD'!T21</f>
        <v>10656</v>
      </c>
      <c r="C4" s="585">
        <v>888</v>
      </c>
      <c r="D4" s="585">
        <v>888</v>
      </c>
      <c r="E4" s="585">
        <v>888</v>
      </c>
      <c r="F4" s="585">
        <v>888</v>
      </c>
      <c r="G4" s="585">
        <v>888</v>
      </c>
      <c r="H4" s="585">
        <v>888</v>
      </c>
      <c r="I4" s="585">
        <v>888</v>
      </c>
      <c r="J4" s="585">
        <v>888</v>
      </c>
      <c r="K4" s="585">
        <v>888</v>
      </c>
      <c r="L4" s="585">
        <v>888</v>
      </c>
      <c r="M4" s="585">
        <v>888</v>
      </c>
      <c r="N4" s="585">
        <v>888</v>
      </c>
      <c r="O4" s="586">
        <f t="shared" ref="O4:O5" si="0">SUM(C4:N4)</f>
        <v>10656</v>
      </c>
    </row>
    <row r="5" spans="1:17" ht="15" customHeight="1">
      <c r="A5" s="559" t="s">
        <v>372</v>
      </c>
      <c r="B5" s="589"/>
      <c r="C5" s="590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2"/>
      <c r="O5" s="593">
        <f t="shared" si="0"/>
        <v>0</v>
      </c>
    </row>
    <row r="6" spans="1:17" ht="15" customHeight="1">
      <c r="A6" s="560" t="s">
        <v>374</v>
      </c>
      <c r="B6" s="594">
        <f>+SUM(B3:B5)</f>
        <v>346295</v>
      </c>
      <c r="C6" s="595">
        <f t="shared" ref="C6:O6" si="1">+SUM(C3:C5)</f>
        <v>28858</v>
      </c>
      <c r="D6" s="596">
        <f t="shared" si="1"/>
        <v>28858</v>
      </c>
      <c r="E6" s="596">
        <f t="shared" si="1"/>
        <v>28858</v>
      </c>
      <c r="F6" s="596">
        <f t="shared" si="1"/>
        <v>28858</v>
      </c>
      <c r="G6" s="596">
        <f t="shared" si="1"/>
        <v>28858</v>
      </c>
      <c r="H6" s="596">
        <f t="shared" si="1"/>
        <v>28858</v>
      </c>
      <c r="I6" s="596">
        <f t="shared" si="1"/>
        <v>28858</v>
      </c>
      <c r="J6" s="596">
        <f t="shared" si="1"/>
        <v>28858</v>
      </c>
      <c r="K6" s="596">
        <f t="shared" si="1"/>
        <v>28858</v>
      </c>
      <c r="L6" s="596">
        <f t="shared" si="1"/>
        <v>28858</v>
      </c>
      <c r="M6" s="596">
        <f t="shared" si="1"/>
        <v>28858</v>
      </c>
      <c r="N6" s="597">
        <f t="shared" si="1"/>
        <v>28857</v>
      </c>
      <c r="O6" s="598">
        <f t="shared" si="1"/>
        <v>346295</v>
      </c>
    </row>
    <row r="7" spans="1:17" s="58" customFormat="1" ht="15" customHeight="1">
      <c r="A7" s="561" t="s">
        <v>373</v>
      </c>
      <c r="B7" s="599">
        <f>+'1.SZ.TÁBL. TÁRSULÁS KON. MÉRLEG'!C11</f>
        <v>0</v>
      </c>
      <c r="C7" s="600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2"/>
      <c r="O7" s="603">
        <f>SUM(C7:N7)</f>
        <v>0</v>
      </c>
    </row>
    <row r="8" spans="1:17" ht="15" customHeight="1">
      <c r="A8" s="558" t="s">
        <v>128</v>
      </c>
      <c r="B8" s="584"/>
      <c r="C8" s="585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8"/>
      <c r="O8" s="604">
        <f t="shared" ref="O8:O9" si="2">SUM(C8:N8)</f>
        <v>0</v>
      </c>
      <c r="P8" s="27"/>
    </row>
    <row r="9" spans="1:17" ht="15" customHeight="1">
      <c r="A9" s="559" t="s">
        <v>375</v>
      </c>
      <c r="B9" s="589"/>
      <c r="C9" s="590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605">
        <f t="shared" si="2"/>
        <v>0</v>
      </c>
      <c r="P9" s="27"/>
      <c r="Q9" s="27"/>
    </row>
    <row r="10" spans="1:17" ht="15" customHeight="1">
      <c r="A10" s="560" t="s">
        <v>377</v>
      </c>
      <c r="B10" s="594">
        <f>+SUM(B7:B9)</f>
        <v>0</v>
      </c>
      <c r="C10" s="595">
        <f t="shared" ref="C10:N10" si="3">+SUM(C7:C9)</f>
        <v>0</v>
      </c>
      <c r="D10" s="596">
        <f t="shared" si="3"/>
        <v>0</v>
      </c>
      <c r="E10" s="596">
        <f t="shared" si="3"/>
        <v>0</v>
      </c>
      <c r="F10" s="596">
        <f t="shared" si="3"/>
        <v>0</v>
      </c>
      <c r="G10" s="596">
        <f t="shared" si="3"/>
        <v>0</v>
      </c>
      <c r="H10" s="596">
        <f t="shared" si="3"/>
        <v>0</v>
      </c>
      <c r="I10" s="596">
        <f t="shared" si="3"/>
        <v>0</v>
      </c>
      <c r="J10" s="596">
        <f t="shared" si="3"/>
        <v>0</v>
      </c>
      <c r="K10" s="596">
        <f t="shared" si="3"/>
        <v>0</v>
      </c>
      <c r="L10" s="596">
        <f t="shared" si="3"/>
        <v>0</v>
      </c>
      <c r="M10" s="596">
        <f t="shared" si="3"/>
        <v>0</v>
      </c>
      <c r="N10" s="597">
        <f t="shared" si="3"/>
        <v>0</v>
      </c>
      <c r="O10" s="598">
        <f>+SUM(O7:O9)</f>
        <v>0</v>
      </c>
      <c r="Q10" s="27"/>
    </row>
    <row r="11" spans="1:17" ht="15" customHeight="1">
      <c r="A11" s="561" t="s">
        <v>368</v>
      </c>
      <c r="B11" s="599"/>
      <c r="C11" s="600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2"/>
      <c r="O11" s="603"/>
      <c r="P11" s="27"/>
      <c r="Q11" s="27"/>
    </row>
    <row r="12" spans="1:17" ht="15" customHeight="1">
      <c r="A12" s="558" t="s">
        <v>95</v>
      </c>
      <c r="B12" s="584"/>
      <c r="C12" s="585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8"/>
      <c r="O12" s="604">
        <f>SUM(C12:N12)</f>
        <v>0</v>
      </c>
      <c r="P12" s="27"/>
    </row>
    <row r="13" spans="1:17" ht="15" customHeight="1">
      <c r="A13" s="559" t="s">
        <v>101</v>
      </c>
      <c r="B13" s="589"/>
      <c r="C13" s="590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2"/>
      <c r="O13" s="605">
        <f>SUM(C13:N13)</f>
        <v>0</v>
      </c>
      <c r="P13" s="27"/>
    </row>
    <row r="14" spans="1:17" ht="15" customHeight="1">
      <c r="A14" s="186" t="s">
        <v>132</v>
      </c>
      <c r="B14" s="594">
        <f>+B13+B12</f>
        <v>0</v>
      </c>
      <c r="C14" s="595">
        <f t="shared" ref="C14:O14" si="4">+C13+C12</f>
        <v>0</v>
      </c>
      <c r="D14" s="596">
        <f t="shared" si="4"/>
        <v>0</v>
      </c>
      <c r="E14" s="596">
        <f t="shared" si="4"/>
        <v>0</v>
      </c>
      <c r="F14" s="596">
        <f t="shared" si="4"/>
        <v>0</v>
      </c>
      <c r="G14" s="596">
        <f t="shared" si="4"/>
        <v>0</v>
      </c>
      <c r="H14" s="596">
        <f t="shared" si="4"/>
        <v>0</v>
      </c>
      <c r="I14" s="596">
        <f t="shared" si="4"/>
        <v>0</v>
      </c>
      <c r="J14" s="596">
        <f t="shared" si="4"/>
        <v>0</v>
      </c>
      <c r="K14" s="596">
        <f t="shared" si="4"/>
        <v>0</v>
      </c>
      <c r="L14" s="596">
        <f t="shared" si="4"/>
        <v>0</v>
      </c>
      <c r="M14" s="596">
        <f t="shared" si="4"/>
        <v>0</v>
      </c>
      <c r="N14" s="597">
        <f t="shared" si="4"/>
        <v>0</v>
      </c>
      <c r="O14" s="598">
        <f t="shared" si="4"/>
        <v>0</v>
      </c>
    </row>
    <row r="15" spans="1:17" s="58" customFormat="1" ht="15" customHeight="1">
      <c r="A15" s="186" t="s">
        <v>369</v>
      </c>
      <c r="B15" s="594">
        <f>+B14</f>
        <v>0</v>
      </c>
      <c r="C15" s="595">
        <f t="shared" ref="C15:O15" si="5">+C14</f>
        <v>0</v>
      </c>
      <c r="D15" s="596">
        <f t="shared" si="5"/>
        <v>0</v>
      </c>
      <c r="E15" s="596">
        <f t="shared" si="5"/>
        <v>0</v>
      </c>
      <c r="F15" s="596">
        <f t="shared" si="5"/>
        <v>0</v>
      </c>
      <c r="G15" s="596">
        <f t="shared" si="5"/>
        <v>0</v>
      </c>
      <c r="H15" s="596">
        <f t="shared" si="5"/>
        <v>0</v>
      </c>
      <c r="I15" s="596">
        <f t="shared" si="5"/>
        <v>0</v>
      </c>
      <c r="J15" s="596">
        <f t="shared" si="5"/>
        <v>0</v>
      </c>
      <c r="K15" s="596">
        <f t="shared" si="5"/>
        <v>0</v>
      </c>
      <c r="L15" s="596">
        <f t="shared" si="5"/>
        <v>0</v>
      </c>
      <c r="M15" s="596">
        <f t="shared" si="5"/>
        <v>0</v>
      </c>
      <c r="N15" s="597">
        <f t="shared" si="5"/>
        <v>0</v>
      </c>
      <c r="O15" s="598">
        <f t="shared" si="5"/>
        <v>0</v>
      </c>
    </row>
    <row r="16" spans="1:17" ht="16.5" customHeight="1">
      <c r="A16" s="562" t="s">
        <v>0</v>
      </c>
      <c r="B16" s="606">
        <f>+B15+B10+B6</f>
        <v>346295</v>
      </c>
      <c r="C16" s="607">
        <f t="shared" ref="C16:O16" si="6">+C15+C10+C6</f>
        <v>28858</v>
      </c>
      <c r="D16" s="608">
        <f t="shared" si="6"/>
        <v>28858</v>
      </c>
      <c r="E16" s="608">
        <f t="shared" si="6"/>
        <v>28858</v>
      </c>
      <c r="F16" s="608">
        <f t="shared" si="6"/>
        <v>28858</v>
      </c>
      <c r="G16" s="608">
        <f t="shared" si="6"/>
        <v>28858</v>
      </c>
      <c r="H16" s="608">
        <f t="shared" si="6"/>
        <v>28858</v>
      </c>
      <c r="I16" s="608">
        <f t="shared" si="6"/>
        <v>28858</v>
      </c>
      <c r="J16" s="608">
        <f t="shared" si="6"/>
        <v>28858</v>
      </c>
      <c r="K16" s="608">
        <f t="shared" si="6"/>
        <v>28858</v>
      </c>
      <c r="L16" s="608">
        <f t="shared" si="6"/>
        <v>28858</v>
      </c>
      <c r="M16" s="608">
        <f t="shared" si="6"/>
        <v>28858</v>
      </c>
      <c r="N16" s="609">
        <f t="shared" si="6"/>
        <v>28857</v>
      </c>
      <c r="O16" s="610">
        <f t="shared" si="6"/>
        <v>346295</v>
      </c>
    </row>
    <row r="17" spans="1:15" ht="23.25" customHeight="1">
      <c r="A17" s="557" t="s">
        <v>84</v>
      </c>
      <c r="B17" s="611"/>
      <c r="C17" s="612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4"/>
      <c r="O17" s="615"/>
    </row>
    <row r="18" spans="1:15" s="28" customFormat="1">
      <c r="A18" s="563" t="s">
        <v>136</v>
      </c>
      <c r="B18" s="584">
        <f>+'1.SZ.TÁBL. TÁRSULÁS KON. MÉRLEG'!I2</f>
        <v>191344</v>
      </c>
      <c r="C18" s="585">
        <v>15945</v>
      </c>
      <c r="D18" s="585">
        <v>15945</v>
      </c>
      <c r="E18" s="585">
        <v>15945</v>
      </c>
      <c r="F18" s="585">
        <v>15945</v>
      </c>
      <c r="G18" s="585">
        <v>15945</v>
      </c>
      <c r="H18" s="585">
        <v>15945</v>
      </c>
      <c r="I18" s="585">
        <v>15945</v>
      </c>
      <c r="J18" s="585">
        <v>15945</v>
      </c>
      <c r="K18" s="585">
        <v>15945</v>
      </c>
      <c r="L18" s="585">
        <v>15945</v>
      </c>
      <c r="M18" s="585">
        <v>15945</v>
      </c>
      <c r="N18" s="588">
        <v>15949</v>
      </c>
      <c r="O18" s="586">
        <f>SUM(C18:N18)</f>
        <v>191344</v>
      </c>
    </row>
    <row r="19" spans="1:15" s="28" customFormat="1" ht="25.5">
      <c r="A19" s="563" t="s">
        <v>137</v>
      </c>
      <c r="B19" s="584">
        <f>+'1.SZ.TÁBL. TÁRSULÁS KON. MÉRLEG'!I3</f>
        <v>46578</v>
      </c>
      <c r="C19" s="585">
        <v>3882</v>
      </c>
      <c r="D19" s="585">
        <v>3882</v>
      </c>
      <c r="E19" s="585">
        <v>3882</v>
      </c>
      <c r="F19" s="585">
        <v>3882</v>
      </c>
      <c r="G19" s="585">
        <v>3882</v>
      </c>
      <c r="H19" s="585">
        <v>3882</v>
      </c>
      <c r="I19" s="585">
        <v>3882</v>
      </c>
      <c r="J19" s="585">
        <v>3882</v>
      </c>
      <c r="K19" s="585">
        <v>3882</v>
      </c>
      <c r="L19" s="585">
        <v>3882</v>
      </c>
      <c r="M19" s="585">
        <v>3882</v>
      </c>
      <c r="N19" s="587">
        <v>3876</v>
      </c>
      <c r="O19" s="586">
        <f t="shared" ref="O19:O23" si="7">SUM(C19:N19)</f>
        <v>46578</v>
      </c>
    </row>
    <row r="20" spans="1:15" s="28" customFormat="1">
      <c r="A20" s="563" t="s">
        <v>143</v>
      </c>
      <c r="B20" s="584">
        <f>+'1.SZ.TÁBL. TÁRSULÁS KON. MÉRLEG'!I4</f>
        <v>95260</v>
      </c>
      <c r="C20" s="585">
        <v>7938</v>
      </c>
      <c r="D20" s="585">
        <v>7938</v>
      </c>
      <c r="E20" s="585">
        <v>7938</v>
      </c>
      <c r="F20" s="585">
        <v>7938</v>
      </c>
      <c r="G20" s="585">
        <v>7938</v>
      </c>
      <c r="H20" s="585">
        <v>7938</v>
      </c>
      <c r="I20" s="585">
        <v>7938</v>
      </c>
      <c r="J20" s="585">
        <v>7938</v>
      </c>
      <c r="K20" s="585">
        <v>7938</v>
      </c>
      <c r="L20" s="585">
        <v>7938</v>
      </c>
      <c r="M20" s="585">
        <v>7938</v>
      </c>
      <c r="N20" s="587">
        <v>7942</v>
      </c>
      <c r="O20" s="586">
        <f t="shared" si="7"/>
        <v>95260</v>
      </c>
    </row>
    <row r="21" spans="1:15">
      <c r="A21" s="564" t="s">
        <v>370</v>
      </c>
      <c r="B21" s="584"/>
      <c r="C21" s="585"/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8"/>
      <c r="O21" s="586">
        <f t="shared" si="7"/>
        <v>0</v>
      </c>
    </row>
    <row r="22" spans="1:15">
      <c r="A22" s="563" t="s">
        <v>144</v>
      </c>
      <c r="B22" s="584">
        <f>+'1.SZ.TÁBL. TÁRSULÁS KON. MÉRLEG'!I6</f>
        <v>9580</v>
      </c>
      <c r="C22" s="585">
        <v>798</v>
      </c>
      <c r="D22" s="585">
        <v>798</v>
      </c>
      <c r="E22" s="585">
        <v>798</v>
      </c>
      <c r="F22" s="585">
        <v>798</v>
      </c>
      <c r="G22" s="585">
        <v>798</v>
      </c>
      <c r="H22" s="585">
        <v>798</v>
      </c>
      <c r="I22" s="585">
        <v>798</v>
      </c>
      <c r="J22" s="585">
        <v>798</v>
      </c>
      <c r="K22" s="585">
        <v>798</v>
      </c>
      <c r="L22" s="585">
        <v>798</v>
      </c>
      <c r="M22" s="585">
        <v>798</v>
      </c>
      <c r="N22" s="587">
        <v>802</v>
      </c>
      <c r="O22" s="586">
        <f t="shared" si="7"/>
        <v>9580</v>
      </c>
    </row>
    <row r="23" spans="1:15">
      <c r="A23" s="565" t="s">
        <v>44</v>
      </c>
      <c r="B23" s="589">
        <f>+'1.SZ.TÁBL. TÁRSULÁS KON. MÉRLEG'!I7</f>
        <v>2199</v>
      </c>
      <c r="C23" s="590"/>
      <c r="D23" s="591"/>
      <c r="E23" s="591"/>
      <c r="F23" s="591"/>
      <c r="G23" s="591"/>
      <c r="H23" s="591"/>
      <c r="I23" s="591"/>
      <c r="J23" s="591"/>
      <c r="K23" s="591">
        <v>1099</v>
      </c>
      <c r="L23" s="591"/>
      <c r="M23" s="591">
        <v>1100</v>
      </c>
      <c r="N23" s="592"/>
      <c r="O23" s="593">
        <f t="shared" si="7"/>
        <v>2199</v>
      </c>
    </row>
    <row r="24" spans="1:15">
      <c r="A24" s="560" t="s">
        <v>378</v>
      </c>
      <c r="B24" s="552">
        <f>SUM(B18:B23)</f>
        <v>344961</v>
      </c>
      <c r="C24" s="571">
        <f>SUM(C18:C23)</f>
        <v>28563</v>
      </c>
      <c r="D24" s="555">
        <f t="shared" ref="D24:N24" si="8">SUM(D18:D23)</f>
        <v>28563</v>
      </c>
      <c r="E24" s="555">
        <f t="shared" si="8"/>
        <v>28563</v>
      </c>
      <c r="F24" s="555">
        <f t="shared" si="8"/>
        <v>28563</v>
      </c>
      <c r="G24" s="555">
        <f t="shared" si="8"/>
        <v>28563</v>
      </c>
      <c r="H24" s="555">
        <f t="shared" si="8"/>
        <v>28563</v>
      </c>
      <c r="I24" s="555">
        <f t="shared" si="8"/>
        <v>28563</v>
      </c>
      <c r="J24" s="555">
        <f t="shared" si="8"/>
        <v>28563</v>
      </c>
      <c r="K24" s="555">
        <f t="shared" si="8"/>
        <v>29662</v>
      </c>
      <c r="L24" s="555">
        <f t="shared" si="8"/>
        <v>28563</v>
      </c>
      <c r="M24" s="555">
        <f t="shared" si="8"/>
        <v>29663</v>
      </c>
      <c r="N24" s="575">
        <f t="shared" si="8"/>
        <v>28569</v>
      </c>
      <c r="O24" s="553">
        <f>SUM(O18:O23)</f>
        <v>344961</v>
      </c>
    </row>
    <row r="25" spans="1:15">
      <c r="A25" s="566" t="s">
        <v>99</v>
      </c>
      <c r="B25" s="599">
        <f>+'1.SZ.TÁBL. TÁRSULÁS KON. MÉRLEG'!I11</f>
        <v>1334</v>
      </c>
      <c r="C25" s="600"/>
      <c r="D25" s="601"/>
      <c r="E25" s="601"/>
      <c r="F25" s="601">
        <v>667</v>
      </c>
      <c r="G25" s="601"/>
      <c r="H25" s="601"/>
      <c r="I25" s="601"/>
      <c r="J25" s="601">
        <v>667</v>
      </c>
      <c r="K25" s="601"/>
      <c r="L25" s="601"/>
      <c r="M25" s="601"/>
      <c r="N25" s="602"/>
      <c r="O25" s="615">
        <f>SUM(C25:N25)</f>
        <v>1334</v>
      </c>
    </row>
    <row r="26" spans="1:15">
      <c r="A26" s="563" t="s">
        <v>145</v>
      </c>
      <c r="B26" s="584"/>
      <c r="C26" s="585"/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8"/>
      <c r="O26" s="586">
        <f>SUM(C26:N26)</f>
        <v>0</v>
      </c>
    </row>
    <row r="27" spans="1:15">
      <c r="A27" s="565" t="s">
        <v>146</v>
      </c>
      <c r="B27" s="589"/>
      <c r="C27" s="590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2"/>
      <c r="O27" s="593">
        <f>SUM(C27:N27)</f>
        <v>0</v>
      </c>
    </row>
    <row r="28" spans="1:15">
      <c r="A28" s="560" t="s">
        <v>379</v>
      </c>
      <c r="B28" s="594">
        <f>SUM(B25:B27)</f>
        <v>1334</v>
      </c>
      <c r="C28" s="595">
        <f t="shared" ref="C28:O28" si="9">SUM(C25:C27)</f>
        <v>0</v>
      </c>
      <c r="D28" s="596">
        <f t="shared" si="9"/>
        <v>0</v>
      </c>
      <c r="E28" s="596">
        <f t="shared" si="9"/>
        <v>0</v>
      </c>
      <c r="F28" s="596">
        <f t="shared" si="9"/>
        <v>667</v>
      </c>
      <c r="G28" s="596">
        <f t="shared" si="9"/>
        <v>0</v>
      </c>
      <c r="H28" s="596">
        <f t="shared" si="9"/>
        <v>0</v>
      </c>
      <c r="I28" s="596">
        <f t="shared" si="9"/>
        <v>0</v>
      </c>
      <c r="J28" s="596">
        <f t="shared" si="9"/>
        <v>667</v>
      </c>
      <c r="K28" s="596">
        <f t="shared" si="9"/>
        <v>0</v>
      </c>
      <c r="L28" s="596">
        <f t="shared" si="9"/>
        <v>0</v>
      </c>
      <c r="M28" s="596">
        <f t="shared" si="9"/>
        <v>0</v>
      </c>
      <c r="N28" s="597">
        <f t="shared" si="9"/>
        <v>0</v>
      </c>
      <c r="O28" s="598">
        <f t="shared" si="9"/>
        <v>1334</v>
      </c>
    </row>
    <row r="29" spans="1:15">
      <c r="A29" s="567" t="s">
        <v>148</v>
      </c>
      <c r="B29" s="594"/>
      <c r="C29" s="616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8"/>
      <c r="O29" s="610">
        <f>SUM(C29:N29)</f>
        <v>0</v>
      </c>
    </row>
    <row r="30" spans="1:15" ht="15.75" thickBot="1">
      <c r="A30" s="568" t="s">
        <v>294</v>
      </c>
      <c r="B30" s="619">
        <f>+B29+B28+B24</f>
        <v>346295</v>
      </c>
      <c r="C30" s="620">
        <f>+C29+C28+C24</f>
        <v>28563</v>
      </c>
      <c r="D30" s="621">
        <f t="shared" ref="D30:O30" si="10">+D29+D28+D24</f>
        <v>28563</v>
      </c>
      <c r="E30" s="621">
        <f t="shared" si="10"/>
        <v>28563</v>
      </c>
      <c r="F30" s="621">
        <f t="shared" si="10"/>
        <v>29230</v>
      </c>
      <c r="G30" s="621">
        <f t="shared" si="10"/>
        <v>28563</v>
      </c>
      <c r="H30" s="621">
        <f t="shared" si="10"/>
        <v>28563</v>
      </c>
      <c r="I30" s="621">
        <f t="shared" si="10"/>
        <v>28563</v>
      </c>
      <c r="J30" s="621">
        <f t="shared" si="10"/>
        <v>29230</v>
      </c>
      <c r="K30" s="621">
        <f t="shared" si="10"/>
        <v>29662</v>
      </c>
      <c r="L30" s="621">
        <f t="shared" si="10"/>
        <v>28563</v>
      </c>
      <c r="M30" s="621">
        <f t="shared" si="10"/>
        <v>29663</v>
      </c>
      <c r="N30" s="622">
        <f t="shared" si="10"/>
        <v>28569</v>
      </c>
      <c r="O30" s="623">
        <f t="shared" si="10"/>
        <v>346295</v>
      </c>
    </row>
    <row r="31" spans="1:15">
      <c r="A31" s="551"/>
      <c r="B31" s="624"/>
      <c r="C31" s="624"/>
      <c r="D31" s="624"/>
      <c r="E31" s="624"/>
      <c r="F31" s="624"/>
      <c r="G31" s="624"/>
      <c r="H31" s="624"/>
      <c r="I31" s="624"/>
      <c r="J31" s="624"/>
      <c r="K31" s="624"/>
      <c r="L31" s="624"/>
      <c r="M31" s="624"/>
      <c r="N31" s="624"/>
      <c r="O31" s="624"/>
    </row>
    <row r="32" spans="1:15">
      <c r="A32" s="577" t="s">
        <v>371</v>
      </c>
      <c r="B32" s="606">
        <f t="shared" ref="B32:O32" si="11">+B16-B30</f>
        <v>0</v>
      </c>
      <c r="C32" s="606">
        <f t="shared" si="11"/>
        <v>295</v>
      </c>
      <c r="D32" s="606">
        <f t="shared" si="11"/>
        <v>295</v>
      </c>
      <c r="E32" s="606">
        <f t="shared" si="11"/>
        <v>295</v>
      </c>
      <c r="F32" s="606">
        <f t="shared" si="11"/>
        <v>-372</v>
      </c>
      <c r="G32" s="606">
        <f t="shared" si="11"/>
        <v>295</v>
      </c>
      <c r="H32" s="606">
        <f t="shared" si="11"/>
        <v>295</v>
      </c>
      <c r="I32" s="606">
        <f t="shared" si="11"/>
        <v>295</v>
      </c>
      <c r="J32" s="606">
        <f t="shared" si="11"/>
        <v>-372</v>
      </c>
      <c r="K32" s="606">
        <f t="shared" si="11"/>
        <v>-804</v>
      </c>
      <c r="L32" s="606">
        <f t="shared" si="11"/>
        <v>295</v>
      </c>
      <c r="M32" s="606">
        <f t="shared" si="11"/>
        <v>-805</v>
      </c>
      <c r="N32" s="606">
        <f t="shared" si="11"/>
        <v>288</v>
      </c>
      <c r="O32" s="606">
        <f t="shared" si="11"/>
        <v>0</v>
      </c>
    </row>
    <row r="73" spans="1:4">
      <c r="A73" s="28"/>
      <c r="B73" s="580"/>
      <c r="C73" s="580"/>
      <c r="D73" s="580"/>
    </row>
    <row r="86" spans="1:8">
      <c r="A86" s="59"/>
      <c r="B86" s="581"/>
      <c r="C86" s="581"/>
      <c r="D86" s="581"/>
      <c r="E86" s="581"/>
      <c r="F86" s="581"/>
      <c r="G86" s="581"/>
      <c r="H86" s="581"/>
    </row>
    <row r="87" spans="1:8">
      <c r="A87" s="60"/>
      <c r="B87" s="582"/>
      <c r="C87" s="582"/>
      <c r="D87" s="582"/>
      <c r="E87" s="582"/>
      <c r="F87" s="582"/>
      <c r="G87" s="582"/>
      <c r="H87" s="582"/>
    </row>
    <row r="88" spans="1:8">
      <c r="A88" s="60"/>
      <c r="B88" s="582"/>
      <c r="C88" s="582"/>
      <c r="D88" s="582"/>
      <c r="E88" s="582"/>
      <c r="F88" s="582"/>
      <c r="G88" s="582"/>
      <c r="H88" s="582"/>
    </row>
    <row r="89" spans="1:8">
      <c r="A89" s="60"/>
      <c r="B89" s="582"/>
      <c r="C89" s="582"/>
      <c r="D89" s="582"/>
      <c r="E89" s="582"/>
      <c r="F89" s="582"/>
      <c r="G89" s="582"/>
      <c r="H89" s="582"/>
    </row>
    <row r="90" spans="1:8">
      <c r="A90" s="61"/>
      <c r="B90" s="583"/>
      <c r="C90" s="583"/>
      <c r="D90" s="583"/>
      <c r="E90" s="583"/>
      <c r="F90" s="583"/>
      <c r="G90" s="583"/>
      <c r="H90" s="583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1" orientation="landscape" r:id="rId1"/>
  <headerFooter alignWithMargins="0">
    <oddHeader>&amp;L&amp;"Times New Roman,Félkövér"&amp;13Szent László Völgye TKT&amp;C&amp;"Times New Roman,Félkövér"&amp;14
&amp;16 2017. ÉVI KÖLTSÉGVETÉS&amp;14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2016-12-09T10:13:01Z</cp:lastPrinted>
  <dcterms:created xsi:type="dcterms:W3CDTF">2011-02-23T07:11:55Z</dcterms:created>
  <dcterms:modified xsi:type="dcterms:W3CDTF">2016-12-13T15:12:12Z</dcterms:modified>
</cp:coreProperties>
</file>