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9735"/>
  </bookViews>
  <sheets>
    <sheet name="1.SZ.TÁBL. TÁRSULÁS KON. MÉRLEG" sheetId="22" r:id="rId1"/>
    <sheet name="1.1.SZ.TÁBL. BEV - KIAD" sheetId="1" r:id="rId2"/>
    <sheet name="2.SZ.TÁBL. BEVÉTELEK" sheetId="2" r:id="rId3"/>
    <sheet name="3.SZ.TÁBL. SEGÍTŐ SZOLGÁLAT" sheetId="9" r:id="rId4"/>
    <sheet name="4.SZ.TÁBL. ÓVODA" sheetId="10" r:id="rId5"/>
    <sheet name="5.SZ.TÁBL. ÓVODAI NORMATÍVA" sheetId="15" r:id="rId6"/>
    <sheet name="6.SZ.TÁBL. SZOCIÁLIS NORMATÍVA" sheetId="18" r:id="rId7"/>
    <sheet name="7.SZ.TÁBL. PÉNZE. ÁTAD - ÁTVÉT" sheetId="21" r:id="rId8"/>
    <sheet name="8.SZ.TÁBL. ELŐIRÁNYZAT FELHASZN" sheetId="20" r:id="rId9"/>
    <sheet name="9.SZ.TÁBL. LÉTSZÁMADATOK" sheetId="1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Print_Titles" localSheetId="1">'1.1.SZ.TÁBL. BEV - KIAD'!$1:$2</definedName>
    <definedName name="_xlnm.Print_Titles" localSheetId="2">'2.SZ.TÁBL. BEVÉTELEK'!$1:$2</definedName>
    <definedName name="_xlnm.Print_Titles" localSheetId="3">'3.SZ.TÁBL. SEGÍTŐ SZOLGÁLAT'!$1:$2</definedName>
    <definedName name="_xlnm.Print_Titles" localSheetId="4">'4.SZ.TÁBL. ÓVODA'!$1:$2</definedName>
    <definedName name="_xlnm.Print_Area" localSheetId="1">'1.1.SZ.TÁBL. BEV - KIAD'!$A$1:$Q$113</definedName>
    <definedName name="_xlnm.Print_Area" localSheetId="0">'1.SZ.TÁBL. TÁRSULÁS KON. MÉRLEG'!$A$1:$J$17</definedName>
    <definedName name="_xlnm.Print_Area" localSheetId="2">'2.SZ.TÁBL. BEVÉTELEK'!$A$3:$F$108</definedName>
    <definedName name="_xlnm.Print_Area" localSheetId="3">'3.SZ.TÁBL. SEGÍTŐ SZOLGÁLAT'!$A$1:$AC$117</definedName>
    <definedName name="_xlnm.Print_Area" localSheetId="4">'4.SZ.TÁBL. ÓVODA'!$A$1:$T$115</definedName>
    <definedName name="_xlnm.Print_Area" localSheetId="5">'5.SZ.TÁBL. ÓVODAI NORMATÍVA'!$A$1:$S$17</definedName>
    <definedName name="_xlnm.Print_Area" localSheetId="6">'6.SZ.TÁBL. SZOCIÁLIS NORMATÍVA'!$A$1:$D$41</definedName>
    <definedName name="_xlnm.Print_Area" localSheetId="7">'7.SZ.TÁBL. PÉNZE. ÁTAD - ÁTVÉT'!$A$1:$P$33</definedName>
    <definedName name="_xlnm.Print_Area" localSheetId="8">'8.SZ.TÁBL. ELŐIRÁNYZAT FELHASZN'!$A$1:$O$32</definedName>
    <definedName name="_xlnm.Print_Area" localSheetId="9">'9.SZ.TÁBL. LÉTSZÁMADATOK'!$A$1:$D$26</definedName>
    <definedName name="onev" localSheetId="9">[1]kod!$BT$34:$BT$3184</definedName>
    <definedName name="onev">[2]kod!$BT$34:$BT$3184</definedName>
  </definedNames>
  <calcPr calcId="152511"/>
</workbook>
</file>

<file path=xl/calcChain.xml><?xml version="1.0" encoding="utf-8"?>
<calcChain xmlns="http://schemas.openxmlformats.org/spreadsheetml/2006/main">
  <c r="M11" i="21"/>
  <c r="N9" l="1"/>
  <c r="N4"/>
  <c r="N3"/>
  <c r="N28" l="1"/>
  <c r="M28"/>
  <c r="J28"/>
  <c r="I28"/>
  <c r="E28"/>
  <c r="D28"/>
  <c r="C28"/>
  <c r="O18"/>
  <c r="G27"/>
  <c r="U12"/>
  <c r="M72" i="1"/>
  <c r="D4" i="2"/>
  <c r="M85" i="1"/>
  <c r="K85"/>
  <c r="J85"/>
  <c r="I85"/>
  <c r="O85" s="1"/>
  <c r="D17" i="2"/>
  <c r="E17" s="1"/>
  <c r="D18"/>
  <c r="D19"/>
  <c r="D20"/>
  <c r="D21"/>
  <c r="E21" s="1"/>
  <c r="D16"/>
  <c r="E16" s="1"/>
  <c r="M19"/>
  <c r="L21"/>
  <c r="M21" s="1"/>
  <c r="N22"/>
  <c r="K22"/>
  <c r="L19" s="1"/>
  <c r="E20"/>
  <c r="E19"/>
  <c r="E18"/>
  <c r="D15" l="1"/>
  <c r="N85" i="1"/>
  <c r="Q85" s="1"/>
  <c r="P85"/>
  <c r="L16" i="2"/>
  <c r="M16" s="1"/>
  <c r="L18"/>
  <c r="M18" s="1"/>
  <c r="L17"/>
  <c r="M17" s="1"/>
  <c r="L20"/>
  <c r="M20" s="1"/>
  <c r="C15"/>
  <c r="E15"/>
  <c r="M82" i="1"/>
  <c r="M101"/>
  <c r="N101" s="1"/>
  <c r="M98"/>
  <c r="N98" s="1"/>
  <c r="M78"/>
  <c r="M73"/>
  <c r="D87" i="2"/>
  <c r="M10" i="1" s="1"/>
  <c r="N10" s="1"/>
  <c r="M93"/>
  <c r="M87"/>
  <c r="P20" i="10" l="1"/>
  <c r="D16"/>
  <c r="P30"/>
  <c r="M30"/>
  <c r="J30"/>
  <c r="G30"/>
  <c r="D30"/>
  <c r="R20" i="15"/>
  <c r="D74" i="2" s="1"/>
  <c r="E74" s="1"/>
  <c r="R17" i="15"/>
  <c r="P17"/>
  <c r="M17"/>
  <c r="J17"/>
  <c r="G17"/>
  <c r="D17"/>
  <c r="S17" l="1"/>
  <c r="Q17"/>
  <c r="R19"/>
  <c r="V30" i="9" l="1"/>
  <c r="S30"/>
  <c r="P30"/>
  <c r="M30"/>
  <c r="J30"/>
  <c r="G30"/>
  <c r="D30"/>
  <c r="H39" i="18"/>
  <c r="G39"/>
  <c r="D73" i="2" s="1"/>
  <c r="E73" s="1"/>
  <c r="F39" i="18"/>
  <c r="D38"/>
  <c r="D37"/>
  <c r="D36"/>
  <c r="D35"/>
  <c r="D34"/>
  <c r="D33"/>
  <c r="C39"/>
  <c r="D32"/>
  <c r="D39" l="1"/>
  <c r="B39"/>
  <c r="Y88" i="9"/>
  <c r="Y76"/>
  <c r="V102"/>
  <c r="V105"/>
  <c r="V85"/>
  <c r="V83"/>
  <c r="V73"/>
  <c r="V72"/>
  <c r="V69"/>
  <c r="V63"/>
  <c r="V42"/>
  <c r="V47"/>
  <c r="V54"/>
  <c r="S92"/>
  <c r="S83"/>
  <c r="S63"/>
  <c r="S42"/>
  <c r="S54"/>
  <c r="P105"/>
  <c r="P102"/>
  <c r="P92"/>
  <c r="P85"/>
  <c r="P88"/>
  <c r="P83"/>
  <c r="P73"/>
  <c r="P72"/>
  <c r="P69"/>
  <c r="P63"/>
  <c r="P42"/>
  <c r="P58"/>
  <c r="P54"/>
  <c r="M13"/>
  <c r="M63"/>
  <c r="M85"/>
  <c r="M88"/>
  <c r="M83"/>
  <c r="M76"/>
  <c r="M73"/>
  <c r="M72"/>
  <c r="M68"/>
  <c r="M69"/>
  <c r="M42"/>
  <c r="M47"/>
  <c r="M54"/>
  <c r="M58"/>
  <c r="M45"/>
  <c r="J92"/>
  <c r="J83"/>
  <c r="J73"/>
  <c r="J72"/>
  <c r="J63"/>
  <c r="J42"/>
  <c r="J54"/>
  <c r="G92"/>
  <c r="G83"/>
  <c r="G73"/>
  <c r="G72"/>
  <c r="G69"/>
  <c r="G68"/>
  <c r="G63"/>
  <c r="G45"/>
  <c r="G58"/>
  <c r="G42"/>
  <c r="G54"/>
  <c r="D76"/>
  <c r="D73"/>
  <c r="D72"/>
  <c r="D69"/>
  <c r="D68"/>
  <c r="D63"/>
  <c r="D42"/>
  <c r="D54"/>
  <c r="S28" i="10"/>
  <c r="J32"/>
  <c r="M32"/>
  <c r="P99"/>
  <c r="P103"/>
  <c r="P81"/>
  <c r="P84"/>
  <c r="P79"/>
  <c r="P74"/>
  <c r="P78"/>
  <c r="P69"/>
  <c r="P68"/>
  <c r="P65"/>
  <c r="P64"/>
  <c r="P63"/>
  <c r="P61"/>
  <c r="P59"/>
  <c r="P55"/>
  <c r="P46"/>
  <c r="P44"/>
  <c r="P41"/>
  <c r="P38"/>
  <c r="P50"/>
  <c r="M92"/>
  <c r="M91" s="1"/>
  <c r="M84"/>
  <c r="M78"/>
  <c r="M69"/>
  <c r="M68"/>
  <c r="M63"/>
  <c r="M61"/>
  <c r="M59"/>
  <c r="M46"/>
  <c r="M44"/>
  <c r="M41"/>
  <c r="M38"/>
  <c r="M50"/>
  <c r="M54"/>
  <c r="J84"/>
  <c r="J78"/>
  <c r="J74"/>
  <c r="J69"/>
  <c r="J68"/>
  <c r="J63"/>
  <c r="J61"/>
  <c r="J59"/>
  <c r="J46"/>
  <c r="J44"/>
  <c r="J38"/>
  <c r="J50"/>
  <c r="J41"/>
  <c r="G103"/>
  <c r="G100"/>
  <c r="G88"/>
  <c r="G81"/>
  <c r="G84"/>
  <c r="G79"/>
  <c r="G74"/>
  <c r="G71"/>
  <c r="G78"/>
  <c r="G69"/>
  <c r="G68"/>
  <c r="G65"/>
  <c r="G64"/>
  <c r="G63"/>
  <c r="G62"/>
  <c r="G61"/>
  <c r="G59"/>
  <c r="G55"/>
  <c r="G46"/>
  <c r="G44"/>
  <c r="G38"/>
  <c r="G50"/>
  <c r="G41"/>
  <c r="D103"/>
  <c r="D100"/>
  <c r="D81"/>
  <c r="D84"/>
  <c r="D79"/>
  <c r="D74"/>
  <c r="D71"/>
  <c r="D78"/>
  <c r="D72"/>
  <c r="D69"/>
  <c r="D68"/>
  <c r="D65"/>
  <c r="D64"/>
  <c r="D63"/>
  <c r="D61"/>
  <c r="D59"/>
  <c r="D55"/>
  <c r="D50"/>
  <c r="D46"/>
  <c r="D44"/>
  <c r="D41"/>
  <c r="D38"/>
  <c r="C28" i="18"/>
  <c r="C27"/>
  <c r="C26"/>
  <c r="C25"/>
  <c r="C24"/>
  <c r="C23"/>
  <c r="Y30" i="9"/>
  <c r="F29" i="18" l="1"/>
  <c r="F28"/>
  <c r="F27"/>
  <c r="F26"/>
  <c r="F25"/>
  <c r="F24"/>
  <c r="F23"/>
  <c r="Q19" i="15"/>
  <c r="C105" i="2" l="1"/>
  <c r="C80"/>
  <c r="B32" i="21"/>
  <c r="B30"/>
  <c r="B27"/>
  <c r="B20"/>
  <c r="B21"/>
  <c r="B22"/>
  <c r="B23"/>
  <c r="B24"/>
  <c r="B25"/>
  <c r="B26"/>
  <c r="B19"/>
  <c r="B17"/>
  <c r="B28" s="1"/>
  <c r="B12"/>
  <c r="B4"/>
  <c r="B5"/>
  <c r="B6"/>
  <c r="B7"/>
  <c r="B8"/>
  <c r="B9"/>
  <c r="B10"/>
  <c r="B3"/>
  <c r="B24" i="18"/>
  <c r="B25"/>
  <c r="B26"/>
  <c r="B27"/>
  <c r="B28"/>
  <c r="B29"/>
  <c r="B23"/>
  <c r="B15"/>
  <c r="B16"/>
  <c r="B17"/>
  <c r="B18"/>
  <c r="B19"/>
  <c r="B20"/>
  <c r="B14"/>
  <c r="B4"/>
  <c r="B5"/>
  <c r="B6"/>
  <c r="D6" s="1"/>
  <c r="B7"/>
  <c r="B8"/>
  <c r="B9"/>
  <c r="B10"/>
  <c r="B11"/>
  <c r="B3"/>
  <c r="N16" i="15"/>
  <c r="N9"/>
  <c r="N8"/>
  <c r="N7"/>
  <c r="N6"/>
  <c r="N4"/>
  <c r="N3"/>
  <c r="K16"/>
  <c r="K12"/>
  <c r="K11"/>
  <c r="K9"/>
  <c r="K8"/>
  <c r="K7"/>
  <c r="K6"/>
  <c r="K4"/>
  <c r="K3"/>
  <c r="H16"/>
  <c r="H12"/>
  <c r="H11"/>
  <c r="H9"/>
  <c r="H8"/>
  <c r="H7"/>
  <c r="H6"/>
  <c r="H4"/>
  <c r="H3"/>
  <c r="E16"/>
  <c r="E12"/>
  <c r="E11"/>
  <c r="E9"/>
  <c r="E8"/>
  <c r="E7"/>
  <c r="E6"/>
  <c r="E4"/>
  <c r="E3"/>
  <c r="B16"/>
  <c r="B14"/>
  <c r="B12"/>
  <c r="B11"/>
  <c r="B9"/>
  <c r="B8"/>
  <c r="B6"/>
  <c r="B4"/>
  <c r="B3"/>
  <c r="L93" i="1"/>
  <c r="L92"/>
  <c r="L88"/>
  <c r="L87"/>
  <c r="L82"/>
  <c r="L78"/>
  <c r="L73"/>
  <c r="L72"/>
  <c r="L28"/>
  <c r="C77" i="2"/>
  <c r="C58"/>
  <c r="C59"/>
  <c r="C60"/>
  <c r="C61"/>
  <c r="C62"/>
  <c r="C63"/>
  <c r="C57"/>
  <c r="C49"/>
  <c r="C50"/>
  <c r="C51"/>
  <c r="C52"/>
  <c r="C53"/>
  <c r="C54"/>
  <c r="C48"/>
  <c r="C39"/>
  <c r="C40"/>
  <c r="C41"/>
  <c r="C42"/>
  <c r="C43"/>
  <c r="C44"/>
  <c r="C45"/>
  <c r="C38"/>
  <c r="C8"/>
  <c r="C9"/>
  <c r="C10"/>
  <c r="C11"/>
  <c r="C12"/>
  <c r="C13"/>
  <c r="C7"/>
  <c r="C4"/>
  <c r="O103" i="10"/>
  <c r="O99"/>
  <c r="O84"/>
  <c r="O81"/>
  <c r="O79"/>
  <c r="O78"/>
  <c r="O72"/>
  <c r="O73"/>
  <c r="O74"/>
  <c r="O75"/>
  <c r="O71"/>
  <c r="O69"/>
  <c r="O68"/>
  <c r="O65"/>
  <c r="O64"/>
  <c r="O60"/>
  <c r="O61"/>
  <c r="O62"/>
  <c r="O63"/>
  <c r="O59"/>
  <c r="O55"/>
  <c r="O39"/>
  <c r="O40"/>
  <c r="O41"/>
  <c r="O42"/>
  <c r="O43"/>
  <c r="O44"/>
  <c r="O45"/>
  <c r="O46"/>
  <c r="O47"/>
  <c r="O48"/>
  <c r="O49"/>
  <c r="O50"/>
  <c r="O38"/>
  <c r="O34"/>
  <c r="O35"/>
  <c r="O33"/>
  <c r="O32"/>
  <c r="O30"/>
  <c r="L92"/>
  <c r="L84"/>
  <c r="L81"/>
  <c r="L78"/>
  <c r="L69"/>
  <c r="L68"/>
  <c r="L60"/>
  <c r="L61"/>
  <c r="L62"/>
  <c r="L63"/>
  <c r="L59"/>
  <c r="L54"/>
  <c r="L39"/>
  <c r="L40"/>
  <c r="L41"/>
  <c r="L42"/>
  <c r="L43"/>
  <c r="L44"/>
  <c r="L45"/>
  <c r="L46"/>
  <c r="L47"/>
  <c r="L48"/>
  <c r="L49"/>
  <c r="L50"/>
  <c r="L38"/>
  <c r="L35"/>
  <c r="L32"/>
  <c r="L30"/>
  <c r="I84"/>
  <c r="I81"/>
  <c r="I78"/>
  <c r="I69"/>
  <c r="I68"/>
  <c r="I60"/>
  <c r="I61"/>
  <c r="I62"/>
  <c r="I63"/>
  <c r="I59"/>
  <c r="I39"/>
  <c r="I40"/>
  <c r="I41"/>
  <c r="I42"/>
  <c r="I43"/>
  <c r="I44"/>
  <c r="I45"/>
  <c r="I46"/>
  <c r="I47"/>
  <c r="I48"/>
  <c r="I49"/>
  <c r="I50"/>
  <c r="I38"/>
  <c r="I34"/>
  <c r="I32"/>
  <c r="I30"/>
  <c r="F108"/>
  <c r="F105"/>
  <c r="F103"/>
  <c r="F100"/>
  <c r="F84"/>
  <c r="F81"/>
  <c r="F79"/>
  <c r="F78"/>
  <c r="F72"/>
  <c r="F73"/>
  <c r="F74"/>
  <c r="F75"/>
  <c r="F71"/>
  <c r="F69"/>
  <c r="F68"/>
  <c r="F65"/>
  <c r="F64"/>
  <c r="F60"/>
  <c r="F61"/>
  <c r="F62"/>
  <c r="F63"/>
  <c r="F59"/>
  <c r="F55"/>
  <c r="F54"/>
  <c r="F39"/>
  <c r="F40"/>
  <c r="F41"/>
  <c r="F42"/>
  <c r="F43"/>
  <c r="F44"/>
  <c r="F45"/>
  <c r="F46"/>
  <c r="F47"/>
  <c r="F48"/>
  <c r="F49"/>
  <c r="F50"/>
  <c r="F38"/>
  <c r="F33"/>
  <c r="F32"/>
  <c r="F31"/>
  <c r="F30"/>
  <c r="F28"/>
  <c r="C103"/>
  <c r="C100"/>
  <c r="C92"/>
  <c r="C85"/>
  <c r="C86"/>
  <c r="C87"/>
  <c r="C88"/>
  <c r="C84"/>
  <c r="C81"/>
  <c r="C79"/>
  <c r="C78"/>
  <c r="C74"/>
  <c r="C72"/>
  <c r="C73"/>
  <c r="C75"/>
  <c r="C71"/>
  <c r="C69"/>
  <c r="C68"/>
  <c r="C65"/>
  <c r="C64"/>
  <c r="C60"/>
  <c r="C61"/>
  <c r="C62"/>
  <c r="C63"/>
  <c r="C59"/>
  <c r="C55"/>
  <c r="C39"/>
  <c r="C40"/>
  <c r="C41"/>
  <c r="C42"/>
  <c r="C43"/>
  <c r="C44"/>
  <c r="C45"/>
  <c r="C46"/>
  <c r="C47"/>
  <c r="C48"/>
  <c r="C49"/>
  <c r="C50"/>
  <c r="C38"/>
  <c r="C34"/>
  <c r="C35"/>
  <c r="C33"/>
  <c r="C31"/>
  <c r="C32"/>
  <c r="C30"/>
  <c r="X88" i="9"/>
  <c r="X76"/>
  <c r="X73"/>
  <c r="X69"/>
  <c r="X36"/>
  <c r="X32"/>
  <c r="X30"/>
  <c r="X16"/>
  <c r="U105"/>
  <c r="U102"/>
  <c r="U89"/>
  <c r="U90"/>
  <c r="U91"/>
  <c r="U92"/>
  <c r="U88"/>
  <c r="U85"/>
  <c r="U83"/>
  <c r="U82"/>
  <c r="U76"/>
  <c r="U77"/>
  <c r="U78"/>
  <c r="U79"/>
  <c r="U75"/>
  <c r="U73"/>
  <c r="U72"/>
  <c r="U69"/>
  <c r="U68"/>
  <c r="U64"/>
  <c r="U65"/>
  <c r="U66"/>
  <c r="U67"/>
  <c r="U63"/>
  <c r="U43"/>
  <c r="U44"/>
  <c r="U45"/>
  <c r="U46"/>
  <c r="U47"/>
  <c r="U48"/>
  <c r="U49"/>
  <c r="U50"/>
  <c r="U51"/>
  <c r="U52"/>
  <c r="U53"/>
  <c r="U54"/>
  <c r="U42"/>
  <c r="U28"/>
  <c r="U31"/>
  <c r="U30"/>
  <c r="U16"/>
  <c r="R89"/>
  <c r="R90"/>
  <c r="R91"/>
  <c r="R92"/>
  <c r="R88"/>
  <c r="R83"/>
  <c r="R82"/>
  <c r="R76"/>
  <c r="R77"/>
  <c r="R78"/>
  <c r="R79"/>
  <c r="R75"/>
  <c r="R73"/>
  <c r="R72"/>
  <c r="R69"/>
  <c r="R68"/>
  <c r="R64"/>
  <c r="R65"/>
  <c r="R66"/>
  <c r="R67"/>
  <c r="R63"/>
  <c r="R58"/>
  <c r="R43"/>
  <c r="R44"/>
  <c r="R45"/>
  <c r="R46"/>
  <c r="R47"/>
  <c r="R48"/>
  <c r="R49"/>
  <c r="R50"/>
  <c r="R51"/>
  <c r="R52"/>
  <c r="R53"/>
  <c r="R54"/>
  <c r="R42"/>
  <c r="R33"/>
  <c r="R32"/>
  <c r="R30"/>
  <c r="R13"/>
  <c r="O89"/>
  <c r="O90"/>
  <c r="O91"/>
  <c r="O92"/>
  <c r="O88"/>
  <c r="O85"/>
  <c r="O83"/>
  <c r="O82"/>
  <c r="O76"/>
  <c r="O77"/>
  <c r="O78"/>
  <c r="O79"/>
  <c r="O75"/>
  <c r="O73"/>
  <c r="O72"/>
  <c r="O69"/>
  <c r="O64"/>
  <c r="O65"/>
  <c r="O66"/>
  <c r="O67"/>
  <c r="O63"/>
  <c r="O59"/>
  <c r="O58"/>
  <c r="O43"/>
  <c r="O44"/>
  <c r="O45"/>
  <c r="O46"/>
  <c r="O47"/>
  <c r="O48"/>
  <c r="O49"/>
  <c r="O50"/>
  <c r="O51"/>
  <c r="O52"/>
  <c r="O53"/>
  <c r="O54"/>
  <c r="O42"/>
  <c r="O34"/>
  <c r="O35"/>
  <c r="O36"/>
  <c r="O37"/>
  <c r="O38"/>
  <c r="O39"/>
  <c r="O33"/>
  <c r="O32"/>
  <c r="O30"/>
  <c r="O14"/>
  <c r="O15"/>
  <c r="O16"/>
  <c r="O17"/>
  <c r="O18"/>
  <c r="O19"/>
  <c r="O20"/>
  <c r="O13"/>
  <c r="L88"/>
  <c r="L85"/>
  <c r="L83"/>
  <c r="L82"/>
  <c r="L76"/>
  <c r="L77"/>
  <c r="L78"/>
  <c r="L79"/>
  <c r="L75"/>
  <c r="L73"/>
  <c r="L72"/>
  <c r="L69"/>
  <c r="L68"/>
  <c r="L64"/>
  <c r="L65"/>
  <c r="L66"/>
  <c r="L67"/>
  <c r="L63"/>
  <c r="L59"/>
  <c r="L58"/>
  <c r="L43"/>
  <c r="L44"/>
  <c r="L45"/>
  <c r="L46"/>
  <c r="L47"/>
  <c r="L48"/>
  <c r="L49"/>
  <c r="L50"/>
  <c r="L51"/>
  <c r="L52"/>
  <c r="L53"/>
  <c r="L54"/>
  <c r="L42"/>
  <c r="L34"/>
  <c r="L35"/>
  <c r="L36"/>
  <c r="L37"/>
  <c r="L38"/>
  <c r="L39"/>
  <c r="L33"/>
  <c r="L32"/>
  <c r="L30"/>
  <c r="I92"/>
  <c r="I88"/>
  <c r="I86"/>
  <c r="I85"/>
  <c r="I83"/>
  <c r="I82"/>
  <c r="I76"/>
  <c r="I77"/>
  <c r="I78"/>
  <c r="I79"/>
  <c r="I75"/>
  <c r="I73"/>
  <c r="I72"/>
  <c r="I69"/>
  <c r="I68"/>
  <c r="I64"/>
  <c r="I65"/>
  <c r="I66"/>
  <c r="I67"/>
  <c r="I63"/>
  <c r="I59"/>
  <c r="I58"/>
  <c r="I57"/>
  <c r="I43"/>
  <c r="I44"/>
  <c r="I45"/>
  <c r="I46"/>
  <c r="I47"/>
  <c r="I48"/>
  <c r="I49"/>
  <c r="I50"/>
  <c r="I51"/>
  <c r="I52"/>
  <c r="I53"/>
  <c r="I54"/>
  <c r="I42"/>
  <c r="I34"/>
  <c r="I35"/>
  <c r="I36"/>
  <c r="I37"/>
  <c r="I38"/>
  <c r="I39"/>
  <c r="I33"/>
  <c r="I32"/>
  <c r="I30"/>
  <c r="I16"/>
  <c r="I13"/>
  <c r="F92"/>
  <c r="F88"/>
  <c r="F85"/>
  <c r="F83"/>
  <c r="F82"/>
  <c r="F78"/>
  <c r="F75"/>
  <c r="F73"/>
  <c r="F72"/>
  <c r="F69"/>
  <c r="F68"/>
  <c r="F64"/>
  <c r="F65"/>
  <c r="F66"/>
  <c r="F67"/>
  <c r="F63"/>
  <c r="F59"/>
  <c r="F58"/>
  <c r="F54"/>
  <c r="F50"/>
  <c r="F48"/>
  <c r="F45"/>
  <c r="F42"/>
  <c r="F34"/>
  <c r="F35"/>
  <c r="F36"/>
  <c r="F37"/>
  <c r="F38"/>
  <c r="F39"/>
  <c r="F33"/>
  <c r="F32"/>
  <c r="F31"/>
  <c r="F30"/>
  <c r="C88"/>
  <c r="C83"/>
  <c r="C78"/>
  <c r="C76"/>
  <c r="C75"/>
  <c r="C73"/>
  <c r="C72"/>
  <c r="C69"/>
  <c r="C68"/>
  <c r="C67"/>
  <c r="C65"/>
  <c r="C64"/>
  <c r="C63"/>
  <c r="C54"/>
  <c r="C50"/>
  <c r="C48"/>
  <c r="C42"/>
  <c r="C32"/>
  <c r="C36"/>
  <c r="C30"/>
  <c r="C16"/>
  <c r="L89" i="1" l="1"/>
  <c r="G17" i="21"/>
  <c r="G28" s="1"/>
  <c r="G22" i="20"/>
  <c r="G20"/>
  <c r="F20"/>
  <c r="E20"/>
  <c r="D20"/>
  <c r="C20"/>
  <c r="G19"/>
  <c r="F19"/>
  <c r="E19"/>
  <c r="D19"/>
  <c r="C19"/>
  <c r="G18"/>
  <c r="F18"/>
  <c r="E18"/>
  <c r="D18"/>
  <c r="C18"/>
  <c r="G3"/>
  <c r="F3"/>
  <c r="E3"/>
  <c r="D3"/>
  <c r="C3"/>
  <c r="E77" i="2" l="1"/>
  <c r="C76"/>
  <c r="F27" i="21"/>
  <c r="E76" i="2" l="1"/>
  <c r="F76" s="1"/>
  <c r="F77"/>
  <c r="D76"/>
  <c r="E80"/>
  <c r="D79"/>
  <c r="C79"/>
  <c r="H21" i="18"/>
  <c r="G21"/>
  <c r="D71" i="2" s="1"/>
  <c r="F21" i="18"/>
  <c r="C71" i="2" s="1"/>
  <c r="D20" i="18"/>
  <c r="C21"/>
  <c r="B21"/>
  <c r="H31" i="9"/>
  <c r="AB31"/>
  <c r="AA31"/>
  <c r="H31" i="10"/>
  <c r="E79" i="2" l="1"/>
  <c r="F80"/>
  <c r="W31" i="9"/>
  <c r="AC31" s="1"/>
  <c r="C25" i="13"/>
  <c r="C26" s="1"/>
  <c r="D24"/>
  <c r="D23"/>
  <c r="D22"/>
  <c r="D21"/>
  <c r="D20"/>
  <c r="D19"/>
  <c r="D18"/>
  <c r="B16"/>
  <c r="B26" s="1"/>
  <c r="D15"/>
  <c r="D14"/>
  <c r="D13"/>
  <c r="D12"/>
  <c r="D11"/>
  <c r="D10"/>
  <c r="D9"/>
  <c r="D8"/>
  <c r="D7"/>
  <c r="D6"/>
  <c r="D5"/>
  <c r="D4"/>
  <c r="O29" i="20"/>
  <c r="N28"/>
  <c r="M28"/>
  <c r="L28"/>
  <c r="K28"/>
  <c r="J28"/>
  <c r="I28"/>
  <c r="H28"/>
  <c r="G28"/>
  <c r="F28"/>
  <c r="E28"/>
  <c r="D28"/>
  <c r="C28"/>
  <c r="O27"/>
  <c r="O26"/>
  <c r="O25"/>
  <c r="N24"/>
  <c r="M24"/>
  <c r="L24"/>
  <c r="K24"/>
  <c r="J24"/>
  <c r="I24"/>
  <c r="H24"/>
  <c r="G24"/>
  <c r="F24"/>
  <c r="E24"/>
  <c r="D24"/>
  <c r="C24"/>
  <c r="O23"/>
  <c r="O22"/>
  <c r="O21"/>
  <c r="O20"/>
  <c r="O19"/>
  <c r="O18"/>
  <c r="N14"/>
  <c r="N15" s="1"/>
  <c r="M14"/>
  <c r="M15" s="1"/>
  <c r="L14"/>
  <c r="L15" s="1"/>
  <c r="K14"/>
  <c r="K15" s="1"/>
  <c r="J14"/>
  <c r="J15" s="1"/>
  <c r="I14"/>
  <c r="I15" s="1"/>
  <c r="H14"/>
  <c r="H15" s="1"/>
  <c r="G14"/>
  <c r="G15" s="1"/>
  <c r="F14"/>
  <c r="F15" s="1"/>
  <c r="E14"/>
  <c r="E15" s="1"/>
  <c r="D14"/>
  <c r="D15" s="1"/>
  <c r="C14"/>
  <c r="C15" s="1"/>
  <c r="O13"/>
  <c r="O12"/>
  <c r="N10"/>
  <c r="M10"/>
  <c r="L10"/>
  <c r="K10"/>
  <c r="J10"/>
  <c r="I10"/>
  <c r="H10"/>
  <c r="G10"/>
  <c r="F10"/>
  <c r="E10"/>
  <c r="D10"/>
  <c r="C10"/>
  <c r="O9"/>
  <c r="O8"/>
  <c r="O7"/>
  <c r="N6"/>
  <c r="M6"/>
  <c r="L6"/>
  <c r="K6"/>
  <c r="J6"/>
  <c r="I6"/>
  <c r="H6"/>
  <c r="G6"/>
  <c r="F6"/>
  <c r="E6"/>
  <c r="D6"/>
  <c r="C6"/>
  <c r="O5"/>
  <c r="O4"/>
  <c r="O3"/>
  <c r="S32" i="21"/>
  <c r="S31"/>
  <c r="Q32"/>
  <c r="Q31"/>
  <c r="B31"/>
  <c r="T12"/>
  <c r="T4"/>
  <c r="T5"/>
  <c r="T6"/>
  <c r="T7"/>
  <c r="T8"/>
  <c r="T9"/>
  <c r="T10"/>
  <c r="T3"/>
  <c r="O108" i="10"/>
  <c r="O107"/>
  <c r="O106"/>
  <c r="O105"/>
  <c r="O102"/>
  <c r="O101"/>
  <c r="O100"/>
  <c r="O98"/>
  <c r="O97"/>
  <c r="O95"/>
  <c r="O94"/>
  <c r="O92"/>
  <c r="O91" s="1"/>
  <c r="O88"/>
  <c r="O87"/>
  <c r="O86"/>
  <c r="O85"/>
  <c r="O82"/>
  <c r="O83" s="1"/>
  <c r="O77"/>
  <c r="O76"/>
  <c r="O70"/>
  <c r="O66"/>
  <c r="O67" s="1"/>
  <c r="O54"/>
  <c r="O53"/>
  <c r="O51"/>
  <c r="O26"/>
  <c r="O24"/>
  <c r="O21"/>
  <c r="O11"/>
  <c r="O7"/>
  <c r="L108"/>
  <c r="L107"/>
  <c r="L106"/>
  <c r="L105"/>
  <c r="L103"/>
  <c r="L102"/>
  <c r="L101"/>
  <c r="L100"/>
  <c r="L99"/>
  <c r="L98"/>
  <c r="L97"/>
  <c r="L95"/>
  <c r="L94"/>
  <c r="L91"/>
  <c r="L88"/>
  <c r="L87"/>
  <c r="L86"/>
  <c r="L85"/>
  <c r="L82"/>
  <c r="L79"/>
  <c r="L77"/>
  <c r="L76"/>
  <c r="L75"/>
  <c r="L74"/>
  <c r="L73"/>
  <c r="L72"/>
  <c r="L71"/>
  <c r="L66"/>
  <c r="L65"/>
  <c r="L64"/>
  <c r="L55"/>
  <c r="L53"/>
  <c r="L51"/>
  <c r="L34"/>
  <c r="L33"/>
  <c r="L26"/>
  <c r="L24"/>
  <c r="L21"/>
  <c r="L11"/>
  <c r="L7"/>
  <c r="I108"/>
  <c r="I107"/>
  <c r="I106"/>
  <c r="I105"/>
  <c r="I103"/>
  <c r="I102"/>
  <c r="I101"/>
  <c r="I100"/>
  <c r="I99"/>
  <c r="I98"/>
  <c r="I97"/>
  <c r="I95"/>
  <c r="I94"/>
  <c r="I92"/>
  <c r="I91" s="1"/>
  <c r="I88"/>
  <c r="I87"/>
  <c r="I86"/>
  <c r="I85"/>
  <c r="I82"/>
  <c r="I79"/>
  <c r="I77"/>
  <c r="I76"/>
  <c r="I75"/>
  <c r="I74"/>
  <c r="I73"/>
  <c r="I72"/>
  <c r="I71"/>
  <c r="I66"/>
  <c r="I65"/>
  <c r="I64"/>
  <c r="I55"/>
  <c r="I54"/>
  <c r="I53"/>
  <c r="I51"/>
  <c r="I35"/>
  <c r="I33"/>
  <c r="I26"/>
  <c r="I24"/>
  <c r="I21"/>
  <c r="I11"/>
  <c r="I7"/>
  <c r="F107"/>
  <c r="F106"/>
  <c r="F102"/>
  <c r="F101"/>
  <c r="F99"/>
  <c r="F98"/>
  <c r="F97"/>
  <c r="F95"/>
  <c r="F94"/>
  <c r="F92"/>
  <c r="F91" s="1"/>
  <c r="F88"/>
  <c r="F87"/>
  <c r="F86"/>
  <c r="F85"/>
  <c r="F82"/>
  <c r="F77"/>
  <c r="F76"/>
  <c r="F70"/>
  <c r="F66"/>
  <c r="F53"/>
  <c r="F51"/>
  <c r="F35"/>
  <c r="F34"/>
  <c r="F26"/>
  <c r="F24"/>
  <c r="F21"/>
  <c r="F11"/>
  <c r="F7"/>
  <c r="C108"/>
  <c r="C107"/>
  <c r="C106"/>
  <c r="C105"/>
  <c r="C98"/>
  <c r="C99"/>
  <c r="C101"/>
  <c r="C102"/>
  <c r="C97"/>
  <c r="C95"/>
  <c r="C94"/>
  <c r="C91"/>
  <c r="C82"/>
  <c r="C77"/>
  <c r="C76"/>
  <c r="C66"/>
  <c r="C54"/>
  <c r="C53"/>
  <c r="C51"/>
  <c r="U110" i="9"/>
  <c r="U109"/>
  <c r="U108"/>
  <c r="U107"/>
  <c r="U104"/>
  <c r="U103"/>
  <c r="U101"/>
  <c r="U100"/>
  <c r="U99"/>
  <c r="U86"/>
  <c r="U87" s="1"/>
  <c r="U81"/>
  <c r="U80"/>
  <c r="U70"/>
  <c r="U59"/>
  <c r="U58"/>
  <c r="U57"/>
  <c r="U55"/>
  <c r="U39"/>
  <c r="U38"/>
  <c r="U37"/>
  <c r="U36"/>
  <c r="U35"/>
  <c r="U34"/>
  <c r="U33"/>
  <c r="U32"/>
  <c r="U20"/>
  <c r="U19"/>
  <c r="U18"/>
  <c r="U17"/>
  <c r="U15"/>
  <c r="U14"/>
  <c r="U13"/>
  <c r="X110"/>
  <c r="X109"/>
  <c r="X108"/>
  <c r="X107"/>
  <c r="X105"/>
  <c r="X104"/>
  <c r="X103"/>
  <c r="X102"/>
  <c r="X101"/>
  <c r="X100"/>
  <c r="X99"/>
  <c r="X92"/>
  <c r="X91"/>
  <c r="X90"/>
  <c r="X89"/>
  <c r="X86"/>
  <c r="X85"/>
  <c r="X83"/>
  <c r="X82"/>
  <c r="X81"/>
  <c r="X80"/>
  <c r="X79"/>
  <c r="X78"/>
  <c r="X77"/>
  <c r="X75"/>
  <c r="X72"/>
  <c r="X70"/>
  <c r="X68"/>
  <c r="X67"/>
  <c r="X66"/>
  <c r="X65"/>
  <c r="X64"/>
  <c r="X63"/>
  <c r="X59"/>
  <c r="X58"/>
  <c r="X57"/>
  <c r="X55"/>
  <c r="X54"/>
  <c r="X53"/>
  <c r="X52"/>
  <c r="X51"/>
  <c r="X50"/>
  <c r="X49"/>
  <c r="X48"/>
  <c r="X47"/>
  <c r="X46"/>
  <c r="X45"/>
  <c r="X44"/>
  <c r="X43"/>
  <c r="X42"/>
  <c r="X39"/>
  <c r="X38"/>
  <c r="X37"/>
  <c r="X35"/>
  <c r="X34"/>
  <c r="X33"/>
  <c r="X20"/>
  <c r="X19"/>
  <c r="X18"/>
  <c r="X17"/>
  <c r="X15"/>
  <c r="X14"/>
  <c r="X13"/>
  <c r="X95"/>
  <c r="X98" s="1"/>
  <c r="X26"/>
  <c r="X24"/>
  <c r="X11"/>
  <c r="X7"/>
  <c r="U95"/>
  <c r="U98" s="1"/>
  <c r="U26"/>
  <c r="U24"/>
  <c r="U11"/>
  <c r="U7"/>
  <c r="R110"/>
  <c r="R109"/>
  <c r="R108"/>
  <c r="R107"/>
  <c r="R105"/>
  <c r="R104"/>
  <c r="R103"/>
  <c r="R102"/>
  <c r="R101"/>
  <c r="R100"/>
  <c r="R99"/>
  <c r="R86"/>
  <c r="R85"/>
  <c r="R81"/>
  <c r="R80"/>
  <c r="R70"/>
  <c r="R59"/>
  <c r="R57"/>
  <c r="R55"/>
  <c r="R39"/>
  <c r="R38"/>
  <c r="R37"/>
  <c r="R36"/>
  <c r="R35"/>
  <c r="R34"/>
  <c r="R20"/>
  <c r="R19"/>
  <c r="R18"/>
  <c r="R17"/>
  <c r="R16"/>
  <c r="R15"/>
  <c r="R14"/>
  <c r="R95"/>
  <c r="R98" s="1"/>
  <c r="R26"/>
  <c r="R24"/>
  <c r="R11"/>
  <c r="R7"/>
  <c r="O110"/>
  <c r="O109"/>
  <c r="O108"/>
  <c r="O107"/>
  <c r="O105"/>
  <c r="O104"/>
  <c r="O103"/>
  <c r="O102"/>
  <c r="O101"/>
  <c r="O100"/>
  <c r="O99"/>
  <c r="O86"/>
  <c r="O81"/>
  <c r="O80"/>
  <c r="O74"/>
  <c r="O70"/>
  <c r="O68"/>
  <c r="O57"/>
  <c r="O55"/>
  <c r="O95"/>
  <c r="O98" s="1"/>
  <c r="O26"/>
  <c r="O24"/>
  <c r="O11"/>
  <c r="O7"/>
  <c r="L110"/>
  <c r="L109"/>
  <c r="L108"/>
  <c r="L107"/>
  <c r="L105"/>
  <c r="L104"/>
  <c r="L103"/>
  <c r="L102"/>
  <c r="L101"/>
  <c r="L100"/>
  <c r="L99"/>
  <c r="L92"/>
  <c r="L91"/>
  <c r="L90"/>
  <c r="L89"/>
  <c r="L86"/>
  <c r="L81"/>
  <c r="L80"/>
  <c r="L70"/>
  <c r="L57"/>
  <c r="L55"/>
  <c r="L20"/>
  <c r="L19"/>
  <c r="L18"/>
  <c r="L17"/>
  <c r="L16"/>
  <c r="L15"/>
  <c r="L14"/>
  <c r="L13"/>
  <c r="L95"/>
  <c r="L98" s="1"/>
  <c r="L26"/>
  <c r="L24"/>
  <c r="L11"/>
  <c r="L7"/>
  <c r="I110"/>
  <c r="I109"/>
  <c r="I108"/>
  <c r="I107"/>
  <c r="I105"/>
  <c r="I104"/>
  <c r="I103"/>
  <c r="I102"/>
  <c r="I101"/>
  <c r="I100"/>
  <c r="I99"/>
  <c r="I91"/>
  <c r="I90"/>
  <c r="I89"/>
  <c r="I87"/>
  <c r="I81"/>
  <c r="I80"/>
  <c r="I70"/>
  <c r="I55"/>
  <c r="I20"/>
  <c r="I19"/>
  <c r="I18"/>
  <c r="I17"/>
  <c r="I15"/>
  <c r="I14"/>
  <c r="I95"/>
  <c r="I98" s="1"/>
  <c r="I26"/>
  <c r="I24"/>
  <c r="I11"/>
  <c r="I7"/>
  <c r="F110"/>
  <c r="F109"/>
  <c r="F108"/>
  <c r="F107"/>
  <c r="F105"/>
  <c r="F104"/>
  <c r="F103"/>
  <c r="F102"/>
  <c r="F101"/>
  <c r="F100"/>
  <c r="F99"/>
  <c r="F91"/>
  <c r="F90"/>
  <c r="F89"/>
  <c r="F86"/>
  <c r="F81"/>
  <c r="F80"/>
  <c r="F79"/>
  <c r="F77"/>
  <c r="F76"/>
  <c r="F70"/>
  <c r="F57"/>
  <c r="F55"/>
  <c r="F53"/>
  <c r="F52"/>
  <c r="F51"/>
  <c r="F49"/>
  <c r="F47"/>
  <c r="F46"/>
  <c r="F44"/>
  <c r="F43"/>
  <c r="F20"/>
  <c r="F19"/>
  <c r="F18"/>
  <c r="F17"/>
  <c r="F16"/>
  <c r="F15"/>
  <c r="F14"/>
  <c r="F13"/>
  <c r="F95"/>
  <c r="F98" s="1"/>
  <c r="F26"/>
  <c r="F24"/>
  <c r="F11"/>
  <c r="F7"/>
  <c r="C110"/>
  <c r="C109"/>
  <c r="C108"/>
  <c r="C107"/>
  <c r="C105"/>
  <c r="C104"/>
  <c r="C103"/>
  <c r="C102"/>
  <c r="C101"/>
  <c r="C100"/>
  <c r="C99"/>
  <c r="C92"/>
  <c r="C91"/>
  <c r="C90"/>
  <c r="C89"/>
  <c r="C86"/>
  <c r="C85"/>
  <c r="C82"/>
  <c r="C81"/>
  <c r="C80"/>
  <c r="C79"/>
  <c r="C77"/>
  <c r="C70"/>
  <c r="C66"/>
  <c r="C59"/>
  <c r="C58"/>
  <c r="C57"/>
  <c r="C51"/>
  <c r="C52"/>
  <c r="C53"/>
  <c r="C55"/>
  <c r="C44"/>
  <c r="C45"/>
  <c r="C46"/>
  <c r="C47"/>
  <c r="C49"/>
  <c r="C43"/>
  <c r="C17"/>
  <c r="C18"/>
  <c r="C19"/>
  <c r="C20"/>
  <c r="C13"/>
  <c r="C14"/>
  <c r="C15"/>
  <c r="C39"/>
  <c r="C38"/>
  <c r="C37"/>
  <c r="C35"/>
  <c r="C34"/>
  <c r="C33"/>
  <c r="R18" i="15"/>
  <c r="D69" i="2" s="1"/>
  <c r="B7" i="15"/>
  <c r="O6" i="20" l="1"/>
  <c r="L27" i="10"/>
  <c r="E30" i="20"/>
  <c r="E16"/>
  <c r="E32" s="1"/>
  <c r="F79" i="2"/>
  <c r="O109" i="10"/>
  <c r="F109"/>
  <c r="O10" i="20"/>
  <c r="O14"/>
  <c r="O15" s="1"/>
  <c r="G16"/>
  <c r="I30"/>
  <c r="M30"/>
  <c r="H16"/>
  <c r="L16"/>
  <c r="I16"/>
  <c r="I32" s="1"/>
  <c r="M16"/>
  <c r="O93" i="10"/>
  <c r="O96" s="1"/>
  <c r="R93" i="9"/>
  <c r="F67" i="10"/>
  <c r="O56"/>
  <c r="X106" i="9"/>
  <c r="F29"/>
  <c r="F40" s="1"/>
  <c r="O71"/>
  <c r="L87"/>
  <c r="L106"/>
  <c r="R29"/>
  <c r="R40" s="1"/>
  <c r="R60"/>
  <c r="L80" i="10"/>
  <c r="F71" i="9"/>
  <c r="F93"/>
  <c r="E5" i="15"/>
  <c r="R87" i="9"/>
  <c r="X84"/>
  <c r="U29"/>
  <c r="U40" s="1"/>
  <c r="U60"/>
  <c r="U111"/>
  <c r="F60"/>
  <c r="I56"/>
  <c r="I74"/>
  <c r="O93"/>
  <c r="R71"/>
  <c r="I52" i="10"/>
  <c r="I70"/>
  <c r="L60" i="9"/>
  <c r="L71"/>
  <c r="L84"/>
  <c r="X60"/>
  <c r="X71"/>
  <c r="O29" i="10"/>
  <c r="O36" s="1"/>
  <c r="O80"/>
  <c r="O89"/>
  <c r="O104"/>
  <c r="F56" i="9"/>
  <c r="F62"/>
  <c r="F74"/>
  <c r="F87"/>
  <c r="L29"/>
  <c r="L40" s="1"/>
  <c r="X74"/>
  <c r="X87"/>
  <c r="X93"/>
  <c r="U56"/>
  <c r="U61" s="1"/>
  <c r="U62"/>
  <c r="U71"/>
  <c r="U74"/>
  <c r="L93" i="10"/>
  <c r="L96" s="1"/>
  <c r="F21" i="9"/>
  <c r="F84"/>
  <c r="F106"/>
  <c r="F111"/>
  <c r="R84"/>
  <c r="R106"/>
  <c r="R111"/>
  <c r="F29" i="10"/>
  <c r="F36" s="1"/>
  <c r="F56"/>
  <c r="F80"/>
  <c r="F89"/>
  <c r="F104"/>
  <c r="I62" i="9"/>
  <c r="L62"/>
  <c r="L74"/>
  <c r="L93"/>
  <c r="O21"/>
  <c r="O27" s="1"/>
  <c r="O29"/>
  <c r="O40" s="1"/>
  <c r="O60"/>
  <c r="O84"/>
  <c r="O106"/>
  <c r="O111"/>
  <c r="X29"/>
  <c r="X40" s="1"/>
  <c r="X111"/>
  <c r="U21"/>
  <c r="U27" s="1"/>
  <c r="U41" s="1"/>
  <c r="L29" i="10"/>
  <c r="L36" s="1"/>
  <c r="L37" s="1"/>
  <c r="L67"/>
  <c r="L89"/>
  <c r="L109"/>
  <c r="F83"/>
  <c r="F93"/>
  <c r="F96" s="1"/>
  <c r="I21" i="9"/>
  <c r="I27" s="1"/>
  <c r="I84"/>
  <c r="I106"/>
  <c r="I111"/>
  <c r="L111"/>
  <c r="O62"/>
  <c r="O87"/>
  <c r="X62"/>
  <c r="U84"/>
  <c r="U93"/>
  <c r="U106"/>
  <c r="L56" i="10"/>
  <c r="K30" i="20"/>
  <c r="F27" i="10"/>
  <c r="L52"/>
  <c r="L58"/>
  <c r="L70"/>
  <c r="L83"/>
  <c r="O27"/>
  <c r="J16" i="20"/>
  <c r="N16"/>
  <c r="O28"/>
  <c r="H30"/>
  <c r="L30"/>
  <c r="L32" s="1"/>
  <c r="F52" i="10"/>
  <c r="F58"/>
  <c r="I27"/>
  <c r="O52"/>
  <c r="O57" s="1"/>
  <c r="O58"/>
  <c r="K16" i="20"/>
  <c r="C56" i="9"/>
  <c r="R74"/>
  <c r="X21"/>
  <c r="X27" s="1"/>
  <c r="I56" i="10"/>
  <c r="I58"/>
  <c r="I67"/>
  <c r="I80"/>
  <c r="I83"/>
  <c r="I89"/>
  <c r="I93"/>
  <c r="I96" s="1"/>
  <c r="I104"/>
  <c r="I109"/>
  <c r="L104"/>
  <c r="J30" i="20"/>
  <c r="N30"/>
  <c r="O24"/>
  <c r="G30"/>
  <c r="G32" s="1"/>
  <c r="F30"/>
  <c r="D30"/>
  <c r="C30"/>
  <c r="F16"/>
  <c r="F32" s="1"/>
  <c r="D16"/>
  <c r="C16"/>
  <c r="L21" i="9"/>
  <c r="L27" s="1"/>
  <c r="I29"/>
  <c r="I40" s="1"/>
  <c r="L56"/>
  <c r="R21"/>
  <c r="R27" s="1"/>
  <c r="R41" s="1"/>
  <c r="R56"/>
  <c r="I60"/>
  <c r="I61" s="1"/>
  <c r="I71"/>
  <c r="I93"/>
  <c r="O56"/>
  <c r="R62"/>
  <c r="X56"/>
  <c r="D25" i="13"/>
  <c r="D16"/>
  <c r="O16" i="20"/>
  <c r="I29" i="10"/>
  <c r="I36" s="1"/>
  <c r="I37" s="1"/>
  <c r="F27" i="9"/>
  <c r="F41" s="1"/>
  <c r="M32" i="20" l="1"/>
  <c r="L41" i="9"/>
  <c r="H32" i="20"/>
  <c r="K32"/>
  <c r="F37" i="10"/>
  <c r="O37"/>
  <c r="O30" i="20"/>
  <c r="O32" s="1"/>
  <c r="J32"/>
  <c r="F61" i="9"/>
  <c r="L90" i="10"/>
  <c r="X41" i="9"/>
  <c r="O94"/>
  <c r="F94"/>
  <c r="F113" s="1"/>
  <c r="F115" s="1"/>
  <c r="O61"/>
  <c r="R94"/>
  <c r="L94"/>
  <c r="I57" i="10"/>
  <c r="L61" i="9"/>
  <c r="L57" i="10"/>
  <c r="R61" i="9"/>
  <c r="F57" i="10"/>
  <c r="F90"/>
  <c r="U94" i="9"/>
  <c r="U113" s="1"/>
  <c r="U115" s="1"/>
  <c r="X94"/>
  <c r="O90" i="10"/>
  <c r="O111" s="1"/>
  <c r="O113" s="1"/>
  <c r="I94" i="9"/>
  <c r="I113" s="1"/>
  <c r="I115" s="1"/>
  <c r="X61"/>
  <c r="O41"/>
  <c r="I90" i="10"/>
  <c r="D26" i="13"/>
  <c r="N32" i="20"/>
  <c r="C32"/>
  <c r="D32"/>
  <c r="I41" i="9"/>
  <c r="L111" i="10" l="1"/>
  <c r="L113" s="1"/>
  <c r="F111"/>
  <c r="F113" s="1"/>
  <c r="X113" i="9"/>
  <c r="X115" s="1"/>
  <c r="R113"/>
  <c r="R115" s="1"/>
  <c r="O113"/>
  <c r="O115" s="1"/>
  <c r="L113"/>
  <c r="L115" s="1"/>
  <c r="I111" i="10"/>
  <c r="I113" s="1"/>
  <c r="E4" i="2"/>
  <c r="O24" i="21" l="1"/>
  <c r="H27"/>
  <c r="H28" s="1"/>
  <c r="D79" i="9" l="1"/>
  <c r="Y79"/>
  <c r="V79"/>
  <c r="S79"/>
  <c r="M79"/>
  <c r="G79"/>
  <c r="P79"/>
  <c r="J79"/>
  <c r="K79" s="1"/>
  <c r="Q18" i="15"/>
  <c r="N88" i="1" l="1"/>
  <c r="Q88" s="1"/>
  <c r="P88"/>
  <c r="O88"/>
  <c r="M86" l="1"/>
  <c r="N59"/>
  <c r="R31" i="10"/>
  <c r="S31" l="1"/>
  <c r="E31"/>
  <c r="T31" s="1"/>
  <c r="N25" i="1" l="1"/>
  <c r="E87" i="2" l="1"/>
  <c r="R32" i="21"/>
  <c r="N14" i="15"/>
  <c r="N12"/>
  <c r="N11"/>
  <c r="K14"/>
  <c r="H14"/>
  <c r="H13"/>
  <c r="E14"/>
  <c r="E10"/>
  <c r="Z36" i="9"/>
  <c r="AC114"/>
  <c r="AB114"/>
  <c r="AA114"/>
  <c r="AC112"/>
  <c r="AB112"/>
  <c r="AA112"/>
  <c r="AB110"/>
  <c r="AA110"/>
  <c r="AB109"/>
  <c r="AA109"/>
  <c r="AB108"/>
  <c r="AA108"/>
  <c r="AB107"/>
  <c r="AA107"/>
  <c r="AB105"/>
  <c r="AB104"/>
  <c r="AA104"/>
  <c r="AB103"/>
  <c r="AA103"/>
  <c r="AB102"/>
  <c r="AB101"/>
  <c r="AB100"/>
  <c r="AA100"/>
  <c r="AB99"/>
  <c r="AA99"/>
  <c r="AB97"/>
  <c r="AA97"/>
  <c r="AB96"/>
  <c r="D87" i="1" s="1"/>
  <c r="AA96" i="9"/>
  <c r="C87" i="1" s="1"/>
  <c r="AB92" i="9"/>
  <c r="AB91"/>
  <c r="AA91"/>
  <c r="AB90"/>
  <c r="AA90"/>
  <c r="AB89"/>
  <c r="AA89"/>
  <c r="AB86"/>
  <c r="AA86"/>
  <c r="AB85"/>
  <c r="AA81"/>
  <c r="AB80"/>
  <c r="AA80"/>
  <c r="AB77"/>
  <c r="AA77"/>
  <c r="AB76"/>
  <c r="AB75"/>
  <c r="AB73"/>
  <c r="AB72"/>
  <c r="AB70"/>
  <c r="AB67"/>
  <c r="AB65"/>
  <c r="AB64"/>
  <c r="AB59"/>
  <c r="AB57"/>
  <c r="AB55"/>
  <c r="AB52"/>
  <c r="AB51"/>
  <c r="AB50"/>
  <c r="AB49"/>
  <c r="AB48"/>
  <c r="AB47"/>
  <c r="AB46"/>
  <c r="AB45"/>
  <c r="AB44"/>
  <c r="AB43"/>
  <c r="AB39"/>
  <c r="D35" i="2" s="1"/>
  <c r="AB38" i="9"/>
  <c r="D34" i="2" s="1"/>
  <c r="AB37" i="9"/>
  <c r="D33" i="2" s="1"/>
  <c r="AB36" i="9"/>
  <c r="D32" i="2" s="1"/>
  <c r="AB35" i="9"/>
  <c r="D31" i="2" s="1"/>
  <c r="AB34" i="9"/>
  <c r="D30" i="2" s="1"/>
  <c r="AB33" i="9"/>
  <c r="D29" i="2" s="1"/>
  <c r="AB28" i="9"/>
  <c r="D105" i="2" s="1"/>
  <c r="AA28" i="9"/>
  <c r="AB20"/>
  <c r="AA20"/>
  <c r="AB19"/>
  <c r="AA19"/>
  <c r="AB18"/>
  <c r="AA18"/>
  <c r="AB17"/>
  <c r="AA17"/>
  <c r="AB16"/>
  <c r="AB15"/>
  <c r="AA15"/>
  <c r="AB14"/>
  <c r="D91" i="2" s="1"/>
  <c r="AA14" i="9"/>
  <c r="AC12"/>
  <c r="AB12"/>
  <c r="AA12"/>
  <c r="X133"/>
  <c r="Y111"/>
  <c r="Z110"/>
  <c r="Z109"/>
  <c r="Z108"/>
  <c r="Z107"/>
  <c r="Y106"/>
  <c r="Z105"/>
  <c r="Z104"/>
  <c r="Z103"/>
  <c r="Z102"/>
  <c r="Z101"/>
  <c r="Z100"/>
  <c r="Z99"/>
  <c r="Z97"/>
  <c r="Z96"/>
  <c r="Z95" s="1"/>
  <c r="Y95"/>
  <c r="Y98" s="1"/>
  <c r="Z92"/>
  <c r="Z91"/>
  <c r="Z90"/>
  <c r="Z89"/>
  <c r="Y93"/>
  <c r="Y87"/>
  <c r="Z86"/>
  <c r="Z85"/>
  <c r="Y84"/>
  <c r="Z83"/>
  <c r="Z82"/>
  <c r="Z81"/>
  <c r="Z80"/>
  <c r="Z79"/>
  <c r="Z78"/>
  <c r="Z77"/>
  <c r="Z75"/>
  <c r="Y74"/>
  <c r="Z73"/>
  <c r="Z72"/>
  <c r="Y71"/>
  <c r="Z70"/>
  <c r="Z67"/>
  <c r="Z66"/>
  <c r="Z65"/>
  <c r="Z64"/>
  <c r="Z63"/>
  <c r="Y62"/>
  <c r="Y60"/>
  <c r="Z59"/>
  <c r="Z58"/>
  <c r="Z57"/>
  <c r="Y56"/>
  <c r="Y61" s="1"/>
  <c r="Z55"/>
  <c r="Z54"/>
  <c r="Z53"/>
  <c r="Z52"/>
  <c r="Z51"/>
  <c r="Z50"/>
  <c r="Z49"/>
  <c r="Z48"/>
  <c r="Z47"/>
  <c r="Z46"/>
  <c r="Z45"/>
  <c r="Z44"/>
  <c r="Z43"/>
  <c r="Z42"/>
  <c r="Z39"/>
  <c r="Z37"/>
  <c r="Z35"/>
  <c r="Z34"/>
  <c r="Z33"/>
  <c r="Y32"/>
  <c r="Y29" s="1"/>
  <c r="Y40" s="1"/>
  <c r="Z28"/>
  <c r="Z26"/>
  <c r="Y26"/>
  <c r="Z24"/>
  <c r="Y24"/>
  <c r="Y21"/>
  <c r="Z20"/>
  <c r="Z19"/>
  <c r="Z18"/>
  <c r="Z17"/>
  <c r="Z16"/>
  <c r="Z15"/>
  <c r="Z14"/>
  <c r="Z13"/>
  <c r="Z11"/>
  <c r="Y11"/>
  <c r="Z7"/>
  <c r="Y7"/>
  <c r="AA72"/>
  <c r="AA101"/>
  <c r="AA105"/>
  <c r="AA102"/>
  <c r="AA70"/>
  <c r="AA92"/>
  <c r="L86" i="1"/>
  <c r="L94" s="1"/>
  <c r="N82"/>
  <c r="Y27" i="9" l="1"/>
  <c r="Z98"/>
  <c r="N13" i="15"/>
  <c r="Z87" i="9"/>
  <c r="Z106"/>
  <c r="Z111"/>
  <c r="E13" i="15"/>
  <c r="E15" s="1"/>
  <c r="AA73" i="9"/>
  <c r="AA42"/>
  <c r="AA78"/>
  <c r="AA75"/>
  <c r="K13" i="15"/>
  <c r="N5"/>
  <c r="N10"/>
  <c r="AA13" i="9"/>
  <c r="AA33"/>
  <c r="AA37"/>
  <c r="AA82"/>
  <c r="AA65"/>
  <c r="Z21"/>
  <c r="Z27" s="1"/>
  <c r="H5" i="15"/>
  <c r="H10"/>
  <c r="K5"/>
  <c r="K10"/>
  <c r="AA35" i="9"/>
  <c r="AA39"/>
  <c r="AA64"/>
  <c r="AA16"/>
  <c r="AA34"/>
  <c r="AA48"/>
  <c r="C62"/>
  <c r="AA67"/>
  <c r="AA85"/>
  <c r="AA66"/>
  <c r="AA83"/>
  <c r="AA63"/>
  <c r="AA76"/>
  <c r="R31" i="21"/>
  <c r="Z30" i="9"/>
  <c r="Y41"/>
  <c r="AA88"/>
  <c r="Z76"/>
  <c r="Z84" s="1"/>
  <c r="Z69"/>
  <c r="AA69"/>
  <c r="AA30"/>
  <c r="Z62"/>
  <c r="Z56"/>
  <c r="Z60"/>
  <c r="Z74"/>
  <c r="Y94"/>
  <c r="Y113" s="1"/>
  <c r="Y115" s="1"/>
  <c r="Z38"/>
  <c r="Z32" s="1"/>
  <c r="Z68"/>
  <c r="Z88"/>
  <c r="Z61" l="1"/>
  <c r="K15" i="15"/>
  <c r="H15"/>
  <c r="Y117" i="9"/>
  <c r="N15" i="15"/>
  <c r="X120" i="9"/>
  <c r="Z29"/>
  <c r="Z40" s="1"/>
  <c r="Z41" s="1"/>
  <c r="Z93"/>
  <c r="Z71"/>
  <c r="X117"/>
  <c r="Z94" l="1"/>
  <c r="Z113" s="1"/>
  <c r="Z115" s="1"/>
  <c r="Z117" s="1"/>
  <c r="O26" i="21" l="1"/>
  <c r="O25"/>
  <c r="O23"/>
  <c r="O22"/>
  <c r="O21"/>
  <c r="O20"/>
  <c r="O19"/>
  <c r="O27"/>
  <c r="O30" l="1"/>
  <c r="B33" l="1"/>
  <c r="L74" i="1"/>
  <c r="F17"/>
  <c r="F18"/>
  <c r="F19"/>
  <c r="F20"/>
  <c r="S17" i="10"/>
  <c r="G17" i="1" s="1"/>
  <c r="S18" i="10"/>
  <c r="G18" i="1" s="1"/>
  <c r="S19" i="10"/>
  <c r="G19" i="1" s="1"/>
  <c r="S20" i="10"/>
  <c r="D97" i="2" s="1"/>
  <c r="Q17" i="10"/>
  <c r="T17" s="1"/>
  <c r="H17" i="1" s="1"/>
  <c r="Q18" i="10"/>
  <c r="T18" s="1"/>
  <c r="H18" i="1" s="1"/>
  <c r="Q19" i="10"/>
  <c r="T19" s="1"/>
  <c r="H19" i="1" s="1"/>
  <c r="Q16" i="10"/>
  <c r="G80"/>
  <c r="H28"/>
  <c r="S41"/>
  <c r="G35" i="1" s="1"/>
  <c r="D91" i="10"/>
  <c r="E28"/>
  <c r="C28" i="1"/>
  <c r="D28"/>
  <c r="AB58" i="9"/>
  <c r="D48" i="1" s="1"/>
  <c r="M62" i="9"/>
  <c r="AB53"/>
  <c r="D43" i="1" s="1"/>
  <c r="D62" i="9"/>
  <c r="D71"/>
  <c r="AB68"/>
  <c r="Q13"/>
  <c r="E88"/>
  <c r="J93"/>
  <c r="J84"/>
  <c r="V93"/>
  <c r="P56"/>
  <c r="D56"/>
  <c r="N19" i="1"/>
  <c r="N21" s="1"/>
  <c r="N28"/>
  <c r="N87"/>
  <c r="M89"/>
  <c r="M94" s="1"/>
  <c r="M83"/>
  <c r="N73"/>
  <c r="N72"/>
  <c r="E96" i="2"/>
  <c r="Q28" i="10"/>
  <c r="N28"/>
  <c r="K28"/>
  <c r="W28" i="9"/>
  <c r="T28"/>
  <c r="Q28"/>
  <c r="N28"/>
  <c r="K28"/>
  <c r="H28"/>
  <c r="E28"/>
  <c r="H30" i="18"/>
  <c r="G30"/>
  <c r="F30"/>
  <c r="C72" i="2" s="1"/>
  <c r="F12" i="18"/>
  <c r="F41" s="1"/>
  <c r="G12"/>
  <c r="H12"/>
  <c r="H41" s="1"/>
  <c r="D29"/>
  <c r="D28"/>
  <c r="D27"/>
  <c r="D26"/>
  <c r="D25"/>
  <c r="D24"/>
  <c r="D23"/>
  <c r="D19"/>
  <c r="D18"/>
  <c r="D17"/>
  <c r="D16"/>
  <c r="D15"/>
  <c r="D14"/>
  <c r="B12"/>
  <c r="B41" s="1"/>
  <c r="C30"/>
  <c r="B30"/>
  <c r="R16" i="15"/>
  <c r="Q16"/>
  <c r="P16"/>
  <c r="M16"/>
  <c r="J16"/>
  <c r="G16"/>
  <c r="D16"/>
  <c r="D4" i="18"/>
  <c r="D5"/>
  <c r="D7"/>
  <c r="D8"/>
  <c r="D9"/>
  <c r="D10"/>
  <c r="D11"/>
  <c r="D3"/>
  <c r="P14" i="15"/>
  <c r="P12"/>
  <c r="P11"/>
  <c r="M14"/>
  <c r="J14"/>
  <c r="G14"/>
  <c r="R14"/>
  <c r="R12"/>
  <c r="R11"/>
  <c r="R9"/>
  <c r="R8"/>
  <c r="R7"/>
  <c r="R6"/>
  <c r="R4"/>
  <c r="R3"/>
  <c r="O13"/>
  <c r="O10"/>
  <c r="O5"/>
  <c r="L13"/>
  <c r="L10"/>
  <c r="L5"/>
  <c r="I13"/>
  <c r="I10"/>
  <c r="I5"/>
  <c r="F13"/>
  <c r="F10"/>
  <c r="F5"/>
  <c r="C10"/>
  <c r="C13"/>
  <c r="C5"/>
  <c r="N91" i="1"/>
  <c r="T112" i="10"/>
  <c r="H110" i="1" s="1"/>
  <c r="S112" i="10"/>
  <c r="G110" i="1" s="1"/>
  <c r="T110" i="10"/>
  <c r="H108" i="1" s="1"/>
  <c r="S110" i="10"/>
  <c r="G108" i="1" s="1"/>
  <c r="S108" i="10"/>
  <c r="G106" i="1" s="1"/>
  <c r="S107" i="10"/>
  <c r="G105" i="1" s="1"/>
  <c r="S106" i="10"/>
  <c r="S105"/>
  <c r="G103" i="1" s="1"/>
  <c r="S103" i="10"/>
  <c r="G101" i="1" s="1"/>
  <c r="S102" i="10"/>
  <c r="G100" i="1" s="1"/>
  <c r="S101" i="10"/>
  <c r="G99" i="1" s="1"/>
  <c r="S100" i="10"/>
  <c r="G98" i="1" s="1"/>
  <c r="S99" i="10"/>
  <c r="G97" i="1" s="1"/>
  <c r="S98" i="10"/>
  <c r="G96" i="1" s="1"/>
  <c r="S97" i="10"/>
  <c r="S95"/>
  <c r="G91" i="1" s="1"/>
  <c r="S94" i="10"/>
  <c r="G90" i="1" s="1"/>
  <c r="S92" i="10"/>
  <c r="G87" i="1" s="1"/>
  <c r="J87" s="1"/>
  <c r="P87" s="1"/>
  <c r="P86" s="1"/>
  <c r="S88" i="10"/>
  <c r="G82" i="1" s="1"/>
  <c r="S87" i="10"/>
  <c r="G81" i="1" s="1"/>
  <c r="S86" i="10"/>
  <c r="G80" i="1" s="1"/>
  <c r="S85" i="10"/>
  <c r="G79" i="1" s="1"/>
  <c r="S84" i="10"/>
  <c r="G78" i="1" s="1"/>
  <c r="S82" i="10"/>
  <c r="G76" i="1" s="1"/>
  <c r="S81" i="10"/>
  <c r="S79"/>
  <c r="G73" i="1" s="1"/>
  <c r="S78" i="10"/>
  <c r="G72" i="1" s="1"/>
  <c r="S77" i="10"/>
  <c r="G71" i="1" s="1"/>
  <c r="S76" i="10"/>
  <c r="G70" i="1" s="1"/>
  <c r="S74" i="10"/>
  <c r="G68" i="1" s="1"/>
  <c r="S73" i="10"/>
  <c r="G67" i="1" s="1"/>
  <c r="S72" i="10"/>
  <c r="G66" i="1" s="1"/>
  <c r="S69" i="10"/>
  <c r="G63" i="1" s="1"/>
  <c r="S68" i="10"/>
  <c r="G62" i="1" s="1"/>
  <c r="S66" i="10"/>
  <c r="G60" i="1" s="1"/>
  <c r="S65" i="10"/>
  <c r="G59" i="1" s="1"/>
  <c r="S64" i="10"/>
  <c r="S63"/>
  <c r="S61"/>
  <c r="G55" i="1" s="1"/>
  <c r="S60" i="10"/>
  <c r="G54" i="1" s="1"/>
  <c r="S55" i="10"/>
  <c r="G49" i="1" s="1"/>
  <c r="S54" i="10"/>
  <c r="G48" i="1" s="1"/>
  <c r="S53" i="10"/>
  <c r="S51"/>
  <c r="G45" i="1" s="1"/>
  <c r="S49" i="10"/>
  <c r="G43" i="1" s="1"/>
  <c r="S48" i="10"/>
  <c r="G42" i="1" s="1"/>
  <c r="S47" i="10"/>
  <c r="G41" i="1" s="1"/>
  <c r="S46" i="10"/>
  <c r="G40" i="1" s="1"/>
  <c r="S45" i="10"/>
  <c r="S44"/>
  <c r="G38" i="1" s="1"/>
  <c r="S43" i="10"/>
  <c r="G37" i="1" s="1"/>
  <c r="S42" i="10"/>
  <c r="G36" i="1" s="1"/>
  <c r="S40" i="10"/>
  <c r="G34" i="1" s="1"/>
  <c r="S39" i="10"/>
  <c r="G33" i="1" s="1"/>
  <c r="S35" i="10"/>
  <c r="D26" i="2" s="1"/>
  <c r="S34" i="10"/>
  <c r="D25" i="2" s="1"/>
  <c r="S33" i="10"/>
  <c r="D24" i="2" s="1"/>
  <c r="T26" i="10"/>
  <c r="S26"/>
  <c r="T24"/>
  <c r="S24"/>
  <c r="S16"/>
  <c r="T11"/>
  <c r="S11"/>
  <c r="T7"/>
  <c r="S7"/>
  <c r="P109"/>
  <c r="Q108"/>
  <c r="Q107"/>
  <c r="Q106"/>
  <c r="Q105"/>
  <c r="P104"/>
  <c r="Q102"/>
  <c r="Q101"/>
  <c r="Q99"/>
  <c r="Q98"/>
  <c r="Q97"/>
  <c r="Q95"/>
  <c r="Q94"/>
  <c r="P93"/>
  <c r="P96" s="1"/>
  <c r="Q92"/>
  <c r="Q91"/>
  <c r="P89"/>
  <c r="Q88"/>
  <c r="Q87"/>
  <c r="Q86"/>
  <c r="Q85"/>
  <c r="P83"/>
  <c r="Q82"/>
  <c r="P80"/>
  <c r="Q77"/>
  <c r="Q76"/>
  <c r="Q75"/>
  <c r="Q73"/>
  <c r="Q72"/>
  <c r="Q71"/>
  <c r="P70"/>
  <c r="P67"/>
  <c r="Q66"/>
  <c r="P58"/>
  <c r="P56"/>
  <c r="P32"/>
  <c r="Q26"/>
  <c r="P26"/>
  <c r="Q24"/>
  <c r="P24"/>
  <c r="Q11"/>
  <c r="P11"/>
  <c r="Q7"/>
  <c r="P7"/>
  <c r="M109"/>
  <c r="N108"/>
  <c r="N107"/>
  <c r="N106"/>
  <c r="N105"/>
  <c r="M104"/>
  <c r="N103"/>
  <c r="N102"/>
  <c r="N101"/>
  <c r="N100"/>
  <c r="N99"/>
  <c r="N98"/>
  <c r="N97"/>
  <c r="N95"/>
  <c r="N94"/>
  <c r="M93"/>
  <c r="M96" s="1"/>
  <c r="N92"/>
  <c r="M89"/>
  <c r="N88"/>
  <c r="N87"/>
  <c r="N86"/>
  <c r="N85"/>
  <c r="N84"/>
  <c r="M83"/>
  <c r="N82"/>
  <c r="N81"/>
  <c r="M80"/>
  <c r="N79"/>
  <c r="N77"/>
  <c r="N76"/>
  <c r="N75"/>
  <c r="N74"/>
  <c r="N73"/>
  <c r="N72"/>
  <c r="N71"/>
  <c r="M70"/>
  <c r="N68"/>
  <c r="M67"/>
  <c r="N66"/>
  <c r="N65"/>
  <c r="N64"/>
  <c r="M56"/>
  <c r="N35"/>
  <c r="N34"/>
  <c r="N33"/>
  <c r="N26"/>
  <c r="M26"/>
  <c r="N24"/>
  <c r="M24"/>
  <c r="M21"/>
  <c r="N16"/>
  <c r="N21" s="1"/>
  <c r="N11"/>
  <c r="M11"/>
  <c r="N7"/>
  <c r="M7"/>
  <c r="J109"/>
  <c r="K108"/>
  <c r="K107"/>
  <c r="K106"/>
  <c r="K105"/>
  <c r="J104"/>
  <c r="K103"/>
  <c r="K102"/>
  <c r="K101"/>
  <c r="K100"/>
  <c r="K99"/>
  <c r="K98"/>
  <c r="K97"/>
  <c r="K95"/>
  <c r="K94"/>
  <c r="J93"/>
  <c r="J96" s="1"/>
  <c r="K92"/>
  <c r="J89"/>
  <c r="K88"/>
  <c r="K87"/>
  <c r="K86"/>
  <c r="K85"/>
  <c r="K84"/>
  <c r="J83"/>
  <c r="K82"/>
  <c r="K81"/>
  <c r="J80"/>
  <c r="K79"/>
  <c r="K78"/>
  <c r="K77"/>
  <c r="K76"/>
  <c r="K75"/>
  <c r="K74"/>
  <c r="K73"/>
  <c r="K72"/>
  <c r="K71"/>
  <c r="J70"/>
  <c r="K68"/>
  <c r="J67"/>
  <c r="K66"/>
  <c r="K65"/>
  <c r="K64"/>
  <c r="J56"/>
  <c r="K35"/>
  <c r="K34"/>
  <c r="K33"/>
  <c r="K26"/>
  <c r="J26"/>
  <c r="K24"/>
  <c r="J24"/>
  <c r="J21"/>
  <c r="K16"/>
  <c r="K21" s="1"/>
  <c r="K11"/>
  <c r="J11"/>
  <c r="K7"/>
  <c r="J7"/>
  <c r="G109"/>
  <c r="H108"/>
  <c r="H107"/>
  <c r="H106"/>
  <c r="H105"/>
  <c r="G104"/>
  <c r="H103"/>
  <c r="H102"/>
  <c r="H101"/>
  <c r="H99"/>
  <c r="H98"/>
  <c r="H97"/>
  <c r="H95"/>
  <c r="H94"/>
  <c r="G93"/>
  <c r="G96" s="1"/>
  <c r="H92"/>
  <c r="H91"/>
  <c r="G89"/>
  <c r="H88"/>
  <c r="H87"/>
  <c r="H86"/>
  <c r="H85"/>
  <c r="H84"/>
  <c r="G83"/>
  <c r="H82"/>
  <c r="H77"/>
  <c r="H76"/>
  <c r="H75"/>
  <c r="H73"/>
  <c r="H72"/>
  <c r="G70"/>
  <c r="H68"/>
  <c r="G67"/>
  <c r="H66"/>
  <c r="G58"/>
  <c r="G56"/>
  <c r="H35"/>
  <c r="H34"/>
  <c r="H33"/>
  <c r="G32"/>
  <c r="H26"/>
  <c r="G26"/>
  <c r="H24"/>
  <c r="G24"/>
  <c r="G21"/>
  <c r="H16"/>
  <c r="H21" s="1"/>
  <c r="H11"/>
  <c r="G11"/>
  <c r="H7"/>
  <c r="G7"/>
  <c r="E108"/>
  <c r="E107"/>
  <c r="E106"/>
  <c r="E105"/>
  <c r="E102"/>
  <c r="E101"/>
  <c r="E100"/>
  <c r="E99"/>
  <c r="E98"/>
  <c r="E97"/>
  <c r="E95"/>
  <c r="E94"/>
  <c r="E92"/>
  <c r="E88"/>
  <c r="E87"/>
  <c r="E86"/>
  <c r="E85"/>
  <c r="E84"/>
  <c r="E82"/>
  <c r="E77"/>
  <c r="E76"/>
  <c r="E75"/>
  <c r="E73"/>
  <c r="E68"/>
  <c r="E66"/>
  <c r="E34"/>
  <c r="E35"/>
  <c r="E33"/>
  <c r="E16"/>
  <c r="D109"/>
  <c r="D104"/>
  <c r="D93"/>
  <c r="D89"/>
  <c r="D83"/>
  <c r="D80"/>
  <c r="D70"/>
  <c r="D67"/>
  <c r="D56"/>
  <c r="D32"/>
  <c r="E26"/>
  <c r="D26"/>
  <c r="E24"/>
  <c r="D24"/>
  <c r="D21"/>
  <c r="E11"/>
  <c r="D11"/>
  <c r="E7"/>
  <c r="D7"/>
  <c r="W110" i="9"/>
  <c r="W109"/>
  <c r="W108"/>
  <c r="W107"/>
  <c r="W105"/>
  <c r="W104"/>
  <c r="W103"/>
  <c r="W102"/>
  <c r="W101"/>
  <c r="W100"/>
  <c r="W99"/>
  <c r="W97"/>
  <c r="W96"/>
  <c r="W95" s="1"/>
  <c r="W92"/>
  <c r="W91"/>
  <c r="W90"/>
  <c r="W89"/>
  <c r="W86"/>
  <c r="W82"/>
  <c r="W81"/>
  <c r="W80"/>
  <c r="W79"/>
  <c r="W78"/>
  <c r="W77"/>
  <c r="W76"/>
  <c r="W72"/>
  <c r="W70"/>
  <c r="W39"/>
  <c r="W37"/>
  <c r="W35"/>
  <c r="W34"/>
  <c r="W33"/>
  <c r="W26"/>
  <c r="W24"/>
  <c r="W20"/>
  <c r="W19"/>
  <c r="W18"/>
  <c r="W17"/>
  <c r="W16"/>
  <c r="W15"/>
  <c r="W14"/>
  <c r="W13"/>
  <c r="W11"/>
  <c r="W7"/>
  <c r="T110"/>
  <c r="T109"/>
  <c r="T108"/>
  <c r="T107"/>
  <c r="T105"/>
  <c r="T104"/>
  <c r="T103"/>
  <c r="T102"/>
  <c r="T101"/>
  <c r="T100"/>
  <c r="T99"/>
  <c r="T97"/>
  <c r="T96"/>
  <c r="T95" s="1"/>
  <c r="T91"/>
  <c r="T90"/>
  <c r="T89"/>
  <c r="T88"/>
  <c r="T86"/>
  <c r="T85"/>
  <c r="T82"/>
  <c r="T81"/>
  <c r="T80"/>
  <c r="T79"/>
  <c r="T77"/>
  <c r="T76"/>
  <c r="T75"/>
  <c r="T72"/>
  <c r="T70"/>
  <c r="T68"/>
  <c r="T39"/>
  <c r="T38"/>
  <c r="T37"/>
  <c r="T36"/>
  <c r="T35"/>
  <c r="T34"/>
  <c r="T33"/>
  <c r="T26"/>
  <c r="T24"/>
  <c r="T20"/>
  <c r="T19"/>
  <c r="T18"/>
  <c r="T17"/>
  <c r="T16"/>
  <c r="T15"/>
  <c r="T14"/>
  <c r="T13"/>
  <c r="T11"/>
  <c r="T7"/>
  <c r="Q110"/>
  <c r="Q109"/>
  <c r="Q108"/>
  <c r="Q107"/>
  <c r="Q105"/>
  <c r="Q104"/>
  <c r="Q103"/>
  <c r="Q102"/>
  <c r="Q101"/>
  <c r="Q100"/>
  <c r="Q99"/>
  <c r="Q97"/>
  <c r="Q96"/>
  <c r="Q95" s="1"/>
  <c r="Q91"/>
  <c r="Q90"/>
  <c r="Q89"/>
  <c r="Q86"/>
  <c r="Q82"/>
  <c r="Q81"/>
  <c r="Q80"/>
  <c r="Q79"/>
  <c r="Q77"/>
  <c r="Q76"/>
  <c r="Q72"/>
  <c r="Q70"/>
  <c r="Q68"/>
  <c r="Q39"/>
  <c r="Q38"/>
  <c r="Q37"/>
  <c r="Q36"/>
  <c r="Q35"/>
  <c r="Q34"/>
  <c r="Q33"/>
  <c r="Q26"/>
  <c r="Q24"/>
  <c r="Q20"/>
  <c r="Q19"/>
  <c r="Q18"/>
  <c r="Q17"/>
  <c r="Q16"/>
  <c r="Q15"/>
  <c r="Q14"/>
  <c r="Q11"/>
  <c r="Q7"/>
  <c r="N110"/>
  <c r="N109"/>
  <c r="N108"/>
  <c r="N107"/>
  <c r="N105"/>
  <c r="N104"/>
  <c r="N103"/>
  <c r="N102"/>
  <c r="N101"/>
  <c r="N100"/>
  <c r="N99"/>
  <c r="N97"/>
  <c r="N96"/>
  <c r="N95" s="1"/>
  <c r="N92"/>
  <c r="N91"/>
  <c r="N90"/>
  <c r="N89"/>
  <c r="N86"/>
  <c r="N81"/>
  <c r="N80"/>
  <c r="N79"/>
  <c r="N77"/>
  <c r="N76"/>
  <c r="N70"/>
  <c r="N39"/>
  <c r="N38"/>
  <c r="N37"/>
  <c r="N36"/>
  <c r="N35"/>
  <c r="N34"/>
  <c r="N33"/>
  <c r="N26"/>
  <c r="N24"/>
  <c r="N20"/>
  <c r="N19"/>
  <c r="N18"/>
  <c r="N17"/>
  <c r="N16"/>
  <c r="N15"/>
  <c r="N14"/>
  <c r="N13"/>
  <c r="N11"/>
  <c r="N7"/>
  <c r="K110"/>
  <c r="K109"/>
  <c r="K108"/>
  <c r="K107"/>
  <c r="K105"/>
  <c r="K104"/>
  <c r="K103"/>
  <c r="K102"/>
  <c r="K101"/>
  <c r="K100"/>
  <c r="K99"/>
  <c r="K97"/>
  <c r="K96"/>
  <c r="K91"/>
  <c r="K90"/>
  <c r="K89"/>
  <c r="K86"/>
  <c r="K82"/>
  <c r="K81"/>
  <c r="K80"/>
  <c r="K77"/>
  <c r="K76"/>
  <c r="K72"/>
  <c r="K70"/>
  <c r="K39"/>
  <c r="K38"/>
  <c r="K37"/>
  <c r="K36"/>
  <c r="K35"/>
  <c r="K34"/>
  <c r="K33"/>
  <c r="K26"/>
  <c r="K24"/>
  <c r="K20"/>
  <c r="K19"/>
  <c r="K18"/>
  <c r="K17"/>
  <c r="K16"/>
  <c r="K15"/>
  <c r="K14"/>
  <c r="K13"/>
  <c r="K11"/>
  <c r="K7"/>
  <c r="H110"/>
  <c r="H109"/>
  <c r="H108"/>
  <c r="H107"/>
  <c r="H105"/>
  <c r="H104"/>
  <c r="H103"/>
  <c r="H102"/>
  <c r="H101"/>
  <c r="H100"/>
  <c r="H99"/>
  <c r="H97"/>
  <c r="H96"/>
  <c r="H95" s="1"/>
  <c r="H92"/>
  <c r="H91"/>
  <c r="H90"/>
  <c r="H89"/>
  <c r="H86"/>
  <c r="H81"/>
  <c r="H80"/>
  <c r="H78"/>
  <c r="H77"/>
  <c r="H76"/>
  <c r="H72"/>
  <c r="H70"/>
  <c r="H39"/>
  <c r="H38"/>
  <c r="H37"/>
  <c r="H36"/>
  <c r="H35"/>
  <c r="H34"/>
  <c r="H33"/>
  <c r="H26"/>
  <c r="H24"/>
  <c r="H20"/>
  <c r="H19"/>
  <c r="H18"/>
  <c r="H17"/>
  <c r="H16"/>
  <c r="H15"/>
  <c r="H14"/>
  <c r="H13"/>
  <c r="H11"/>
  <c r="H7"/>
  <c r="E110"/>
  <c r="E109"/>
  <c r="E108"/>
  <c r="E107"/>
  <c r="E105"/>
  <c r="E104"/>
  <c r="E103"/>
  <c r="E102"/>
  <c r="E101"/>
  <c r="E100"/>
  <c r="E99"/>
  <c r="E97"/>
  <c r="E96"/>
  <c r="E95" s="1"/>
  <c r="E98" s="1"/>
  <c r="E91"/>
  <c r="E90"/>
  <c r="E89"/>
  <c r="E86"/>
  <c r="E82"/>
  <c r="E81"/>
  <c r="E80"/>
  <c r="E79"/>
  <c r="E77"/>
  <c r="E72"/>
  <c r="E70"/>
  <c r="E34"/>
  <c r="E35"/>
  <c r="E36"/>
  <c r="E37"/>
  <c r="E38"/>
  <c r="E39"/>
  <c r="E33"/>
  <c r="E14"/>
  <c r="E15"/>
  <c r="E16"/>
  <c r="E17"/>
  <c r="E18"/>
  <c r="E19"/>
  <c r="E20"/>
  <c r="E13"/>
  <c r="AC26"/>
  <c r="AC24"/>
  <c r="AC11"/>
  <c r="AC7"/>
  <c r="AB111"/>
  <c r="AB106"/>
  <c r="AB87"/>
  <c r="AB74"/>
  <c r="AB32"/>
  <c r="AB26"/>
  <c r="AB24"/>
  <c r="AB11"/>
  <c r="AB7"/>
  <c r="V111"/>
  <c r="V106"/>
  <c r="V95"/>
  <c r="V98" s="1"/>
  <c r="V87"/>
  <c r="V84"/>
  <c r="V74"/>
  <c r="V71"/>
  <c r="V62"/>
  <c r="V60"/>
  <c r="V32"/>
  <c r="V26"/>
  <c r="V24"/>
  <c r="V21"/>
  <c r="V11"/>
  <c r="V7"/>
  <c r="S111"/>
  <c r="S106"/>
  <c r="S95"/>
  <c r="S98" s="1"/>
  <c r="S93"/>
  <c r="S87"/>
  <c r="S84"/>
  <c r="S74"/>
  <c r="S71"/>
  <c r="S32"/>
  <c r="S26"/>
  <c r="S24"/>
  <c r="S21"/>
  <c r="S11"/>
  <c r="S7"/>
  <c r="P111"/>
  <c r="P106"/>
  <c r="P95"/>
  <c r="P98" s="1"/>
  <c r="P93"/>
  <c r="P87"/>
  <c r="P74"/>
  <c r="P71"/>
  <c r="P62"/>
  <c r="P60"/>
  <c r="P32"/>
  <c r="P26"/>
  <c r="P24"/>
  <c r="P11"/>
  <c r="P7"/>
  <c r="M111"/>
  <c r="M106"/>
  <c r="M95"/>
  <c r="M98" s="1"/>
  <c r="M93"/>
  <c r="M87"/>
  <c r="M84"/>
  <c r="M74"/>
  <c r="M60"/>
  <c r="M56"/>
  <c r="M32"/>
  <c r="M26"/>
  <c r="M24"/>
  <c r="M21"/>
  <c r="M11"/>
  <c r="M7"/>
  <c r="J111"/>
  <c r="J106"/>
  <c r="J95"/>
  <c r="J98" s="1"/>
  <c r="J87"/>
  <c r="J74"/>
  <c r="J71"/>
  <c r="J60"/>
  <c r="J32"/>
  <c r="J26"/>
  <c r="J24"/>
  <c r="J21"/>
  <c r="J11"/>
  <c r="J7"/>
  <c r="G111"/>
  <c r="G106"/>
  <c r="G95"/>
  <c r="G98" s="1"/>
  <c r="G93"/>
  <c r="G87"/>
  <c r="G74"/>
  <c r="G60"/>
  <c r="G32"/>
  <c r="G26"/>
  <c r="G24"/>
  <c r="G11"/>
  <c r="G7"/>
  <c r="E26"/>
  <c r="E24"/>
  <c r="E11"/>
  <c r="E7"/>
  <c r="D111"/>
  <c r="D106"/>
  <c r="D95"/>
  <c r="D98" s="1"/>
  <c r="D87"/>
  <c r="D74"/>
  <c r="D60"/>
  <c r="D32"/>
  <c r="D26"/>
  <c r="D24"/>
  <c r="D21"/>
  <c r="D11"/>
  <c r="D7"/>
  <c r="E66" i="2"/>
  <c r="E65" s="1"/>
  <c r="D65"/>
  <c r="E103"/>
  <c r="E101"/>
  <c r="E86"/>
  <c r="E88" s="1"/>
  <c r="D103"/>
  <c r="D101"/>
  <c r="D86"/>
  <c r="D88" s="1"/>
  <c r="D56"/>
  <c r="D47"/>
  <c r="D37"/>
  <c r="D28"/>
  <c r="D6"/>
  <c r="N93" i="1"/>
  <c r="Q25"/>
  <c r="Q23"/>
  <c r="Q24" s="1"/>
  <c r="D4" i="22" s="1"/>
  <c r="Q22" i="1"/>
  <c r="Q10"/>
  <c r="Q9" s="1"/>
  <c r="Q8"/>
  <c r="Q3"/>
  <c r="P25"/>
  <c r="P26" s="1"/>
  <c r="C12" i="22" s="1"/>
  <c r="P23" i="1"/>
  <c r="P24" s="1"/>
  <c r="C4" i="22" s="1"/>
  <c r="P22" i="1"/>
  <c r="P10"/>
  <c r="P9" s="1"/>
  <c r="P8"/>
  <c r="P3"/>
  <c r="N107"/>
  <c r="N102"/>
  <c r="N77"/>
  <c r="N64"/>
  <c r="N61"/>
  <c r="N52"/>
  <c r="N50"/>
  <c r="N51" s="1"/>
  <c r="N26"/>
  <c r="N24"/>
  <c r="N9"/>
  <c r="N11" s="1"/>
  <c r="M107"/>
  <c r="M102"/>
  <c r="M77"/>
  <c r="M64"/>
  <c r="M61"/>
  <c r="M52"/>
  <c r="M50"/>
  <c r="M51" s="1"/>
  <c r="M26"/>
  <c r="M24"/>
  <c r="M21"/>
  <c r="M9"/>
  <c r="M11" s="1"/>
  <c r="M5"/>
  <c r="P5" s="1"/>
  <c r="K93"/>
  <c r="K92"/>
  <c r="K26"/>
  <c r="K24"/>
  <c r="J93"/>
  <c r="P93" s="1"/>
  <c r="J92"/>
  <c r="J26"/>
  <c r="J24"/>
  <c r="H26"/>
  <c r="H24"/>
  <c r="G104"/>
  <c r="G95"/>
  <c r="G57"/>
  <c r="G39"/>
  <c r="G26"/>
  <c r="G24"/>
  <c r="E110"/>
  <c r="E108"/>
  <c r="E89"/>
  <c r="E26"/>
  <c r="E24"/>
  <c r="E12"/>
  <c r="K12" s="1"/>
  <c r="D110"/>
  <c r="D108"/>
  <c r="D106"/>
  <c r="D105"/>
  <c r="D104"/>
  <c r="D103"/>
  <c r="D101"/>
  <c r="D100"/>
  <c r="D99"/>
  <c r="D98"/>
  <c r="D97"/>
  <c r="D96"/>
  <c r="D95"/>
  <c r="D89"/>
  <c r="D82"/>
  <c r="D81"/>
  <c r="D80"/>
  <c r="D79"/>
  <c r="D76"/>
  <c r="D75"/>
  <c r="D70"/>
  <c r="D67"/>
  <c r="D66"/>
  <c r="D65"/>
  <c r="D63"/>
  <c r="D62"/>
  <c r="D60"/>
  <c r="D57"/>
  <c r="D55"/>
  <c r="D54"/>
  <c r="D49"/>
  <c r="D47"/>
  <c r="D45"/>
  <c r="D42"/>
  <c r="D41"/>
  <c r="D40"/>
  <c r="D39"/>
  <c r="D38"/>
  <c r="D37"/>
  <c r="D36"/>
  <c r="D35"/>
  <c r="D34"/>
  <c r="D33"/>
  <c r="D26"/>
  <c r="D24"/>
  <c r="D20"/>
  <c r="D19"/>
  <c r="D18"/>
  <c r="D17"/>
  <c r="D16"/>
  <c r="D15"/>
  <c r="J15" s="1"/>
  <c r="P15" s="1"/>
  <c r="D12"/>
  <c r="B13" i="21"/>
  <c r="B11"/>
  <c r="G16" i="1" l="1"/>
  <c r="D93" i="2"/>
  <c r="H6" i="22"/>
  <c r="D70" i="2"/>
  <c r="G41" i="18"/>
  <c r="D23" i="2"/>
  <c r="H98" i="9"/>
  <c r="AC77"/>
  <c r="E67" i="1" s="1"/>
  <c r="AC20" i="9"/>
  <c r="E20" i="1" s="1"/>
  <c r="AC91" i="9"/>
  <c r="E81" i="1" s="1"/>
  <c r="AC100" i="9"/>
  <c r="E96" i="1" s="1"/>
  <c r="AC104" i="9"/>
  <c r="E100" i="1" s="1"/>
  <c r="AC109" i="9"/>
  <c r="E105" i="1" s="1"/>
  <c r="B14" i="21"/>
  <c r="AC15" i="9"/>
  <c r="E15" i="1" s="1"/>
  <c r="K15" s="1"/>
  <c r="Q15" s="1"/>
  <c r="P11"/>
  <c r="C11" i="22" s="1"/>
  <c r="C16" s="1"/>
  <c r="E111" i="9"/>
  <c r="M61"/>
  <c r="AC97"/>
  <c r="AC107"/>
  <c r="E103" i="1" s="1"/>
  <c r="D21" i="18"/>
  <c r="E106" i="9"/>
  <c r="AC19"/>
  <c r="E19" i="1" s="1"/>
  <c r="K19" s="1"/>
  <c r="Q19" s="1"/>
  <c r="AC86" i="9"/>
  <c r="E76" i="1" s="1"/>
  <c r="T106" i="9"/>
  <c r="AC17"/>
  <c r="E17" i="1" s="1"/>
  <c r="K17" s="1"/>
  <c r="Q17" s="1"/>
  <c r="AC99" i="9"/>
  <c r="E95" i="1" s="1"/>
  <c r="AC108" i="9"/>
  <c r="E104" i="1" s="1"/>
  <c r="N21" i="9"/>
  <c r="N27" s="1"/>
  <c r="N98"/>
  <c r="Q98"/>
  <c r="T98"/>
  <c r="W98"/>
  <c r="D72" i="2"/>
  <c r="Q106" i="9"/>
  <c r="K106"/>
  <c r="K111"/>
  <c r="N111"/>
  <c r="Q111"/>
  <c r="C70" i="2"/>
  <c r="AC18" i="9"/>
  <c r="E18" i="1" s="1"/>
  <c r="K18" s="1"/>
  <c r="Q18" s="1"/>
  <c r="AC37" i="9"/>
  <c r="AC89"/>
  <c r="E79" i="1" s="1"/>
  <c r="AC110" i="9"/>
  <c r="E106" i="1" s="1"/>
  <c r="T21" i="9"/>
  <c r="T27" s="1"/>
  <c r="T32"/>
  <c r="V27"/>
  <c r="AC102"/>
  <c r="E98" i="1" s="1"/>
  <c r="H111" i="9"/>
  <c r="N106"/>
  <c r="T87"/>
  <c r="T111"/>
  <c r="W106"/>
  <c r="W111"/>
  <c r="D61"/>
  <c r="J29"/>
  <c r="J40" s="1"/>
  <c r="AB95"/>
  <c r="S27"/>
  <c r="S29"/>
  <c r="S40" s="1"/>
  <c r="AC103"/>
  <c r="E99" i="1" s="1"/>
  <c r="M27" i="9"/>
  <c r="P29"/>
  <c r="P40" s="1"/>
  <c r="P61"/>
  <c r="AC90"/>
  <c r="E80" i="1" s="1"/>
  <c r="AC80" i="9"/>
  <c r="E70" i="1" s="1"/>
  <c r="E21" i="9"/>
  <c r="E27" s="1"/>
  <c r="AC33"/>
  <c r="Q26" i="1"/>
  <c r="D12" i="22" s="1"/>
  <c r="N86" i="1"/>
  <c r="Q17" i="21"/>
  <c r="R17" s="1"/>
  <c r="AC34" i="9"/>
  <c r="S94"/>
  <c r="K95"/>
  <c r="AC96"/>
  <c r="E87" i="1" s="1"/>
  <c r="AC39" i="9"/>
  <c r="G62"/>
  <c r="D93"/>
  <c r="AC14"/>
  <c r="E14" i="1" s="1"/>
  <c r="K14" s="1"/>
  <c r="Q14" s="1"/>
  <c r="P52" i="10"/>
  <c r="P57" s="1"/>
  <c r="AB81" i="9"/>
  <c r="P92" i="1"/>
  <c r="E91" i="10"/>
  <c r="D96"/>
  <c r="H79" i="9"/>
  <c r="AC81"/>
  <c r="E71" i="1" s="1"/>
  <c r="S60" i="9"/>
  <c r="S56"/>
  <c r="V56"/>
  <c r="V61" s="1"/>
  <c r="G52" i="10"/>
  <c r="G57" s="1"/>
  <c r="D58"/>
  <c r="J52"/>
  <c r="J57" s="1"/>
  <c r="S38"/>
  <c r="G32" i="1" s="1"/>
  <c r="AC35" i="9"/>
  <c r="J27"/>
  <c r="AC28"/>
  <c r="AB54"/>
  <c r="D44" i="1" s="1"/>
  <c r="AB42" i="9"/>
  <c r="D32" i="1" s="1"/>
  <c r="AC16" i="9"/>
  <c r="E16" i="1" s="1"/>
  <c r="W88" i="9"/>
  <c r="W93" s="1"/>
  <c r="AC13"/>
  <c r="E90" i="2" s="1"/>
  <c r="N74" i="1"/>
  <c r="AB88" i="9"/>
  <c r="D78" i="1" s="1"/>
  <c r="AB69" i="9"/>
  <c r="D59" i="1" s="1"/>
  <c r="P84" i="9"/>
  <c r="P94" s="1"/>
  <c r="AB63"/>
  <c r="D53" i="1" s="1"/>
  <c r="G56" i="9"/>
  <c r="G61" s="1"/>
  <c r="G71"/>
  <c r="J62"/>
  <c r="P21"/>
  <c r="P27" s="1"/>
  <c r="AB13"/>
  <c r="D84"/>
  <c r="D94" s="1"/>
  <c r="D113" s="1"/>
  <c r="D115" s="1"/>
  <c r="AB78"/>
  <c r="AB83"/>
  <c r="D73" i="1" s="1"/>
  <c r="J73" s="1"/>
  <c r="P73" s="1"/>
  <c r="M58" i="10"/>
  <c r="AC70" i="9"/>
  <c r="E60" i="1" s="1"/>
  <c r="AC101" i="9"/>
  <c r="E97" i="1" s="1"/>
  <c r="AC105" i="9"/>
  <c r="E101" i="1" s="1"/>
  <c r="AB66" i="9"/>
  <c r="D56" i="1" s="1"/>
  <c r="AB82" i="9"/>
  <c r="D72" i="1" s="1"/>
  <c r="J72" s="1"/>
  <c r="P72" s="1"/>
  <c r="D58"/>
  <c r="AB30" i="9"/>
  <c r="AB29" s="1"/>
  <c r="C15" i="15"/>
  <c r="S93" i="10"/>
  <c r="T102"/>
  <c r="H100" i="1" s="1"/>
  <c r="T66" i="10"/>
  <c r="H60" i="1" s="1"/>
  <c r="T85" i="10"/>
  <c r="H79" i="1" s="1"/>
  <c r="K79" s="1"/>
  <c r="J39"/>
  <c r="P39" s="1"/>
  <c r="G29" i="10"/>
  <c r="G36" s="1"/>
  <c r="S62"/>
  <c r="G56" i="1" s="1"/>
  <c r="M52" i="10"/>
  <c r="M57" s="1"/>
  <c r="T16"/>
  <c r="T76"/>
  <c r="H70" i="1" s="1"/>
  <c r="T92" i="10"/>
  <c r="H87" i="1" s="1"/>
  <c r="T98" i="10"/>
  <c r="H96" i="1" s="1"/>
  <c r="H93" i="10"/>
  <c r="H96" s="1"/>
  <c r="S30"/>
  <c r="E32"/>
  <c r="N89"/>
  <c r="N93"/>
  <c r="P90"/>
  <c r="J29"/>
  <c r="J36" s="1"/>
  <c r="J58"/>
  <c r="S32"/>
  <c r="E93"/>
  <c r="T106"/>
  <c r="H104" i="1" s="1"/>
  <c r="P29" i="10"/>
  <c r="P36" s="1"/>
  <c r="J76" i="1"/>
  <c r="P76" s="1"/>
  <c r="M29" i="10"/>
  <c r="M36" s="1"/>
  <c r="T88"/>
  <c r="H82" i="1" s="1"/>
  <c r="T107" i="10"/>
  <c r="H105" i="1" s="1"/>
  <c r="K105" s="1"/>
  <c r="Q105" s="1"/>
  <c r="T73" i="10"/>
  <c r="H67" i="1" s="1"/>
  <c r="S56" i="10"/>
  <c r="S83"/>
  <c r="J43" i="1"/>
  <c r="P43" s="1"/>
  <c r="J60"/>
  <c r="P60" s="1"/>
  <c r="D52" i="10"/>
  <c r="D57" s="1"/>
  <c r="T77"/>
  <c r="H71" i="1" s="1"/>
  <c r="T94" i="10"/>
  <c r="H90" i="1" s="1"/>
  <c r="K90" s="1"/>
  <c r="T99" i="10"/>
  <c r="H97" i="1" s="1"/>
  <c r="T86" i="10"/>
  <c r="H80" i="1" s="1"/>
  <c r="T95" i="10"/>
  <c r="H91" i="1" s="1"/>
  <c r="K91" s="1"/>
  <c r="T101" i="10"/>
  <c r="H99" i="1" s="1"/>
  <c r="H109" i="10"/>
  <c r="N32"/>
  <c r="N83"/>
  <c r="T28"/>
  <c r="H28" i="1" s="1"/>
  <c r="J48"/>
  <c r="P48" s="1"/>
  <c r="J70"/>
  <c r="P70" s="1"/>
  <c r="T97" i="10"/>
  <c r="H95" i="1" s="1"/>
  <c r="T108" i="10"/>
  <c r="H106" i="1" s="1"/>
  <c r="S71" i="10"/>
  <c r="G65" i="1" s="1"/>
  <c r="J65" s="1"/>
  <c r="P65" s="1"/>
  <c r="T82" i="10"/>
  <c r="H76" i="1" s="1"/>
  <c r="T87" i="10"/>
  <c r="H81" i="1" s="1"/>
  <c r="K93" i="10"/>
  <c r="N104"/>
  <c r="N109"/>
  <c r="S91"/>
  <c r="S104"/>
  <c r="E97" i="2"/>
  <c r="G20" i="1"/>
  <c r="G21" s="1"/>
  <c r="G27" s="1"/>
  <c r="J17"/>
  <c r="P17" s="1"/>
  <c r="J38"/>
  <c r="P38" s="1"/>
  <c r="J42"/>
  <c r="P42" s="1"/>
  <c r="H27" i="10"/>
  <c r="K67"/>
  <c r="N27"/>
  <c r="G28" i="1"/>
  <c r="J28" s="1"/>
  <c r="P28" s="1"/>
  <c r="C5" i="22" s="1"/>
  <c r="S67" i="10"/>
  <c r="S89"/>
  <c r="J55" i="1"/>
  <c r="P55" s="1"/>
  <c r="J99"/>
  <c r="P99" s="1"/>
  <c r="J104"/>
  <c r="P104" s="1"/>
  <c r="J110"/>
  <c r="G47"/>
  <c r="J47" s="1"/>
  <c r="G75"/>
  <c r="G77" s="1"/>
  <c r="D29" i="10"/>
  <c r="D36" s="1"/>
  <c r="E109"/>
  <c r="G90"/>
  <c r="K27"/>
  <c r="J27"/>
  <c r="J90"/>
  <c r="K89"/>
  <c r="N67"/>
  <c r="S21"/>
  <c r="S27" s="1"/>
  <c r="S50"/>
  <c r="G44" i="1" s="1"/>
  <c r="S70" i="10"/>
  <c r="S75"/>
  <c r="G69" i="1" s="1"/>
  <c r="T105" i="10"/>
  <c r="J35" i="1"/>
  <c r="P35" s="1"/>
  <c r="Q20" i="10"/>
  <c r="T20" s="1"/>
  <c r="H20" i="1" s="1"/>
  <c r="K20" s="1"/>
  <c r="Q20" s="1"/>
  <c r="G27" i="10"/>
  <c r="H32"/>
  <c r="K32"/>
  <c r="K83"/>
  <c r="M27"/>
  <c r="G58" i="1"/>
  <c r="G61" s="1"/>
  <c r="H89" i="10"/>
  <c r="K80"/>
  <c r="K104"/>
  <c r="K109"/>
  <c r="M90"/>
  <c r="P21"/>
  <c r="P27" s="1"/>
  <c r="Q93"/>
  <c r="Q96" s="1"/>
  <c r="Q109"/>
  <c r="S109"/>
  <c r="E89"/>
  <c r="E21"/>
  <c r="E27" s="1"/>
  <c r="D14" i="1"/>
  <c r="J14" s="1"/>
  <c r="P14" s="1"/>
  <c r="E91" i="2"/>
  <c r="M71" i="9"/>
  <c r="M94" s="1"/>
  <c r="M113" s="1"/>
  <c r="M115" s="1"/>
  <c r="G21"/>
  <c r="G27" s="1"/>
  <c r="G84"/>
  <c r="J56"/>
  <c r="J61" s="1"/>
  <c r="G29"/>
  <c r="G40" s="1"/>
  <c r="S62"/>
  <c r="W21"/>
  <c r="W27" s="1"/>
  <c r="Q32"/>
  <c r="Q21"/>
  <c r="Q27" s="1"/>
  <c r="N32"/>
  <c r="K32"/>
  <c r="K21"/>
  <c r="K27" s="1"/>
  <c r="H106"/>
  <c r="H32"/>
  <c r="E32"/>
  <c r="J37" i="1"/>
  <c r="P37" s="1"/>
  <c r="J54"/>
  <c r="P54" s="1"/>
  <c r="M30"/>
  <c r="N78"/>
  <c r="N83" s="1"/>
  <c r="J18"/>
  <c r="P18" s="1"/>
  <c r="J16"/>
  <c r="P16" s="1"/>
  <c r="J33"/>
  <c r="P33" s="1"/>
  <c r="J41"/>
  <c r="P41" s="1"/>
  <c r="J45"/>
  <c r="P45" s="1"/>
  <c r="J63"/>
  <c r="P63" s="1"/>
  <c r="K108"/>
  <c r="Q108" s="1"/>
  <c r="I13" i="22" s="1"/>
  <c r="D50" i="1"/>
  <c r="J82"/>
  <c r="P82" s="1"/>
  <c r="M74"/>
  <c r="M84" s="1"/>
  <c r="J81"/>
  <c r="P81" s="1"/>
  <c r="J98"/>
  <c r="P98" s="1"/>
  <c r="J108"/>
  <c r="P108" s="1"/>
  <c r="H13" i="22" s="1"/>
  <c r="Q93" i="1"/>
  <c r="J19"/>
  <c r="P19" s="1"/>
  <c r="J36"/>
  <c r="P36" s="1"/>
  <c r="J40"/>
  <c r="P40" s="1"/>
  <c r="J49"/>
  <c r="P49" s="1"/>
  <c r="J57"/>
  <c r="P57" s="1"/>
  <c r="J67"/>
  <c r="P67" s="1"/>
  <c r="J97"/>
  <c r="P97" s="1"/>
  <c r="J101"/>
  <c r="P101" s="1"/>
  <c r="J106"/>
  <c r="P106" s="1"/>
  <c r="Q11"/>
  <c r="D11" i="22" s="1"/>
  <c r="J80" i="1"/>
  <c r="P80" s="1"/>
  <c r="D107"/>
  <c r="J96"/>
  <c r="P96" s="1"/>
  <c r="J100"/>
  <c r="P100" s="1"/>
  <c r="J105"/>
  <c r="P105" s="1"/>
  <c r="K110"/>
  <c r="G64"/>
  <c r="V29" i="9"/>
  <c r="V40" s="1"/>
  <c r="V41" s="1"/>
  <c r="L15" i="15"/>
  <c r="R13"/>
  <c r="P13"/>
  <c r="O15"/>
  <c r="R5"/>
  <c r="F15"/>
  <c r="I15"/>
  <c r="R10"/>
  <c r="S59" i="10"/>
  <c r="G53" i="1" s="1"/>
  <c r="S16" i="15"/>
  <c r="AB60" i="9"/>
  <c r="H21"/>
  <c r="H27" s="1"/>
  <c r="N30" i="1"/>
  <c r="D64"/>
  <c r="D68"/>
  <c r="J68" s="1"/>
  <c r="P68" s="1"/>
  <c r="J94" i="9"/>
  <c r="V94"/>
  <c r="M29"/>
  <c r="M40" s="1"/>
  <c r="M41" s="1"/>
  <c r="D30" i="18"/>
  <c r="G89" i="1"/>
  <c r="E71" i="2"/>
  <c r="F71" s="1"/>
  <c r="G102" i="1"/>
  <c r="J91"/>
  <c r="P91" s="1"/>
  <c r="G83"/>
  <c r="G107"/>
  <c r="J90"/>
  <c r="P90" s="1"/>
  <c r="D27" i="10"/>
  <c r="D90"/>
  <c r="Q12" i="1"/>
  <c r="D77"/>
  <c r="J62"/>
  <c r="J103"/>
  <c r="J66"/>
  <c r="P66" s="1"/>
  <c r="D102"/>
  <c r="J12"/>
  <c r="J79"/>
  <c r="J34"/>
  <c r="P34" s="1"/>
  <c r="J95"/>
  <c r="D27" i="9"/>
  <c r="D29"/>
  <c r="D40" s="1"/>
  <c r="E107" i="1" l="1"/>
  <c r="K106"/>
  <c r="Q106" s="1"/>
  <c r="D68" i="2"/>
  <c r="D82" s="1"/>
  <c r="M6" i="1" s="1"/>
  <c r="D16" i="22"/>
  <c r="B7" i="20"/>
  <c r="B10" s="1"/>
  <c r="K104" i="1"/>
  <c r="Q104" s="1"/>
  <c r="K81"/>
  <c r="Q81" s="1"/>
  <c r="AB21" i="9"/>
  <c r="AB27" s="1"/>
  <c r="D13" i="1"/>
  <c r="D90" i="2"/>
  <c r="E72"/>
  <c r="F72" s="1"/>
  <c r="K67" i="1"/>
  <c r="Q67" s="1"/>
  <c r="S41" i="9"/>
  <c r="E13" i="1"/>
  <c r="K13" s="1"/>
  <c r="Q13" s="1"/>
  <c r="K96"/>
  <c r="Q96" s="1"/>
  <c r="K76"/>
  <c r="Q76" s="1"/>
  <c r="K100"/>
  <c r="Q100" s="1"/>
  <c r="J37" i="10"/>
  <c r="AC95" i="9"/>
  <c r="K98"/>
  <c r="D86" i="1"/>
  <c r="D94" s="1"/>
  <c r="AB98" i="9"/>
  <c r="P113"/>
  <c r="P115" s="1"/>
  <c r="P41"/>
  <c r="E96" i="10"/>
  <c r="AC111" i="9"/>
  <c r="K87" i="1"/>
  <c r="Q87" s="1"/>
  <c r="Q86" s="1"/>
  <c r="K99"/>
  <c r="Q99" s="1"/>
  <c r="E93" i="2"/>
  <c r="E98" s="1"/>
  <c r="J41" i="9"/>
  <c r="K80" i="1"/>
  <c r="Q80" s="1"/>
  <c r="K70"/>
  <c r="Q70" s="1"/>
  <c r="D107" i="2"/>
  <c r="AC21" i="9"/>
  <c r="AC27" s="1"/>
  <c r="S61"/>
  <c r="S113" s="1"/>
  <c r="S115" s="1"/>
  <c r="V113"/>
  <c r="V115" s="1"/>
  <c r="V117" s="1"/>
  <c r="J44" i="1"/>
  <c r="P44" s="1"/>
  <c r="AB93" i="9"/>
  <c r="AC79"/>
  <c r="E69" i="1" s="1"/>
  <c r="K71"/>
  <c r="Q71" s="1"/>
  <c r="G94" i="9"/>
  <c r="G113" s="1"/>
  <c r="G115" s="1"/>
  <c r="AB56"/>
  <c r="AB61" s="1"/>
  <c r="J32" i="1"/>
  <c r="P32" s="1"/>
  <c r="P111" i="10"/>
  <c r="P113" s="1"/>
  <c r="G86" i="1"/>
  <c r="S96" i="10"/>
  <c r="AB79" i="9"/>
  <c r="D69" i="1" s="1"/>
  <c r="D74" s="1"/>
  <c r="D71"/>
  <c r="J71" s="1"/>
  <c r="P71" s="1"/>
  <c r="D46"/>
  <c r="D51" s="1"/>
  <c r="E28"/>
  <c r="K28" s="1"/>
  <c r="Q28" s="1"/>
  <c r="AC106" i="9"/>
  <c r="K60" i="1"/>
  <c r="Q60" s="1"/>
  <c r="AB71" i="9"/>
  <c r="AB62"/>
  <c r="G52" i="1"/>
  <c r="D83"/>
  <c r="J78"/>
  <c r="P78" s="1"/>
  <c r="J59"/>
  <c r="P59" s="1"/>
  <c r="D61"/>
  <c r="D52"/>
  <c r="J56"/>
  <c r="P56" s="1"/>
  <c r="K97"/>
  <c r="Q97" s="1"/>
  <c r="G41" i="9"/>
  <c r="G50" i="1"/>
  <c r="H16"/>
  <c r="H21" s="1"/>
  <c r="H27" s="1"/>
  <c r="M111" i="10"/>
  <c r="M113" s="1"/>
  <c r="J20" i="1"/>
  <c r="P20" s="1"/>
  <c r="S29" i="10"/>
  <c r="G29" i="1" s="1"/>
  <c r="G30" s="1"/>
  <c r="G31" s="1"/>
  <c r="T75" i="10"/>
  <c r="H69" i="1" s="1"/>
  <c r="D37" i="10"/>
  <c r="P37"/>
  <c r="K95" i="1"/>
  <c r="Q95" s="1"/>
  <c r="J111" i="10"/>
  <c r="J113" s="1"/>
  <c r="G111"/>
  <c r="G113" s="1"/>
  <c r="J75" i="1"/>
  <c r="J77" s="1"/>
  <c r="H89"/>
  <c r="K89" s="1"/>
  <c r="G74"/>
  <c r="G84" s="1"/>
  <c r="T21" i="10"/>
  <c r="T27" s="1"/>
  <c r="M37"/>
  <c r="G37"/>
  <c r="S58"/>
  <c r="G46" i="1"/>
  <c r="J58"/>
  <c r="P58" s="1"/>
  <c r="T93" i="10"/>
  <c r="T109"/>
  <c r="H103" i="1"/>
  <c r="P89"/>
  <c r="P94" s="1"/>
  <c r="S52" i="10"/>
  <c r="S57" s="1"/>
  <c r="S80"/>
  <c r="S90" s="1"/>
  <c r="Q21"/>
  <c r="Q27" s="1"/>
  <c r="J113" i="9"/>
  <c r="J115" s="1"/>
  <c r="D98" i="2"/>
  <c r="P30" i="1"/>
  <c r="AB40" i="9"/>
  <c r="D29" i="1"/>
  <c r="D30" s="1"/>
  <c r="R15" i="15"/>
  <c r="J53" i="1"/>
  <c r="P53" s="1"/>
  <c r="D111" i="10"/>
  <c r="D113" s="1"/>
  <c r="E102" i="1"/>
  <c r="M117" i="9"/>
  <c r="J89" i="1"/>
  <c r="Q79"/>
  <c r="J107"/>
  <c r="P103"/>
  <c r="P107" s="1"/>
  <c r="H12" i="22" s="1"/>
  <c r="P12" i="1"/>
  <c r="J102"/>
  <c r="P95"/>
  <c r="P102" s="1"/>
  <c r="H11" i="22" s="1"/>
  <c r="J50" i="1"/>
  <c r="P47"/>
  <c r="P50" s="1"/>
  <c r="P79"/>
  <c r="N84"/>
  <c r="J64"/>
  <c r="P62"/>
  <c r="P64" s="1"/>
  <c r="D41" i="9"/>
  <c r="D117" s="1"/>
  <c r="M109" i="1"/>
  <c r="E103" i="10"/>
  <c r="AB41" i="9" l="1"/>
  <c r="J86" i="1"/>
  <c r="J94" s="1"/>
  <c r="G94"/>
  <c r="I6" i="22"/>
  <c r="S117" i="9"/>
  <c r="E21" i="1"/>
  <c r="E27" s="1"/>
  <c r="J115" i="10"/>
  <c r="P117" i="9"/>
  <c r="E86" i="1"/>
  <c r="E94" s="1"/>
  <c r="AC98" i="9"/>
  <c r="J117"/>
  <c r="P115" i="10"/>
  <c r="P46" i="1"/>
  <c r="P51" s="1"/>
  <c r="J69"/>
  <c r="P69" s="1"/>
  <c r="P74" s="1"/>
  <c r="K69"/>
  <c r="Q69" s="1"/>
  <c r="AB84" i="9"/>
  <c r="AB94" s="1"/>
  <c r="AB113" s="1"/>
  <c r="AB115" s="1"/>
  <c r="AB117" s="1"/>
  <c r="D84" i="1"/>
  <c r="D109" s="1"/>
  <c r="D111" s="1"/>
  <c r="G117" i="9"/>
  <c r="J46" i="1"/>
  <c r="J51" s="1"/>
  <c r="K16"/>
  <c r="Q16" s="1"/>
  <c r="Q21" s="1"/>
  <c r="D3" i="22" s="1"/>
  <c r="B4" i="20" s="1"/>
  <c r="P83" i="1"/>
  <c r="J83"/>
  <c r="P52"/>
  <c r="H3" i="22" s="1"/>
  <c r="Q30" i="1"/>
  <c r="D5" i="22"/>
  <c r="P61" i="1"/>
  <c r="M115" i="10"/>
  <c r="G115"/>
  <c r="D115"/>
  <c r="S36"/>
  <c r="S37" s="1"/>
  <c r="J74" i="1"/>
  <c r="G51"/>
  <c r="E105" i="2"/>
  <c r="E107" s="1"/>
  <c r="P75" i="1"/>
  <c r="P77" s="1"/>
  <c r="H7" i="22"/>
  <c r="S111" i="10"/>
  <c r="S113" s="1"/>
  <c r="E104"/>
  <c r="H107" i="1"/>
  <c r="K103"/>
  <c r="J61"/>
  <c r="J13"/>
  <c r="D21"/>
  <c r="D27" s="1"/>
  <c r="D31" s="1"/>
  <c r="J52"/>
  <c r="P6"/>
  <c r="P4" s="1"/>
  <c r="P7" s="1"/>
  <c r="C2" i="22" s="1"/>
  <c r="M4" i="1"/>
  <c r="M7" s="1"/>
  <c r="M27" s="1"/>
  <c r="M31" s="1"/>
  <c r="H16" i="22"/>
  <c r="D3" i="2"/>
  <c r="D84"/>
  <c r="D104" s="1"/>
  <c r="D108" s="1"/>
  <c r="J29" i="1"/>
  <c r="J30" s="1"/>
  <c r="C133" i="9"/>
  <c r="W85"/>
  <c r="W87" s="1"/>
  <c r="W83"/>
  <c r="W75"/>
  <c r="W73"/>
  <c r="W74" s="1"/>
  <c r="W69"/>
  <c r="W68"/>
  <c r="T92"/>
  <c r="T93" s="1"/>
  <c r="T83"/>
  <c r="T78"/>
  <c r="T73"/>
  <c r="T74" s="1"/>
  <c r="T69"/>
  <c r="T71" s="1"/>
  <c r="Q92"/>
  <c r="Q85"/>
  <c r="Q87" s="1"/>
  <c r="Q83"/>
  <c r="Q78"/>
  <c r="Q75"/>
  <c r="Q73"/>
  <c r="Q74" s="1"/>
  <c r="Q69"/>
  <c r="Q71" s="1"/>
  <c r="N85"/>
  <c r="N87" s="1"/>
  <c r="N83"/>
  <c r="N82"/>
  <c r="N78"/>
  <c r="N75"/>
  <c r="N73"/>
  <c r="N72"/>
  <c r="AC72" s="1"/>
  <c r="N69"/>
  <c r="N68"/>
  <c r="K92"/>
  <c r="K85"/>
  <c r="K87" s="1"/>
  <c r="K83"/>
  <c r="K78"/>
  <c r="K75"/>
  <c r="K73"/>
  <c r="K74" s="1"/>
  <c r="K69"/>
  <c r="H85"/>
  <c r="H87" s="1"/>
  <c r="H83"/>
  <c r="H82"/>
  <c r="H75"/>
  <c r="H73"/>
  <c r="H74" s="1"/>
  <c r="H69"/>
  <c r="H68"/>
  <c r="E92"/>
  <c r="E85"/>
  <c r="E83"/>
  <c r="E78"/>
  <c r="E76"/>
  <c r="E75"/>
  <c r="E73"/>
  <c r="E69"/>
  <c r="E68"/>
  <c r="B12" i="20" l="1"/>
  <c r="B14" s="1"/>
  <c r="B15" s="1"/>
  <c r="K21" i="1"/>
  <c r="K27" s="1"/>
  <c r="P84"/>
  <c r="H4" i="22" s="1"/>
  <c r="J84" i="1"/>
  <c r="J109" s="1"/>
  <c r="J111" s="1"/>
  <c r="G109"/>
  <c r="G111" s="1"/>
  <c r="G113" s="1"/>
  <c r="AC83" i="9"/>
  <c r="E73" i="1" s="1"/>
  <c r="T84" i="9"/>
  <c r="T94" s="1"/>
  <c r="AC73"/>
  <c r="E63" i="1" s="1"/>
  <c r="AC92" i="9"/>
  <c r="AC76"/>
  <c r="E66" i="1" s="1"/>
  <c r="K68" i="9"/>
  <c r="AC68" s="1"/>
  <c r="AA68"/>
  <c r="AC75"/>
  <c r="AC85"/>
  <c r="AC69"/>
  <c r="E59" i="1" s="1"/>
  <c r="AC78" i="9"/>
  <c r="E68" i="1" s="1"/>
  <c r="AC82" i="9"/>
  <c r="E72" i="1" s="1"/>
  <c r="S115" i="10"/>
  <c r="Q103" i="1"/>
  <c r="Q107" s="1"/>
  <c r="I12" i="22" s="1"/>
  <c r="K107" i="1"/>
  <c r="P13"/>
  <c r="P21" s="1"/>
  <c r="C3" i="22" s="1"/>
  <c r="C9" s="1"/>
  <c r="C17" s="1"/>
  <c r="J21" i="1"/>
  <c r="J27" s="1"/>
  <c r="J31" s="1"/>
  <c r="D113"/>
  <c r="M110"/>
  <c r="M111" s="1"/>
  <c r="M113" s="1"/>
  <c r="W84" i="9"/>
  <c r="H84"/>
  <c r="N84"/>
  <c r="N71"/>
  <c r="E84"/>
  <c r="E87"/>
  <c r="K84"/>
  <c r="Q84"/>
  <c r="E71"/>
  <c r="E74"/>
  <c r="N74"/>
  <c r="H71"/>
  <c r="W71"/>
  <c r="E93"/>
  <c r="H2" i="22"/>
  <c r="W67" i="9"/>
  <c r="W66"/>
  <c r="W65"/>
  <c r="W64"/>
  <c r="W63"/>
  <c r="W59"/>
  <c r="W58"/>
  <c r="W57"/>
  <c r="W55"/>
  <c r="W54"/>
  <c r="W53"/>
  <c r="W52"/>
  <c r="W51"/>
  <c r="W50"/>
  <c r="W49"/>
  <c r="W48"/>
  <c r="W47"/>
  <c r="W46"/>
  <c r="W45"/>
  <c r="W44"/>
  <c r="W43"/>
  <c r="W42"/>
  <c r="T67"/>
  <c r="T66"/>
  <c r="T65"/>
  <c r="T64"/>
  <c r="T63"/>
  <c r="T58"/>
  <c r="T57"/>
  <c r="T48"/>
  <c r="T46"/>
  <c r="T44"/>
  <c r="T43"/>
  <c r="T42"/>
  <c r="Q67"/>
  <c r="Q66"/>
  <c r="Q65"/>
  <c r="Q64"/>
  <c r="Q63"/>
  <c r="Q59"/>
  <c r="Q57"/>
  <c r="Q55"/>
  <c r="Q54"/>
  <c r="Q53"/>
  <c r="Q52"/>
  <c r="Q51"/>
  <c r="Q50"/>
  <c r="Q49"/>
  <c r="Q48"/>
  <c r="Q47"/>
  <c r="Q45"/>
  <c r="Q42"/>
  <c r="N67"/>
  <c r="N66"/>
  <c r="N65"/>
  <c r="N64"/>
  <c r="N63"/>
  <c r="N59"/>
  <c r="N58"/>
  <c r="N57"/>
  <c r="N55"/>
  <c r="N54"/>
  <c r="N53"/>
  <c r="N52"/>
  <c r="N51"/>
  <c r="N50"/>
  <c r="N49"/>
  <c r="N48"/>
  <c r="N47"/>
  <c r="N46"/>
  <c r="N45"/>
  <c r="N44"/>
  <c r="N43"/>
  <c r="N42"/>
  <c r="K67"/>
  <c r="K66"/>
  <c r="K65"/>
  <c r="K64"/>
  <c r="K63"/>
  <c r="K59"/>
  <c r="K58"/>
  <c r="K57"/>
  <c r="K55"/>
  <c r="K54"/>
  <c r="K53"/>
  <c r="K52"/>
  <c r="K51"/>
  <c r="K50"/>
  <c r="K49"/>
  <c r="K48"/>
  <c r="K47"/>
  <c r="K46"/>
  <c r="K45"/>
  <c r="K44"/>
  <c r="K43"/>
  <c r="K42"/>
  <c r="H67"/>
  <c r="H66"/>
  <c r="H65"/>
  <c r="H64"/>
  <c r="H63"/>
  <c r="H59"/>
  <c r="H58"/>
  <c r="H55"/>
  <c r="H54"/>
  <c r="H53"/>
  <c r="H52"/>
  <c r="H51"/>
  <c r="H50"/>
  <c r="H49"/>
  <c r="H48"/>
  <c r="H47"/>
  <c r="H46"/>
  <c r="H45"/>
  <c r="H44"/>
  <c r="H43"/>
  <c r="H42"/>
  <c r="E67"/>
  <c r="E66"/>
  <c r="E65"/>
  <c r="E64"/>
  <c r="E63"/>
  <c r="E59"/>
  <c r="E58"/>
  <c r="E57"/>
  <c r="E55"/>
  <c r="E54"/>
  <c r="E53"/>
  <c r="E52"/>
  <c r="E51"/>
  <c r="E50"/>
  <c r="E49"/>
  <c r="E48"/>
  <c r="E47"/>
  <c r="E46"/>
  <c r="E45"/>
  <c r="E44"/>
  <c r="E43"/>
  <c r="E42"/>
  <c r="B26" i="20" l="1"/>
  <c r="K71" i="9"/>
  <c r="AC48"/>
  <c r="E38" i="1" s="1"/>
  <c r="AC64" i="9"/>
  <c r="E54" i="1" s="1"/>
  <c r="P109"/>
  <c r="P111" s="1"/>
  <c r="AC65" i="9"/>
  <c r="E55" i="1" s="1"/>
  <c r="AC63" i="9"/>
  <c r="AC67"/>
  <c r="E57" i="1" s="1"/>
  <c r="AC42" i="9"/>
  <c r="H57"/>
  <c r="AC57" s="1"/>
  <c r="AA57"/>
  <c r="Q46"/>
  <c r="AC46" s="1"/>
  <c r="E36" i="1" s="1"/>
  <c r="AA46" i="9"/>
  <c r="Q58"/>
  <c r="AC58" s="1"/>
  <c r="E48" i="1" s="1"/>
  <c r="AA58" i="9"/>
  <c r="T47"/>
  <c r="AA47"/>
  <c r="T51"/>
  <c r="AC51" s="1"/>
  <c r="E41" i="1" s="1"/>
  <c r="AA51" i="9"/>
  <c r="T55"/>
  <c r="AC55" s="1"/>
  <c r="E45" i="1" s="1"/>
  <c r="AA55" i="9"/>
  <c r="AC66"/>
  <c r="E56" i="1" s="1"/>
  <c r="Q44" i="9"/>
  <c r="AC44" s="1"/>
  <c r="E34" i="1" s="1"/>
  <c r="AA44" i="9"/>
  <c r="T50"/>
  <c r="AC50" s="1"/>
  <c r="E40" i="1" s="1"/>
  <c r="AA50" i="9"/>
  <c r="T54"/>
  <c r="AC54" s="1"/>
  <c r="E44" i="1" s="1"/>
  <c r="AA54" i="9"/>
  <c r="T59"/>
  <c r="T60" s="1"/>
  <c r="AA59"/>
  <c r="Q43"/>
  <c r="AA43"/>
  <c r="T45"/>
  <c r="AC45" s="1"/>
  <c r="E35" i="1" s="1"/>
  <c r="AA45" i="9"/>
  <c r="T49"/>
  <c r="AC49" s="1"/>
  <c r="E39" i="1" s="1"/>
  <c r="AA49" i="9"/>
  <c r="T53"/>
  <c r="AC53" s="1"/>
  <c r="E43" i="1" s="1"/>
  <c r="AA53" i="9"/>
  <c r="AC43"/>
  <c r="E33" i="1" s="1"/>
  <c r="AC47" i="9"/>
  <c r="E37" i="1" s="1"/>
  <c r="T52" i="9"/>
  <c r="AC52" s="1"/>
  <c r="E42" i="1" s="1"/>
  <c r="AA52" i="9"/>
  <c r="J113" i="1"/>
  <c r="W60" i="9"/>
  <c r="P27" i="1"/>
  <c r="P31" s="1"/>
  <c r="W94" i="9"/>
  <c r="K60"/>
  <c r="H9" i="22"/>
  <c r="H17" s="1"/>
  <c r="T62" i="9"/>
  <c r="H62"/>
  <c r="E62"/>
  <c r="AC74"/>
  <c r="E62" i="1"/>
  <c r="N56" i="9"/>
  <c r="K62"/>
  <c r="Q62"/>
  <c r="W62"/>
  <c r="E94"/>
  <c r="E56"/>
  <c r="E65" i="1"/>
  <c r="AC84" i="9"/>
  <c r="H56"/>
  <c r="K56"/>
  <c r="N60"/>
  <c r="W56"/>
  <c r="N62"/>
  <c r="E60"/>
  <c r="E82" i="1"/>
  <c r="E58"/>
  <c r="AC71" i="9"/>
  <c r="AC87"/>
  <c r="E75" i="1"/>
  <c r="Q30" i="10"/>
  <c r="N30"/>
  <c r="N29" s="1"/>
  <c r="N36" s="1"/>
  <c r="N37" s="1"/>
  <c r="K30"/>
  <c r="K29" s="1"/>
  <c r="K36" s="1"/>
  <c r="K37" s="1"/>
  <c r="H30"/>
  <c r="H29" s="1"/>
  <c r="H36" s="1"/>
  <c r="H37" s="1"/>
  <c r="E30"/>
  <c r="N90" i="1"/>
  <c r="Q90" s="1"/>
  <c r="Q100" i="10"/>
  <c r="Q81"/>
  <c r="Q83" s="1"/>
  <c r="Q79"/>
  <c r="Q78"/>
  <c r="Q74"/>
  <c r="Q69"/>
  <c r="Q68"/>
  <c r="T68" s="1"/>
  <c r="Q65"/>
  <c r="Q64"/>
  <c r="N78"/>
  <c r="N80" s="1"/>
  <c r="N69"/>
  <c r="N70" s="1"/>
  <c r="K69"/>
  <c r="K70" s="1"/>
  <c r="K90" s="1"/>
  <c r="H100"/>
  <c r="H81"/>
  <c r="H83" s="1"/>
  <c r="H79"/>
  <c r="H78"/>
  <c r="H74"/>
  <c r="H71"/>
  <c r="H69"/>
  <c r="H70" s="1"/>
  <c r="E69"/>
  <c r="H65"/>
  <c r="H64"/>
  <c r="AC59" i="9" l="1"/>
  <c r="E49" i="1" s="1"/>
  <c r="H60" i="9"/>
  <c r="H61" s="1"/>
  <c r="Q60"/>
  <c r="Q56"/>
  <c r="P113" i="1"/>
  <c r="T56" i="9"/>
  <c r="T61" s="1"/>
  <c r="T113" s="1"/>
  <c r="T115" s="1"/>
  <c r="Q67" i="10"/>
  <c r="Q80"/>
  <c r="Q70"/>
  <c r="W61" i="9"/>
  <c r="W113" s="1"/>
  <c r="W115" s="1"/>
  <c r="K61"/>
  <c r="H67" i="10"/>
  <c r="H80"/>
  <c r="T100"/>
  <c r="H104"/>
  <c r="H62" i="1"/>
  <c r="K62" s="1"/>
  <c r="N90" i="10"/>
  <c r="T69"/>
  <c r="H63" i="1" s="1"/>
  <c r="K63" s="1"/>
  <c r="Q63" s="1"/>
  <c r="E70" i="10"/>
  <c r="K82" i="1"/>
  <c r="E61"/>
  <c r="E61" i="9"/>
  <c r="E113" s="1"/>
  <c r="E115" s="1"/>
  <c r="N61"/>
  <c r="E47" i="1"/>
  <c r="AC60" i="9"/>
  <c r="E74" i="1"/>
  <c r="E53"/>
  <c r="AC62" i="9"/>
  <c r="E77" i="1"/>
  <c r="E32"/>
  <c r="AC56" i="9"/>
  <c r="E64" i="1"/>
  <c r="T30" i="10"/>
  <c r="E29"/>
  <c r="E36" s="1"/>
  <c r="E37" s="1"/>
  <c r="E81"/>
  <c r="E79"/>
  <c r="T79" s="1"/>
  <c r="H73" i="1" s="1"/>
  <c r="K73" s="1"/>
  <c r="Q73" s="1"/>
  <c r="E78" i="10"/>
  <c r="T78" s="1"/>
  <c r="H72" i="1" s="1"/>
  <c r="K72" s="1"/>
  <c r="Q72" s="1"/>
  <c r="E74" i="10"/>
  <c r="T74" s="1"/>
  <c r="H68" i="1" s="1"/>
  <c r="K68" s="1"/>
  <c r="Q68" s="1"/>
  <c r="E72" i="10"/>
  <c r="E71"/>
  <c r="T71" s="1"/>
  <c r="Q61" i="9" l="1"/>
  <c r="AC61"/>
  <c r="T70" i="10"/>
  <c r="H90"/>
  <c r="E80"/>
  <c r="T72"/>
  <c r="H66" i="1" s="1"/>
  <c r="K66" s="1"/>
  <c r="Q66" s="1"/>
  <c r="E83" i="10"/>
  <c r="T81"/>
  <c r="H64" i="1"/>
  <c r="H65"/>
  <c r="H98"/>
  <c r="E46"/>
  <c r="Q82"/>
  <c r="Q62"/>
  <c r="Q64" s="1"/>
  <c r="K64"/>
  <c r="E52"/>
  <c r="E50"/>
  <c r="C80" i="10"/>
  <c r="E65"/>
  <c r="T65" s="1"/>
  <c r="H59" i="1" s="1"/>
  <c r="E64" i="10"/>
  <c r="T80" l="1"/>
  <c r="H74" i="1"/>
  <c r="T83" i="10"/>
  <c r="H75" i="1"/>
  <c r="E67" i="10"/>
  <c r="E90" s="1"/>
  <c r="T64"/>
  <c r="K98" i="1"/>
  <c r="K65"/>
  <c r="K74" s="1"/>
  <c r="K59"/>
  <c r="Q59" s="1"/>
  <c r="E51"/>
  <c r="Q63" i="10"/>
  <c r="Q62"/>
  <c r="Q61"/>
  <c r="Q60"/>
  <c r="Q59"/>
  <c r="Q55"/>
  <c r="Q54"/>
  <c r="Q53"/>
  <c r="Q51"/>
  <c r="Q50"/>
  <c r="Q49"/>
  <c r="Q48"/>
  <c r="Q47"/>
  <c r="Q46"/>
  <c r="Q45"/>
  <c r="Q44"/>
  <c r="Q43"/>
  <c r="Q42"/>
  <c r="Q41"/>
  <c r="Q40"/>
  <c r="Q39"/>
  <c r="Q38"/>
  <c r="N63"/>
  <c r="N62"/>
  <c r="N61"/>
  <c r="N60"/>
  <c r="N59"/>
  <c r="N55"/>
  <c r="N54"/>
  <c r="N53"/>
  <c r="N51"/>
  <c r="N50"/>
  <c r="N49"/>
  <c r="N48"/>
  <c r="N47"/>
  <c r="N46"/>
  <c r="N45"/>
  <c r="N44"/>
  <c r="N43"/>
  <c r="N42"/>
  <c r="N41"/>
  <c r="N40"/>
  <c r="N39"/>
  <c r="N38"/>
  <c r="K63"/>
  <c r="K62"/>
  <c r="K61"/>
  <c r="K60"/>
  <c r="K59"/>
  <c r="K55"/>
  <c r="K54"/>
  <c r="K53"/>
  <c r="K51"/>
  <c r="K50"/>
  <c r="K49"/>
  <c r="K48"/>
  <c r="K47"/>
  <c r="K46"/>
  <c r="K45"/>
  <c r="K44"/>
  <c r="K43"/>
  <c r="K42"/>
  <c r="K41"/>
  <c r="K40"/>
  <c r="K39"/>
  <c r="K38"/>
  <c r="H63"/>
  <c r="H62"/>
  <c r="H61"/>
  <c r="H60"/>
  <c r="H59"/>
  <c r="H55"/>
  <c r="H54"/>
  <c r="H53"/>
  <c r="H51"/>
  <c r="H50"/>
  <c r="H49"/>
  <c r="H48"/>
  <c r="H47"/>
  <c r="H46"/>
  <c r="H45"/>
  <c r="H44"/>
  <c r="H43"/>
  <c r="H42"/>
  <c r="H41"/>
  <c r="H40"/>
  <c r="H39"/>
  <c r="H38"/>
  <c r="E63"/>
  <c r="E62"/>
  <c r="E61"/>
  <c r="E60"/>
  <c r="E59"/>
  <c r="E55"/>
  <c r="E54"/>
  <c r="E53"/>
  <c r="E51"/>
  <c r="E50"/>
  <c r="E49"/>
  <c r="E48"/>
  <c r="E47"/>
  <c r="E46"/>
  <c r="E45"/>
  <c r="E44"/>
  <c r="E43"/>
  <c r="E42"/>
  <c r="E41"/>
  <c r="E40"/>
  <c r="E39"/>
  <c r="E38"/>
  <c r="T43" l="1"/>
  <c r="H37" i="1" s="1"/>
  <c r="K37" s="1"/>
  <c r="Q37" s="1"/>
  <c r="T47" i="10"/>
  <c r="H41" i="1" s="1"/>
  <c r="K41" s="1"/>
  <c r="Q41" s="1"/>
  <c r="T51" i="10"/>
  <c r="H45" i="1" s="1"/>
  <c r="K45" s="1"/>
  <c r="Q45" s="1"/>
  <c r="T63" i="10"/>
  <c r="H57" i="1" s="1"/>
  <c r="K57" s="1"/>
  <c r="Q57" s="1"/>
  <c r="T53" i="10"/>
  <c r="H47" i="1" s="1"/>
  <c r="K56" i="10"/>
  <c r="Q56"/>
  <c r="N52"/>
  <c r="T60"/>
  <c r="H54" i="1" s="1"/>
  <c r="K54" s="1"/>
  <c r="Q54" s="1"/>
  <c r="T40" i="10"/>
  <c r="H34" i="1" s="1"/>
  <c r="K34" s="1"/>
  <c r="Q34" s="1"/>
  <c r="T44" i="10"/>
  <c r="H38" i="1" s="1"/>
  <c r="K38" s="1"/>
  <c r="Q38" s="1"/>
  <c r="T48" i="10"/>
  <c r="H42" i="1" s="1"/>
  <c r="K42" s="1"/>
  <c r="Q42" s="1"/>
  <c r="H52" i="10"/>
  <c r="E52"/>
  <c r="T39"/>
  <c r="H33" i="1" s="1"/>
  <c r="K33" s="1"/>
  <c r="Q33" s="1"/>
  <c r="Q98"/>
  <c r="T38" i="10"/>
  <c r="T42"/>
  <c r="H36" i="1" s="1"/>
  <c r="K36" s="1"/>
  <c r="Q36" s="1"/>
  <c r="T46" i="10"/>
  <c r="H40" i="1" s="1"/>
  <c r="K40" s="1"/>
  <c r="Q40" s="1"/>
  <c r="T50" i="10"/>
  <c r="H44" i="1" s="1"/>
  <c r="K44" s="1"/>
  <c r="Q44" s="1"/>
  <c r="T55" i="10"/>
  <c r="H49" i="1" s="1"/>
  <c r="K49" s="1"/>
  <c r="Q49" s="1"/>
  <c r="T62" i="10"/>
  <c r="H56" i="1" s="1"/>
  <c r="K56" s="1"/>
  <c r="Q56" s="1"/>
  <c r="H56" i="10"/>
  <c r="K52"/>
  <c r="N56"/>
  <c r="Q52"/>
  <c r="Q57" s="1"/>
  <c r="E56"/>
  <c r="T54"/>
  <c r="H48" i="1" s="1"/>
  <c r="K48" s="1"/>
  <c r="Q48" s="1"/>
  <c r="H77"/>
  <c r="K75"/>
  <c r="T41" i="10"/>
  <c r="H35" i="1" s="1"/>
  <c r="K35" s="1"/>
  <c r="Q35" s="1"/>
  <c r="T45" i="10"/>
  <c r="H39" i="1" s="1"/>
  <c r="K39" s="1"/>
  <c r="Q39" s="1"/>
  <c r="T49" i="10"/>
  <c r="H43" i="1" s="1"/>
  <c r="K43" s="1"/>
  <c r="Q43" s="1"/>
  <c r="T61" i="10"/>
  <c r="H55" i="1" s="1"/>
  <c r="K55" s="1"/>
  <c r="Q55" s="1"/>
  <c r="H58" i="10"/>
  <c r="N58"/>
  <c r="T59"/>
  <c r="E58"/>
  <c r="Q65" i="1"/>
  <c r="Q74" s="1"/>
  <c r="T67" i="10"/>
  <c r="H58" i="1"/>
  <c r="K58" i="10"/>
  <c r="Q58"/>
  <c r="K55" i="2"/>
  <c r="K54"/>
  <c r="K53"/>
  <c r="K51"/>
  <c r="K50"/>
  <c r="K49"/>
  <c r="J11" i="18"/>
  <c r="J9"/>
  <c r="J8"/>
  <c r="P7" i="15"/>
  <c r="M7"/>
  <c r="J7"/>
  <c r="G7"/>
  <c r="N57" i="10" l="1"/>
  <c r="K57"/>
  <c r="H57"/>
  <c r="H111" s="1"/>
  <c r="H113" s="1"/>
  <c r="H115" s="1"/>
  <c r="T52"/>
  <c r="H32" i="1"/>
  <c r="T56" i="10"/>
  <c r="E57"/>
  <c r="E111" s="1"/>
  <c r="E113" s="1"/>
  <c r="E115" s="1"/>
  <c r="H50" i="1"/>
  <c r="K47"/>
  <c r="K77"/>
  <c r="Q75"/>
  <c r="Q77" s="1"/>
  <c r="T58" i="10"/>
  <c r="H53" i="1"/>
  <c r="K58"/>
  <c r="H61"/>
  <c r="P50" i="2"/>
  <c r="P51" s="1"/>
  <c r="Q7" i="15" l="1"/>
  <c r="D7"/>
  <c r="S7" s="1"/>
  <c r="K61" i="1"/>
  <c r="Q58"/>
  <c r="Q61" s="1"/>
  <c r="H52"/>
  <c r="K53"/>
  <c r="T57" i="10"/>
  <c r="Q47" i="1"/>
  <c r="Q50" s="1"/>
  <c r="K50"/>
  <c r="H46"/>
  <c r="H51" s="1"/>
  <c r="K32"/>
  <c r="M22" i="2" l="1"/>
  <c r="K46" i="1"/>
  <c r="K51" s="1"/>
  <c r="Q32"/>
  <c r="Q46" s="1"/>
  <c r="Q51" s="1"/>
  <c r="I2" i="22" s="1"/>
  <c r="B18" i="20" s="1"/>
  <c r="Q53" i="1"/>
  <c r="Q52" s="1"/>
  <c r="I3" i="22" s="1"/>
  <c r="B19" i="20" s="1"/>
  <c r="K52" i="1"/>
  <c r="D14" i="15"/>
  <c r="S14" s="1"/>
  <c r="E63" i="2" l="1"/>
  <c r="F63" s="1"/>
  <c r="H13" i="21" l="1"/>
  <c r="G13"/>
  <c r="E13"/>
  <c r="C13"/>
  <c r="F13"/>
  <c r="D13"/>
  <c r="L8"/>
  <c r="K8"/>
  <c r="J8"/>
  <c r="G7"/>
  <c r="L6"/>
  <c r="K6"/>
  <c r="U133" i="9"/>
  <c r="AA133"/>
  <c r="L17" i="21"/>
  <c r="L28" s="1"/>
  <c r="K17"/>
  <c r="K28" s="1"/>
  <c r="F17"/>
  <c r="F28" s="1"/>
  <c r="L61" i="2"/>
  <c r="L60"/>
  <c r="L59"/>
  <c r="V127" i="9" l="1"/>
  <c r="Y132"/>
  <c r="Y130"/>
  <c r="Y128"/>
  <c r="Y126"/>
  <c r="Y131"/>
  <c r="Y129"/>
  <c r="Y127"/>
  <c r="AA38"/>
  <c r="W38"/>
  <c r="AC38" s="1"/>
  <c r="AA36"/>
  <c r="W36"/>
  <c r="U17" i="21"/>
  <c r="I13"/>
  <c r="G11"/>
  <c r="G14" s="1"/>
  <c r="K11"/>
  <c r="D11"/>
  <c r="D14" s="1"/>
  <c r="H11"/>
  <c r="H14" s="1"/>
  <c r="L11"/>
  <c r="F11"/>
  <c r="F14" s="1"/>
  <c r="J11"/>
  <c r="E11"/>
  <c r="E14" s="1"/>
  <c r="I11"/>
  <c r="N11"/>
  <c r="C11"/>
  <c r="C14" s="1"/>
  <c r="V126" i="9"/>
  <c r="Z126" s="1"/>
  <c r="V132"/>
  <c r="V131"/>
  <c r="V130"/>
  <c r="V129"/>
  <c r="V128"/>
  <c r="Q127" i="10"/>
  <c r="Q35"/>
  <c r="T35" s="1"/>
  <c r="Q34"/>
  <c r="T34" s="1"/>
  <c r="Q33"/>
  <c r="N127"/>
  <c r="O126" s="1"/>
  <c r="P126" s="1"/>
  <c r="R95"/>
  <c r="F91" i="1" s="1"/>
  <c r="I91" s="1"/>
  <c r="O91" s="1"/>
  <c r="R94" i="10"/>
  <c r="F90" i="1" s="1"/>
  <c r="C93" i="10"/>
  <c r="C96" s="1"/>
  <c r="I93" i="1"/>
  <c r="O93" s="1"/>
  <c r="I92"/>
  <c r="C89"/>
  <c r="G32" i="21"/>
  <c r="F32"/>
  <c r="M31"/>
  <c r="L31"/>
  <c r="K31"/>
  <c r="K33" s="1"/>
  <c r="J31"/>
  <c r="I31"/>
  <c r="H31"/>
  <c r="G31"/>
  <c r="F31"/>
  <c r="E31"/>
  <c r="D31"/>
  <c r="C31"/>
  <c r="E49" i="2"/>
  <c r="F49" s="1"/>
  <c r="E50"/>
  <c r="F50" s="1"/>
  <c r="E51"/>
  <c r="F51" s="1"/>
  <c r="E52"/>
  <c r="F52" s="1"/>
  <c r="E53"/>
  <c r="F53" s="1"/>
  <c r="E54"/>
  <c r="F54" s="1"/>
  <c r="E48"/>
  <c r="F48" s="1"/>
  <c r="M56"/>
  <c r="L52"/>
  <c r="L55"/>
  <c r="E62"/>
  <c r="F62" s="1"/>
  <c r="E61"/>
  <c r="F61" s="1"/>
  <c r="E60"/>
  <c r="F60" s="1"/>
  <c r="E59"/>
  <c r="F59" s="1"/>
  <c r="E58"/>
  <c r="F58" s="1"/>
  <c r="E57"/>
  <c r="F57" s="1"/>
  <c r="L5" i="1"/>
  <c r="O5" s="1"/>
  <c r="L30"/>
  <c r="L26"/>
  <c r="L24"/>
  <c r="L21"/>
  <c r="L9"/>
  <c r="L11" s="1"/>
  <c r="O25"/>
  <c r="O26" s="1"/>
  <c r="B12" i="22" s="1"/>
  <c r="O23" i="1"/>
  <c r="O24" s="1"/>
  <c r="B4" i="22" s="1"/>
  <c r="O22" i="1"/>
  <c r="O10"/>
  <c r="O9" s="1"/>
  <c r="O8"/>
  <c r="O3"/>
  <c r="K81" i="2"/>
  <c r="K71"/>
  <c r="L70" s="1"/>
  <c r="M70" s="1"/>
  <c r="C65"/>
  <c r="N81"/>
  <c r="L75"/>
  <c r="M75" s="1"/>
  <c r="N71"/>
  <c r="L62"/>
  <c r="M62"/>
  <c r="K62"/>
  <c r="M46"/>
  <c r="E45"/>
  <c r="F45" s="1"/>
  <c r="L45"/>
  <c r="K46"/>
  <c r="E39"/>
  <c r="F39" s="1"/>
  <c r="E40"/>
  <c r="F40" s="1"/>
  <c r="E41"/>
  <c r="F41" s="1"/>
  <c r="E42"/>
  <c r="F42" s="1"/>
  <c r="E43"/>
  <c r="F43" s="1"/>
  <c r="E44"/>
  <c r="F44" s="1"/>
  <c r="E38"/>
  <c r="F38" s="1"/>
  <c r="L39"/>
  <c r="L40"/>
  <c r="L41"/>
  <c r="L42"/>
  <c r="L43"/>
  <c r="L44"/>
  <c r="L38"/>
  <c r="E8"/>
  <c r="E9"/>
  <c r="E10"/>
  <c r="E11"/>
  <c r="E12"/>
  <c r="E13"/>
  <c r="E7"/>
  <c r="L107" i="1"/>
  <c r="L102"/>
  <c r="L83"/>
  <c r="L77"/>
  <c r="L64"/>
  <c r="L61"/>
  <c r="L52"/>
  <c r="L50"/>
  <c r="L51" s="1"/>
  <c r="I26"/>
  <c r="I24"/>
  <c r="F26"/>
  <c r="F24"/>
  <c r="C26"/>
  <c r="C24"/>
  <c r="C107" i="2"/>
  <c r="C103"/>
  <c r="C101"/>
  <c r="C86"/>
  <c r="C88" s="1"/>
  <c r="C152" i="9"/>
  <c r="D147" s="1"/>
  <c r="O137" s="1"/>
  <c r="F133"/>
  <c r="P143"/>
  <c r="M143"/>
  <c r="J143"/>
  <c r="G143"/>
  <c r="C143"/>
  <c r="D127"/>
  <c r="E127" s="1"/>
  <c r="D128"/>
  <c r="E128" s="1"/>
  <c r="D129"/>
  <c r="E129" s="1"/>
  <c r="D130"/>
  <c r="E130" s="1"/>
  <c r="D131"/>
  <c r="E131" s="1"/>
  <c r="D126"/>
  <c r="E126" s="1"/>
  <c r="Q88"/>
  <c r="Q93" s="1"/>
  <c r="Q94" s="1"/>
  <c r="Q113" s="1"/>
  <c r="Q115" s="1"/>
  <c r="N88"/>
  <c r="N93" s="1"/>
  <c r="N94" s="1"/>
  <c r="N113" s="1"/>
  <c r="N115" s="1"/>
  <c r="K88"/>
  <c r="K93" s="1"/>
  <c r="K94" s="1"/>
  <c r="K113" s="1"/>
  <c r="K115" s="1"/>
  <c r="H88"/>
  <c r="O32" i="21" l="1"/>
  <c r="F12" i="2"/>
  <c r="E133" i="9"/>
  <c r="F11" i="2"/>
  <c r="I14" i="21"/>
  <c r="F7" i="2"/>
  <c r="F10"/>
  <c r="F13"/>
  <c r="F9"/>
  <c r="F8"/>
  <c r="R5" i="21"/>
  <c r="W131" i="9"/>
  <c r="Z131"/>
  <c r="W127"/>
  <c r="Z127"/>
  <c r="Y133"/>
  <c r="W130"/>
  <c r="Z130"/>
  <c r="W129"/>
  <c r="Z129"/>
  <c r="W128"/>
  <c r="Z128"/>
  <c r="W132"/>
  <c r="Z132"/>
  <c r="AC88"/>
  <c r="AC36"/>
  <c r="AC32" s="1"/>
  <c r="W32"/>
  <c r="E33" i="21"/>
  <c r="I33"/>
  <c r="M33"/>
  <c r="U32"/>
  <c r="U31"/>
  <c r="F33"/>
  <c r="J33"/>
  <c r="D33"/>
  <c r="H33"/>
  <c r="L33"/>
  <c r="G33"/>
  <c r="Q32" i="10"/>
  <c r="T33"/>
  <c r="O11" i="1"/>
  <c r="B11" i="22" s="1"/>
  <c r="C33" i="21"/>
  <c r="H93" i="9"/>
  <c r="H94" s="1"/>
  <c r="H113" s="1"/>
  <c r="H115" s="1"/>
  <c r="E47" i="2"/>
  <c r="E37"/>
  <c r="E6"/>
  <c r="E56"/>
  <c r="C47"/>
  <c r="C30"/>
  <c r="E30" s="1"/>
  <c r="F30" s="1"/>
  <c r="C29"/>
  <c r="E29" s="1"/>
  <c r="F29" s="1"/>
  <c r="C32"/>
  <c r="E32" s="1"/>
  <c r="F32" s="1"/>
  <c r="C33"/>
  <c r="C31"/>
  <c r="L46"/>
  <c r="L66"/>
  <c r="M66" s="1"/>
  <c r="I90" i="1"/>
  <c r="O90" s="1"/>
  <c r="F89"/>
  <c r="C6" i="2"/>
  <c r="C37"/>
  <c r="N92" i="1" s="1"/>
  <c r="Q92" s="1"/>
  <c r="C56" i="2"/>
  <c r="W126" i="9"/>
  <c r="V133"/>
  <c r="C35" i="2"/>
  <c r="E35" s="1"/>
  <c r="R10" i="21" s="1"/>
  <c r="O123" i="10"/>
  <c r="P123" s="1"/>
  <c r="O124"/>
  <c r="P124" s="1"/>
  <c r="O125"/>
  <c r="P125" s="1"/>
  <c r="L84" i="1"/>
  <c r="L49" i="2"/>
  <c r="L50"/>
  <c r="L51"/>
  <c r="L53"/>
  <c r="L54"/>
  <c r="C34"/>
  <c r="E34" s="1"/>
  <c r="F34" s="1"/>
  <c r="L74"/>
  <c r="M74" s="1"/>
  <c r="L80"/>
  <c r="M80" s="1"/>
  <c r="L79"/>
  <c r="M79" s="1"/>
  <c r="L78"/>
  <c r="M78" s="1"/>
  <c r="L77"/>
  <c r="M77" s="1"/>
  <c r="L76"/>
  <c r="M76" s="1"/>
  <c r="L65"/>
  <c r="M65" s="1"/>
  <c r="L69"/>
  <c r="M69" s="1"/>
  <c r="L68"/>
  <c r="M68" s="1"/>
  <c r="L67"/>
  <c r="M67" s="1"/>
  <c r="D146" i="9"/>
  <c r="O136" s="1"/>
  <c r="D151"/>
  <c r="O141" s="1"/>
  <c r="D150"/>
  <c r="O140" s="1"/>
  <c r="D149"/>
  <c r="O139" s="1"/>
  <c r="D148"/>
  <c r="O138" s="1"/>
  <c r="D136"/>
  <c r="D142"/>
  <c r="D141"/>
  <c r="D140"/>
  <c r="D139"/>
  <c r="D138"/>
  <c r="D137"/>
  <c r="D133"/>
  <c r="C20" i="1"/>
  <c r="I20" s="1"/>
  <c r="O20" s="1"/>
  <c r="C19"/>
  <c r="I19" s="1"/>
  <c r="O19" s="1"/>
  <c r="C18"/>
  <c r="I18" s="1"/>
  <c r="O18" s="1"/>
  <c r="C17"/>
  <c r="I17" s="1"/>
  <c r="O17" s="1"/>
  <c r="C14"/>
  <c r="I14" s="1"/>
  <c r="O14" s="1"/>
  <c r="C12"/>
  <c r="I12" s="1"/>
  <c r="O12" s="1"/>
  <c r="C90" i="2"/>
  <c r="F90" s="1"/>
  <c r="C110" i="1"/>
  <c r="C108"/>
  <c r="C106"/>
  <c r="C105"/>
  <c r="C104"/>
  <c r="C103"/>
  <c r="C101"/>
  <c r="C100"/>
  <c r="C99"/>
  <c r="C98"/>
  <c r="C97"/>
  <c r="C96"/>
  <c r="C95"/>
  <c r="C82"/>
  <c r="C81"/>
  <c r="C80"/>
  <c r="C79"/>
  <c r="C78"/>
  <c r="C76"/>
  <c r="C75"/>
  <c r="C73"/>
  <c r="C72"/>
  <c r="C71"/>
  <c r="C70"/>
  <c r="C68"/>
  <c r="C67"/>
  <c r="C66"/>
  <c r="C65"/>
  <c r="C63"/>
  <c r="C62"/>
  <c r="C60"/>
  <c r="C59"/>
  <c r="C58"/>
  <c r="C57"/>
  <c r="C56"/>
  <c r="C55"/>
  <c r="C54"/>
  <c r="C49"/>
  <c r="C48"/>
  <c r="C33"/>
  <c r="C34"/>
  <c r="C35"/>
  <c r="C36"/>
  <c r="C37"/>
  <c r="C38"/>
  <c r="C39"/>
  <c r="C40"/>
  <c r="C41"/>
  <c r="C42"/>
  <c r="C43"/>
  <c r="C44"/>
  <c r="C45"/>
  <c r="T30" i="9"/>
  <c r="T29" s="1"/>
  <c r="T40" s="1"/>
  <c r="T41" s="1"/>
  <c r="T117" s="1"/>
  <c r="Q30"/>
  <c r="Q29" s="1"/>
  <c r="Q40" s="1"/>
  <c r="Q41" s="1"/>
  <c r="Q117" s="1"/>
  <c r="N30"/>
  <c r="N29" s="1"/>
  <c r="N40" s="1"/>
  <c r="N41" s="1"/>
  <c r="N117" s="1"/>
  <c r="K30"/>
  <c r="K29" s="1"/>
  <c r="K40" s="1"/>
  <c r="K41" s="1"/>
  <c r="K117" s="1"/>
  <c r="H30"/>
  <c r="H29" s="1"/>
  <c r="H40" s="1"/>
  <c r="H41" s="1"/>
  <c r="E70" i="2"/>
  <c r="AA111" i="9"/>
  <c r="AA79"/>
  <c r="AA26"/>
  <c r="AA24"/>
  <c r="AA11"/>
  <c r="AA7"/>
  <c r="C111"/>
  <c r="C106"/>
  <c r="C95"/>
  <c r="C98" s="1"/>
  <c r="C93"/>
  <c r="C87"/>
  <c r="C84"/>
  <c r="C74"/>
  <c r="C71"/>
  <c r="C60"/>
  <c r="C26"/>
  <c r="C24"/>
  <c r="C21"/>
  <c r="C11"/>
  <c r="C7"/>
  <c r="W133" l="1"/>
  <c r="R7" i="21"/>
  <c r="F70" i="2"/>
  <c r="S5" i="21"/>
  <c r="V5"/>
  <c r="F35" i="2"/>
  <c r="AA95" i="9"/>
  <c r="AA98" s="1"/>
  <c r="Z133"/>
  <c r="T32" i="10"/>
  <c r="T29" s="1"/>
  <c r="Q29"/>
  <c r="Q36" s="1"/>
  <c r="Q37" s="1"/>
  <c r="AA106" i="9"/>
  <c r="H117"/>
  <c r="AA93"/>
  <c r="AA71"/>
  <c r="F56" i="2"/>
  <c r="F47"/>
  <c r="F37"/>
  <c r="F6"/>
  <c r="E78" i="1"/>
  <c r="AC93" i="9"/>
  <c r="AC94" s="1"/>
  <c r="AC113" s="1"/>
  <c r="AC115" s="1"/>
  <c r="C102" i="1"/>
  <c r="E31" i="2"/>
  <c r="R6" i="21" s="1"/>
  <c r="E33" i="2"/>
  <c r="W30" i="9"/>
  <c r="W29" s="1"/>
  <c r="W40" s="1"/>
  <c r="W41" s="1"/>
  <c r="W117" s="1"/>
  <c r="E30"/>
  <c r="C29"/>
  <c r="C40" s="1"/>
  <c r="C107" i="1"/>
  <c r="AA32" i="9"/>
  <c r="C28" i="2"/>
  <c r="AA87" i="9"/>
  <c r="AA74"/>
  <c r="C61"/>
  <c r="AA84"/>
  <c r="C69" i="1"/>
  <c r="C74" s="1"/>
  <c r="C86"/>
  <c r="C94" s="1"/>
  <c r="C15"/>
  <c r="I15" s="1"/>
  <c r="O15" s="1"/>
  <c r="C16"/>
  <c r="P127" i="10"/>
  <c r="O127"/>
  <c r="L56" i="2"/>
  <c r="L81"/>
  <c r="L71"/>
  <c r="AA56" i="9"/>
  <c r="C32" i="1"/>
  <c r="AA60" i="9"/>
  <c r="C47" i="1"/>
  <c r="AA62" i="9"/>
  <c r="C53" i="1"/>
  <c r="C61"/>
  <c r="C64"/>
  <c r="C77"/>
  <c r="C83"/>
  <c r="AA21" i="9"/>
  <c r="AA27" s="1"/>
  <c r="C13" i="1"/>
  <c r="M81" i="2"/>
  <c r="M71"/>
  <c r="L137" i="9"/>
  <c r="I137"/>
  <c r="F137"/>
  <c r="L138"/>
  <c r="I138"/>
  <c r="F138"/>
  <c r="L139"/>
  <c r="I139"/>
  <c r="F139"/>
  <c r="L140"/>
  <c r="I140"/>
  <c r="F140"/>
  <c r="L141"/>
  <c r="I141"/>
  <c r="F141"/>
  <c r="L142"/>
  <c r="I142"/>
  <c r="F142"/>
  <c r="O143"/>
  <c r="L136"/>
  <c r="I136"/>
  <c r="F136"/>
  <c r="D143"/>
  <c r="C27"/>
  <c r="C94"/>
  <c r="D152"/>
  <c r="C120"/>
  <c r="F120"/>
  <c r="I120"/>
  <c r="L120"/>
  <c r="O120"/>
  <c r="R120"/>
  <c r="U120"/>
  <c r="Q84" i="10"/>
  <c r="R34"/>
  <c r="C25" i="2" s="1"/>
  <c r="E25" s="1"/>
  <c r="R4" i="21" s="1"/>
  <c r="R35" i="10"/>
  <c r="C26" i="2" s="1"/>
  <c r="E26" s="1"/>
  <c r="R9" i="21" s="1"/>
  <c r="Q103" i="10"/>
  <c r="O119"/>
  <c r="L119"/>
  <c r="I119"/>
  <c r="F119"/>
  <c r="R28"/>
  <c r="F28" i="1" s="1"/>
  <c r="I28" s="1"/>
  <c r="O28" s="1"/>
  <c r="B5" i="22" s="1"/>
  <c r="E5" s="1"/>
  <c r="R16" i="10"/>
  <c r="F16" i="1" s="1"/>
  <c r="F21" s="1"/>
  <c r="F27" s="1"/>
  <c r="R26" i="10"/>
  <c r="R24"/>
  <c r="R11"/>
  <c r="R7"/>
  <c r="R92"/>
  <c r="F87" i="1" s="1"/>
  <c r="I87" s="1"/>
  <c r="O87" s="1"/>
  <c r="O86" s="1"/>
  <c r="C26" i="10"/>
  <c r="C24"/>
  <c r="C11"/>
  <c r="C7"/>
  <c r="C21"/>
  <c r="C119"/>
  <c r="C67"/>
  <c r="G6" i="22" l="1"/>
  <c r="F25" i="2"/>
  <c r="F33"/>
  <c r="R8" i="21"/>
  <c r="I143" i="9"/>
  <c r="F31" i="2"/>
  <c r="S7" i="21"/>
  <c r="V7"/>
  <c r="F26" i="2"/>
  <c r="S10" i="21"/>
  <c r="V10"/>
  <c r="O10" s="1"/>
  <c r="P10" s="1"/>
  <c r="R117" i="9"/>
  <c r="C113"/>
  <c r="C115" s="1"/>
  <c r="AC30"/>
  <c r="AC29" s="1"/>
  <c r="AC40" s="1"/>
  <c r="T103" i="10"/>
  <c r="Q104"/>
  <c r="H29" i="1"/>
  <c r="H30" s="1"/>
  <c r="H31" s="1"/>
  <c r="T36" i="10"/>
  <c r="T37" s="1"/>
  <c r="T84"/>
  <c r="Q89"/>
  <c r="Q90" s="1"/>
  <c r="N91"/>
  <c r="K91"/>
  <c r="K96" s="1"/>
  <c r="L117" i="9"/>
  <c r="C41"/>
  <c r="E83" i="1"/>
  <c r="E84" s="1"/>
  <c r="E109" s="1"/>
  <c r="E111" s="1"/>
  <c r="F117" i="9"/>
  <c r="E28" i="2"/>
  <c r="F28" s="1"/>
  <c r="E29" i="9"/>
  <c r="E40" s="1"/>
  <c r="E41" s="1"/>
  <c r="E117" s="1"/>
  <c r="AA29"/>
  <c r="Q33" i="21"/>
  <c r="L143" i="9"/>
  <c r="F143"/>
  <c r="AA94"/>
  <c r="R21" i="10"/>
  <c r="R27" s="1"/>
  <c r="R91"/>
  <c r="O92" i="1"/>
  <c r="O89" s="1"/>
  <c r="O94" s="1"/>
  <c r="C93" i="2"/>
  <c r="F93" s="1"/>
  <c r="C27" i="10"/>
  <c r="I16" i="1"/>
  <c r="O16" s="1"/>
  <c r="C52"/>
  <c r="C50"/>
  <c r="C46"/>
  <c r="AA61" i="9"/>
  <c r="I13" i="1"/>
  <c r="C21"/>
  <c r="C27" s="1"/>
  <c r="C84"/>
  <c r="R32" i="10"/>
  <c r="R33"/>
  <c r="C24" i="2" s="1"/>
  <c r="E24" s="1"/>
  <c r="R3" i="21" s="1"/>
  <c r="C104" i="10"/>
  <c r="S8" i="21" l="1"/>
  <c r="V8"/>
  <c r="S6"/>
  <c r="V6"/>
  <c r="S9"/>
  <c r="V9"/>
  <c r="S4"/>
  <c r="V4"/>
  <c r="S3"/>
  <c r="V3"/>
  <c r="C117" i="9"/>
  <c r="O117"/>
  <c r="F86" i="1"/>
  <c r="F94" s="1"/>
  <c r="Q111" i="10"/>
  <c r="Q113" s="1"/>
  <c r="Q115" s="1"/>
  <c r="N96"/>
  <c r="N111" s="1"/>
  <c r="N113" s="1"/>
  <c r="N115" s="1"/>
  <c r="H101" i="1"/>
  <c r="T104" i="10"/>
  <c r="H78" i="1"/>
  <c r="T89" i="10"/>
  <c r="T90" s="1"/>
  <c r="T91"/>
  <c r="T96" s="1"/>
  <c r="K111"/>
  <c r="K113" s="1"/>
  <c r="K115" s="1"/>
  <c r="U117" i="9"/>
  <c r="E23" i="2"/>
  <c r="F24"/>
  <c r="B22" i="20"/>
  <c r="L109" i="1"/>
  <c r="I117" i="9"/>
  <c r="E29" i="1"/>
  <c r="AC41" i="9"/>
  <c r="AC117" s="1"/>
  <c r="C29" i="1"/>
  <c r="C30" s="1"/>
  <c r="C31" s="1"/>
  <c r="AA40" i="9"/>
  <c r="AA41" s="1"/>
  <c r="AA113"/>
  <c r="AA115" s="1"/>
  <c r="C51" i="1"/>
  <c r="C109" s="1"/>
  <c r="C111" s="1"/>
  <c r="C98" i="2"/>
  <c r="F98" s="1"/>
  <c r="C23"/>
  <c r="I21" i="1"/>
  <c r="I27" s="1"/>
  <c r="O13"/>
  <c r="O21" s="1"/>
  <c r="R112" i="10"/>
  <c r="F110" i="1" s="1"/>
  <c r="I110" s="1"/>
  <c r="R110" i="10"/>
  <c r="F108" i="1" s="1"/>
  <c r="I108" s="1"/>
  <c r="O108" s="1"/>
  <c r="G13" i="22" s="1"/>
  <c r="R108" i="10"/>
  <c r="F106" i="1" s="1"/>
  <c r="I106" s="1"/>
  <c r="O106" s="1"/>
  <c r="R107" i="10"/>
  <c r="F105" i="1" s="1"/>
  <c r="I105" s="1"/>
  <c r="O105" s="1"/>
  <c r="R106" i="10"/>
  <c r="F104" i="1" s="1"/>
  <c r="I104" s="1"/>
  <c r="O104" s="1"/>
  <c r="R105" i="10"/>
  <c r="F103" i="1" s="1"/>
  <c r="R103" i="10"/>
  <c r="F101" i="1" s="1"/>
  <c r="I101" s="1"/>
  <c r="O101" s="1"/>
  <c r="R102" i="10"/>
  <c r="F100" i="1" s="1"/>
  <c r="I100" s="1"/>
  <c r="O100" s="1"/>
  <c r="R101" i="10"/>
  <c r="F99" i="1" s="1"/>
  <c r="I99" s="1"/>
  <c r="O99" s="1"/>
  <c r="R100" i="10"/>
  <c r="F98" i="1" s="1"/>
  <c r="R99" i="10"/>
  <c r="F97" i="1" s="1"/>
  <c r="I97" s="1"/>
  <c r="O97" s="1"/>
  <c r="R98" i="10"/>
  <c r="F96" i="1" s="1"/>
  <c r="I96" s="1"/>
  <c r="O96" s="1"/>
  <c r="R97" i="10"/>
  <c r="R93"/>
  <c r="R96" s="1"/>
  <c r="R88"/>
  <c r="F82" i="1" s="1"/>
  <c r="I82" s="1"/>
  <c r="O82" s="1"/>
  <c r="R87" i="10"/>
  <c r="F81" i="1" s="1"/>
  <c r="I81" s="1"/>
  <c r="O81" s="1"/>
  <c r="R86" i="10"/>
  <c r="F80" i="1" s="1"/>
  <c r="I80" s="1"/>
  <c r="O80" s="1"/>
  <c r="R85" i="10"/>
  <c r="F79" i="1" s="1"/>
  <c r="I79" s="1"/>
  <c r="O79" s="1"/>
  <c r="R84" i="10"/>
  <c r="F78" i="1" s="1"/>
  <c r="R82" i="10"/>
  <c r="F76" i="1" s="1"/>
  <c r="I76" s="1"/>
  <c r="O76" s="1"/>
  <c r="R81" i="10"/>
  <c r="F75" i="1" s="1"/>
  <c r="R79" i="10"/>
  <c r="F73" i="1" s="1"/>
  <c r="I73" s="1"/>
  <c r="O73" s="1"/>
  <c r="R78" i="10"/>
  <c r="F72" i="1" s="1"/>
  <c r="I72" s="1"/>
  <c r="O72" s="1"/>
  <c r="R77" i="10"/>
  <c r="F71" i="1" s="1"/>
  <c r="I71" s="1"/>
  <c r="O71" s="1"/>
  <c r="R76" i="10"/>
  <c r="F70" i="1" s="1"/>
  <c r="I70" s="1"/>
  <c r="O70" s="1"/>
  <c r="R74" i="10"/>
  <c r="F68" i="1" s="1"/>
  <c r="I68" s="1"/>
  <c r="O68" s="1"/>
  <c r="R73" i="10"/>
  <c r="F67" i="1" s="1"/>
  <c r="I67" s="1"/>
  <c r="O67" s="1"/>
  <c r="R72" i="10"/>
  <c r="F66" i="1" s="1"/>
  <c r="I66" s="1"/>
  <c r="O66" s="1"/>
  <c r="R71" i="10"/>
  <c r="R69"/>
  <c r="F63" i="1" s="1"/>
  <c r="I63" s="1"/>
  <c r="O63" s="1"/>
  <c r="R68" i="10"/>
  <c r="F62" i="1" s="1"/>
  <c r="R66" i="10"/>
  <c r="F60" i="1" s="1"/>
  <c r="I60" s="1"/>
  <c r="O60" s="1"/>
  <c r="R65" i="10"/>
  <c r="F59" i="1" s="1"/>
  <c r="I59" s="1"/>
  <c r="O59" s="1"/>
  <c r="R64" i="10"/>
  <c r="F58" i="1" s="1"/>
  <c r="C109" i="10"/>
  <c r="C89"/>
  <c r="C83"/>
  <c r="C70"/>
  <c r="R63"/>
  <c r="F57" i="1" s="1"/>
  <c r="I57" s="1"/>
  <c r="O57" s="1"/>
  <c r="R62" i="10"/>
  <c r="F56" i="1" s="1"/>
  <c r="I56" s="1"/>
  <c r="O56" s="1"/>
  <c r="R61" i="10"/>
  <c r="F55" i="1" s="1"/>
  <c r="I55" s="1"/>
  <c r="O55" s="1"/>
  <c r="R60" i="10"/>
  <c r="F54" i="1" s="1"/>
  <c r="I54" s="1"/>
  <c r="O54" s="1"/>
  <c r="R59" i="10"/>
  <c r="R55"/>
  <c r="F49" i="1" s="1"/>
  <c r="I49" s="1"/>
  <c r="O49" s="1"/>
  <c r="R54" i="10"/>
  <c r="F48" i="1" s="1"/>
  <c r="I48" s="1"/>
  <c r="O48" s="1"/>
  <c r="R53" i="10"/>
  <c r="R39"/>
  <c r="F33" i="1" s="1"/>
  <c r="I33" s="1"/>
  <c r="O33" s="1"/>
  <c r="R40" i="10"/>
  <c r="F34" i="1" s="1"/>
  <c r="I34" s="1"/>
  <c r="O34" s="1"/>
  <c r="R41" i="10"/>
  <c r="F35" i="1" s="1"/>
  <c r="I35" s="1"/>
  <c r="O35" s="1"/>
  <c r="R42" i="10"/>
  <c r="F36" i="1" s="1"/>
  <c r="I36" s="1"/>
  <c r="O36" s="1"/>
  <c r="R43" i="10"/>
  <c r="F37" i="1" s="1"/>
  <c r="I37" s="1"/>
  <c r="O37" s="1"/>
  <c r="R44" i="10"/>
  <c r="F38" i="1" s="1"/>
  <c r="I38" s="1"/>
  <c r="O38" s="1"/>
  <c r="R45" i="10"/>
  <c r="F39" i="1" s="1"/>
  <c r="I39" s="1"/>
  <c r="O39" s="1"/>
  <c r="R46" i="10"/>
  <c r="F40" i="1" s="1"/>
  <c r="I40" s="1"/>
  <c r="O40" s="1"/>
  <c r="R47" i="10"/>
  <c r="F41" i="1" s="1"/>
  <c r="I41" s="1"/>
  <c r="O41" s="1"/>
  <c r="R48" i="10"/>
  <c r="F42" i="1" s="1"/>
  <c r="I42" s="1"/>
  <c r="O42" s="1"/>
  <c r="R49" i="10"/>
  <c r="F43" i="1" s="1"/>
  <c r="I43" s="1"/>
  <c r="O43" s="1"/>
  <c r="R50" i="10"/>
  <c r="F44" i="1" s="1"/>
  <c r="I44" s="1"/>
  <c r="O44" s="1"/>
  <c r="R51" i="10"/>
  <c r="F45" i="1" s="1"/>
  <c r="I45" s="1"/>
  <c r="O45" s="1"/>
  <c r="R38" i="10"/>
  <c r="C69" i="2"/>
  <c r="C68" s="1"/>
  <c r="C82" l="1"/>
  <c r="K101" i="1"/>
  <c r="H102"/>
  <c r="R109" i="10"/>
  <c r="H83" i="1"/>
  <c r="H84" s="1"/>
  <c r="K78"/>
  <c r="R75" i="10"/>
  <c r="F69" i="1" s="1"/>
  <c r="I69" s="1"/>
  <c r="O69" s="1"/>
  <c r="H86"/>
  <c r="H94" s="1"/>
  <c r="T111" i="10"/>
  <c r="T113" s="1"/>
  <c r="T115" s="1"/>
  <c r="I86" i="1"/>
  <c r="J6" i="22"/>
  <c r="F23" i="2"/>
  <c r="E69"/>
  <c r="E68" s="1"/>
  <c r="E82" s="1"/>
  <c r="AA117" i="9"/>
  <c r="E30" i="1"/>
  <c r="E31" s="1"/>
  <c r="E113" s="1"/>
  <c r="K29"/>
  <c r="C113"/>
  <c r="F65"/>
  <c r="I65" s="1"/>
  <c r="R83" i="10"/>
  <c r="O117"/>
  <c r="L117"/>
  <c r="I117"/>
  <c r="R89"/>
  <c r="F117"/>
  <c r="R67"/>
  <c r="R70"/>
  <c r="B3" i="22"/>
  <c r="E3" s="1"/>
  <c r="F83" i="1"/>
  <c r="I78"/>
  <c r="R104" i="10"/>
  <c r="F95" i="1"/>
  <c r="I95" s="1"/>
  <c r="O95" s="1"/>
  <c r="F107"/>
  <c r="I103"/>
  <c r="R52" i="10"/>
  <c r="F32" i="1"/>
  <c r="R56" i="10"/>
  <c r="F47" i="1"/>
  <c r="R58" i="10"/>
  <c r="F53" i="1"/>
  <c r="F61"/>
  <c r="I58"/>
  <c r="F64"/>
  <c r="I62"/>
  <c r="F77"/>
  <c r="I75"/>
  <c r="I98"/>
  <c r="C29" i="10"/>
  <c r="C36" s="1"/>
  <c r="C37" s="1"/>
  <c r="R30"/>
  <c r="R29" s="1"/>
  <c r="C90"/>
  <c r="C117" s="1"/>
  <c r="C52"/>
  <c r="C56"/>
  <c r="C58"/>
  <c r="K10" i="18"/>
  <c r="C12"/>
  <c r="C41" s="1"/>
  <c r="K7"/>
  <c r="K5"/>
  <c r="K4"/>
  <c r="K3"/>
  <c r="M12" i="15"/>
  <c r="J12"/>
  <c r="G12"/>
  <c r="D12"/>
  <c r="J11"/>
  <c r="G11"/>
  <c r="P6"/>
  <c r="M6"/>
  <c r="J6"/>
  <c r="G6"/>
  <c r="D6"/>
  <c r="P4"/>
  <c r="M4"/>
  <c r="J4"/>
  <c r="G4"/>
  <c r="D4"/>
  <c r="P3"/>
  <c r="M3"/>
  <c r="J3"/>
  <c r="G3"/>
  <c r="F69" i="2" l="1"/>
  <c r="J13" i="15"/>
  <c r="G13"/>
  <c r="O115" i="10"/>
  <c r="R80"/>
  <c r="R90" s="1"/>
  <c r="Q78" i="1"/>
  <c r="Q83" s="1"/>
  <c r="Q84" s="1"/>
  <c r="I4" i="22" s="1"/>
  <c r="B20" i="20" s="1"/>
  <c r="K83" i="1"/>
  <c r="K84" s="1"/>
  <c r="Q101"/>
  <c r="Q102" s="1"/>
  <c r="I11" i="22" s="1"/>
  <c r="B25" i="20" s="1"/>
  <c r="B28" s="1"/>
  <c r="K102" i="1"/>
  <c r="I115" i="10"/>
  <c r="H109" i="1"/>
  <c r="H111" s="1"/>
  <c r="H113" s="1"/>
  <c r="K86"/>
  <c r="K94" s="1"/>
  <c r="F74"/>
  <c r="F84" s="1"/>
  <c r="I74"/>
  <c r="J5" i="15"/>
  <c r="S6"/>
  <c r="P5"/>
  <c r="Q3"/>
  <c r="D3"/>
  <c r="D5" s="1"/>
  <c r="M5"/>
  <c r="B13"/>
  <c r="D11"/>
  <c r="S12"/>
  <c r="M11"/>
  <c r="M13" s="1"/>
  <c r="G5"/>
  <c r="S4"/>
  <c r="C3" i="2"/>
  <c r="N110" i="1"/>
  <c r="K30"/>
  <c r="K31" s="1"/>
  <c r="Q12" i="15"/>
  <c r="F102" i="1"/>
  <c r="B5" i="15"/>
  <c r="Q6"/>
  <c r="L115" i="10"/>
  <c r="F115"/>
  <c r="Q4" i="15"/>
  <c r="C84" i="2"/>
  <c r="P8" i="15"/>
  <c r="P9"/>
  <c r="M8"/>
  <c r="M9"/>
  <c r="J8"/>
  <c r="J9"/>
  <c r="G8"/>
  <c r="G9"/>
  <c r="L6" i="1"/>
  <c r="L4" s="1"/>
  <c r="O103"/>
  <c r="O107" s="1"/>
  <c r="G12" i="22" s="1"/>
  <c r="J12" s="1"/>
  <c r="I107" i="1"/>
  <c r="O78"/>
  <c r="O83" s="1"/>
  <c r="I83"/>
  <c r="R36" i="10"/>
  <c r="R37" s="1"/>
  <c r="F29" i="1"/>
  <c r="O98"/>
  <c r="O102" s="1"/>
  <c r="G11" i="22" s="1"/>
  <c r="I102" i="1"/>
  <c r="I77"/>
  <c r="O75"/>
  <c r="O77" s="1"/>
  <c r="O65"/>
  <c r="O74" s="1"/>
  <c r="I64"/>
  <c r="O62"/>
  <c r="O64" s="1"/>
  <c r="I61"/>
  <c r="O58"/>
  <c r="O61" s="1"/>
  <c r="F52"/>
  <c r="I53"/>
  <c r="F50"/>
  <c r="I47"/>
  <c r="F46"/>
  <c r="I32"/>
  <c r="R57" i="10"/>
  <c r="I89" i="1"/>
  <c r="I94" s="1"/>
  <c r="C57" i="10"/>
  <c r="C111" s="1"/>
  <c r="C113" s="1"/>
  <c r="C115" s="1"/>
  <c r="K8" i="18"/>
  <c r="K9"/>
  <c r="K11"/>
  <c r="Q11" i="15"/>
  <c r="F82" i="2" l="1"/>
  <c r="R12" i="21"/>
  <c r="V12" s="1"/>
  <c r="J10" i="15"/>
  <c r="J15" s="1"/>
  <c r="G10"/>
  <c r="G15" s="1"/>
  <c r="I16" i="22"/>
  <c r="K109" i="1"/>
  <c r="K111" s="1"/>
  <c r="K113" s="1"/>
  <c r="J11" i="22"/>
  <c r="M10" i="15"/>
  <c r="M15" s="1"/>
  <c r="D13"/>
  <c r="S11"/>
  <c r="S13" s="1"/>
  <c r="F68" i="2"/>
  <c r="P10" i="15"/>
  <c r="P15" s="1"/>
  <c r="S3"/>
  <c r="S5" s="1"/>
  <c r="F51" i="1"/>
  <c r="F109" s="1"/>
  <c r="F111" s="1"/>
  <c r="I84"/>
  <c r="R111" i="10"/>
  <c r="R113" s="1"/>
  <c r="R115" s="1"/>
  <c r="O84" i="1"/>
  <c r="G4" i="22" s="1"/>
  <c r="J4" s="1"/>
  <c r="Q13" i="15"/>
  <c r="Q5"/>
  <c r="C104" i="2"/>
  <c r="L7" i="1"/>
  <c r="L27" s="1"/>
  <c r="L31" s="1"/>
  <c r="O6"/>
  <c r="O4" s="1"/>
  <c r="O7" s="1"/>
  <c r="I46"/>
  <c r="O32"/>
  <c r="O46" s="1"/>
  <c r="I50"/>
  <c r="O47"/>
  <c r="O50" s="1"/>
  <c r="I52"/>
  <c r="O53"/>
  <c r="O52" s="1"/>
  <c r="G3" i="22" s="1"/>
  <c r="J3" s="1"/>
  <c r="F30" i="1"/>
  <c r="F31" s="1"/>
  <c r="I29"/>
  <c r="D12" i="18"/>
  <c r="D41" s="1"/>
  <c r="K12"/>
  <c r="D8" i="15"/>
  <c r="S12" i="21" l="1"/>
  <c r="Q9" i="15"/>
  <c r="D9"/>
  <c r="S9" s="1"/>
  <c r="S8"/>
  <c r="N6" i="1"/>
  <c r="F113"/>
  <c r="C108" i="2"/>
  <c r="O27" i="1"/>
  <c r="B2" i="22"/>
  <c r="I30" i="1"/>
  <c r="I31" s="1"/>
  <c r="L110"/>
  <c r="O30"/>
  <c r="O51"/>
  <c r="G2" i="22" s="1"/>
  <c r="J2" s="1"/>
  <c r="I51" i="1"/>
  <c r="I109" s="1"/>
  <c r="I111" s="1"/>
  <c r="G7" i="22"/>
  <c r="Q14" i="15"/>
  <c r="B10"/>
  <c r="B15" s="1"/>
  <c r="Q8"/>
  <c r="G9" i="22" l="1"/>
  <c r="D10" i="15"/>
  <c r="D15" s="1"/>
  <c r="S10"/>
  <c r="S15" s="1"/>
  <c r="Q6" i="1"/>
  <c r="O109"/>
  <c r="O111" s="1"/>
  <c r="O31"/>
  <c r="I113"/>
  <c r="Q10" i="15"/>
  <c r="Q15" s="1"/>
  <c r="L111" i="1"/>
  <c r="L113" s="1"/>
  <c r="G16" i="22"/>
  <c r="J16" s="1"/>
  <c r="B16"/>
  <c r="B9"/>
  <c r="O113" i="1" l="1"/>
  <c r="G17" i="22"/>
  <c r="B17"/>
  <c r="N31" i="21"/>
  <c r="O9"/>
  <c r="P9" s="1"/>
  <c r="O8"/>
  <c r="P8" s="1"/>
  <c r="O7"/>
  <c r="P7" s="1"/>
  <c r="O6"/>
  <c r="P6" s="1"/>
  <c r="O5"/>
  <c r="P5" s="1"/>
  <c r="O4"/>
  <c r="P4" s="1"/>
  <c r="O3"/>
  <c r="O17"/>
  <c r="O28" s="1"/>
  <c r="O31" l="1"/>
  <c r="O33" s="1"/>
  <c r="N33"/>
  <c r="O11"/>
  <c r="P3"/>
  <c r="P11" s="1"/>
  <c r="J13" l="1"/>
  <c r="J14" s="1"/>
  <c r="K13"/>
  <c r="K14" s="1"/>
  <c r="L13"/>
  <c r="L14" s="1"/>
  <c r="N13"/>
  <c r="N14" s="1"/>
  <c r="O12"/>
  <c r="O13" s="1"/>
  <c r="O14" s="1"/>
  <c r="P12" l="1"/>
  <c r="P13" s="1"/>
  <c r="P14" s="1"/>
  <c r="Q91" i="1"/>
  <c r="Q89" s="1"/>
  <c r="Q94" s="1"/>
  <c r="N89"/>
  <c r="N94" s="1"/>
  <c r="N109" l="1"/>
  <c r="N111" s="1"/>
  <c r="Q109"/>
  <c r="Q111" s="1"/>
  <c r="I7" i="22"/>
  <c r="B23" i="20" s="1"/>
  <c r="B24" s="1"/>
  <c r="B30" s="1"/>
  <c r="I9" i="22" l="1"/>
  <c r="J9" s="1"/>
  <c r="J7"/>
  <c r="I17" l="1"/>
  <c r="J17" s="1"/>
  <c r="F4" i="2"/>
  <c r="E3"/>
  <c r="F3" s="1"/>
  <c r="E84"/>
  <c r="F84" s="1"/>
  <c r="N5" i="1"/>
  <c r="Q5" s="1"/>
  <c r="Q4" s="1"/>
  <c r="Q7" s="1"/>
  <c r="D2" i="22" l="1"/>
  <c r="B3" i="20" s="1"/>
  <c r="B6" s="1"/>
  <c r="B16" s="1"/>
  <c r="B32" s="1"/>
  <c r="Q27" i="1"/>
  <c r="Q31" s="1"/>
  <c r="Q113" s="1"/>
  <c r="N4"/>
  <c r="N7" s="1"/>
  <c r="N27" s="1"/>
  <c r="N31" s="1"/>
  <c r="N113" s="1"/>
  <c r="E104" i="2"/>
  <c r="F104" l="1"/>
  <c r="E108"/>
  <c r="F108" s="1"/>
  <c r="D9" i="22"/>
  <c r="E2"/>
  <c r="E9" l="1"/>
  <c r="D17"/>
  <c r="E17" s="1"/>
</calcChain>
</file>

<file path=xl/sharedStrings.xml><?xml version="1.0" encoding="utf-8"?>
<sst xmlns="http://schemas.openxmlformats.org/spreadsheetml/2006/main" count="1189" uniqueCount="455">
  <si>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</si>
  <si>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</si>
  <si>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</si>
  <si>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</si>
  <si>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</si>
  <si>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</si>
  <si>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</si>
  <si>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</si>
  <si>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</si>
  <si>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</si>
  <si>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</si>
  <si>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IDŐSEK NAPPALI ELLÁTÁSA</t>
  </si>
  <si>
    <t>HÁZI SEGÍTSÉGNYÚJTÁS</t>
  </si>
  <si>
    <t>TÁMOGATÓ SZOLGÁLAT</t>
  </si>
  <si>
    <t>SEGÍTŐ SZOLGÁLAT EGYÜTT</t>
  </si>
  <si>
    <t>GÉZENGÚZ TAGÓVODA</t>
  </si>
  <si>
    <t>KÖZPONTI IGAZGATÁS</t>
  </si>
  <si>
    <t>fajlagos összeg</t>
  </si>
  <si>
    <t>Egyéb dologi kiadások</t>
  </si>
  <si>
    <t>TANYAGONDNOKI SZOLGÁLTATÁS</t>
  </si>
  <si>
    <t>Közalkalmazotti státuszok</t>
  </si>
  <si>
    <t>Összesen</t>
  </si>
  <si>
    <t>ENGEDÉLYEZETT LÉTSZÁM</t>
  </si>
  <si>
    <t>Segítő Szolgálat</t>
  </si>
  <si>
    <t>Intézményvezető</t>
  </si>
  <si>
    <t>Családsegítés csopvez.</t>
  </si>
  <si>
    <t>Támogató szolg. csopvez.</t>
  </si>
  <si>
    <t>Házi.seg.nyújtás csopvez.</t>
  </si>
  <si>
    <t>Idősek nappalija csopvez.</t>
  </si>
  <si>
    <t>Személyi segítő</t>
  </si>
  <si>
    <t>Családgondozó</t>
  </si>
  <si>
    <t>Gondozó</t>
  </si>
  <si>
    <t>Gépkocsivezető</t>
  </si>
  <si>
    <t>Segítő Szolgálat Összesen</t>
  </si>
  <si>
    <t>Tagintézmény vezető</t>
  </si>
  <si>
    <t>Pedagógus</t>
  </si>
  <si>
    <t>Óvodatitkár</t>
  </si>
  <si>
    <t>Státusz összesen</t>
  </si>
  <si>
    <t>mutató</t>
  </si>
  <si>
    <t>MOVI</t>
  </si>
  <si>
    <t>BOVI</t>
  </si>
  <si>
    <t>GYOVI</t>
  </si>
  <si>
    <t>TOVI</t>
  </si>
  <si>
    <t>SZOCIÁLIS NORMATÍVA ÉS TÁMOGATÁS MINDÖSSZESEN</t>
  </si>
  <si>
    <t>Bevételek</t>
  </si>
  <si>
    <t>Tartalék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</si>
  <si>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</si>
  <si>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</si>
  <si>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</si>
  <si>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</si>
  <si>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</si>
  <si>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</si>
  <si>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</si>
  <si>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</si>
  <si>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</si>
  <si>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</si>
  <si>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</si>
  <si>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</si>
  <si>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Személyi juttatások</t>
  </si>
  <si>
    <t>Január</t>
  </si>
  <si>
    <t>Február</t>
  </si>
  <si>
    <t>Március</t>
  </si>
  <si>
    <t>Április</t>
  </si>
  <si>
    <t>Május</t>
  </si>
  <si>
    <t>Június</t>
  </si>
  <si>
    <t>Július</t>
  </si>
  <si>
    <t>Szeptember</t>
  </si>
  <si>
    <t>Október</t>
  </si>
  <si>
    <t>November</t>
  </si>
  <si>
    <t>December</t>
  </si>
  <si>
    <t>Családi napközi csopvez.</t>
  </si>
  <si>
    <t>Családi napközi gondozó</t>
  </si>
  <si>
    <t>Intézmények összesen</t>
  </si>
  <si>
    <t>Társulás és intézményeinek konszolidált összesítése</t>
  </si>
  <si>
    <t>Szociális és gyermekjóléti feladatok támogatása</t>
  </si>
  <si>
    <t>SZOCIÁLIS NORMATÍVA ÖSSZESEN</t>
  </si>
  <si>
    <t>Óvodapedagógusok bértámogatása</t>
  </si>
  <si>
    <t>Óvodapedagógusok  nev. munkáját közvetlenül segítők bértámogatása</t>
  </si>
  <si>
    <t>Óvodaműködtetési támogatás</t>
  </si>
  <si>
    <t>Gyermekétkeztetés támogatás</t>
  </si>
  <si>
    <t>KÖZNEVELÉSI FELADATOK TÁMOGATÁSA ÖSSZESEN</t>
  </si>
  <si>
    <t>KIK</t>
  </si>
  <si>
    <t>Adminisztrátor</t>
  </si>
  <si>
    <t>Kiadások</t>
  </si>
  <si>
    <t>Martonvásár munkaszervezeti feladat</t>
  </si>
  <si>
    <t>Szent László Völgye Segítő Szolgálat költségvetése</t>
  </si>
  <si>
    <t>Társulás költségvetése</t>
  </si>
  <si>
    <t>Működési célú tám. Áh belülről</t>
  </si>
  <si>
    <t>Munkaadókat terhelő járulékok</t>
  </si>
  <si>
    <t>Működési bevételek</t>
  </si>
  <si>
    <t>Dologi kiadások</t>
  </si>
  <si>
    <t>Ellátottak juttatási</t>
  </si>
  <si>
    <t>Működési célú maradvány</t>
  </si>
  <si>
    <t>Működési célú tám.ért.kiadások</t>
  </si>
  <si>
    <t>Működési tartalék</t>
  </si>
  <si>
    <t>Felhalmozási célú tám. Áh belülről</t>
  </si>
  <si>
    <t>Beruházások</t>
  </si>
  <si>
    <t>Felújítások</t>
  </si>
  <si>
    <t>Felhalmozási célú maradvány</t>
  </si>
  <si>
    <t>Egyéb felhalmozási kiadások</t>
  </si>
  <si>
    <t>Felhalmozási tartalék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</si>
  <si>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</si>
  <si>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</si>
  <si>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</si>
  <si>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</si>
  <si>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</si>
  <si>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>Szent László Völgye - Bóbita Óvoda költségvetése</t>
  </si>
  <si>
    <t xml:space="preserve">Önkormányzatok működési támogatásai </t>
  </si>
  <si>
    <t>Egyéb működési célú támogatások bevételei államháztartáson belülről</t>
  </si>
  <si>
    <t>ebből: TB pénzügy alapjai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</si>
  <si>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</si>
  <si>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</si>
  <si>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</si>
  <si>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</si>
  <si>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</si>
  <si>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</si>
  <si>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</si>
  <si>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</si>
  <si>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</si>
  <si>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</si>
  <si>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</si>
  <si>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Kamatbevételek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</si>
  <si>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</si>
  <si>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</si>
  <si>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</si>
  <si>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</si>
  <si>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</si>
  <si>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</si>
  <si>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</si>
  <si>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</si>
  <si>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</si>
  <si>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</si>
  <si>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</si>
  <si>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</si>
  <si>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</si>
  <si>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</si>
  <si>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</si>
  <si>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</si>
  <si>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</si>
  <si>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</si>
  <si>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</si>
  <si>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</si>
  <si>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</si>
  <si>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</si>
  <si>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</si>
  <si>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</si>
  <si>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</si>
  <si>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</si>
  <si>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</si>
  <si>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</si>
  <si>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</si>
  <si>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</si>
  <si>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</si>
  <si>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</si>
  <si>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</si>
  <si>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</si>
  <si>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</si>
  <si>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</si>
  <si>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</si>
  <si>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</si>
  <si>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B408</t>
  </si>
  <si>
    <t>B410</t>
  </si>
  <si>
    <t>B4</t>
  </si>
  <si>
    <t>B5</t>
  </si>
  <si>
    <t>B63</t>
  </si>
  <si>
    <t>B6</t>
  </si>
  <si>
    <t>B73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</si>
  <si>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</si>
  <si>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</si>
  <si>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</si>
  <si>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</si>
  <si>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</si>
  <si>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</si>
  <si>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</si>
  <si>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</si>
  <si>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</si>
  <si>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</si>
  <si>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</si>
  <si>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</si>
  <si>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</si>
  <si>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</si>
  <si>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</si>
  <si>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</si>
  <si>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</si>
  <si>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</si>
  <si>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</si>
  <si>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</si>
  <si>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</si>
  <si>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</si>
  <si>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</si>
  <si>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</si>
  <si>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</si>
  <si>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</si>
  <si>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</si>
  <si>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</si>
  <si>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</si>
  <si>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</si>
  <si>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</si>
  <si>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</si>
  <si>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</si>
  <si>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</si>
  <si>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</si>
  <si>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</si>
  <si>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</si>
  <si>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</si>
  <si>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</si>
  <si>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</si>
  <si>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</si>
  <si>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</si>
  <si>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</si>
  <si>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</si>
  <si>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Foglalkoztatottak egyéb személyi juttatásai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</si>
  <si>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</si>
  <si>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</si>
  <si>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</si>
  <si>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</si>
  <si>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</si>
  <si>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</si>
  <si>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</si>
  <si>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</si>
  <si>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</si>
  <si>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</si>
  <si>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</si>
  <si>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</si>
  <si>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</si>
  <si>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</si>
  <si>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</si>
  <si>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</si>
  <si>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</si>
  <si>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</si>
  <si>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</si>
  <si>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</si>
  <si>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</si>
  <si>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</si>
  <si>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</si>
  <si>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</si>
  <si>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</si>
  <si>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</si>
  <si>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</si>
  <si>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</si>
  <si>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</si>
  <si>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 xml:space="preserve">Egyéb szolgáltatások 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</si>
  <si>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</si>
  <si>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</si>
  <si>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</si>
  <si>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</si>
  <si>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</si>
  <si>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</si>
  <si>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</si>
  <si>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</si>
  <si>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</si>
  <si>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</si>
  <si>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</si>
  <si>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</si>
  <si>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</si>
  <si>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</si>
  <si>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</si>
  <si>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</si>
  <si>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</si>
  <si>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</si>
  <si>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</si>
  <si>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</si>
  <si>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</si>
  <si>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</si>
  <si>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</si>
  <si>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</si>
  <si>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</si>
  <si>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</si>
  <si>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</si>
  <si>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</si>
  <si>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</si>
  <si>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</si>
  <si>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</si>
  <si>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</si>
  <si>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</si>
  <si>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</si>
  <si>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</si>
  <si>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</si>
  <si>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</si>
  <si>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</si>
  <si>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</si>
  <si>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</si>
  <si>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</si>
  <si>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</si>
  <si>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</si>
  <si>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Működési célú átvett pénzeszközök ÁH kívülről</t>
  </si>
  <si>
    <t>Felhalmozási célú átvett pénzeszközök ÁH kívülről</t>
  </si>
  <si>
    <t>Óvodaped pótlólagos bértám</t>
  </si>
  <si>
    <t>eredeti Ft</t>
  </si>
  <si>
    <t>KIADÁSOK ÖSSZESEN</t>
  </si>
  <si>
    <t>REGIONÁLIS TAGÓVODA</t>
  </si>
  <si>
    <t>BÓBITA ÓVODA</t>
  </si>
  <si>
    <t xml:space="preserve">MESEVÁR TAGÓVODA </t>
  </si>
  <si>
    <t>ebből: normatív támogatás</t>
  </si>
  <si>
    <t>ebből: önkormányzati hozzájárulás</t>
  </si>
  <si>
    <t>Vál</t>
  </si>
  <si>
    <t>Ezresre kerekítve</t>
  </si>
  <si>
    <t>SZENT LÁSZLÓ VÖLGYE - BÓBITA ÓVODA ÖSSZESEN</t>
  </si>
  <si>
    <t>kerekítve</t>
  </si>
  <si>
    <t>Dajka és konyhai kisegítő</t>
  </si>
  <si>
    <t>Bóbita Óvoda</t>
  </si>
  <si>
    <t>Bóbita Óvoda Összesen</t>
  </si>
  <si>
    <t>Áfa</t>
  </si>
  <si>
    <t>Beruházás áfa</t>
  </si>
  <si>
    <t>K506</t>
  </si>
  <si>
    <t>Egyéb működési célú támogatások államháztartáson belülre</t>
  </si>
  <si>
    <t>K512</t>
  </si>
  <si>
    <t>Tartalékok</t>
  </si>
  <si>
    <t>EGYENLEG ÖSSZESEN</t>
  </si>
  <si>
    <t>Megbontás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</si>
  <si>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</si>
  <si>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</si>
  <si>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</si>
  <si>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</si>
  <si>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</si>
  <si>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</si>
  <si>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</si>
  <si>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>B) Óvodai neveléshez</t>
  </si>
  <si>
    <t xml:space="preserve">Gyúró  </t>
  </si>
  <si>
    <t>C) Szociális ellátásokhoz</t>
  </si>
  <si>
    <t>ügyelet deficitje</t>
  </si>
  <si>
    <t>tagdíj</t>
  </si>
  <si>
    <t>munkasz. műk</t>
  </si>
  <si>
    <t>óvodai feladatarányosan</t>
  </si>
  <si>
    <t>megbontás</t>
  </si>
  <si>
    <t>segítő sz feladatarányosan</t>
  </si>
  <si>
    <t xml:space="preserve">Baracska </t>
  </si>
  <si>
    <t xml:space="preserve">Kajászó </t>
  </si>
  <si>
    <t xml:space="preserve">Ráckeresztúr </t>
  </si>
  <si>
    <t xml:space="preserve">Tordas </t>
  </si>
  <si>
    <t>társulási feladatarányosan</t>
  </si>
  <si>
    <t>D) Tagdíjhoz</t>
  </si>
  <si>
    <t>A) Központi orvosi ügyelethez</t>
  </si>
  <si>
    <t>Közoktatás</t>
  </si>
  <si>
    <t>Szociális ellátás</t>
  </si>
  <si>
    <t>ÖNKORMÁNYZATI HOZZÁJÁRULÁSOK ÖSSZESEN</t>
  </si>
  <si>
    <t>E) Belső ellenőrzéshez</t>
  </si>
  <si>
    <t>F) Munkaszervezeti feladatokhoz</t>
  </si>
  <si>
    <t>H) Normatív támogatás átvétel</t>
  </si>
  <si>
    <t>belső ell.</t>
  </si>
  <si>
    <t>ell.nap száma</t>
  </si>
  <si>
    <t>ell.naponként Ft</t>
  </si>
  <si>
    <t>ebből TB PÉNZÜGYI ALAPJAI</t>
  </si>
  <si>
    <t>ebből ÖNKORMÁNYZATI HOZZÁJÁRULÁSOK</t>
  </si>
  <si>
    <t>Gyúró óvoda üzemeltetés</t>
  </si>
  <si>
    <t>Tordas óvoda üzemeltetés</t>
  </si>
  <si>
    <t>Műk. célú átvett pénzeszközök Áh kívülről</t>
  </si>
  <si>
    <t>Felhalmozásra átvett pénzeszközök Áh kívülről</t>
  </si>
  <si>
    <t>ebből: szeptemberi óvodai béremelés tartaléka</t>
  </si>
  <si>
    <t>ebből: fel nem használt bértámogatás tartaléka</t>
  </si>
  <si>
    <t>ebből: pénzügyi alap tartaléka</t>
  </si>
  <si>
    <t>ebből: pénzmaradvány miatti tartalék</t>
  </si>
  <si>
    <t>Baracska (4csop)</t>
  </si>
  <si>
    <t xml:space="preserve">Gyúró (2csop)     </t>
  </si>
  <si>
    <t xml:space="preserve">Tordas (4csop)        </t>
  </si>
  <si>
    <t xml:space="preserve">Regionális Tagóvoda (2csop)     </t>
  </si>
  <si>
    <t>G) Irányítószervi feladatokhoz</t>
  </si>
  <si>
    <t>K915</t>
  </si>
  <si>
    <t>IDŐSEK - CSALÁDI NAPKÖZI</t>
  </si>
  <si>
    <t>Martonvásár normatíva átadás</t>
  </si>
  <si>
    <t>Normatíva átadás összesen</t>
  </si>
  <si>
    <t>MINDÖSSZESEN</t>
  </si>
  <si>
    <t>Auguszt.</t>
  </si>
  <si>
    <t>Összesen:</t>
  </si>
  <si>
    <t>Hitel, kölcsön felvétel államháztartáson kívülről</t>
  </si>
  <si>
    <t>Finanszírozási bevételek</t>
  </si>
  <si>
    <t xml:space="preserve">Ellátottak pénzbeli juttatásai </t>
  </si>
  <si>
    <t>Egyenleg</t>
  </si>
  <si>
    <t>Működési célú átvett pénze. ÁH kívülről</t>
  </si>
  <si>
    <t xml:space="preserve">Felhalmozási célú tám. ÁH belülről </t>
  </si>
  <si>
    <t>Működési célú bevételek összesen</t>
  </si>
  <si>
    <t>Felhalmozási célú átvett pénze. ÁH kív.</t>
  </si>
  <si>
    <t>Működési célú tám. ÁH belülről</t>
  </si>
  <si>
    <t>Felhalmozási bevételek összesen</t>
  </si>
  <si>
    <t>Működési célú kiadások összesen</t>
  </si>
  <si>
    <t>Felhalmozási kiadások összesen</t>
  </si>
  <si>
    <t>%</t>
  </si>
  <si>
    <t>Egyéb dologi kiadások (bitosítás, mű.i vizsgák)</t>
  </si>
  <si>
    <t>ebből: helyi önkormányzatok és költségvetési szerveik támogatása</t>
  </si>
  <si>
    <t>Egyéb szolgáltatások  (üzemeltetés, szolg. igénybevétel, bankköltség)</t>
  </si>
  <si>
    <t>Egyéb dologi kiadások (biztosítáűs, műszaki vizsga)</t>
  </si>
  <si>
    <t xml:space="preserve">Üzemeltetési anyagok beszerzése (üzemanyag, tisztító szerek, irodaszer) </t>
  </si>
  <si>
    <t>Intézményvezető-helyettes</t>
  </si>
  <si>
    <t>Kieg.tám. Óvodaped. Minősítéshez</t>
  </si>
  <si>
    <t>lakosszám 2014.01.01.</t>
  </si>
  <si>
    <t>Ell.éves díja</t>
  </si>
  <si>
    <t>Ell.napok</t>
  </si>
  <si>
    <t>1nap díja</t>
  </si>
  <si>
    <t>Szent László Völgye Segítő Szolgálat</t>
  </si>
  <si>
    <t>Szent László Völgye - Bóbita Óvoda</t>
  </si>
  <si>
    <t>Pedagógiai asszisztens</t>
  </si>
  <si>
    <t>Módosítás</t>
  </si>
  <si>
    <t>K513</t>
  </si>
  <si>
    <t>Bérkompenzáció</t>
  </si>
  <si>
    <t>Házi segítségnyújtás</t>
  </si>
  <si>
    <t>Támogató szolgálat</t>
  </si>
  <si>
    <t>Tanyagondnoki ellátás</t>
  </si>
  <si>
    <t>BÉRKOMPENZÁCIÓ ÖSSZESEN</t>
  </si>
  <si>
    <t>SZOCIÁLIS ÁGAZATI PÓTLÉK ÖSSZESEN</t>
  </si>
  <si>
    <t>módosítás ker</t>
  </si>
  <si>
    <t>Szociális ágazati pótlék</t>
  </si>
  <si>
    <t>ebből: táppénz hozzájárulás</t>
  </si>
  <si>
    <t>Önkormányzati hozzájárulások (fizetendő minden hó 5-éig)</t>
  </si>
  <si>
    <t>TKT által önkormányzatoknak utalandó (utalandó minden hó 7-éig)</t>
  </si>
  <si>
    <t>Martonvásár normatíva visszafizetés</t>
  </si>
  <si>
    <t>Egyéb szolgáltatások (Martongazda kft., bankköltségek, üzemorvos, posta költség) + Seg.Szolg ellenőrzés</t>
  </si>
  <si>
    <t>SZOCIÁLIS ÉTKEZTETÉS</t>
  </si>
  <si>
    <t xml:space="preserve">     Család- és gyermekjóléti szolgálat</t>
  </si>
  <si>
    <t xml:space="preserve">     Család- és gyermekjóléti központ</t>
  </si>
  <si>
    <t xml:space="preserve">     Szociális étkeztetés</t>
  </si>
  <si>
    <t xml:space="preserve">     Támogató szolgáltatás</t>
  </si>
  <si>
    <t>CSALÁD-ÉS GYERMEKJÓLÉTI KÖZPONT</t>
  </si>
  <si>
    <t>CSALÁD-ÉS GYERMEKJÓLÉTI SZOLGÁLAT</t>
  </si>
  <si>
    <t>Idősek nappali ellátása</t>
  </si>
  <si>
    <t>Család- és Gyermekjóléti Szolgálat</t>
  </si>
  <si>
    <t>Család- és Gyermekjóléti Központ</t>
  </si>
  <si>
    <t>ebből: TKT tartalék felhasználás</t>
  </si>
  <si>
    <t>Intézmények (óvoda, segítő szolgálat) által önkormányzatoknak utalandó (utalandó minden hó 7-éig)</t>
  </si>
  <si>
    <t>2017. évi módosítás</t>
  </si>
  <si>
    <t>2016/2017 8 hó</t>
  </si>
  <si>
    <t>2017/2018 4 hó</t>
  </si>
  <si>
    <t xml:space="preserve">     Házi segítségnyújtás - szociális segítés</t>
  </si>
  <si>
    <t xml:space="preserve">     Házi segítségnyújtás - személyi gondozás társulási kiegészítéssel</t>
  </si>
  <si>
    <t xml:space="preserve">     Idősek klubja - társulási kiegészítéssel </t>
  </si>
  <si>
    <t xml:space="preserve">     Falugondnoki feladatellátás</t>
  </si>
  <si>
    <t xml:space="preserve">     Családi bölcsöde</t>
  </si>
  <si>
    <t>Családi bölcsöde</t>
  </si>
  <si>
    <t>CSALÁDI BÖLCSÖDE</t>
  </si>
  <si>
    <t>2016.évi zárszámadási elszámolás összesen</t>
  </si>
  <si>
    <t>Tárgyévi terv</t>
  </si>
  <si>
    <t>2017. évi</t>
  </si>
  <si>
    <t>I) 2013.évi óvodai elszámolásból adódó befiz. kötelezettség</t>
  </si>
  <si>
    <t>ebből: 2016.évi zárszámadási elszámolás visszautalás</t>
  </si>
  <si>
    <t>J) 2016.évi elszámolásból adódó befiz. kötelezettség</t>
  </si>
  <si>
    <t>2017.évi II. módosított előirányzat</t>
  </si>
  <si>
    <t>2017. évi I.módosított előirányzat</t>
  </si>
  <si>
    <t>2017.évi II.módosított előirányzat</t>
  </si>
  <si>
    <t>I.módosított előirányzat</t>
  </si>
  <si>
    <t>II.Módosított előirányzat</t>
  </si>
  <si>
    <t>2017. évi II. módosított előirányzat</t>
  </si>
  <si>
    <t>II. Módosított előirányzat</t>
  </si>
  <si>
    <t>II.módosított előirányzat</t>
  </si>
  <si>
    <t>I.mód.ker</t>
  </si>
  <si>
    <t>II.mód.ker</t>
  </si>
  <si>
    <t>GAR.BÉRMIN. EMELÉS TÁMOGATÁSA ÖSSZESEN</t>
  </si>
  <si>
    <t>Szociális gar.bérmin.emelése</t>
  </si>
  <si>
    <t>Óviped.segítők kieg.támogatás</t>
  </si>
  <si>
    <t>Óviped.segítők béremelés támogatása</t>
  </si>
  <si>
    <t>ebből: EU-s pályázat (TOP-4.2.1-15, busz)</t>
  </si>
  <si>
    <t>B) Fogorvosi ügyelethez</t>
  </si>
  <si>
    <t>K504</t>
  </si>
  <si>
    <t>Műk.célú visszatérítendő áht belülre nyújtott támogatás</t>
  </si>
  <si>
    <t>2015.évi beszámoló ellenőrzés Családi napközi normatíva visszafiz.</t>
  </si>
  <si>
    <t>havi befizetési köt.</t>
  </si>
  <si>
    <t>visszautalás</t>
  </si>
</sst>
</file>

<file path=xl/styles.xml><?xml version="1.0" encoding="utf-8"?>
<styleSheet xmlns="http://schemas.openxmlformats.org/spreadsheetml/2006/main">
  <numFmts count="10">
    <numFmt numFmtId="43" formatCode="_-* #,##0.00\ _F_t_-;\-* #,##0.00\ _F_t_-;_-* &quot;-&quot;??\ _F_t_-;_-@_-"/>
    <numFmt numFmtId="164" formatCode="0.0"/>
    <numFmt numFmtId="165" formatCode="#,##0.0"/>
    <numFmt numFmtId="166" formatCode="0.0%"/>
    <numFmt numFmtId="167" formatCode="#,##0.000"/>
    <numFmt numFmtId="168" formatCode="#,##0_ ;\-#,##0\ "/>
    <numFmt numFmtId="169" formatCode="0.000"/>
    <numFmt numFmtId="170" formatCode="#,##0\ _F_t"/>
    <numFmt numFmtId="171" formatCode="0.0000"/>
    <numFmt numFmtId="172" formatCode="0__"/>
  </numFmts>
  <fonts count="43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charset val="238"/>
    </font>
    <font>
      <b/>
      <sz val="9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20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1" fillId="0" borderId="0"/>
  </cellStyleXfs>
  <cellXfs count="932">
    <xf numFmtId="0" fontId="0" fillId="0" borderId="0" xfId="0"/>
    <xf numFmtId="0" fontId="21" fillId="0" borderId="0" xfId="0" applyFont="1" applyFill="1" applyBorder="1" applyAlignment="1">
      <alignment wrapText="1"/>
    </xf>
    <xf numFmtId="3" fontId="21" fillId="0" borderId="0" xfId="0" applyNumberFormat="1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3" fontId="28" fillId="0" borderId="0" xfId="0" applyNumberFormat="1" applyFont="1" applyFill="1" applyBorder="1" applyAlignment="1">
      <alignment wrapText="1"/>
    </xf>
    <xf numFmtId="3" fontId="21" fillId="0" borderId="17" xfId="0" applyNumberFormat="1" applyFont="1" applyFill="1" applyBorder="1" applyAlignment="1">
      <alignment wrapText="1"/>
    </xf>
    <xf numFmtId="3" fontId="21" fillId="0" borderId="20" xfId="0" applyNumberFormat="1" applyFont="1" applyFill="1" applyBorder="1" applyAlignment="1">
      <alignment wrapText="1"/>
    </xf>
    <xf numFmtId="3" fontId="21" fillId="0" borderId="24" xfId="0" applyNumberFormat="1" applyFont="1" applyFill="1" applyBorder="1" applyAlignment="1">
      <alignment wrapText="1"/>
    </xf>
    <xf numFmtId="3" fontId="21" fillId="0" borderId="27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3" fontId="28" fillId="0" borderId="26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wrapText="1"/>
    </xf>
    <xf numFmtId="3" fontId="21" fillId="0" borderId="33" xfId="0" applyNumberFormat="1" applyFont="1" applyFill="1" applyBorder="1" applyAlignment="1">
      <alignment horizontal="right"/>
    </xf>
    <xf numFmtId="3" fontId="21" fillId="0" borderId="34" xfId="0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horizontal="right"/>
    </xf>
    <xf numFmtId="3" fontId="21" fillId="0" borderId="0" xfId="0" applyNumberFormat="1" applyFont="1" applyFill="1"/>
    <xf numFmtId="0" fontId="21" fillId="0" borderId="0" xfId="0" applyFont="1" applyFill="1"/>
    <xf numFmtId="4" fontId="21" fillId="0" borderId="0" xfId="0" applyNumberFormat="1" applyFont="1" applyFill="1"/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0" applyFont="1" applyFill="1"/>
    <xf numFmtId="0" fontId="26" fillId="0" borderId="0" xfId="78" applyFont="1" applyFill="1"/>
    <xf numFmtId="3" fontId="26" fillId="0" borderId="0" xfId="78" applyNumberFormat="1" applyFont="1" applyFill="1"/>
    <xf numFmtId="0" fontId="26" fillId="0" borderId="0" xfId="78" applyFont="1" applyFill="1" applyBorder="1"/>
    <xf numFmtId="3" fontId="21" fillId="0" borderId="17" xfId="54" applyNumberFormat="1" applyFont="1" applyFill="1" applyBorder="1" applyAlignment="1">
      <alignment horizontal="right"/>
    </xf>
    <xf numFmtId="3" fontId="21" fillId="0" borderId="54" xfId="54" applyNumberFormat="1" applyFont="1" applyFill="1" applyBorder="1" applyAlignment="1">
      <alignment horizontal="right"/>
    </xf>
    <xf numFmtId="164" fontId="21" fillId="0" borderId="0" xfId="0" applyNumberFormat="1" applyFont="1" applyFill="1" applyAlignment="1">
      <alignment vertical="center"/>
    </xf>
    <xf numFmtId="3" fontId="21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wrapText="1"/>
    </xf>
    <xf numFmtId="3" fontId="21" fillId="0" borderId="0" xfId="54" applyNumberFormat="1" applyFont="1" applyFill="1" applyAlignment="1">
      <alignment wrapText="1"/>
    </xf>
    <xf numFmtId="168" fontId="21" fillId="0" borderId="0" xfId="54" applyNumberFormat="1" applyFont="1" applyFill="1" applyAlignment="1">
      <alignment wrapText="1"/>
    </xf>
    <xf numFmtId="0" fontId="32" fillId="0" borderId="0" xfId="0" applyFont="1" applyFill="1"/>
    <xf numFmtId="0" fontId="26" fillId="0" borderId="48" xfId="0" applyFont="1" applyFill="1" applyBorder="1"/>
    <xf numFmtId="0" fontId="26" fillId="0" borderId="49" xfId="0" applyFont="1" applyFill="1" applyBorder="1"/>
    <xf numFmtId="0" fontId="26" fillId="0" borderId="50" xfId="0" applyFont="1" applyFill="1" applyBorder="1"/>
    <xf numFmtId="3" fontId="21" fillId="0" borderId="33" xfId="0" applyNumberFormat="1" applyFont="1" applyFill="1" applyBorder="1"/>
    <xf numFmtId="3" fontId="28" fillId="0" borderId="60" xfId="0" applyNumberFormat="1" applyFont="1" applyFill="1" applyBorder="1"/>
    <xf numFmtId="2" fontId="21" fillId="0" borderId="0" xfId="0" applyNumberFormat="1" applyFont="1" applyFill="1"/>
    <xf numFmtId="3" fontId="21" fillId="0" borderId="0" xfId="0" applyNumberFormat="1" applyFont="1" applyFill="1" applyBorder="1" applyAlignment="1">
      <alignment vertical="center"/>
    </xf>
    <xf numFmtId="169" fontId="21" fillId="0" borderId="0" xfId="0" applyNumberFormat="1" applyFont="1" applyFill="1" applyAlignment="1">
      <alignment vertical="center"/>
    </xf>
    <xf numFmtId="3" fontId="21" fillId="0" borderId="0" xfId="0" quotePrefix="1" applyNumberFormat="1" applyFont="1" applyFill="1" applyAlignment="1">
      <alignment vertical="center"/>
    </xf>
    <xf numFmtId="3" fontId="21" fillId="0" borderId="0" xfId="0" applyNumberFormat="1" applyFont="1" applyFill="1" applyAlignment="1"/>
    <xf numFmtId="0" fontId="32" fillId="0" borderId="0" xfId="78" applyFont="1" applyFill="1"/>
    <xf numFmtId="0" fontId="26" fillId="0" borderId="48" xfId="78" applyFont="1" applyFill="1" applyBorder="1"/>
    <xf numFmtId="0" fontId="26" fillId="0" borderId="49" xfId="78" applyFont="1" applyFill="1" applyBorder="1"/>
    <xf numFmtId="0" fontId="26" fillId="0" borderId="50" xfId="78" applyFont="1" applyFill="1" applyBorder="1"/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1" fillId="0" borderId="20" xfId="54" applyNumberFormat="1" applyFont="1" applyFill="1" applyBorder="1" applyAlignment="1">
      <alignment horizontal="right"/>
    </xf>
    <xf numFmtId="3" fontId="21" fillId="0" borderId="27" xfId="54" applyNumberFormat="1" applyFont="1" applyFill="1" applyBorder="1" applyAlignment="1">
      <alignment horizontal="right"/>
    </xf>
    <xf numFmtId="3" fontId="21" fillId="0" borderId="24" xfId="54" applyNumberFormat="1" applyFont="1" applyFill="1" applyBorder="1" applyAlignment="1">
      <alignment horizontal="right"/>
    </xf>
    <xf numFmtId="3" fontId="21" fillId="0" borderId="21" xfId="54" applyNumberFormat="1" applyFont="1" applyFill="1" applyBorder="1" applyAlignment="1">
      <alignment horizontal="right"/>
    </xf>
    <xf numFmtId="3" fontId="30" fillId="0" borderId="31" xfId="0" applyNumberFormat="1" applyFont="1" applyFill="1" applyBorder="1" applyAlignment="1">
      <alignment horizontal="center" vertical="center" wrapText="1"/>
    </xf>
    <xf numFmtId="3" fontId="30" fillId="0" borderId="80" xfId="0" applyNumberFormat="1" applyFont="1" applyFill="1" applyBorder="1" applyAlignment="1">
      <alignment horizontal="center" vertical="center" wrapText="1"/>
    </xf>
    <xf numFmtId="3" fontId="30" fillId="0" borderId="57" xfId="0" applyNumberFormat="1" applyFont="1" applyFill="1" applyBorder="1" applyAlignment="1">
      <alignment horizontal="center" vertical="center" wrapText="1"/>
    </xf>
    <xf numFmtId="3" fontId="30" fillId="0" borderId="28" xfId="0" applyNumberFormat="1" applyFont="1" applyFill="1" applyBorder="1" applyAlignment="1">
      <alignment horizontal="center" vertical="center" wrapText="1"/>
    </xf>
    <xf numFmtId="3" fontId="21" fillId="0" borderId="33" xfId="54" applyNumberFormat="1" applyFont="1" applyFill="1" applyBorder="1" applyAlignment="1">
      <alignment horizontal="right"/>
    </xf>
    <xf numFmtId="3" fontId="21" fillId="0" borderId="34" xfId="54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wrapText="1"/>
    </xf>
    <xf numFmtId="3" fontId="21" fillId="0" borderId="76" xfId="0" applyNumberFormat="1" applyFont="1" applyFill="1" applyBorder="1" applyAlignment="1">
      <alignment wrapText="1"/>
    </xf>
    <xf numFmtId="3" fontId="21" fillId="0" borderId="36" xfId="54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Border="1" applyAlignment="1">
      <alignment horizontal="right" vertical="center" wrapText="1"/>
    </xf>
    <xf numFmtId="0" fontId="21" fillId="0" borderId="39" xfId="0" applyFont="1" applyFill="1" applyBorder="1" applyAlignment="1">
      <alignment horizontal="left" vertical="center" wrapText="1"/>
    </xf>
    <xf numFmtId="4" fontId="21" fillId="0" borderId="0" xfId="0" applyNumberFormat="1" applyFont="1" applyFill="1" applyBorder="1"/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170" fontId="26" fillId="0" borderId="0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 wrapText="1"/>
    </xf>
    <xf numFmtId="3" fontId="26" fillId="0" borderId="0" xfId="0" applyNumberFormat="1" applyFont="1" applyFill="1" applyBorder="1" applyAlignment="1">
      <alignment vertical="center"/>
    </xf>
    <xf numFmtId="171" fontId="26" fillId="0" borderId="0" xfId="0" applyNumberFormat="1" applyFont="1" applyFill="1" applyBorder="1" applyAlignment="1">
      <alignment vertical="center"/>
    </xf>
    <xf numFmtId="3" fontId="26" fillId="0" borderId="52" xfId="0" applyNumberFormat="1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vertical="center" wrapText="1"/>
    </xf>
    <xf numFmtId="3" fontId="26" fillId="0" borderId="68" xfId="0" applyNumberFormat="1" applyFont="1" applyFill="1" applyBorder="1" applyAlignment="1">
      <alignment horizontal="right" vertical="center"/>
    </xf>
    <xf numFmtId="0" fontId="26" fillId="0" borderId="84" xfId="0" applyFont="1" applyFill="1" applyBorder="1" applyAlignment="1">
      <alignment vertical="center" wrapText="1"/>
    </xf>
    <xf numFmtId="0" fontId="26" fillId="0" borderId="30" xfId="0" applyFont="1" applyFill="1" applyBorder="1" applyAlignment="1">
      <alignment vertical="center" wrapText="1"/>
    </xf>
    <xf numFmtId="3" fontId="26" fillId="0" borderId="93" xfId="0" applyNumberFormat="1" applyFont="1" applyFill="1" applyBorder="1" applyAlignment="1">
      <alignment horizontal="right" vertical="center"/>
    </xf>
    <xf numFmtId="0" fontId="32" fillId="0" borderId="22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vertical="center"/>
    </xf>
    <xf numFmtId="2" fontId="26" fillId="0" borderId="0" xfId="0" applyNumberFormat="1" applyFont="1" applyFill="1" applyBorder="1" applyAlignment="1">
      <alignment vertical="center"/>
    </xf>
    <xf numFmtId="170" fontId="26" fillId="0" borderId="0" xfId="0" applyNumberFormat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25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 wrapText="1"/>
    </xf>
    <xf numFmtId="4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Alignment="1">
      <alignment horizontal="right" vertical="center"/>
    </xf>
    <xf numFmtId="0" fontId="26" fillId="0" borderId="48" xfId="0" applyFont="1" applyFill="1" applyBorder="1" applyAlignment="1">
      <alignment vertical="center" wrapText="1"/>
    </xf>
    <xf numFmtId="4" fontId="26" fillId="0" borderId="48" xfId="0" applyNumberFormat="1" applyFont="1" applyFill="1" applyBorder="1" applyAlignment="1">
      <alignment horizontal="right" vertical="center"/>
    </xf>
    <xf numFmtId="3" fontId="26" fillId="0" borderId="48" xfId="0" applyNumberFormat="1" applyFont="1" applyFill="1" applyBorder="1" applyAlignment="1">
      <alignment horizontal="right" vertical="center"/>
    </xf>
    <xf numFmtId="0" fontId="26" fillId="0" borderId="48" xfId="0" applyFont="1" applyFill="1" applyBorder="1" applyAlignment="1">
      <alignment vertical="center"/>
    </xf>
    <xf numFmtId="170" fontId="26" fillId="0" borderId="48" xfId="0" applyNumberFormat="1" applyFont="1" applyFill="1" applyBorder="1" applyAlignment="1">
      <alignment vertical="center"/>
    </xf>
    <xf numFmtId="0" fontId="26" fillId="0" borderId="49" xfId="0" applyFont="1" applyFill="1" applyBorder="1" applyAlignment="1">
      <alignment vertical="center" wrapText="1"/>
    </xf>
    <xf numFmtId="4" fontId="26" fillId="0" borderId="49" xfId="0" applyNumberFormat="1" applyFont="1" applyFill="1" applyBorder="1" applyAlignment="1">
      <alignment horizontal="right" vertical="center"/>
    </xf>
    <xf numFmtId="3" fontId="26" fillId="0" borderId="49" xfId="0" applyNumberFormat="1" applyFont="1" applyFill="1" applyBorder="1" applyAlignment="1">
      <alignment horizontal="right" vertical="center"/>
    </xf>
    <xf numFmtId="0" fontId="26" fillId="0" borderId="49" xfId="0" applyFont="1" applyFill="1" applyBorder="1" applyAlignment="1">
      <alignment vertical="center"/>
    </xf>
    <xf numFmtId="170" fontId="26" fillId="0" borderId="49" xfId="0" applyNumberFormat="1" applyFont="1" applyFill="1" applyBorder="1" applyAlignment="1">
      <alignment vertical="center"/>
    </xf>
    <xf numFmtId="0" fontId="26" fillId="0" borderId="50" xfId="0" applyFont="1" applyFill="1" applyBorder="1" applyAlignment="1">
      <alignment vertical="center" wrapText="1"/>
    </xf>
    <xf numFmtId="4" fontId="26" fillId="0" borderId="50" xfId="0" applyNumberFormat="1" applyFont="1" applyFill="1" applyBorder="1" applyAlignment="1">
      <alignment horizontal="right" vertical="center"/>
    </xf>
    <xf numFmtId="3" fontId="26" fillId="0" borderId="50" xfId="0" applyNumberFormat="1" applyFont="1" applyFill="1" applyBorder="1" applyAlignment="1">
      <alignment horizontal="right" vertical="center"/>
    </xf>
    <xf numFmtId="0" fontId="26" fillId="0" borderId="50" xfId="0" applyFont="1" applyFill="1" applyBorder="1" applyAlignment="1">
      <alignment vertical="center"/>
    </xf>
    <xf numFmtId="170" fontId="26" fillId="0" borderId="50" xfId="0" applyNumberFormat="1" applyFont="1" applyFill="1" applyBorder="1" applyAlignment="1">
      <alignment vertical="center"/>
    </xf>
    <xf numFmtId="170" fontId="26" fillId="0" borderId="0" xfId="0" applyNumberFormat="1" applyFont="1" applyFill="1" applyAlignment="1">
      <alignment vertical="center"/>
    </xf>
    <xf numFmtId="3" fontId="21" fillId="0" borderId="82" xfId="0" applyNumberFormat="1" applyFont="1" applyFill="1" applyBorder="1"/>
    <xf numFmtId="3" fontId="21" fillId="0" borderId="102" xfId="54" applyNumberFormat="1" applyFont="1" applyFill="1" applyBorder="1" applyAlignment="1">
      <alignment horizontal="right"/>
    </xf>
    <xf numFmtId="3" fontId="21" fillId="0" borderId="76" xfId="54" applyNumberFormat="1" applyFont="1" applyFill="1" applyBorder="1" applyAlignment="1">
      <alignment horizontal="right"/>
    </xf>
    <xf numFmtId="3" fontId="21" fillId="0" borderId="17" xfId="0" applyNumberFormat="1" applyFont="1" applyFill="1" applyBorder="1" applyAlignment="1">
      <alignment horizontal="right"/>
    </xf>
    <xf numFmtId="3" fontId="21" fillId="0" borderId="77" xfId="0" applyNumberFormat="1" applyFont="1" applyFill="1" applyBorder="1" applyAlignment="1">
      <alignment wrapText="1"/>
    </xf>
    <xf numFmtId="3" fontId="28" fillId="28" borderId="75" xfId="0" applyNumberFormat="1" applyFont="1" applyFill="1" applyBorder="1" applyAlignment="1">
      <alignment vertical="center"/>
    </xf>
    <xf numFmtId="0" fontId="28" fillId="0" borderId="108" xfId="0" applyFont="1" applyBorder="1" applyAlignment="1">
      <alignment horizontal="center" vertical="center"/>
    </xf>
    <xf numFmtId="0" fontId="28" fillId="27" borderId="109" xfId="0" applyFont="1" applyFill="1" applyBorder="1" applyAlignment="1">
      <alignment horizontal="center" vertical="center" wrapText="1"/>
    </xf>
    <xf numFmtId="0" fontId="28" fillId="27" borderId="110" xfId="0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vertical="center"/>
    </xf>
    <xf numFmtId="3" fontId="28" fillId="0" borderId="98" xfId="0" applyNumberFormat="1" applyFont="1" applyBorder="1" applyAlignment="1">
      <alignment vertical="center"/>
    </xf>
    <xf numFmtId="3" fontId="28" fillId="0" borderId="103" xfId="0" applyNumberFormat="1" applyFont="1" applyBorder="1" applyAlignment="1">
      <alignment vertical="center"/>
    </xf>
    <xf numFmtId="9" fontId="28" fillId="0" borderId="111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/>
    </xf>
    <xf numFmtId="3" fontId="28" fillId="0" borderId="40" xfId="0" applyNumberFormat="1" applyFont="1" applyBorder="1" applyAlignment="1">
      <alignment vertical="center"/>
    </xf>
    <xf numFmtId="3" fontId="28" fillId="0" borderId="72" xfId="0" applyNumberFormat="1" applyFont="1" applyBorder="1" applyAlignment="1">
      <alignment vertical="center"/>
    </xf>
    <xf numFmtId="3" fontId="28" fillId="28" borderId="25" xfId="0" applyNumberFormat="1" applyFont="1" applyFill="1" applyBorder="1" applyAlignment="1">
      <alignment horizontal="center" vertical="center"/>
    </xf>
    <xf numFmtId="3" fontId="28" fillId="28" borderId="37" xfId="0" applyNumberFormat="1" applyFont="1" applyFill="1" applyBorder="1" applyAlignment="1">
      <alignment vertical="center"/>
    </xf>
    <xf numFmtId="0" fontId="28" fillId="0" borderId="71" xfId="0" applyFont="1" applyBorder="1" applyAlignment="1">
      <alignment vertical="center"/>
    </xf>
    <xf numFmtId="3" fontId="28" fillId="0" borderId="42" xfId="0" applyNumberFormat="1" applyFont="1" applyBorder="1" applyAlignment="1">
      <alignment vertical="center"/>
    </xf>
    <xf numFmtId="3" fontId="28" fillId="0" borderId="101" xfId="0" applyNumberFormat="1" applyFont="1" applyBorder="1" applyAlignment="1">
      <alignment vertical="center"/>
    </xf>
    <xf numFmtId="3" fontId="21" fillId="0" borderId="33" xfId="0" applyNumberFormat="1" applyFont="1" applyFill="1" applyBorder="1" applyAlignment="1">
      <alignment wrapText="1"/>
    </xf>
    <xf numFmtId="0" fontId="28" fillId="0" borderId="89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top" wrapText="1"/>
    </xf>
    <xf numFmtId="3" fontId="28" fillId="0" borderId="0" xfId="0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center" wrapText="1"/>
    </xf>
    <xf numFmtId="3" fontId="31" fillId="0" borderId="0" xfId="0" applyNumberFormat="1" applyFont="1" applyFill="1" applyBorder="1" applyAlignment="1">
      <alignment horizontal="center" wrapText="1"/>
    </xf>
    <xf numFmtId="0" fontId="28" fillId="0" borderId="39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wrapText="1"/>
    </xf>
    <xf numFmtId="3" fontId="21" fillId="0" borderId="76" xfId="0" applyNumberFormat="1" applyFont="1" applyFill="1" applyBorder="1" applyAlignment="1">
      <alignment horizontal="right"/>
    </xf>
    <xf numFmtId="3" fontId="28" fillId="0" borderId="15" xfId="54" applyNumberFormat="1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left" vertical="center" wrapText="1"/>
    </xf>
    <xf numFmtId="3" fontId="21" fillId="0" borderId="33" xfId="54" applyNumberFormat="1" applyFont="1" applyFill="1" applyBorder="1"/>
    <xf numFmtId="3" fontId="29" fillId="0" borderId="33" xfId="0" applyNumberFormat="1" applyFont="1" applyFill="1" applyBorder="1"/>
    <xf numFmtId="3" fontId="28" fillId="0" borderId="23" xfId="54" applyNumberFormat="1" applyFont="1" applyFill="1" applyBorder="1" applyAlignment="1">
      <alignment horizontal="center" vertical="center" wrapText="1"/>
    </xf>
    <xf numFmtId="3" fontId="28" fillId="0" borderId="35" xfId="54" applyNumberFormat="1" applyFont="1" applyFill="1" applyBorder="1" applyAlignment="1">
      <alignment horizontal="center" vertical="center" wrapText="1"/>
    </xf>
    <xf numFmtId="0" fontId="21" fillId="0" borderId="63" xfId="0" applyFont="1" applyFill="1" applyBorder="1" applyAlignment="1">
      <alignment horizontal="left" vertical="center"/>
    </xf>
    <xf numFmtId="0" fontId="21" fillId="0" borderId="84" xfId="0" applyFont="1" applyFill="1" applyBorder="1" applyAlignment="1">
      <alignment horizontal="left" vertical="center"/>
    </xf>
    <xf numFmtId="0" fontId="21" fillId="0" borderId="68" xfId="0" applyFont="1" applyFill="1" applyBorder="1" applyAlignment="1">
      <alignment horizontal="left" vertical="center" wrapText="1"/>
    </xf>
    <xf numFmtId="0" fontId="29" fillId="0" borderId="84" xfId="0" applyFont="1" applyFill="1" applyBorder="1" applyAlignment="1">
      <alignment horizontal="left" vertical="center"/>
    </xf>
    <xf numFmtId="0" fontId="29" fillId="0" borderId="86" xfId="0" applyFont="1" applyFill="1" applyBorder="1" applyAlignment="1">
      <alignment horizontal="left" vertical="center" wrapText="1" indent="5"/>
    </xf>
    <xf numFmtId="0" fontId="36" fillId="0" borderId="49" xfId="75" applyFont="1" applyFill="1" applyBorder="1" applyAlignment="1">
      <alignment vertical="center" wrapText="1"/>
    </xf>
    <xf numFmtId="3" fontId="21" fillId="0" borderId="33" xfId="54" applyNumberFormat="1" applyFont="1" applyFill="1" applyBorder="1" applyAlignment="1">
      <alignment wrapText="1"/>
    </xf>
    <xf numFmtId="172" fontId="38" fillId="0" borderId="49" xfId="75" applyNumberFormat="1" applyFont="1" applyFill="1" applyBorder="1" applyAlignment="1">
      <alignment horizontal="left" vertical="center" wrapText="1"/>
    </xf>
    <xf numFmtId="0" fontId="21" fillId="0" borderId="105" xfId="0" applyFont="1" applyFill="1" applyBorder="1" applyAlignment="1">
      <alignment vertical="center"/>
    </xf>
    <xf numFmtId="165" fontId="26" fillId="0" borderId="0" xfId="0" applyNumberFormat="1" applyFont="1" applyFill="1" applyBorder="1" applyAlignment="1">
      <alignment vertical="center"/>
    </xf>
    <xf numFmtId="0" fontId="32" fillId="0" borderId="71" xfId="0" applyFont="1" applyFill="1" applyBorder="1" applyAlignment="1">
      <alignment vertical="center" wrapText="1"/>
    </xf>
    <xf numFmtId="0" fontId="26" fillId="0" borderId="108" xfId="0" applyFont="1" applyFill="1" applyBorder="1" applyAlignment="1">
      <alignment vertical="center" wrapText="1"/>
    </xf>
    <xf numFmtId="3" fontId="32" fillId="0" borderId="40" xfId="0" applyNumberFormat="1" applyFont="1" applyFill="1" applyBorder="1" applyAlignment="1">
      <alignment horizontal="right" vertical="center"/>
    </xf>
    <xf numFmtId="0" fontId="29" fillId="0" borderId="95" xfId="0" applyFont="1" applyFill="1" applyBorder="1" applyAlignment="1">
      <alignment horizontal="left" vertical="center"/>
    </xf>
    <xf numFmtId="0" fontId="21" fillId="0" borderId="94" xfId="0" applyFont="1" applyFill="1" applyBorder="1" applyAlignment="1">
      <alignment horizontal="left" vertical="center"/>
    </xf>
    <xf numFmtId="3" fontId="21" fillId="0" borderId="21" xfId="0" applyNumberFormat="1" applyFont="1" applyFill="1" applyBorder="1" applyAlignment="1">
      <alignment wrapText="1"/>
    </xf>
    <xf numFmtId="0" fontId="21" fillId="0" borderId="95" xfId="0" applyFont="1" applyFill="1" applyBorder="1" applyAlignment="1">
      <alignment horizontal="left" vertical="center"/>
    </xf>
    <xf numFmtId="3" fontId="21" fillId="0" borderId="54" xfId="0" applyNumberFormat="1" applyFont="1" applyFill="1" applyBorder="1" applyAlignment="1">
      <alignment wrapText="1"/>
    </xf>
    <xf numFmtId="0" fontId="21" fillId="0" borderId="119" xfId="0" applyFont="1" applyFill="1" applyBorder="1" applyAlignment="1">
      <alignment horizontal="left" vertical="center"/>
    </xf>
    <xf numFmtId="3" fontId="21" fillId="0" borderId="77" xfId="54" applyNumberFormat="1" applyFont="1" applyFill="1" applyBorder="1" applyAlignment="1">
      <alignment horizontal="right"/>
    </xf>
    <xf numFmtId="3" fontId="21" fillId="0" borderId="102" xfId="0" applyNumberFormat="1" applyFont="1" applyFill="1" applyBorder="1" applyAlignment="1">
      <alignment horizontal="right"/>
    </xf>
    <xf numFmtId="0" fontId="36" fillId="0" borderId="48" xfId="75" applyFont="1" applyFill="1" applyBorder="1" applyAlignment="1">
      <alignment vertical="center" wrapText="1"/>
    </xf>
    <xf numFmtId="0" fontId="36" fillId="0" borderId="50" xfId="75" applyFont="1" applyFill="1" applyBorder="1" applyAlignment="1">
      <alignment vertical="center" wrapText="1"/>
    </xf>
    <xf numFmtId="0" fontId="37" fillId="0" borderId="72" xfId="75" applyFont="1" applyFill="1" applyBorder="1" applyAlignment="1">
      <alignment vertical="center" wrapText="1"/>
    </xf>
    <xf numFmtId="0" fontId="21" fillId="0" borderId="92" xfId="0" applyFont="1" applyFill="1" applyBorder="1" applyAlignment="1">
      <alignment horizontal="left" vertical="center" wrapText="1"/>
    </xf>
    <xf numFmtId="0" fontId="21" fillId="0" borderId="86" xfId="0" applyFont="1" applyFill="1" applyBorder="1" applyAlignment="1">
      <alignment horizontal="left" vertical="center" wrapText="1"/>
    </xf>
    <xf numFmtId="0" fontId="29" fillId="0" borderId="88" xfId="0" applyFont="1" applyFill="1" applyBorder="1" applyAlignment="1">
      <alignment horizontal="left" vertical="center" wrapText="1" indent="5"/>
    </xf>
    <xf numFmtId="0" fontId="21" fillId="0" borderId="87" xfId="0" applyFont="1" applyFill="1" applyBorder="1" applyAlignment="1">
      <alignment horizontal="left" vertical="center" wrapText="1"/>
    </xf>
    <xf numFmtId="0" fontId="21" fillId="0" borderId="88" xfId="0" applyFont="1" applyFill="1" applyBorder="1" applyAlignment="1">
      <alignment horizontal="left" vertical="center" wrapText="1"/>
    </xf>
    <xf numFmtId="0" fontId="21" fillId="0" borderId="121" xfId="0" applyFont="1" applyFill="1" applyBorder="1" applyAlignment="1">
      <alignment horizontal="left" vertical="center" wrapText="1"/>
    </xf>
    <xf numFmtId="3" fontId="21" fillId="0" borderId="17" xfId="54" applyNumberFormat="1" applyFont="1" applyFill="1" applyBorder="1" applyAlignment="1">
      <alignment wrapText="1"/>
    </xf>
    <xf numFmtId="3" fontId="21" fillId="0" borderId="54" xfId="0" applyNumberFormat="1" applyFont="1" applyFill="1" applyBorder="1" applyAlignment="1">
      <alignment horizontal="right"/>
    </xf>
    <xf numFmtId="3" fontId="21" fillId="0" borderId="34" xfId="0" applyNumberFormat="1" applyFont="1" applyFill="1" applyBorder="1" applyAlignment="1">
      <alignment wrapText="1"/>
    </xf>
    <xf numFmtId="3" fontId="21" fillId="0" borderId="77" xfId="0" applyNumberFormat="1" applyFont="1" applyFill="1" applyBorder="1" applyAlignment="1">
      <alignment horizontal="right"/>
    </xf>
    <xf numFmtId="3" fontId="21" fillId="0" borderId="102" xfId="0" applyNumberFormat="1" applyFont="1" applyFill="1" applyBorder="1" applyAlignment="1">
      <alignment wrapText="1"/>
    </xf>
    <xf numFmtId="0" fontId="28" fillId="0" borderId="121" xfId="0" applyFont="1" applyFill="1" applyBorder="1" applyAlignment="1">
      <alignment horizontal="left" vertical="center"/>
    </xf>
    <xf numFmtId="3" fontId="21" fillId="0" borderId="34" xfId="54" applyNumberFormat="1" applyFont="1" applyFill="1" applyBorder="1" applyAlignment="1">
      <alignment wrapText="1"/>
    </xf>
    <xf numFmtId="3" fontId="21" fillId="0" borderId="54" xfId="54" applyNumberFormat="1" applyFont="1" applyFill="1" applyBorder="1" applyAlignment="1">
      <alignment wrapText="1"/>
    </xf>
    <xf numFmtId="172" fontId="38" fillId="0" borderId="48" xfId="75" applyNumberFormat="1" applyFont="1" applyFill="1" applyBorder="1" applyAlignment="1">
      <alignment horizontal="left" vertical="center" wrapText="1"/>
    </xf>
    <xf numFmtId="3" fontId="21" fillId="0" borderId="36" xfId="54" applyNumberFormat="1" applyFont="1" applyFill="1" applyBorder="1" applyAlignment="1">
      <alignment wrapText="1"/>
    </xf>
    <xf numFmtId="3" fontId="21" fillId="0" borderId="76" xfId="54" applyNumberFormat="1" applyFont="1" applyFill="1" applyBorder="1" applyAlignment="1">
      <alignment wrapText="1"/>
    </xf>
    <xf numFmtId="0" fontId="21" fillId="0" borderId="48" xfId="75" applyFont="1" applyFill="1" applyBorder="1" applyAlignment="1">
      <alignment vertical="center" wrapText="1"/>
    </xf>
    <xf numFmtId="0" fontId="29" fillId="0" borderId="50" xfId="75" applyFont="1" applyFill="1" applyBorder="1" applyAlignment="1">
      <alignment horizontal="left" vertical="center" wrapText="1"/>
    </xf>
    <xf numFmtId="3" fontId="28" fillId="0" borderId="60" xfId="54" applyNumberFormat="1" applyFont="1" applyFill="1" applyBorder="1" applyAlignment="1">
      <alignment wrapText="1"/>
    </xf>
    <xf numFmtId="3" fontId="28" fillId="0" borderId="32" xfId="54" applyNumberFormat="1" applyFont="1" applyFill="1" applyBorder="1" applyAlignment="1">
      <alignment wrapText="1"/>
    </xf>
    <xf numFmtId="3" fontId="28" fillId="0" borderId="60" xfId="0" applyNumberFormat="1" applyFont="1" applyFill="1" applyBorder="1" applyAlignment="1">
      <alignment wrapText="1"/>
    </xf>
    <xf numFmtId="3" fontId="28" fillId="0" borderId="32" xfId="0" applyNumberFormat="1" applyFont="1" applyFill="1" applyBorder="1" applyAlignment="1">
      <alignment wrapText="1"/>
    </xf>
    <xf numFmtId="0" fontId="36" fillId="0" borderId="94" xfId="75" applyFont="1" applyFill="1" applyBorder="1" applyAlignment="1">
      <alignment horizontal="left" vertical="center"/>
    </xf>
    <xf numFmtId="0" fontId="36" fillId="0" borderId="84" xfId="75" applyFont="1" applyFill="1" applyBorder="1" applyAlignment="1">
      <alignment horizontal="left" vertical="center"/>
    </xf>
    <xf numFmtId="0" fontId="36" fillId="0" borderId="95" xfId="75" applyFont="1" applyFill="1" applyBorder="1" applyAlignment="1">
      <alignment horizontal="left" vertical="center"/>
    </xf>
    <xf numFmtId="0" fontId="37" fillId="0" borderId="39" xfId="75" applyFont="1" applyFill="1" applyBorder="1" applyAlignment="1">
      <alignment horizontal="left" vertical="center"/>
    </xf>
    <xf numFmtId="0" fontId="38" fillId="0" borderId="94" xfId="75" applyFont="1" applyFill="1" applyBorder="1" applyAlignment="1">
      <alignment horizontal="left" vertical="center"/>
    </xf>
    <xf numFmtId="0" fontId="38" fillId="0" borderId="84" xfId="75" applyFont="1" applyFill="1" applyBorder="1" applyAlignment="1">
      <alignment horizontal="left" vertical="center"/>
    </xf>
    <xf numFmtId="0" fontId="38" fillId="0" borderId="95" xfId="75" applyFont="1" applyFill="1" applyBorder="1" applyAlignment="1">
      <alignment horizontal="left" vertical="center" wrapText="1"/>
    </xf>
    <xf numFmtId="0" fontId="37" fillId="0" borderId="39" xfId="75" applyFont="1" applyFill="1" applyBorder="1" applyAlignment="1">
      <alignment horizontal="left"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7" xfId="0" applyNumberFormat="1" applyFont="1" applyFill="1" applyBorder="1" applyAlignment="1">
      <alignment vertical="center" wrapText="1"/>
    </xf>
    <xf numFmtId="3" fontId="21" fillId="0" borderId="73" xfId="0" applyNumberFormat="1" applyFont="1" applyFill="1" applyBorder="1" applyAlignment="1">
      <alignment vertical="center" wrapText="1"/>
    </xf>
    <xf numFmtId="0" fontId="36" fillId="0" borderId="68" xfId="75" applyFont="1" applyFill="1" applyBorder="1" applyAlignment="1">
      <alignment vertical="center" wrapText="1"/>
    </xf>
    <xf numFmtId="172" fontId="38" fillId="0" borderId="68" xfId="75" applyNumberFormat="1" applyFont="1" applyFill="1" applyBorder="1" applyAlignment="1">
      <alignment horizontal="left" vertical="center" wrapText="1"/>
    </xf>
    <xf numFmtId="3" fontId="21" fillId="0" borderId="82" xfId="0" applyNumberFormat="1" applyFont="1" applyFill="1" applyBorder="1" applyAlignment="1">
      <alignment vertical="center" wrapText="1"/>
    </xf>
    <xf numFmtId="3" fontId="21" fillId="0" borderId="124" xfId="0" applyNumberFormat="1" applyFont="1" applyFill="1" applyBorder="1" applyAlignment="1">
      <alignment vertical="center" wrapText="1"/>
    </xf>
    <xf numFmtId="3" fontId="21" fillId="0" borderId="122" xfId="0" applyNumberFormat="1" applyFont="1" applyFill="1" applyBorder="1" applyAlignment="1">
      <alignment vertical="center" wrapText="1"/>
    </xf>
    <xf numFmtId="3" fontId="21" fillId="0" borderId="24" xfId="0" applyNumberFormat="1" applyFont="1" applyFill="1" applyBorder="1" applyAlignment="1">
      <alignment vertical="center" wrapText="1"/>
    </xf>
    <xf numFmtId="0" fontId="21" fillId="0" borderId="52" xfId="0" applyFont="1" applyFill="1" applyBorder="1" applyAlignment="1">
      <alignment horizontal="left" vertical="center" wrapText="1"/>
    </xf>
    <xf numFmtId="3" fontId="21" fillId="0" borderId="125" xfId="0" applyNumberFormat="1" applyFont="1" applyFill="1" applyBorder="1" applyAlignment="1">
      <alignment vertical="center" wrapText="1"/>
    </xf>
    <xf numFmtId="3" fontId="21" fillId="0" borderId="36" xfId="0" applyNumberFormat="1" applyFont="1" applyFill="1" applyBorder="1" applyAlignment="1">
      <alignment vertical="center" wrapText="1"/>
    </xf>
    <xf numFmtId="3" fontId="21" fillId="0" borderId="126" xfId="0" applyNumberFormat="1" applyFont="1" applyFill="1" applyBorder="1" applyAlignment="1">
      <alignment vertical="center" wrapText="1"/>
    </xf>
    <xf numFmtId="3" fontId="21" fillId="0" borderId="127" xfId="0" applyNumberFormat="1" applyFont="1" applyFill="1" applyBorder="1" applyAlignment="1">
      <alignment vertical="center" wrapText="1"/>
    </xf>
    <xf numFmtId="3" fontId="21" fillId="0" borderId="128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76" xfId="0" applyNumberFormat="1" applyFont="1" applyFill="1" applyBorder="1" applyAlignment="1">
      <alignment vertical="center" wrapText="1"/>
    </xf>
    <xf numFmtId="3" fontId="28" fillId="0" borderId="134" xfId="54" applyNumberFormat="1" applyFont="1" applyFill="1" applyBorder="1" applyAlignment="1">
      <alignment horizontal="center" vertical="center" wrapText="1"/>
    </xf>
    <xf numFmtId="0" fontId="29" fillId="0" borderId="67" xfId="0" applyFont="1" applyFill="1" applyBorder="1" applyAlignment="1">
      <alignment horizontal="left" vertical="center" wrapText="1" indent="5"/>
    </xf>
    <xf numFmtId="3" fontId="21" fillId="0" borderId="136" xfId="0" applyNumberFormat="1" applyFont="1" applyFill="1" applyBorder="1" applyAlignment="1">
      <alignment vertical="center" wrapText="1"/>
    </xf>
    <xf numFmtId="3" fontId="21" fillId="0" borderId="34" xfId="0" applyNumberFormat="1" applyFont="1" applyFill="1" applyBorder="1" applyAlignment="1">
      <alignment vertical="center" wrapText="1"/>
    </xf>
    <xf numFmtId="3" fontId="21" fillId="0" borderId="137" xfId="0" applyNumberFormat="1" applyFont="1" applyFill="1" applyBorder="1" applyAlignment="1">
      <alignment vertical="center" wrapText="1"/>
    </xf>
    <xf numFmtId="3" fontId="21" fillId="0" borderId="138" xfId="0" applyNumberFormat="1" applyFont="1" applyFill="1" applyBorder="1" applyAlignment="1">
      <alignment vertical="center" wrapText="1"/>
    </xf>
    <xf numFmtId="3" fontId="21" fillId="0" borderId="139" xfId="0" applyNumberFormat="1" applyFont="1" applyFill="1" applyBorder="1" applyAlignment="1">
      <alignment vertical="center" wrapText="1"/>
    </xf>
    <xf numFmtId="3" fontId="21" fillId="0" borderId="21" xfId="0" applyNumberFormat="1" applyFont="1" applyFill="1" applyBorder="1" applyAlignment="1">
      <alignment vertical="center" wrapText="1"/>
    </xf>
    <xf numFmtId="3" fontId="21" fillId="0" borderId="54" xfId="0" applyNumberFormat="1" applyFont="1" applyFill="1" applyBorder="1" applyAlignment="1">
      <alignment vertical="center" wrapText="1"/>
    </xf>
    <xf numFmtId="0" fontId="28" fillId="0" borderId="40" xfId="0" applyFont="1" applyFill="1" applyBorder="1" applyAlignment="1">
      <alignment horizontal="left" vertical="center" wrapText="1"/>
    </xf>
    <xf numFmtId="3" fontId="21" fillId="0" borderId="23" xfId="0" applyNumberFormat="1" applyFont="1" applyFill="1" applyBorder="1" applyAlignment="1">
      <alignment vertical="center" wrapText="1"/>
    </xf>
    <xf numFmtId="0" fontId="21" fillId="0" borderId="67" xfId="0" applyFont="1" applyFill="1" applyBorder="1" applyAlignment="1">
      <alignment horizontal="left" vertical="center" wrapText="1"/>
    </xf>
    <xf numFmtId="0" fontId="21" fillId="0" borderId="93" xfId="0" applyFont="1" applyFill="1" applyBorder="1" applyAlignment="1">
      <alignment horizontal="left" vertical="center" wrapText="1"/>
    </xf>
    <xf numFmtId="3" fontId="21" fillId="0" borderId="144" xfId="0" applyNumberFormat="1" applyFont="1" applyFill="1" applyBorder="1" applyAlignment="1">
      <alignment vertical="center" wrapText="1"/>
    </xf>
    <xf numFmtId="3" fontId="21" fillId="0" borderId="102" xfId="0" applyNumberFormat="1" applyFont="1" applyFill="1" applyBorder="1" applyAlignment="1">
      <alignment vertical="center" wrapText="1"/>
    </xf>
    <xf numFmtId="3" fontId="21" fillId="0" borderId="145" xfId="0" applyNumberFormat="1" applyFont="1" applyFill="1" applyBorder="1" applyAlignment="1">
      <alignment vertical="center" wrapText="1"/>
    </xf>
    <xf numFmtId="3" fontId="21" fillId="0" borderId="146" xfId="0" applyNumberFormat="1" applyFont="1" applyFill="1" applyBorder="1" applyAlignment="1">
      <alignment vertical="center" wrapText="1"/>
    </xf>
    <xf numFmtId="3" fontId="21" fillId="0" borderId="147" xfId="0" applyNumberFormat="1" applyFont="1" applyFill="1" applyBorder="1" applyAlignment="1">
      <alignment vertical="center" wrapText="1"/>
    </xf>
    <xf numFmtId="3" fontId="21" fillId="0" borderId="27" xfId="0" applyNumberFormat="1" applyFont="1" applyFill="1" applyBorder="1" applyAlignment="1">
      <alignment vertical="center" wrapText="1"/>
    </xf>
    <xf numFmtId="3" fontId="21" fillId="0" borderId="77" xfId="0" applyNumberFormat="1" applyFont="1" applyFill="1" applyBorder="1" applyAlignment="1">
      <alignment vertical="center" wrapText="1"/>
    </xf>
    <xf numFmtId="0" fontId="28" fillId="0" borderId="39" xfId="0" applyFont="1" applyFill="1" applyBorder="1" applyAlignment="1">
      <alignment horizontal="left" vertical="center" wrapText="1"/>
    </xf>
    <xf numFmtId="0" fontId="28" fillId="0" borderId="119" xfId="0" applyFont="1" applyFill="1" applyBorder="1" applyAlignment="1">
      <alignment horizontal="left" vertical="center" wrapText="1"/>
    </xf>
    <xf numFmtId="0" fontId="36" fillId="0" borderId="52" xfId="75" applyFont="1" applyFill="1" applyBorder="1" applyAlignment="1">
      <alignment vertical="center" wrapText="1"/>
    </xf>
    <xf numFmtId="0" fontId="36" fillId="0" borderId="67" xfId="75" applyFont="1" applyFill="1" applyBorder="1" applyAlignment="1">
      <alignment vertical="center" wrapText="1"/>
    </xf>
    <xf numFmtId="0" fontId="37" fillId="0" borderId="40" xfId="75" applyFont="1" applyFill="1" applyBorder="1" applyAlignment="1">
      <alignment vertical="center" wrapText="1"/>
    </xf>
    <xf numFmtId="172" fontId="38" fillId="0" borderId="52" xfId="75" applyNumberFormat="1" applyFont="1" applyFill="1" applyBorder="1" applyAlignment="1">
      <alignment horizontal="left" vertical="center" wrapText="1"/>
    </xf>
    <xf numFmtId="0" fontId="29" fillId="0" borderId="67" xfId="75" applyFont="1" applyFill="1" applyBorder="1" applyAlignment="1">
      <alignment horizontal="left" vertical="center" wrapText="1"/>
    </xf>
    <xf numFmtId="0" fontId="37" fillId="0" borderId="119" xfId="0" applyFont="1" applyFill="1" applyBorder="1" applyAlignment="1">
      <alignment horizontal="left" vertical="center" wrapText="1"/>
    </xf>
    <xf numFmtId="0" fontId="28" fillId="0" borderId="93" xfId="0" applyFont="1" applyFill="1" applyBorder="1" applyAlignment="1">
      <alignment vertical="center" wrapText="1"/>
    </xf>
    <xf numFmtId="0" fontId="36" fillId="0" borderId="87" xfId="75" applyFont="1" applyFill="1" applyBorder="1" applyAlignment="1">
      <alignment vertical="center" wrapText="1"/>
    </xf>
    <xf numFmtId="0" fontId="36" fillId="0" borderId="86" xfId="75" applyFont="1" applyFill="1" applyBorder="1" applyAlignment="1">
      <alignment vertical="center" wrapText="1"/>
    </xf>
    <xf numFmtId="0" fontId="36" fillId="0" borderId="88" xfId="75" applyFont="1" applyFill="1" applyBorder="1" applyAlignment="1">
      <alignment vertical="center" wrapText="1"/>
    </xf>
    <xf numFmtId="0" fontId="37" fillId="0" borderId="89" xfId="75" applyFont="1" applyFill="1" applyBorder="1" applyAlignment="1">
      <alignment vertical="center" wrapText="1"/>
    </xf>
    <xf numFmtId="172" fontId="38" fillId="0" borderId="87" xfId="75" applyNumberFormat="1" applyFont="1" applyFill="1" applyBorder="1" applyAlignment="1">
      <alignment horizontal="left" vertical="center" wrapText="1"/>
    </xf>
    <xf numFmtId="172" fontId="38" fillId="0" borderId="86" xfId="75" applyNumberFormat="1" applyFont="1" applyFill="1" applyBorder="1" applyAlignment="1">
      <alignment horizontal="left" vertical="center" wrapText="1"/>
    </xf>
    <xf numFmtId="0" fontId="28" fillId="0" borderId="121" xfId="0" applyFont="1" applyFill="1" applyBorder="1" applyAlignment="1">
      <alignment vertical="center" wrapText="1"/>
    </xf>
    <xf numFmtId="3" fontId="21" fillId="0" borderId="151" xfId="0" applyNumberFormat="1" applyFont="1" applyFill="1" applyBorder="1" applyAlignment="1">
      <alignment vertical="center" wrapText="1"/>
    </xf>
    <xf numFmtId="3" fontId="21" fillId="0" borderId="152" xfId="0" applyNumberFormat="1" applyFont="1" applyFill="1" applyBorder="1" applyAlignment="1">
      <alignment vertical="center" wrapText="1"/>
    </xf>
    <xf numFmtId="3" fontId="21" fillId="0" borderId="153" xfId="0" applyNumberFormat="1" applyFont="1" applyFill="1" applyBorder="1" applyAlignment="1">
      <alignment vertical="center" wrapText="1"/>
    </xf>
    <xf numFmtId="3" fontId="21" fillId="0" borderId="154" xfId="0" applyNumberFormat="1" applyFont="1" applyFill="1" applyBorder="1" applyAlignment="1">
      <alignment vertical="center" wrapText="1"/>
    </xf>
    <xf numFmtId="3" fontId="21" fillId="0" borderId="155" xfId="0" applyNumberFormat="1" applyFont="1" applyFill="1" applyBorder="1" applyAlignment="1">
      <alignment vertical="center" wrapText="1"/>
    </xf>
    <xf numFmtId="3" fontId="21" fillId="0" borderId="156" xfId="0" applyNumberFormat="1" applyFont="1" applyFill="1" applyBorder="1" applyAlignment="1">
      <alignment vertical="center" wrapText="1"/>
    </xf>
    <xf numFmtId="3" fontId="21" fillId="0" borderId="157" xfId="0" applyNumberFormat="1" applyFont="1" applyFill="1" applyBorder="1" applyAlignment="1">
      <alignment vertical="center" wrapText="1"/>
    </xf>
    <xf numFmtId="3" fontId="21" fillId="0" borderId="158" xfId="0" applyNumberFormat="1" applyFont="1" applyFill="1" applyBorder="1" applyAlignment="1">
      <alignment vertical="center" wrapText="1"/>
    </xf>
    <xf numFmtId="3" fontId="21" fillId="0" borderId="159" xfId="0" applyNumberFormat="1" applyFont="1" applyFill="1" applyBorder="1" applyAlignment="1">
      <alignment vertical="center" wrapText="1"/>
    </xf>
    <xf numFmtId="3" fontId="21" fillId="0" borderId="160" xfId="0" applyNumberFormat="1" applyFont="1" applyFill="1" applyBorder="1" applyAlignment="1">
      <alignment vertical="center" wrapText="1"/>
    </xf>
    <xf numFmtId="3" fontId="21" fillId="0" borderId="161" xfId="0" applyNumberFormat="1" applyFont="1" applyFill="1" applyBorder="1" applyAlignment="1">
      <alignment vertical="center" wrapText="1"/>
    </xf>
    <xf numFmtId="3" fontId="21" fillId="0" borderId="162" xfId="0" applyNumberFormat="1" applyFont="1" applyFill="1" applyBorder="1" applyAlignment="1">
      <alignment vertical="center" wrapText="1"/>
    </xf>
    <xf numFmtId="3" fontId="21" fillId="0" borderId="163" xfId="0" applyNumberFormat="1" applyFont="1" applyFill="1" applyBorder="1" applyAlignment="1">
      <alignment vertical="center" wrapText="1"/>
    </xf>
    <xf numFmtId="3" fontId="21" fillId="0" borderId="164" xfId="0" applyNumberFormat="1" applyFont="1" applyFill="1" applyBorder="1" applyAlignment="1">
      <alignment vertical="center" wrapText="1"/>
    </xf>
    <xf numFmtId="0" fontId="28" fillId="0" borderId="98" xfId="0" applyFont="1" applyFill="1" applyBorder="1" applyAlignment="1">
      <alignment horizontal="left" vertical="center"/>
    </xf>
    <xf numFmtId="0" fontId="21" fillId="0" borderId="63" xfId="0" applyFont="1" applyFill="1" applyBorder="1" applyAlignment="1">
      <alignment horizontal="left" vertical="center" wrapText="1"/>
    </xf>
    <xf numFmtId="0" fontId="21" fillId="0" borderId="84" xfId="0" applyFont="1" applyFill="1" applyBorder="1" applyAlignment="1">
      <alignment horizontal="left" vertical="center" wrapText="1"/>
    </xf>
    <xf numFmtId="0" fontId="29" fillId="0" borderId="84" xfId="0" applyFont="1" applyFill="1" applyBorder="1" applyAlignment="1">
      <alignment horizontal="left" vertical="center" wrapText="1"/>
    </xf>
    <xf numFmtId="3" fontId="29" fillId="0" borderId="73" xfId="0" applyNumberFormat="1" applyFont="1" applyFill="1" applyBorder="1" applyAlignment="1">
      <alignment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82" xfId="0" applyNumberFormat="1" applyFont="1" applyFill="1" applyBorder="1" applyAlignment="1">
      <alignment vertical="center" wrapText="1"/>
    </xf>
    <xf numFmtId="3" fontId="29" fillId="0" borderId="124" xfId="0" applyNumberFormat="1" applyFont="1" applyFill="1" applyBorder="1" applyAlignment="1">
      <alignment vertical="center" wrapText="1"/>
    </xf>
    <xf numFmtId="3" fontId="29" fillId="0" borderId="122" xfId="0" applyNumberFormat="1" applyFont="1" applyFill="1" applyBorder="1" applyAlignment="1">
      <alignment vertical="center" wrapText="1"/>
    </xf>
    <xf numFmtId="3" fontId="29" fillId="0" borderId="24" xfId="0" applyNumberFormat="1" applyFont="1" applyFill="1" applyBorder="1" applyAlignment="1">
      <alignment vertical="center" wrapText="1"/>
    </xf>
    <xf numFmtId="3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62" xfId="0" applyFont="1" applyFill="1" applyBorder="1" applyAlignment="1">
      <alignment horizontal="left" vertical="center" wrapText="1"/>
    </xf>
    <xf numFmtId="3" fontId="29" fillId="0" borderId="152" xfId="0" applyNumberFormat="1" applyFont="1" applyFill="1" applyBorder="1" applyAlignment="1">
      <alignment vertical="center" wrapText="1"/>
    </xf>
    <xf numFmtId="3" fontId="29" fillId="0" borderId="155" xfId="0" applyNumberFormat="1" applyFont="1" applyFill="1" applyBorder="1" applyAlignment="1">
      <alignment vertical="center" wrapText="1"/>
    </xf>
    <xf numFmtId="3" fontId="29" fillId="0" borderId="157" xfId="0" applyNumberFormat="1" applyFont="1" applyFill="1" applyBorder="1" applyAlignment="1">
      <alignment vertical="center" wrapText="1"/>
    </xf>
    <xf numFmtId="3" fontId="29" fillId="0" borderId="151" xfId="0" applyNumberFormat="1" applyFont="1" applyFill="1" applyBorder="1" applyAlignment="1">
      <alignment vertical="center" wrapText="1"/>
    </xf>
    <xf numFmtId="3" fontId="29" fillId="0" borderId="153" xfId="0" applyNumberFormat="1" applyFont="1" applyFill="1" applyBorder="1" applyAlignment="1">
      <alignment vertical="center" wrapText="1"/>
    </xf>
    <xf numFmtId="0" fontId="28" fillId="0" borderId="96" xfId="0" applyFont="1" applyFill="1" applyBorder="1" applyAlignment="1">
      <alignment horizontal="left" vertical="center" wrapText="1"/>
    </xf>
    <xf numFmtId="0" fontId="28" fillId="0" borderId="165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wrapText="1"/>
    </xf>
    <xf numFmtId="3" fontId="28" fillId="0" borderId="23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vertical="center" wrapText="1"/>
    </xf>
    <xf numFmtId="3" fontId="29" fillId="0" borderId="54" xfId="0" applyNumberFormat="1" applyFont="1" applyFill="1" applyBorder="1" applyAlignment="1">
      <alignment vertical="center" wrapText="1"/>
    </xf>
    <xf numFmtId="3" fontId="29" fillId="0" borderId="137" xfId="0" applyNumberFormat="1" applyFont="1" applyFill="1" applyBorder="1" applyAlignment="1">
      <alignment vertical="center" wrapText="1"/>
    </xf>
    <xf numFmtId="3" fontId="28" fillId="0" borderId="35" xfId="0" applyNumberFormat="1" applyFont="1" applyFill="1" applyBorder="1" applyAlignment="1">
      <alignment vertical="center" wrapText="1"/>
    </xf>
    <xf numFmtId="3" fontId="28" fillId="0" borderId="15" xfId="0" applyNumberFormat="1" applyFont="1" applyFill="1" applyBorder="1" applyAlignment="1">
      <alignment vertical="center" wrapText="1"/>
    </xf>
    <xf numFmtId="3" fontId="28" fillId="0" borderId="140" xfId="0" applyNumberFormat="1" applyFont="1" applyFill="1" applyBorder="1" applyAlignment="1">
      <alignment vertical="center" wrapText="1"/>
    </xf>
    <xf numFmtId="3" fontId="28" fillId="0" borderId="141" xfId="0" applyNumberFormat="1" applyFont="1" applyFill="1" applyBorder="1" applyAlignment="1">
      <alignment vertical="center" wrapText="1"/>
    </xf>
    <xf numFmtId="3" fontId="28" fillId="0" borderId="166" xfId="0" applyNumberFormat="1" applyFont="1" applyFill="1" applyBorder="1" applyAlignment="1">
      <alignment vertical="center" wrapText="1"/>
    </xf>
    <xf numFmtId="3" fontId="28" fillId="0" borderId="167" xfId="0" applyNumberFormat="1" applyFont="1" applyFill="1" applyBorder="1" applyAlignment="1">
      <alignment vertical="center" wrapText="1"/>
    </xf>
    <xf numFmtId="3" fontId="28" fillId="0" borderId="168" xfId="0" applyNumberFormat="1" applyFont="1" applyFill="1" applyBorder="1" applyAlignment="1">
      <alignment vertical="center" wrapText="1"/>
    </xf>
    <xf numFmtId="3" fontId="28" fillId="0" borderId="169" xfId="0" applyNumberFormat="1" applyFont="1" applyFill="1" applyBorder="1" applyAlignment="1">
      <alignment vertical="center" wrapText="1"/>
    </xf>
    <xf numFmtId="3" fontId="28" fillId="0" borderId="26" xfId="0" applyNumberFormat="1" applyFont="1" applyFill="1" applyBorder="1" applyAlignment="1">
      <alignment vertical="center" wrapText="1"/>
    </xf>
    <xf numFmtId="3" fontId="28" fillId="0" borderId="60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8" fillId="0" borderId="64" xfId="0" applyNumberFormat="1" applyFont="1" applyFill="1" applyBorder="1" applyAlignment="1">
      <alignment vertical="center" wrapText="1"/>
    </xf>
    <xf numFmtId="3" fontId="28" fillId="0" borderId="149" xfId="0" applyNumberFormat="1" applyFont="1" applyFill="1" applyBorder="1" applyAlignment="1">
      <alignment vertical="center" wrapText="1"/>
    </xf>
    <xf numFmtId="3" fontId="29" fillId="0" borderId="20" xfId="0" applyNumberFormat="1" applyFont="1" applyFill="1" applyBorder="1" applyAlignment="1">
      <alignment vertical="center" wrapText="1"/>
    </xf>
    <xf numFmtId="3" fontId="29" fillId="0" borderId="36" xfId="0" applyNumberFormat="1" applyFont="1" applyFill="1" applyBorder="1" applyAlignment="1">
      <alignment vertical="center" wrapText="1"/>
    </xf>
    <xf numFmtId="3" fontId="29" fillId="0" borderId="76" xfId="0" applyNumberFormat="1" applyFont="1" applyFill="1" applyBorder="1" applyAlignment="1">
      <alignment vertical="center" wrapText="1"/>
    </xf>
    <xf numFmtId="3" fontId="29" fillId="0" borderId="126" xfId="0" applyNumberFormat="1" applyFont="1" applyFill="1" applyBorder="1" applyAlignment="1">
      <alignment vertical="center" wrapText="1"/>
    </xf>
    <xf numFmtId="3" fontId="28" fillId="0" borderId="27" xfId="0" applyNumberFormat="1" applyFont="1" applyFill="1" applyBorder="1" applyAlignment="1">
      <alignment vertical="center" wrapText="1"/>
    </xf>
    <xf numFmtId="3" fontId="28" fillId="0" borderId="102" xfId="0" applyNumberFormat="1" applyFont="1" applyFill="1" applyBorder="1" applyAlignment="1">
      <alignment vertical="center" wrapText="1"/>
    </xf>
    <xf numFmtId="3" fontId="28" fillId="0" borderId="77" xfId="0" applyNumberFormat="1" applyFont="1" applyFill="1" applyBorder="1" applyAlignment="1">
      <alignment vertical="center" wrapText="1"/>
    </xf>
    <xf numFmtId="3" fontId="28" fillId="0" borderId="144" xfId="0" applyNumberFormat="1" applyFont="1" applyFill="1" applyBorder="1" applyAlignment="1">
      <alignment vertical="center" wrapText="1"/>
    </xf>
    <xf numFmtId="3" fontId="28" fillId="0" borderId="145" xfId="0" applyNumberFormat="1" applyFont="1" applyFill="1" applyBorder="1" applyAlignment="1">
      <alignment vertical="center" wrapText="1"/>
    </xf>
    <xf numFmtId="0" fontId="36" fillId="0" borderId="95" xfId="75" applyFont="1" applyFill="1" applyBorder="1" applyAlignment="1">
      <alignment horizontal="left" vertical="center" wrapText="1"/>
    </xf>
    <xf numFmtId="0" fontId="36" fillId="0" borderId="62" xfId="75" applyFont="1" applyFill="1" applyBorder="1" applyAlignment="1">
      <alignment horizontal="left" vertical="center" wrapText="1"/>
    </xf>
    <xf numFmtId="0" fontId="21" fillId="0" borderId="44" xfId="75" applyFont="1" applyFill="1" applyBorder="1" applyAlignment="1">
      <alignment horizontal="left" vertical="center" wrapText="1"/>
    </xf>
    <xf numFmtId="0" fontId="21" fillId="0" borderId="50" xfId="75" applyFont="1" applyFill="1" applyBorder="1" applyAlignment="1">
      <alignment horizontal="left" vertical="center" wrapText="1"/>
    </xf>
    <xf numFmtId="3" fontId="28" fillId="0" borderId="142" xfId="0" applyNumberFormat="1" applyFont="1" applyFill="1" applyBorder="1" applyAlignment="1">
      <alignment vertical="center" wrapText="1"/>
    </xf>
    <xf numFmtId="3" fontId="28" fillId="0" borderId="143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46" xfId="0" applyNumberFormat="1" applyFont="1" applyFill="1" applyBorder="1" applyAlignment="1">
      <alignment vertical="center" wrapText="1"/>
    </xf>
    <xf numFmtId="3" fontId="28" fillId="0" borderId="147" xfId="0" applyNumberFormat="1" applyFont="1" applyFill="1" applyBorder="1" applyAlignment="1">
      <alignment vertical="center" wrapText="1"/>
    </xf>
    <xf numFmtId="3" fontId="28" fillId="0" borderId="150" xfId="0" applyNumberFormat="1" applyFont="1" applyFill="1" applyBorder="1" applyAlignment="1">
      <alignment vertical="center" wrapText="1"/>
    </xf>
    <xf numFmtId="3" fontId="28" fillId="0" borderId="148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Border="1" applyAlignment="1">
      <alignment vertical="center" wrapText="1"/>
    </xf>
    <xf numFmtId="10" fontId="21" fillId="0" borderId="0" xfId="90" applyNumberFormat="1" applyFont="1" applyFill="1" applyAlignment="1">
      <alignment vertical="center" wrapText="1"/>
    </xf>
    <xf numFmtId="167" fontId="21" fillId="0" borderId="0" xfId="0" applyNumberFormat="1" applyFont="1" applyFill="1" applyAlignment="1">
      <alignment vertical="center" wrapText="1"/>
    </xf>
    <xf numFmtId="166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8" fillId="0" borderId="171" xfId="0" applyNumberFormat="1" applyFont="1" applyFill="1" applyBorder="1" applyAlignment="1">
      <alignment vertical="center" wrapText="1"/>
    </xf>
    <xf numFmtId="3" fontId="21" fillId="0" borderId="125" xfId="54" applyNumberFormat="1" applyFont="1" applyFill="1" applyBorder="1"/>
    <xf numFmtId="3" fontId="21" fillId="0" borderId="73" xfId="54" applyNumberFormat="1" applyFont="1" applyFill="1" applyBorder="1"/>
    <xf numFmtId="3" fontId="29" fillId="0" borderId="73" xfId="54" applyNumberFormat="1" applyFont="1" applyFill="1" applyBorder="1"/>
    <xf numFmtId="3" fontId="21" fillId="0" borderId="136" xfId="54" applyNumberFormat="1" applyFont="1" applyFill="1" applyBorder="1"/>
    <xf numFmtId="3" fontId="21" fillId="0" borderId="34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36" xfId="54" applyNumberFormat="1" applyFont="1" applyFill="1" applyBorder="1"/>
    <xf numFmtId="3" fontId="29" fillId="0" borderId="34" xfId="0" applyNumberFormat="1" applyFont="1" applyFill="1" applyBorder="1"/>
    <xf numFmtId="3" fontId="21" fillId="0" borderId="36" xfId="0" applyNumberFormat="1" applyFont="1" applyFill="1" applyBorder="1"/>
    <xf numFmtId="3" fontId="28" fillId="0" borderId="140" xfId="54" applyNumberFormat="1" applyFont="1" applyFill="1" applyBorder="1" applyAlignment="1">
      <alignment vertical="center"/>
    </xf>
    <xf numFmtId="3" fontId="28" fillId="0" borderId="35" xfId="0" applyNumberFormat="1" applyFont="1" applyFill="1" applyBorder="1" applyAlignment="1">
      <alignment vertical="center"/>
    </xf>
    <xf numFmtId="3" fontId="28" fillId="0" borderId="140" xfId="54" applyNumberFormat="1" applyFont="1" applyFill="1" applyBorder="1"/>
    <xf numFmtId="3" fontId="28" fillId="0" borderId="35" xfId="0" applyNumberFormat="1" applyFont="1" applyFill="1" applyBorder="1"/>
    <xf numFmtId="3" fontId="21" fillId="0" borderId="144" xfId="54" applyNumberFormat="1" applyFont="1" applyFill="1" applyBorder="1"/>
    <xf numFmtId="3" fontId="21" fillId="0" borderId="102" xfId="0" applyNumberFormat="1" applyFont="1" applyFill="1" applyBorder="1"/>
    <xf numFmtId="0" fontId="28" fillId="0" borderId="97" xfId="0" applyFont="1" applyFill="1" applyBorder="1" applyAlignment="1">
      <alignment horizontal="left" vertical="center"/>
    </xf>
    <xf numFmtId="3" fontId="28" fillId="0" borderId="35" xfId="54" applyNumberFormat="1" applyFont="1" applyFill="1" applyBorder="1"/>
    <xf numFmtId="3" fontId="28" fillId="0" borderId="173" xfId="54" applyNumberFormat="1" applyFont="1" applyFill="1" applyBorder="1"/>
    <xf numFmtId="3" fontId="28" fillId="0" borderId="167" xfId="0" applyNumberFormat="1" applyFont="1" applyFill="1" applyBorder="1"/>
    <xf numFmtId="3" fontId="28" fillId="0" borderId="64" xfId="54" applyNumberFormat="1" applyFont="1" applyFill="1" applyBorder="1"/>
    <xf numFmtId="3" fontId="39" fillId="0" borderId="0" xfId="0" applyNumberFormat="1" applyFont="1" applyFill="1" applyBorder="1"/>
    <xf numFmtId="0" fontId="39" fillId="0" borderId="0" xfId="0" applyFont="1" applyFill="1" applyBorder="1"/>
    <xf numFmtId="0" fontId="28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0" fontId="21" fillId="0" borderId="19" xfId="0" applyFont="1" applyFill="1" applyBorder="1" applyAlignment="1">
      <alignment horizontal="left" wrapText="1" indent="4"/>
    </xf>
    <xf numFmtId="0" fontId="29" fillId="0" borderId="67" xfId="0" applyFont="1" applyFill="1" applyBorder="1" applyAlignment="1">
      <alignment horizontal="left" vertical="center" wrapText="1" indent="2"/>
    </xf>
    <xf numFmtId="0" fontId="21" fillId="0" borderId="68" xfId="0" applyFont="1" applyBorder="1" applyAlignment="1">
      <alignment horizontal="left" indent="6"/>
    </xf>
    <xf numFmtId="0" fontId="21" fillId="0" borderId="67" xfId="0" applyFont="1" applyBorder="1" applyAlignment="1">
      <alignment horizontal="left" indent="6"/>
    </xf>
    <xf numFmtId="3" fontId="28" fillId="0" borderId="27" xfId="54" applyNumberFormat="1" applyFont="1" applyFill="1" applyBorder="1" applyAlignment="1">
      <alignment horizontal="right"/>
    </xf>
    <xf numFmtId="3" fontId="28" fillId="0" borderId="102" xfId="54" applyNumberFormat="1" applyFont="1" applyFill="1" applyBorder="1" applyAlignment="1">
      <alignment horizontal="right"/>
    </xf>
    <xf numFmtId="3" fontId="28" fillId="0" borderId="77" xfId="54" applyNumberFormat="1" applyFont="1" applyFill="1" applyBorder="1" applyAlignment="1">
      <alignment horizontal="right"/>
    </xf>
    <xf numFmtId="3" fontId="28" fillId="0" borderId="102" xfId="0" applyNumberFormat="1" applyFont="1" applyFill="1" applyBorder="1" applyAlignment="1">
      <alignment horizontal="right"/>
    </xf>
    <xf numFmtId="3" fontId="28" fillId="0" borderId="77" xfId="0" applyNumberFormat="1" applyFont="1" applyFill="1" applyBorder="1" applyAlignment="1">
      <alignment horizontal="right"/>
    </xf>
    <xf numFmtId="3" fontId="28" fillId="0" borderId="102" xfId="0" applyNumberFormat="1" applyFont="1" applyFill="1" applyBorder="1" applyAlignment="1">
      <alignment wrapText="1"/>
    </xf>
    <xf numFmtId="3" fontId="28" fillId="0" borderId="77" xfId="0" applyNumberFormat="1" applyFont="1" applyFill="1" applyBorder="1" applyAlignment="1">
      <alignment wrapText="1"/>
    </xf>
    <xf numFmtId="3" fontId="28" fillId="0" borderId="26" xfId="54" applyNumberFormat="1" applyFont="1" applyFill="1" applyBorder="1" applyAlignment="1">
      <alignment horizontal="right"/>
    </xf>
    <xf numFmtId="3" fontId="28" fillId="0" borderId="60" xfId="54" applyNumberFormat="1" applyFont="1" applyFill="1" applyBorder="1" applyAlignment="1">
      <alignment horizontal="right"/>
    </xf>
    <xf numFmtId="3" fontId="28" fillId="0" borderId="32" xfId="54" applyNumberFormat="1" applyFont="1" applyFill="1" applyBorder="1" applyAlignment="1">
      <alignment horizontal="right"/>
    </xf>
    <xf numFmtId="3" fontId="28" fillId="0" borderId="60" xfId="0" applyNumberFormat="1" applyFont="1" applyFill="1" applyBorder="1" applyAlignment="1">
      <alignment horizontal="right"/>
    </xf>
    <xf numFmtId="3" fontId="28" fillId="0" borderId="32" xfId="0" applyNumberFormat="1" applyFont="1" applyFill="1" applyBorder="1" applyAlignment="1">
      <alignment horizontal="right"/>
    </xf>
    <xf numFmtId="0" fontId="28" fillId="0" borderId="0" xfId="0" applyFont="1" applyFill="1" applyBorder="1"/>
    <xf numFmtId="0" fontId="21" fillId="0" borderId="67" xfId="0" applyFont="1" applyFill="1" applyBorder="1" applyAlignment="1">
      <alignment horizontal="left" vertical="center" wrapText="1" indent="5"/>
    </xf>
    <xf numFmtId="0" fontId="21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0" fontId="21" fillId="0" borderId="0" xfId="90" applyNumberFormat="1" applyFont="1" applyFill="1" applyBorder="1"/>
    <xf numFmtId="166" fontId="21" fillId="0" borderId="0" xfId="0" applyNumberFormat="1" applyFont="1" applyFill="1" applyBorder="1"/>
    <xf numFmtId="2" fontId="21" fillId="0" borderId="0" xfId="0" applyNumberFormat="1" applyFont="1" applyFill="1" applyBorder="1"/>
    <xf numFmtId="9" fontId="21" fillId="0" borderId="0" xfId="90" applyFont="1" applyFill="1" applyBorder="1"/>
    <xf numFmtId="0" fontId="21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 vertical="center"/>
    </xf>
    <xf numFmtId="0" fontId="39" fillId="0" borderId="0" xfId="0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horizontal="right"/>
    </xf>
    <xf numFmtId="0" fontId="21" fillId="0" borderId="67" xfId="0" applyFont="1" applyFill="1" applyBorder="1" applyAlignment="1">
      <alignment horizontal="left" vertical="center" wrapText="1" indent="2"/>
    </xf>
    <xf numFmtId="0" fontId="29" fillId="0" borderId="68" xfId="0" applyFont="1" applyFill="1" applyBorder="1" applyAlignment="1">
      <alignment horizontal="left" vertical="center" wrapText="1" indent="2"/>
    </xf>
    <xf numFmtId="3" fontId="29" fillId="0" borderId="24" xfId="54" applyNumberFormat="1" applyFont="1" applyFill="1" applyBorder="1" applyAlignment="1">
      <alignment horizontal="right"/>
    </xf>
    <xf numFmtId="3" fontId="29" fillId="0" borderId="33" xfId="54" applyNumberFormat="1" applyFont="1" applyFill="1" applyBorder="1" applyAlignment="1">
      <alignment horizontal="right"/>
    </xf>
    <xf numFmtId="3" fontId="29" fillId="0" borderId="17" xfId="54" applyNumberFormat="1" applyFont="1" applyFill="1" applyBorder="1" applyAlignment="1">
      <alignment horizontal="right"/>
    </xf>
    <xf numFmtId="3" fontId="29" fillId="0" borderId="20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wrapText="1"/>
    </xf>
    <xf numFmtId="3" fontId="29" fillId="0" borderId="21" xfId="54" applyNumberFormat="1" applyFont="1" applyFill="1" applyBorder="1" applyAlignment="1">
      <alignment horizontal="right"/>
    </xf>
    <xf numFmtId="3" fontId="29" fillId="0" borderId="34" xfId="54" applyNumberFormat="1" applyFont="1" applyFill="1" applyBorder="1" applyAlignment="1">
      <alignment horizontal="right"/>
    </xf>
    <xf numFmtId="3" fontId="29" fillId="0" borderId="54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horizontal="right"/>
    </xf>
    <xf numFmtId="3" fontId="29" fillId="0" borderId="54" xfId="0" applyNumberFormat="1" applyFont="1" applyFill="1" applyBorder="1" applyAlignment="1">
      <alignment horizontal="right"/>
    </xf>
    <xf numFmtId="3" fontId="29" fillId="0" borderId="21" xfId="0" applyNumberFormat="1" applyFont="1" applyFill="1" applyBorder="1" applyAlignment="1">
      <alignment wrapText="1"/>
    </xf>
    <xf numFmtId="3" fontId="29" fillId="0" borderId="34" xfId="0" applyNumberFormat="1" applyFont="1" applyFill="1" applyBorder="1" applyAlignment="1">
      <alignment wrapText="1"/>
    </xf>
    <xf numFmtId="3" fontId="29" fillId="0" borderId="54" xfId="0" applyNumberFormat="1" applyFont="1" applyFill="1" applyBorder="1" applyAlignment="1">
      <alignment wrapText="1"/>
    </xf>
    <xf numFmtId="3" fontId="29" fillId="0" borderId="36" xfId="54" applyNumberFormat="1" applyFont="1" applyFill="1" applyBorder="1" applyAlignment="1">
      <alignment horizontal="right"/>
    </xf>
    <xf numFmtId="3" fontId="29" fillId="0" borderId="76" xfId="54" applyNumberFormat="1" applyFont="1" applyFill="1" applyBorder="1" applyAlignment="1">
      <alignment horizontal="right"/>
    </xf>
    <xf numFmtId="3" fontId="29" fillId="0" borderId="36" xfId="0" applyNumberFormat="1" applyFont="1" applyFill="1" applyBorder="1" applyAlignment="1">
      <alignment horizontal="right"/>
    </xf>
    <xf numFmtId="3" fontId="29" fillId="0" borderId="76" xfId="0" applyNumberFormat="1" applyFont="1" applyFill="1" applyBorder="1" applyAlignment="1">
      <alignment horizontal="right"/>
    </xf>
    <xf numFmtId="3" fontId="29" fillId="0" borderId="20" xfId="0" applyNumberFormat="1" applyFont="1" applyFill="1" applyBorder="1" applyAlignment="1">
      <alignment wrapText="1"/>
    </xf>
    <xf numFmtId="3" fontId="29" fillId="0" borderId="36" xfId="0" applyNumberFormat="1" applyFont="1" applyFill="1" applyBorder="1" applyAlignment="1">
      <alignment wrapText="1"/>
    </xf>
    <xf numFmtId="3" fontId="29" fillId="0" borderId="76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horizontal="right"/>
    </xf>
    <xf numFmtId="3" fontId="29" fillId="0" borderId="17" xfId="0" applyNumberFormat="1" applyFont="1" applyFill="1" applyBorder="1" applyAlignment="1">
      <alignment horizontal="right"/>
    </xf>
    <xf numFmtId="3" fontId="29" fillId="0" borderId="24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wrapText="1"/>
    </xf>
    <xf numFmtId="3" fontId="29" fillId="0" borderId="17" xfId="0" applyNumberFormat="1" applyFont="1" applyFill="1" applyBorder="1" applyAlignment="1">
      <alignment wrapText="1"/>
    </xf>
    <xf numFmtId="3" fontId="29" fillId="0" borderId="33" xfId="54" applyNumberFormat="1" applyFont="1" applyFill="1" applyBorder="1" applyAlignment="1">
      <alignment wrapText="1"/>
    </xf>
    <xf numFmtId="3" fontId="29" fillId="0" borderId="17" xfId="54" applyNumberFormat="1" applyFont="1" applyFill="1" applyBorder="1" applyAlignment="1">
      <alignment wrapText="1"/>
    </xf>
    <xf numFmtId="3" fontId="29" fillId="0" borderId="34" xfId="54" applyNumberFormat="1" applyFont="1" applyFill="1" applyBorder="1" applyAlignment="1">
      <alignment wrapText="1"/>
    </xf>
    <xf numFmtId="3" fontId="29" fillId="0" borderId="54" xfId="54" applyNumberFormat="1" applyFont="1" applyFill="1" applyBorder="1" applyAlignment="1">
      <alignment wrapText="1"/>
    </xf>
    <xf numFmtId="3" fontId="28" fillId="0" borderId="23" xfId="54" applyNumberFormat="1" applyFont="1" applyFill="1" applyBorder="1" applyAlignment="1">
      <alignment horizontal="right"/>
    </xf>
    <xf numFmtId="3" fontId="28" fillId="0" borderId="35" xfId="54" applyNumberFormat="1" applyFont="1" applyFill="1" applyBorder="1" applyAlignment="1">
      <alignment horizontal="right"/>
    </xf>
    <xf numFmtId="3" fontId="28" fillId="0" borderId="15" xfId="54" applyNumberFormat="1" applyFont="1" applyFill="1" applyBorder="1" applyAlignment="1">
      <alignment horizontal="right"/>
    </xf>
    <xf numFmtId="3" fontId="28" fillId="0" borderId="35" xfId="0" applyNumberFormat="1" applyFont="1" applyFill="1" applyBorder="1" applyAlignment="1">
      <alignment horizontal="right"/>
    </xf>
    <xf numFmtId="3" fontId="28" fillId="0" borderId="15" xfId="0" applyNumberFormat="1" applyFont="1" applyFill="1" applyBorder="1" applyAlignment="1">
      <alignment horizontal="right"/>
    </xf>
    <xf numFmtId="3" fontId="28" fillId="0" borderId="23" xfId="0" applyNumberFormat="1" applyFont="1" applyFill="1" applyBorder="1" applyAlignment="1">
      <alignment wrapText="1"/>
    </xf>
    <xf numFmtId="3" fontId="28" fillId="0" borderId="35" xfId="0" applyNumberFormat="1" applyFont="1" applyFill="1" applyBorder="1" applyAlignment="1">
      <alignment wrapText="1"/>
    </xf>
    <xf numFmtId="3" fontId="28" fillId="0" borderId="15" xfId="0" applyNumberFormat="1" applyFont="1" applyFill="1" applyBorder="1" applyAlignment="1">
      <alignment wrapText="1"/>
    </xf>
    <xf numFmtId="3" fontId="28" fillId="0" borderId="35" xfId="54" applyNumberFormat="1" applyFont="1" applyFill="1" applyBorder="1" applyAlignment="1">
      <alignment wrapText="1"/>
    </xf>
    <xf numFmtId="3" fontId="28" fillId="0" borderId="15" xfId="54" applyNumberFormat="1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3" fontId="28" fillId="0" borderId="0" xfId="54" applyNumberFormat="1" applyFont="1" applyFill="1" applyAlignment="1">
      <alignment wrapText="1"/>
    </xf>
    <xf numFmtId="3" fontId="28" fillId="0" borderId="0" xfId="0" applyNumberFormat="1" applyFont="1" applyFill="1" applyAlignment="1">
      <alignment wrapText="1"/>
    </xf>
    <xf numFmtId="0" fontId="21" fillId="0" borderId="56" xfId="0" applyFont="1" applyBorder="1" applyAlignment="1">
      <alignment horizontal="left" indent="6"/>
    </xf>
    <xf numFmtId="3" fontId="28" fillId="0" borderId="0" xfId="54" applyNumberFormat="1" applyFont="1" applyFill="1" applyBorder="1" applyAlignment="1">
      <alignment horizontal="center" vertical="center" wrapText="1"/>
    </xf>
    <xf numFmtId="3" fontId="29" fillId="0" borderId="0" xfId="54" applyNumberFormat="1" applyFont="1" applyFill="1" applyBorder="1"/>
    <xf numFmtId="3" fontId="39" fillId="0" borderId="0" xfId="54" applyNumberFormat="1" applyFont="1" applyFill="1" applyBorder="1"/>
    <xf numFmtId="3" fontId="28" fillId="0" borderId="0" xfId="54" applyNumberFormat="1" applyFont="1" applyFill="1" applyBorder="1"/>
    <xf numFmtId="3" fontId="28" fillId="0" borderId="3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3" fontId="29" fillId="0" borderId="152" xfId="0" applyNumberFormat="1" applyFont="1" applyFill="1" applyBorder="1" applyAlignment="1">
      <alignment wrapText="1"/>
    </xf>
    <xf numFmtId="3" fontId="29" fillId="0" borderId="151" xfId="0" applyNumberFormat="1" applyFont="1" applyFill="1" applyBorder="1" applyAlignment="1">
      <alignment wrapText="1"/>
    </xf>
    <xf numFmtId="3" fontId="29" fillId="0" borderId="153" xfId="0" applyNumberFormat="1" applyFont="1" applyFill="1" applyBorder="1" applyAlignment="1">
      <alignment wrapText="1"/>
    </xf>
    <xf numFmtId="0" fontId="29" fillId="0" borderId="68" xfId="0" applyFont="1" applyFill="1" applyBorder="1" applyAlignment="1">
      <alignment horizontal="left" vertical="center" wrapText="1"/>
    </xf>
    <xf numFmtId="0" fontId="29" fillId="0" borderId="67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40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9" fillId="0" borderId="86" xfId="0" applyFont="1" applyFill="1" applyBorder="1" applyAlignment="1">
      <alignment horizontal="left" vertical="center" wrapText="1"/>
    </xf>
    <xf numFmtId="0" fontId="29" fillId="0" borderId="88" xfId="0" applyFont="1" applyFill="1" applyBorder="1" applyAlignment="1">
      <alignment horizontal="left" vertical="center" wrapText="1"/>
    </xf>
    <xf numFmtId="0" fontId="29" fillId="0" borderId="85" xfId="0" applyFont="1" applyFill="1" applyBorder="1" applyAlignment="1">
      <alignment horizontal="left" vertical="center" wrapText="1"/>
    </xf>
    <xf numFmtId="4" fontId="21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1" fillId="0" borderId="39" xfId="0" applyFont="1" applyFill="1" applyBorder="1" applyAlignment="1">
      <alignment vertical="center"/>
    </xf>
    <xf numFmtId="0" fontId="21" fillId="0" borderId="61" xfId="0" applyFont="1" applyFill="1" applyBorder="1" applyAlignment="1">
      <alignment vertical="center"/>
    </xf>
    <xf numFmtId="3" fontId="21" fillId="0" borderId="52" xfId="0" applyNumberFormat="1" applyFont="1" applyFill="1" applyBorder="1" applyAlignment="1">
      <alignment vertical="center"/>
    </xf>
    <xf numFmtId="3" fontId="21" fillId="0" borderId="53" xfId="0" applyNumberFormat="1" applyFont="1" applyFill="1" applyBorder="1" applyAlignment="1">
      <alignment vertical="center"/>
    </xf>
    <xf numFmtId="17" fontId="21" fillId="0" borderId="62" xfId="0" applyNumberFormat="1" applyFont="1" applyFill="1" applyBorder="1" applyAlignment="1">
      <alignment vertical="center"/>
    </xf>
    <xf numFmtId="3" fontId="21" fillId="0" borderId="44" xfId="0" applyNumberFormat="1" applyFont="1" applyFill="1" applyBorder="1" applyAlignment="1">
      <alignment vertical="center"/>
    </xf>
    <xf numFmtId="3" fontId="21" fillId="0" borderId="40" xfId="0" applyNumberFormat="1" applyFont="1" applyFill="1" applyBorder="1" applyAlignment="1">
      <alignment vertical="center"/>
    </xf>
    <xf numFmtId="3" fontId="21" fillId="0" borderId="41" xfId="0" applyNumberFormat="1" applyFont="1" applyFill="1" applyBorder="1" applyAlignment="1">
      <alignment vertical="center"/>
    </xf>
    <xf numFmtId="0" fontId="21" fillId="0" borderId="94" xfId="0" applyFont="1" applyFill="1" applyBorder="1" applyAlignment="1">
      <alignment vertical="center"/>
    </xf>
    <xf numFmtId="16" fontId="21" fillId="0" borderId="0" xfId="0" quotePrefix="1" applyNumberFormat="1" applyFont="1" applyFill="1" applyAlignment="1">
      <alignment vertical="center"/>
    </xf>
    <xf numFmtId="3" fontId="21" fillId="0" borderId="0" xfId="0" applyNumberFormat="1" applyFont="1" applyFill="1" applyAlignment="1">
      <alignment horizontal="center" vertical="center"/>
    </xf>
    <xf numFmtId="164" fontId="21" fillId="0" borderId="0" xfId="0" applyNumberFormat="1" applyFont="1" applyFill="1" applyBorder="1" applyAlignment="1">
      <alignment vertical="center"/>
    </xf>
    <xf numFmtId="0" fontId="21" fillId="0" borderId="63" xfId="0" applyFont="1" applyFill="1" applyBorder="1" applyAlignment="1">
      <alignment vertical="center"/>
    </xf>
    <xf numFmtId="3" fontId="21" fillId="0" borderId="42" xfId="0" applyNumberFormat="1" applyFont="1" applyFill="1" applyBorder="1" applyAlignment="1">
      <alignment vertical="center"/>
    </xf>
    <xf numFmtId="0" fontId="21" fillId="0" borderId="47" xfId="0" applyFont="1" applyFill="1" applyBorder="1" applyAlignment="1">
      <alignment vertical="center"/>
    </xf>
    <xf numFmtId="3" fontId="21" fillId="0" borderId="45" xfId="0" applyNumberFormat="1" applyFont="1" applyFill="1" applyBorder="1" applyAlignment="1">
      <alignment vertical="center"/>
    </xf>
    <xf numFmtId="3" fontId="21" fillId="0" borderId="46" xfId="0" applyNumberFormat="1" applyFont="1" applyFill="1" applyBorder="1" applyAlignment="1">
      <alignment vertical="center"/>
    </xf>
    <xf numFmtId="0" fontId="28" fillId="0" borderId="66" xfId="0" applyFont="1" applyFill="1" applyBorder="1" applyAlignment="1">
      <alignment vertical="center" wrapText="1"/>
    </xf>
    <xf numFmtId="3" fontId="28" fillId="0" borderId="37" xfId="0" applyNumberFormat="1" applyFont="1" applyFill="1" applyBorder="1" applyAlignment="1">
      <alignment vertical="center"/>
    </xf>
    <xf numFmtId="3" fontId="28" fillId="0" borderId="38" xfId="0" applyNumberFormat="1" applyFont="1" applyFill="1" applyBorder="1" applyAlignment="1">
      <alignment vertical="center"/>
    </xf>
    <xf numFmtId="1" fontId="21" fillId="0" borderId="0" xfId="0" applyNumberFormat="1" applyFont="1" applyFill="1" applyAlignment="1">
      <alignment vertical="center"/>
    </xf>
    <xf numFmtId="0" fontId="36" fillId="0" borderId="84" xfId="75" applyFont="1" applyFill="1" applyBorder="1" applyAlignment="1">
      <alignment horizontal="left" vertical="center" wrapText="1"/>
    </xf>
    <xf numFmtId="0" fontId="21" fillId="0" borderId="49" xfId="75" applyFont="1" applyFill="1" applyBorder="1" applyAlignment="1">
      <alignment horizontal="left" vertical="center" wrapText="1"/>
    </xf>
    <xf numFmtId="0" fontId="38" fillId="0" borderId="84" xfId="75" applyFont="1" applyFill="1" applyBorder="1" applyAlignment="1">
      <alignment horizontal="left" vertical="center" wrapText="1"/>
    </xf>
    <xf numFmtId="0" fontId="29" fillId="0" borderId="49" xfId="75" applyFont="1" applyFill="1" applyBorder="1" applyAlignment="1">
      <alignment horizontal="left" vertical="center" wrapText="1"/>
    </xf>
    <xf numFmtId="0" fontId="38" fillId="0" borderId="62" xfId="75" applyFont="1" applyFill="1" applyBorder="1" applyAlignment="1">
      <alignment horizontal="left" vertical="center" wrapText="1"/>
    </xf>
    <xf numFmtId="0" fontId="29" fillId="0" borderId="170" xfId="75" applyFont="1" applyFill="1" applyBorder="1" applyAlignment="1">
      <alignment horizontal="left" vertical="center" wrapText="1"/>
    </xf>
    <xf numFmtId="3" fontId="29" fillId="0" borderId="152" xfId="54" applyNumberFormat="1" applyFont="1" applyFill="1" applyBorder="1" applyAlignment="1">
      <alignment wrapText="1"/>
    </xf>
    <xf numFmtId="3" fontId="29" fillId="0" borderId="153" xfId="54" applyNumberFormat="1" applyFont="1" applyFill="1" applyBorder="1" applyAlignment="1">
      <alignment wrapText="1"/>
    </xf>
    <xf numFmtId="10" fontId="21" fillId="0" borderId="0" xfId="0" applyNumberFormat="1" applyFont="1" applyFill="1" applyAlignment="1">
      <alignment vertical="center" wrapText="1"/>
    </xf>
    <xf numFmtId="0" fontId="28" fillId="29" borderId="22" xfId="0" applyFont="1" applyFill="1" applyBorder="1" applyAlignment="1">
      <alignment horizontal="left" vertical="center" wrapText="1"/>
    </xf>
    <xf numFmtId="0" fontId="28" fillId="29" borderId="89" xfId="0" applyFont="1" applyFill="1" applyBorder="1" applyAlignment="1">
      <alignment horizontal="left" vertical="center" wrapText="1"/>
    </xf>
    <xf numFmtId="3" fontId="28" fillId="29" borderId="23" xfId="0" applyNumberFormat="1" applyFont="1" applyFill="1" applyBorder="1" applyAlignment="1">
      <alignment vertical="center" wrapText="1"/>
    </xf>
    <xf numFmtId="3" fontId="28" fillId="29" borderId="35" xfId="54" applyNumberFormat="1" applyFont="1" applyFill="1" applyBorder="1" applyAlignment="1">
      <alignment horizontal="right"/>
    </xf>
    <xf numFmtId="3" fontId="28" fillId="29" borderId="15" xfId="54" applyNumberFormat="1" applyFont="1" applyFill="1" applyBorder="1" applyAlignment="1">
      <alignment horizontal="right"/>
    </xf>
    <xf numFmtId="3" fontId="28" fillId="29" borderId="35" xfId="0" applyNumberFormat="1" applyFont="1" applyFill="1" applyBorder="1" applyAlignment="1">
      <alignment horizontal="right"/>
    </xf>
    <xf numFmtId="3" fontId="28" fillId="29" borderId="15" xfId="0" applyNumberFormat="1" applyFont="1" applyFill="1" applyBorder="1" applyAlignment="1">
      <alignment horizontal="right"/>
    </xf>
    <xf numFmtId="3" fontId="28" fillId="29" borderId="23" xfId="54" applyNumberFormat="1" applyFont="1" applyFill="1" applyBorder="1" applyAlignment="1">
      <alignment horizontal="right"/>
    </xf>
    <xf numFmtId="3" fontId="28" fillId="29" borderId="23" xfId="0" applyNumberFormat="1" applyFont="1" applyFill="1" applyBorder="1" applyAlignment="1">
      <alignment wrapText="1"/>
    </xf>
    <xf numFmtId="3" fontId="28" fillId="29" borderId="35" xfId="0" applyNumberFormat="1" applyFont="1" applyFill="1" applyBorder="1" applyAlignment="1">
      <alignment wrapText="1"/>
    </xf>
    <xf numFmtId="3" fontId="28" fillId="29" borderId="15" xfId="0" applyNumberFormat="1" applyFont="1" applyFill="1" applyBorder="1" applyAlignment="1">
      <alignment wrapText="1"/>
    </xf>
    <xf numFmtId="0" fontId="37" fillId="29" borderId="95" xfId="0" applyFont="1" applyFill="1" applyBorder="1" applyAlignment="1">
      <alignment horizontal="left" vertical="center" wrapText="1"/>
    </xf>
    <xf numFmtId="0" fontId="28" fillId="29" borderId="50" xfId="0" applyFont="1" applyFill="1" applyBorder="1" applyAlignment="1">
      <alignment vertical="center" wrapText="1"/>
    </xf>
    <xf numFmtId="3" fontId="28" fillId="29" borderId="27" xfId="0" applyNumberFormat="1" applyFont="1" applyFill="1" applyBorder="1" applyAlignment="1">
      <alignment vertical="center" wrapText="1"/>
    </xf>
    <xf numFmtId="3" fontId="28" fillId="29" borderId="34" xfId="54" applyNumberFormat="1" applyFont="1" applyFill="1" applyBorder="1" applyAlignment="1">
      <alignment wrapText="1"/>
    </xf>
    <xf numFmtId="3" fontId="28" fillId="29" borderId="27" xfId="54" applyNumberFormat="1" applyFont="1" applyFill="1" applyBorder="1" applyAlignment="1">
      <alignment horizontal="right"/>
    </xf>
    <xf numFmtId="3" fontId="28" fillId="29" borderId="54" xfId="0" applyNumberFormat="1" applyFont="1" applyFill="1" applyBorder="1" applyAlignment="1">
      <alignment wrapText="1"/>
    </xf>
    <xf numFmtId="3" fontId="28" fillId="29" borderId="21" xfId="0" applyNumberFormat="1" applyFont="1" applyFill="1" applyBorder="1" applyAlignment="1">
      <alignment wrapText="1"/>
    </xf>
    <xf numFmtId="3" fontId="28" fillId="29" borderId="34" xfId="0" applyNumberFormat="1" applyFont="1" applyFill="1" applyBorder="1" applyAlignment="1">
      <alignment wrapText="1"/>
    </xf>
    <xf numFmtId="3" fontId="28" fillId="29" borderId="21" xfId="54" applyNumberFormat="1" applyFont="1" applyFill="1" applyBorder="1" applyAlignment="1">
      <alignment horizontal="right"/>
    </xf>
    <xf numFmtId="3" fontId="28" fillId="0" borderId="109" xfId="91" applyNumberFormat="1" applyFont="1" applyFill="1" applyBorder="1" applyAlignment="1" applyProtection="1">
      <alignment horizontal="center" vertical="center"/>
    </xf>
    <xf numFmtId="3" fontId="28" fillId="0" borderId="109" xfId="91" applyNumberFormat="1" applyFont="1" applyFill="1" applyBorder="1" applyAlignment="1" applyProtection="1">
      <alignment horizontal="center" vertical="center" wrapText="1"/>
    </xf>
    <xf numFmtId="3" fontId="28" fillId="0" borderId="111" xfId="91" applyNumberFormat="1" applyFont="1" applyFill="1" applyBorder="1" applyAlignment="1" applyProtection="1">
      <alignment horizontal="center" vertical="center"/>
    </xf>
    <xf numFmtId="3" fontId="28" fillId="0" borderId="0" xfId="91" applyNumberFormat="1" applyFont="1" applyFill="1" applyBorder="1" applyAlignment="1" applyProtection="1">
      <alignment vertical="center"/>
    </xf>
    <xf numFmtId="3" fontId="28" fillId="0" borderId="40" xfId="75" applyNumberFormat="1" applyFont="1" applyFill="1" applyBorder="1" applyAlignment="1">
      <alignment horizontal="right" vertical="center" wrapText="1"/>
    </xf>
    <xf numFmtId="3" fontId="28" fillId="0" borderId="41" xfId="75" applyNumberFormat="1" applyFont="1" applyFill="1" applyBorder="1" applyAlignment="1">
      <alignment horizontal="right" vertical="center" wrapText="1"/>
    </xf>
    <xf numFmtId="3" fontId="28" fillId="0" borderId="36" xfId="91" applyNumberFormat="1" applyFont="1" applyFill="1" applyBorder="1" applyAlignment="1" applyProtection="1">
      <alignment horizontal="center" vertical="center"/>
    </xf>
    <xf numFmtId="3" fontId="28" fillId="0" borderId="35" xfId="75" applyNumberFormat="1" applyFont="1" applyFill="1" applyBorder="1" applyAlignment="1">
      <alignment horizontal="right" vertical="center" wrapText="1"/>
    </xf>
    <xf numFmtId="3" fontId="28" fillId="0" borderId="108" xfId="91" applyNumberFormat="1" applyFont="1" applyFill="1" applyBorder="1" applyAlignment="1" applyProtection="1">
      <alignment horizontal="center" vertical="center"/>
    </xf>
    <xf numFmtId="3" fontId="28" fillId="0" borderId="16" xfId="91" applyNumberFormat="1" applyFont="1" applyFill="1" applyBorder="1" applyAlignment="1" applyProtection="1">
      <alignment horizontal="left"/>
    </xf>
    <xf numFmtId="0" fontId="21" fillId="0" borderId="13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8" fillId="0" borderId="22" xfId="75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3" fontId="28" fillId="0" borderId="22" xfId="91" applyNumberFormat="1" applyFont="1" applyFill="1" applyBorder="1" applyAlignment="1" applyProtection="1">
      <alignment horizontal="left" vertical="center"/>
    </xf>
    <xf numFmtId="0" fontId="36" fillId="0" borderId="13" xfId="75" applyFont="1" applyFill="1" applyBorder="1" applyAlignment="1">
      <alignment vertical="center" wrapText="1"/>
    </xf>
    <xf numFmtId="0" fontId="21" fillId="0" borderId="13" xfId="75" applyFont="1" applyFill="1" applyBorder="1" applyAlignment="1">
      <alignment vertical="center" wrapText="1"/>
    </xf>
    <xf numFmtId="0" fontId="36" fillId="0" borderId="18" xfId="75" applyFont="1" applyFill="1" applyBorder="1" applyAlignment="1">
      <alignment vertical="center" wrapText="1"/>
    </xf>
    <xf numFmtId="0" fontId="36" fillId="0" borderId="16" xfId="75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3" fontId="28" fillId="0" borderId="178" xfId="91" applyNumberFormat="1" applyFont="1" applyFill="1" applyBorder="1" applyAlignment="1" applyProtection="1">
      <alignment vertical="center"/>
    </xf>
    <xf numFmtId="3" fontId="28" fillId="0" borderId="181" xfId="91" applyNumberFormat="1" applyFont="1" applyFill="1" applyBorder="1" applyAlignment="1" applyProtection="1">
      <alignment horizontal="center" vertical="center"/>
    </xf>
    <xf numFmtId="3" fontId="28" fillId="0" borderId="125" xfId="91" applyNumberFormat="1" applyFont="1" applyFill="1" applyBorder="1" applyAlignment="1" applyProtection="1">
      <alignment horizontal="center" vertical="center"/>
    </xf>
    <xf numFmtId="3" fontId="28" fillId="0" borderId="140" xfId="75" applyNumberFormat="1" applyFont="1" applyFill="1" applyBorder="1" applyAlignment="1">
      <alignment horizontal="right" vertical="center" wrapText="1"/>
    </xf>
    <xf numFmtId="3" fontId="28" fillId="0" borderId="52" xfId="91" applyNumberFormat="1" applyFont="1" applyFill="1" applyBorder="1" applyAlignment="1" applyProtection="1">
      <alignment horizontal="center" vertical="center" wrapText="1"/>
    </xf>
    <xf numFmtId="3" fontId="28" fillId="0" borderId="113" xfId="91" applyNumberFormat="1" applyFont="1" applyFill="1" applyBorder="1" applyAlignment="1" applyProtection="1">
      <alignment horizontal="center" vertical="center"/>
    </xf>
    <xf numFmtId="3" fontId="28" fillId="0" borderId="126" xfId="91" applyNumberFormat="1" applyFont="1" applyFill="1" applyBorder="1" applyAlignment="1" applyProtection="1">
      <alignment horizontal="center" vertical="center"/>
    </xf>
    <xf numFmtId="3" fontId="28" fillId="0" borderId="141" xfId="75" applyNumberFormat="1" applyFont="1" applyFill="1" applyBorder="1" applyAlignment="1">
      <alignment horizontal="right" vertical="center" wrapText="1"/>
    </xf>
    <xf numFmtId="3" fontId="28" fillId="0" borderId="53" xfId="91" applyNumberFormat="1" applyFont="1" applyFill="1" applyBorder="1" applyAlignment="1" applyProtection="1">
      <alignment horizontal="center" vertical="center"/>
    </xf>
    <xf numFmtId="3" fontId="28" fillId="0" borderId="40" xfId="91" applyNumberFormat="1" applyFont="1" applyFill="1" applyBorder="1" applyAlignment="1" applyProtection="1">
      <alignment horizontal="center"/>
      <protection locked="0"/>
    </xf>
    <xf numFmtId="0" fontId="26" fillId="0" borderId="0" xfId="78" applyFont="1" applyFill="1" applyAlignment="1">
      <alignment horizontal="center" vertical="center"/>
    </xf>
    <xf numFmtId="0" fontId="32" fillId="0" borderId="0" xfId="78" applyFont="1" applyFill="1" applyAlignment="1">
      <alignment horizontal="center" vertical="center"/>
    </xf>
    <xf numFmtId="0" fontId="26" fillId="0" borderId="0" xfId="78" applyFont="1" applyFill="1" applyBorder="1" applyAlignment="1">
      <alignment horizontal="center" vertical="center"/>
    </xf>
    <xf numFmtId="0" fontId="26" fillId="0" borderId="48" xfId="78" applyFont="1" applyFill="1" applyBorder="1" applyAlignment="1">
      <alignment horizontal="center" vertical="center"/>
    </xf>
    <xf numFmtId="0" fontId="26" fillId="0" borderId="49" xfId="78" applyFont="1" applyFill="1" applyBorder="1" applyAlignment="1">
      <alignment horizontal="center" vertical="center"/>
    </xf>
    <xf numFmtId="0" fontId="26" fillId="0" borderId="50" xfId="78" applyFont="1" applyFill="1" applyBorder="1" applyAlignment="1">
      <alignment horizontal="center" vertical="center"/>
    </xf>
    <xf numFmtId="3" fontId="21" fillId="0" borderId="68" xfId="0" applyNumberFormat="1" applyFont="1" applyFill="1" applyBorder="1" applyAlignment="1">
      <alignment horizontal="right" vertical="center"/>
    </xf>
    <xf numFmtId="3" fontId="21" fillId="0" borderId="73" xfId="91" applyNumberFormat="1" applyFont="1" applyFill="1" applyBorder="1" applyAlignment="1" applyProtection="1">
      <alignment horizontal="right" vertical="center"/>
      <protection locked="0"/>
    </xf>
    <xf numFmtId="3" fontId="28" fillId="0" borderId="51" xfId="91" applyNumberFormat="1" applyFont="1" applyFill="1" applyBorder="1" applyAlignment="1" applyProtection="1">
      <alignment horizontal="right" vertical="center"/>
    </xf>
    <xf numFmtId="3" fontId="21" fillId="0" borderId="33" xfId="91" applyNumberFormat="1" applyFont="1" applyFill="1" applyBorder="1" applyAlignment="1" applyProtection="1">
      <alignment horizontal="right" vertical="center"/>
      <protection locked="0"/>
    </xf>
    <xf numFmtId="3" fontId="21" fillId="0" borderId="82" xfId="91" applyNumberFormat="1" applyFont="1" applyFill="1" applyBorder="1" applyAlignment="1" applyProtection="1">
      <alignment horizontal="right" vertical="center"/>
      <protection locked="0"/>
    </xf>
    <xf numFmtId="3" fontId="21" fillId="0" borderId="67" xfId="0" applyNumberFormat="1" applyFont="1" applyFill="1" applyBorder="1" applyAlignment="1">
      <alignment horizontal="right" vertical="center"/>
    </xf>
    <xf numFmtId="3" fontId="21" fillId="0" borderId="136" xfId="91" applyNumberFormat="1" applyFont="1" applyFill="1" applyBorder="1" applyAlignment="1" applyProtection="1">
      <alignment horizontal="right" vertical="center"/>
      <protection locked="0"/>
    </xf>
    <xf numFmtId="3" fontId="21" fillId="0" borderId="34" xfId="91" applyNumberFormat="1" applyFont="1" applyFill="1" applyBorder="1" applyAlignment="1" applyProtection="1">
      <alignment horizontal="right" vertical="center"/>
      <protection locked="0"/>
    </xf>
    <xf numFmtId="3" fontId="21" fillId="0" borderId="137" xfId="91" applyNumberFormat="1" applyFont="1" applyFill="1" applyBorder="1" applyAlignment="1" applyProtection="1">
      <alignment horizontal="right" vertical="center"/>
      <protection locked="0"/>
    </xf>
    <xf numFmtId="3" fontId="28" fillId="0" borderId="69" xfId="91" applyNumberFormat="1" applyFont="1" applyFill="1" applyBorder="1" applyAlignment="1" applyProtection="1">
      <alignment horizontal="right" vertical="center"/>
    </xf>
    <xf numFmtId="3" fontId="28" fillId="0" borderId="40" xfId="0" applyNumberFormat="1" applyFont="1" applyFill="1" applyBorder="1" applyAlignment="1">
      <alignment horizontal="right" vertical="center"/>
    </xf>
    <xf numFmtId="3" fontId="28" fillId="0" borderId="140" xfId="0" applyNumberFormat="1" applyFont="1" applyFill="1" applyBorder="1" applyAlignment="1">
      <alignment horizontal="right" vertical="center"/>
    </xf>
    <xf numFmtId="3" fontId="28" fillId="0" borderId="35" xfId="0" applyNumberFormat="1" applyFont="1" applyFill="1" applyBorder="1" applyAlignment="1">
      <alignment horizontal="right" vertical="center"/>
    </xf>
    <xf numFmtId="3" fontId="28" fillId="0" borderId="141" xfId="0" applyNumberFormat="1" applyFont="1" applyFill="1" applyBorder="1" applyAlignment="1">
      <alignment horizontal="right" vertical="center"/>
    </xf>
    <xf numFmtId="3" fontId="28" fillId="0" borderId="41" xfId="0" applyNumberFormat="1" applyFont="1" applyFill="1" applyBorder="1" applyAlignment="1">
      <alignment horizontal="right" vertical="center"/>
    </xf>
    <xf numFmtId="3" fontId="21" fillId="0" borderId="52" xfId="0" applyNumberFormat="1" applyFont="1" applyFill="1" applyBorder="1" applyAlignment="1">
      <alignment horizontal="right" vertical="center"/>
    </xf>
    <xf numFmtId="3" fontId="21" fillId="0" borderId="125" xfId="91" applyNumberFormat="1" applyFont="1" applyFill="1" applyBorder="1" applyAlignment="1" applyProtection="1">
      <alignment horizontal="right" vertical="center"/>
      <protection locked="0"/>
    </xf>
    <xf numFmtId="3" fontId="21" fillId="0" borderId="36" xfId="91" applyNumberFormat="1" applyFont="1" applyFill="1" applyBorder="1" applyAlignment="1" applyProtection="1">
      <alignment horizontal="right" vertical="center"/>
      <protection locked="0"/>
    </xf>
    <xf numFmtId="3" fontId="21" fillId="0" borderId="126" xfId="91" applyNumberFormat="1" applyFont="1" applyFill="1" applyBorder="1" applyAlignment="1" applyProtection="1">
      <alignment horizontal="right" vertical="center"/>
      <protection locked="0"/>
    </xf>
    <xf numFmtId="3" fontId="28" fillId="0" borderId="53" xfId="91" applyNumberFormat="1" applyFont="1" applyFill="1" applyBorder="1" applyAlignment="1" applyProtection="1">
      <alignment horizontal="right" vertical="center"/>
      <protection locked="0"/>
    </xf>
    <xf numFmtId="3" fontId="28" fillId="0" borderId="51" xfId="91" applyNumberFormat="1" applyFont="1" applyFill="1" applyBorder="1" applyAlignment="1" applyProtection="1">
      <alignment horizontal="right" vertical="center"/>
      <protection locked="0"/>
    </xf>
    <xf numFmtId="3" fontId="28" fillId="0" borderId="69" xfId="91" applyNumberFormat="1" applyFont="1" applyFill="1" applyBorder="1" applyAlignment="1" applyProtection="1">
      <alignment horizontal="right" vertical="center"/>
      <protection locked="0"/>
    </xf>
    <xf numFmtId="3" fontId="28" fillId="0" borderId="40" xfId="91" applyNumberFormat="1" applyFont="1" applyFill="1" applyBorder="1" applyAlignment="1" applyProtection="1">
      <alignment horizontal="right" vertical="center"/>
    </xf>
    <xf numFmtId="3" fontId="28" fillId="0" borderId="140" xfId="91" applyNumberFormat="1" applyFont="1" applyFill="1" applyBorder="1" applyAlignment="1" applyProtection="1">
      <alignment horizontal="right" vertical="center"/>
    </xf>
    <xf numFmtId="3" fontId="28" fillId="0" borderId="35" xfId="91" applyNumberFormat="1" applyFont="1" applyFill="1" applyBorder="1" applyAlignment="1" applyProtection="1">
      <alignment horizontal="right" vertical="center"/>
    </xf>
    <xf numFmtId="3" fontId="28" fillId="0" borderId="141" xfId="91" applyNumberFormat="1" applyFont="1" applyFill="1" applyBorder="1" applyAlignment="1" applyProtection="1">
      <alignment horizontal="right" vertical="center"/>
    </xf>
    <xf numFmtId="3" fontId="28" fillId="0" borderId="41" xfId="91" applyNumberFormat="1" applyFont="1" applyFill="1" applyBorder="1" applyAlignment="1" applyProtection="1">
      <alignment horizontal="right" vertical="center"/>
    </xf>
    <xf numFmtId="3" fontId="28" fillId="0" borderId="52" xfId="91" applyNumberFormat="1" applyFont="1" applyFill="1" applyBorder="1" applyAlignment="1" applyProtection="1">
      <alignment horizontal="right" vertical="center"/>
    </xf>
    <xf numFmtId="3" fontId="28" fillId="0" borderId="125" xfId="91" applyNumberFormat="1" applyFont="1" applyFill="1" applyBorder="1" applyAlignment="1" applyProtection="1">
      <alignment horizontal="right" vertical="center"/>
    </xf>
    <xf numFmtId="3" fontId="28" fillId="0" borderId="36" xfId="91" applyNumberFormat="1" applyFont="1" applyFill="1" applyBorder="1" applyAlignment="1" applyProtection="1">
      <alignment horizontal="right" vertical="center"/>
    </xf>
    <xf numFmtId="3" fontId="28" fillId="0" borderId="126" xfId="91" applyNumberFormat="1" applyFont="1" applyFill="1" applyBorder="1" applyAlignment="1" applyProtection="1">
      <alignment horizontal="right" vertical="center"/>
    </xf>
    <xf numFmtId="3" fontId="28" fillId="0" borderId="53" xfId="91" applyNumberFormat="1" applyFont="1" applyFill="1" applyBorder="1" applyAlignment="1" applyProtection="1">
      <alignment horizontal="right" vertical="center"/>
    </xf>
    <xf numFmtId="3" fontId="21" fillId="0" borderId="140" xfId="91" applyNumberFormat="1" applyFont="1" applyFill="1" applyBorder="1" applyAlignment="1" applyProtection="1">
      <alignment horizontal="right" vertical="center"/>
      <protection locked="0"/>
    </xf>
    <xf numFmtId="3" fontId="21" fillId="0" borderId="35" xfId="91" applyNumberFormat="1" applyFont="1" applyFill="1" applyBorder="1" applyAlignment="1" applyProtection="1">
      <alignment horizontal="right" vertical="center"/>
      <protection locked="0"/>
    </xf>
    <xf numFmtId="3" fontId="21" fillId="0" borderId="141" xfId="91" applyNumberFormat="1" applyFont="1" applyFill="1" applyBorder="1" applyAlignment="1" applyProtection="1">
      <alignment horizontal="right" vertical="center"/>
      <protection locked="0"/>
    </xf>
    <xf numFmtId="3" fontId="28" fillId="0" borderId="114" xfId="91" applyNumberFormat="1" applyFont="1" applyFill="1" applyBorder="1" applyAlignment="1" applyProtection="1">
      <alignment horizontal="right" vertical="center"/>
    </xf>
    <xf numFmtId="3" fontId="28" fillId="0" borderId="179" xfId="91" applyNumberFormat="1" applyFont="1" applyFill="1" applyBorder="1" applyAlignment="1" applyProtection="1">
      <alignment horizontal="right" vertical="center"/>
    </xf>
    <xf numFmtId="3" fontId="28" fillId="0" borderId="174" xfId="91" applyNumberFormat="1" applyFont="1" applyFill="1" applyBorder="1" applyAlignment="1" applyProtection="1">
      <alignment horizontal="right" vertical="center"/>
    </xf>
    <xf numFmtId="3" fontId="28" fillId="0" borderId="180" xfId="91" applyNumberFormat="1" applyFont="1" applyFill="1" applyBorder="1" applyAlignment="1" applyProtection="1">
      <alignment horizontal="right" vertical="center"/>
    </xf>
    <xf numFmtId="3" fontId="28" fillId="0" borderId="115" xfId="91" applyNumberFormat="1" applyFont="1" applyFill="1" applyBorder="1" applyAlignment="1" applyProtection="1">
      <alignment horizontal="right" vertical="center"/>
    </xf>
    <xf numFmtId="3" fontId="28" fillId="0" borderId="0" xfId="91" applyNumberFormat="1" applyFont="1" applyFill="1" applyBorder="1" applyAlignment="1" applyProtection="1">
      <alignment horizontal="right" vertical="center"/>
    </xf>
    <xf numFmtId="9" fontId="28" fillId="0" borderId="113" xfId="0" applyNumberFormat="1" applyFont="1" applyBorder="1" applyAlignment="1">
      <alignment horizontal="center" vertical="center" wrapText="1"/>
    </xf>
    <xf numFmtId="0" fontId="28" fillId="0" borderId="116" xfId="0" applyFont="1" applyBorder="1" applyAlignment="1">
      <alignment horizontal="center" vertical="center"/>
    </xf>
    <xf numFmtId="0" fontId="28" fillId="0" borderId="39" xfId="0" applyFont="1" applyBorder="1" applyAlignment="1">
      <alignment vertical="center"/>
    </xf>
    <xf numFmtId="0" fontId="28" fillId="0" borderId="63" xfId="0" applyFont="1" applyBorder="1" applyAlignment="1">
      <alignment vertical="center"/>
    </xf>
    <xf numFmtId="0" fontId="28" fillId="0" borderId="96" xfId="0" applyFont="1" applyBorder="1" applyAlignment="1">
      <alignment vertical="center"/>
    </xf>
    <xf numFmtId="3" fontId="28" fillId="28" borderId="66" xfId="0" applyNumberFormat="1" applyFont="1" applyFill="1" applyBorder="1" applyAlignment="1">
      <alignment horizontal="center" vertical="center"/>
    </xf>
    <xf numFmtId="3" fontId="21" fillId="0" borderId="94" xfId="0" applyNumberFormat="1" applyFont="1" applyFill="1" applyBorder="1" applyAlignment="1">
      <alignment vertical="center"/>
    </xf>
    <xf numFmtId="3" fontId="21" fillId="0" borderId="39" xfId="0" applyNumberFormat="1" applyFont="1" applyFill="1" applyBorder="1" applyAlignment="1">
      <alignment vertical="center"/>
    </xf>
    <xf numFmtId="3" fontId="21" fillId="0" borderId="47" xfId="0" applyNumberFormat="1" applyFont="1" applyFill="1" applyBorder="1" applyAlignment="1">
      <alignment vertical="center"/>
    </xf>
    <xf numFmtId="3" fontId="28" fillId="0" borderId="66" xfId="0" applyNumberFormat="1" applyFont="1" applyFill="1" applyBorder="1" applyAlignment="1">
      <alignment vertical="center"/>
    </xf>
    <xf numFmtId="3" fontId="21" fillId="0" borderId="82" xfId="54" applyNumberFormat="1" applyFont="1" applyFill="1" applyBorder="1"/>
    <xf numFmtId="3" fontId="29" fillId="0" borderId="82" xfId="0" applyNumberFormat="1" applyFont="1" applyFill="1" applyBorder="1"/>
    <xf numFmtId="3" fontId="29" fillId="0" borderId="137" xfId="0" applyNumberFormat="1" applyFont="1" applyFill="1" applyBorder="1"/>
    <xf numFmtId="3" fontId="21" fillId="0" borderId="137" xfId="0" applyNumberFormat="1" applyFont="1" applyFill="1" applyBorder="1"/>
    <xf numFmtId="3" fontId="28" fillId="0" borderId="141" xfId="0" applyNumberFormat="1" applyFont="1" applyFill="1" applyBorder="1" applyAlignment="1">
      <alignment vertical="center"/>
    </xf>
    <xf numFmtId="3" fontId="21" fillId="0" borderId="126" xfId="0" applyNumberFormat="1" applyFont="1" applyFill="1" applyBorder="1"/>
    <xf numFmtId="3" fontId="28" fillId="0" borderId="141" xfId="0" applyNumberFormat="1" applyFont="1" applyFill="1" applyBorder="1"/>
    <xf numFmtId="3" fontId="21" fillId="0" borderId="145" xfId="0" applyNumberFormat="1" applyFont="1" applyFill="1" applyBorder="1"/>
    <xf numFmtId="3" fontId="28" fillId="0" borderId="141" xfId="54" applyNumberFormat="1" applyFont="1" applyFill="1" applyBorder="1"/>
    <xf numFmtId="3" fontId="28" fillId="0" borderId="169" xfId="0" applyNumberFormat="1" applyFont="1" applyFill="1" applyBorder="1"/>
    <xf numFmtId="3" fontId="28" fillId="0" borderId="149" xfId="0" applyNumberFormat="1" applyFont="1" applyFill="1" applyBorder="1"/>
    <xf numFmtId="165" fontId="21" fillId="0" borderId="0" xfId="54" applyNumberFormat="1" applyFont="1" applyFill="1" applyBorder="1"/>
    <xf numFmtId="166" fontId="21" fillId="0" borderId="51" xfId="54" applyNumberFormat="1" applyFont="1" applyFill="1" applyBorder="1"/>
    <xf numFmtId="3" fontId="32" fillId="0" borderId="89" xfId="0" applyNumberFormat="1" applyFont="1" applyFill="1" applyBorder="1" applyAlignment="1">
      <alignment horizontal="right" vertical="center"/>
    </xf>
    <xf numFmtId="3" fontId="26" fillId="0" borderId="101" xfId="0" applyNumberFormat="1" applyFont="1" applyFill="1" applyBorder="1" applyAlignment="1">
      <alignment horizontal="right" vertical="center"/>
    </xf>
    <xf numFmtId="3" fontId="26" fillId="0" borderId="53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center" vertical="center" wrapText="1"/>
    </xf>
    <xf numFmtId="0" fontId="21" fillId="0" borderId="39" xfId="0" applyFont="1" applyFill="1" applyBorder="1"/>
    <xf numFmtId="0" fontId="28" fillId="0" borderId="4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32" fillId="0" borderId="109" xfId="0" applyFont="1" applyFill="1" applyBorder="1" applyAlignment="1">
      <alignment horizontal="center" vertical="center" wrapText="1"/>
    </xf>
    <xf numFmtId="164" fontId="26" fillId="0" borderId="40" xfId="0" applyNumberFormat="1" applyFont="1" applyFill="1" applyBorder="1" applyAlignment="1">
      <alignment horizontal="center" vertical="center" wrapText="1"/>
    </xf>
    <xf numFmtId="164" fontId="32" fillId="0" borderId="52" xfId="0" applyNumberFormat="1" applyFont="1" applyFill="1" applyBorder="1" applyAlignment="1">
      <alignment horizontal="center" vertical="center" wrapText="1"/>
    </xf>
    <xf numFmtId="164" fontId="26" fillId="0" borderId="68" xfId="0" applyNumberFormat="1" applyFont="1" applyFill="1" applyBorder="1" applyAlignment="1">
      <alignment vertical="center" wrapText="1"/>
    </xf>
    <xf numFmtId="164" fontId="33" fillId="0" borderId="68" xfId="0" applyNumberFormat="1" applyFont="1" applyFill="1" applyBorder="1" applyAlignment="1">
      <alignment vertical="center" wrapText="1"/>
    </xf>
    <xf numFmtId="164" fontId="32" fillId="0" borderId="68" xfId="0" applyNumberFormat="1" applyFont="1" applyFill="1" applyBorder="1" applyAlignment="1">
      <alignment vertical="center" wrapText="1"/>
    </xf>
    <xf numFmtId="164" fontId="26" fillId="0" borderId="68" xfId="0" applyNumberFormat="1" applyFont="1" applyFill="1" applyBorder="1" applyAlignment="1">
      <alignment vertical="center"/>
    </xf>
    <xf numFmtId="164" fontId="33" fillId="0" borderId="187" xfId="0" applyNumberFormat="1" applyFont="1" applyFill="1" applyBorder="1" applyAlignment="1">
      <alignment vertical="center"/>
    </xf>
    <xf numFmtId="164" fontId="32" fillId="0" borderId="37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3" fontId="28" fillId="29" borderId="54" xfId="54" applyNumberFormat="1" applyFont="1" applyFill="1" applyBorder="1" applyAlignment="1">
      <alignment wrapText="1"/>
    </xf>
    <xf numFmtId="3" fontId="28" fillId="0" borderId="98" xfId="54" applyNumberFormat="1" applyFont="1" applyBorder="1" applyAlignment="1">
      <alignment vertical="center"/>
    </xf>
    <xf numFmtId="3" fontId="28" fillId="0" borderId="103" xfId="54" applyNumberFormat="1" applyFont="1" applyBorder="1" applyAlignment="1">
      <alignment vertical="center"/>
    </xf>
    <xf numFmtId="3" fontId="28" fillId="28" borderId="37" xfId="54" applyNumberFormat="1" applyFont="1" applyFill="1" applyBorder="1" applyAlignment="1">
      <alignment vertical="center"/>
    </xf>
    <xf numFmtId="3" fontId="28" fillId="28" borderId="75" xfId="54" applyNumberFormat="1" applyFont="1" applyFill="1" applyBorder="1" applyAlignment="1">
      <alignment vertical="center"/>
    </xf>
    <xf numFmtId="3" fontId="21" fillId="0" borderId="93" xfId="0" applyNumberFormat="1" applyFont="1" applyFill="1" applyBorder="1" applyAlignment="1">
      <alignment vertical="center"/>
    </xf>
    <xf numFmtId="3" fontId="21" fillId="0" borderId="186" xfId="0" applyNumberFormat="1" applyFont="1" applyFill="1" applyBorder="1" applyAlignment="1">
      <alignment vertical="center"/>
    </xf>
    <xf numFmtId="3" fontId="26" fillId="0" borderId="42" xfId="0" applyNumberFormat="1" applyFont="1" applyFill="1" applyBorder="1" applyAlignment="1">
      <alignment horizontal="right" vertical="center"/>
    </xf>
    <xf numFmtId="3" fontId="32" fillId="0" borderId="37" xfId="0" applyNumberFormat="1" applyFont="1" applyFill="1" applyBorder="1" applyAlignment="1">
      <alignment horizontal="right" vertical="center"/>
    </xf>
    <xf numFmtId="0" fontId="26" fillId="0" borderId="18" xfId="0" applyFont="1" applyFill="1" applyBorder="1" applyAlignment="1">
      <alignment vertical="center" wrapText="1"/>
    </xf>
    <xf numFmtId="3" fontId="28" fillId="0" borderId="24" xfId="0" applyNumberFormat="1" applyFont="1" applyFill="1" applyBorder="1" applyAlignment="1">
      <alignment vertical="center" wrapText="1"/>
    </xf>
    <xf numFmtId="3" fontId="21" fillId="0" borderId="16" xfId="0" applyNumberFormat="1" applyFont="1" applyFill="1" applyBorder="1" applyAlignment="1">
      <alignment wrapText="1"/>
    </xf>
    <xf numFmtId="3" fontId="21" fillId="0" borderId="125" xfId="0" applyNumberFormat="1" applyFont="1" applyFill="1" applyBorder="1" applyAlignment="1">
      <alignment wrapText="1"/>
    </xf>
    <xf numFmtId="0" fontId="21" fillId="0" borderId="52" xfId="75" applyFont="1" applyFill="1" applyBorder="1" applyAlignment="1">
      <alignment vertical="center" wrapText="1"/>
    </xf>
    <xf numFmtId="166" fontId="21" fillId="0" borderId="69" xfId="54" applyNumberFormat="1" applyFont="1" applyFill="1" applyBorder="1"/>
    <xf numFmtId="166" fontId="21" fillId="0" borderId="41" xfId="54" applyNumberFormat="1" applyFont="1" applyFill="1" applyBorder="1"/>
    <xf numFmtId="166" fontId="21" fillId="0" borderId="53" xfId="54" applyNumberFormat="1" applyFont="1" applyFill="1" applyBorder="1"/>
    <xf numFmtId="166" fontId="21" fillId="0" borderId="186" xfId="54" applyNumberFormat="1" applyFont="1" applyFill="1" applyBorder="1"/>
    <xf numFmtId="166" fontId="21" fillId="0" borderId="99" xfId="54" applyNumberFormat="1" applyFont="1" applyFill="1" applyBorder="1"/>
    <xf numFmtId="166" fontId="28" fillId="0" borderId="38" xfId="54" applyNumberFormat="1" applyFont="1" applyFill="1" applyBorder="1"/>
    <xf numFmtId="166" fontId="28" fillId="0" borderId="41" xfId="54" applyNumberFormat="1" applyFont="1" applyFill="1" applyBorder="1"/>
    <xf numFmtId="0" fontId="36" fillId="0" borderId="61" xfId="75" applyFont="1" applyFill="1" applyBorder="1" applyAlignment="1">
      <alignment horizontal="left" vertical="center"/>
    </xf>
    <xf numFmtId="0" fontId="36" fillId="0" borderId="83" xfId="75" applyFont="1" applyFill="1" applyBorder="1" applyAlignment="1">
      <alignment vertical="center" wrapText="1"/>
    </xf>
    <xf numFmtId="3" fontId="21" fillId="0" borderId="80" xfId="0" applyNumberFormat="1" applyFont="1" applyFill="1" applyBorder="1" applyAlignment="1">
      <alignment vertical="center" wrapText="1"/>
    </xf>
    <xf numFmtId="3" fontId="21" fillId="0" borderId="90" xfId="0" applyNumberFormat="1" applyFont="1" applyFill="1" applyBorder="1" applyAlignment="1">
      <alignment vertical="center" wrapText="1"/>
    </xf>
    <xf numFmtId="3" fontId="21" fillId="0" borderId="188" xfId="0" applyNumberFormat="1" applyFont="1" applyFill="1" applyBorder="1" applyAlignment="1">
      <alignment vertical="center" wrapText="1"/>
    </xf>
    <xf numFmtId="3" fontId="21" fillId="0" borderId="31" xfId="0" applyNumberFormat="1" applyFont="1" applyFill="1" applyBorder="1" applyAlignment="1">
      <alignment vertical="center" wrapText="1"/>
    </xf>
    <xf numFmtId="3" fontId="21" fillId="0" borderId="57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3" fontId="26" fillId="0" borderId="43" xfId="0" applyNumberFormat="1" applyFont="1" applyFill="1" applyBorder="1" applyAlignment="1">
      <alignment horizontal="right" vertical="center"/>
    </xf>
    <xf numFmtId="3" fontId="32" fillId="0" borderId="41" xfId="0" applyNumberFormat="1" applyFont="1" applyFill="1" applyBorder="1" applyAlignment="1">
      <alignment horizontal="right" vertical="center"/>
    </xf>
    <xf numFmtId="3" fontId="26" fillId="0" borderId="51" xfId="0" applyNumberFormat="1" applyFont="1" applyFill="1" applyBorder="1" applyAlignment="1">
      <alignment horizontal="right" vertical="center"/>
    </xf>
    <xf numFmtId="3" fontId="26" fillId="0" borderId="186" xfId="0" applyNumberFormat="1" applyFont="1" applyFill="1" applyBorder="1" applyAlignment="1">
      <alignment horizontal="right" vertical="center"/>
    </xf>
    <xf numFmtId="3" fontId="32" fillId="0" borderId="38" xfId="0" applyNumberFormat="1" applyFont="1" applyFill="1" applyBorder="1" applyAlignment="1">
      <alignment horizontal="right" vertical="center"/>
    </xf>
    <xf numFmtId="0" fontId="30" fillId="0" borderId="55" xfId="0" applyFont="1" applyFill="1" applyBorder="1" applyAlignment="1">
      <alignment wrapText="1"/>
    </xf>
    <xf numFmtId="0" fontId="30" fillId="0" borderId="26" xfId="0" applyFont="1" applyFill="1" applyBorder="1" applyAlignment="1">
      <alignment horizontal="center" vertical="center" wrapText="1"/>
    </xf>
    <xf numFmtId="0" fontId="30" fillId="0" borderId="60" xfId="0" applyFont="1" applyFill="1" applyBorder="1" applyAlignment="1">
      <alignment horizontal="center" vertical="center" wrapText="1"/>
    </xf>
    <xf numFmtId="0" fontId="30" fillId="0" borderId="64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wrapText="1"/>
    </xf>
    <xf numFmtId="0" fontId="42" fillId="0" borderId="28" xfId="0" applyFont="1" applyFill="1" applyBorder="1" applyAlignment="1">
      <alignment wrapTex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0" fontId="30" fillId="0" borderId="65" xfId="0" applyFont="1" applyFill="1" applyBorder="1"/>
    <xf numFmtId="3" fontId="30" fillId="0" borderId="65" xfId="0" applyNumberFormat="1" applyFont="1" applyFill="1" applyBorder="1"/>
    <xf numFmtId="3" fontId="30" fillId="0" borderId="24" xfId="0" applyNumberFormat="1" applyFont="1" applyFill="1" applyBorder="1"/>
    <xf numFmtId="3" fontId="30" fillId="0" borderId="33" xfId="0" applyNumberFormat="1" applyFont="1" applyFill="1" applyBorder="1"/>
    <xf numFmtId="3" fontId="30" fillId="0" borderId="17" xfId="0" applyNumberFormat="1" applyFont="1" applyFill="1" applyBorder="1"/>
    <xf numFmtId="167" fontId="30" fillId="0" borderId="0" xfId="0" applyNumberFormat="1" applyFont="1" applyFill="1"/>
    <xf numFmtId="3" fontId="30" fillId="0" borderId="0" xfId="0" applyNumberFormat="1" applyFont="1" applyFill="1"/>
    <xf numFmtId="4" fontId="30" fillId="0" borderId="0" xfId="0" applyNumberFormat="1" applyFont="1" applyFill="1"/>
    <xf numFmtId="0" fontId="30" fillId="0" borderId="0" xfId="0" applyFont="1" applyFill="1"/>
    <xf numFmtId="0" fontId="30" fillId="0" borderId="58" xfId="0" applyFont="1" applyFill="1" applyBorder="1"/>
    <xf numFmtId="0" fontId="30" fillId="0" borderId="176" xfId="0" applyFont="1" applyFill="1" applyBorder="1"/>
    <xf numFmtId="3" fontId="30" fillId="0" borderId="175" xfId="0" applyNumberFormat="1" applyFont="1" applyFill="1" applyBorder="1"/>
    <xf numFmtId="3" fontId="30" fillId="0" borderId="21" xfId="0" applyNumberFormat="1" applyFont="1" applyFill="1" applyBorder="1"/>
    <xf numFmtId="3" fontId="30" fillId="0" borderId="34" xfId="0" applyNumberFormat="1" applyFont="1" applyFill="1" applyBorder="1"/>
    <xf numFmtId="3" fontId="30" fillId="0" borderId="54" xfId="0" applyNumberFormat="1" applyFont="1" applyFill="1" applyBorder="1"/>
    <xf numFmtId="3" fontId="30" fillId="0" borderId="58" xfId="0" applyNumberFormat="1" applyFont="1" applyFill="1" applyBorder="1"/>
    <xf numFmtId="0" fontId="30" fillId="0" borderId="59" xfId="0" applyFont="1" applyFill="1" applyBorder="1"/>
    <xf numFmtId="0" fontId="42" fillId="0" borderId="14" xfId="0" applyFont="1" applyFill="1" applyBorder="1"/>
    <xf numFmtId="3" fontId="42" fillId="0" borderId="14" xfId="0" applyNumberFormat="1" applyFont="1" applyFill="1" applyBorder="1"/>
    <xf numFmtId="3" fontId="42" fillId="0" borderId="26" xfId="0" applyNumberFormat="1" applyFont="1" applyFill="1" applyBorder="1"/>
    <xf numFmtId="3" fontId="42" fillId="0" borderId="60" xfId="0" applyNumberFormat="1" applyFont="1" applyFill="1" applyBorder="1"/>
    <xf numFmtId="0" fontId="30" fillId="0" borderId="30" xfId="0" applyFont="1" applyFill="1" applyBorder="1" applyAlignment="1"/>
    <xf numFmtId="3" fontId="30" fillId="0" borderId="144" xfId="0" applyNumberFormat="1" applyFont="1" applyFill="1" applyBorder="1" applyAlignment="1"/>
    <xf numFmtId="3" fontId="30" fillId="0" borderId="102" xfId="0" applyNumberFormat="1" applyFont="1" applyFill="1" applyBorder="1" applyAlignment="1"/>
    <xf numFmtId="3" fontId="30" fillId="0" borderId="145" xfId="0" applyNumberFormat="1" applyFont="1" applyFill="1" applyBorder="1" applyAlignment="1"/>
    <xf numFmtId="3" fontId="30" fillId="0" borderId="175" xfId="0" applyNumberFormat="1" applyFont="1" applyFill="1" applyBorder="1" applyAlignment="1"/>
    <xf numFmtId="0" fontId="30" fillId="0" borderId="0" xfId="0" applyFont="1" applyFill="1" applyBorder="1" applyAlignment="1"/>
    <xf numFmtId="3" fontId="30" fillId="0" borderId="0" xfId="0" applyNumberFormat="1" applyFont="1" applyFill="1" applyBorder="1" applyAlignment="1"/>
    <xf numFmtId="4" fontId="30" fillId="0" borderId="0" xfId="0" applyNumberFormat="1" applyFont="1" applyFill="1" applyBorder="1" applyAlignment="1"/>
    <xf numFmtId="3" fontId="30" fillId="0" borderId="0" xfId="0" applyNumberFormat="1" applyFont="1" applyFill="1" applyAlignment="1"/>
    <xf numFmtId="0" fontId="42" fillId="0" borderId="29" xfId="0" applyFont="1" applyFill="1" applyBorder="1" applyAlignment="1">
      <alignment vertical="center"/>
    </xf>
    <xf numFmtId="3" fontId="42" fillId="0" borderId="177" xfId="0" applyNumberFormat="1" applyFont="1" applyFill="1" applyBorder="1" applyAlignment="1">
      <alignment vertical="center"/>
    </xf>
    <xf numFmtId="3" fontId="42" fillId="0" borderId="167" xfId="0" applyNumberFormat="1" applyFont="1" applyFill="1" applyBorder="1" applyAlignment="1">
      <alignment vertical="center"/>
    </xf>
    <xf numFmtId="0" fontId="42" fillId="0" borderId="178" xfId="0" applyFont="1" applyFill="1" applyBorder="1" applyAlignment="1">
      <alignment vertical="center"/>
    </xf>
    <xf numFmtId="3" fontId="42" fillId="0" borderId="81" xfId="0" applyNumberFormat="1" applyFont="1" applyFill="1" applyBorder="1" applyAlignment="1">
      <alignment vertical="center"/>
    </xf>
    <xf numFmtId="3" fontId="42" fillId="0" borderId="179" xfId="0" applyNumberFormat="1" applyFont="1" applyFill="1" applyBorder="1" applyAlignment="1">
      <alignment vertical="center"/>
    </xf>
    <xf numFmtId="3" fontId="42" fillId="0" borderId="174" xfId="0" applyNumberFormat="1" applyFont="1" applyFill="1" applyBorder="1" applyAlignment="1">
      <alignment vertical="center"/>
    </xf>
    <xf numFmtId="0" fontId="42" fillId="0" borderId="78" xfId="0" applyFont="1" applyFill="1" applyBorder="1"/>
    <xf numFmtId="3" fontId="42" fillId="0" borderId="78" xfId="0" applyNumberFormat="1" applyFont="1" applyFill="1" applyBorder="1"/>
    <xf numFmtId="0" fontId="42" fillId="0" borderId="70" xfId="0" applyFont="1" applyFill="1" applyBorder="1" applyAlignment="1">
      <alignment wrapText="1"/>
    </xf>
    <xf numFmtId="3" fontId="30" fillId="0" borderId="31" xfId="0" applyNumberFormat="1" applyFont="1" applyFill="1" applyBorder="1"/>
    <xf numFmtId="3" fontId="30" fillId="0" borderId="90" xfId="0" applyNumberFormat="1" applyFont="1" applyFill="1" applyBorder="1"/>
    <xf numFmtId="3" fontId="30" fillId="0" borderId="28" xfId="0" applyNumberFormat="1" applyFont="1" applyFill="1" applyBorder="1"/>
    <xf numFmtId="0" fontId="30" fillId="0" borderId="16" xfId="0" applyFont="1" applyFill="1" applyBorder="1"/>
    <xf numFmtId="3" fontId="30" fillId="0" borderId="82" xfId="0" applyNumberFormat="1" applyFont="1" applyFill="1" applyBorder="1"/>
    <xf numFmtId="1" fontId="30" fillId="0" borderId="0" xfId="0" applyNumberFormat="1" applyFont="1" applyFill="1"/>
    <xf numFmtId="3" fontId="42" fillId="0" borderId="32" xfId="0" applyNumberFormat="1" applyFont="1" applyFill="1" applyBorder="1"/>
    <xf numFmtId="3" fontId="30" fillId="0" borderId="100" xfId="0" applyNumberFormat="1" applyFont="1" applyFill="1" applyBorder="1"/>
    <xf numFmtId="0" fontId="30" fillId="0" borderId="13" xfId="0" applyFont="1" applyFill="1" applyBorder="1"/>
    <xf numFmtId="3" fontId="30" fillId="0" borderId="73" xfId="0" applyNumberFormat="1" applyFont="1" applyFill="1" applyBorder="1"/>
    <xf numFmtId="0" fontId="42" fillId="0" borderId="25" xfId="0" applyFont="1" applyFill="1" applyBorder="1"/>
    <xf numFmtId="0" fontId="30" fillId="0" borderId="0" xfId="0" applyFont="1" applyFill="1" applyBorder="1"/>
    <xf numFmtId="3" fontId="30" fillId="0" borderId="20" xfId="0" applyNumberFormat="1" applyFont="1" applyFill="1" applyBorder="1"/>
    <xf numFmtId="3" fontId="30" fillId="0" borderId="125" xfId="0" applyNumberFormat="1" applyFont="1" applyFill="1" applyBorder="1"/>
    <xf numFmtId="3" fontId="30" fillId="0" borderId="126" xfId="0" applyNumberFormat="1" applyFont="1" applyFill="1" applyBorder="1"/>
    <xf numFmtId="0" fontId="30" fillId="0" borderId="16" xfId="0" applyFont="1" applyFill="1" applyBorder="1" applyAlignment="1">
      <alignment wrapText="1"/>
    </xf>
    <xf numFmtId="3" fontId="30" fillId="0" borderId="36" xfId="0" applyNumberFormat="1" applyFont="1" applyFill="1" applyBorder="1"/>
    <xf numFmtId="0" fontId="30" fillId="0" borderId="18" xfId="0" applyFont="1" applyFill="1" applyBorder="1"/>
    <xf numFmtId="3" fontId="30" fillId="0" borderId="176" xfId="0" applyNumberFormat="1" applyFont="1" applyFill="1" applyBorder="1"/>
    <xf numFmtId="3" fontId="30" fillId="0" borderId="137" xfId="0" applyNumberFormat="1" applyFont="1" applyFill="1" applyBorder="1"/>
    <xf numFmtId="0" fontId="30" fillId="0" borderId="29" xfId="0" applyFont="1" applyFill="1" applyBorder="1"/>
    <xf numFmtId="3" fontId="30" fillId="0" borderId="177" xfId="0" applyNumberFormat="1" applyFont="1" applyFill="1" applyBorder="1"/>
    <xf numFmtId="3" fontId="30" fillId="0" borderId="166" xfId="0" applyNumberFormat="1" applyFont="1" applyFill="1" applyBorder="1"/>
    <xf numFmtId="3" fontId="30" fillId="0" borderId="167" xfId="0" applyNumberFormat="1" applyFont="1" applyFill="1" applyBorder="1"/>
    <xf numFmtId="3" fontId="30" fillId="0" borderId="169" xfId="0" applyNumberFormat="1" applyFont="1" applyFill="1" applyBorder="1"/>
    <xf numFmtId="0" fontId="42" fillId="0" borderId="189" xfId="0" applyFont="1" applyFill="1" applyBorder="1" applyAlignment="1">
      <alignment wrapText="1"/>
    </xf>
    <xf numFmtId="0" fontId="26" fillId="0" borderId="94" xfId="0" applyFont="1" applyFill="1" applyBorder="1" applyAlignment="1">
      <alignment vertical="center" wrapText="1"/>
    </xf>
    <xf numFmtId="0" fontId="26" fillId="0" borderId="119" xfId="0" applyFont="1" applyFill="1" applyBorder="1" applyAlignment="1">
      <alignment vertical="center" wrapText="1"/>
    </xf>
    <xf numFmtId="0" fontId="26" fillId="0" borderId="62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horizontal="right" vertical="center"/>
    </xf>
    <xf numFmtId="3" fontId="32" fillId="0" borderId="42" xfId="0" applyNumberFormat="1" applyFont="1" applyFill="1" applyBorder="1" applyAlignment="1">
      <alignment horizontal="right" vertical="center"/>
    </xf>
    <xf numFmtId="3" fontId="32" fillId="0" borderId="101" xfId="0" applyNumberFormat="1" applyFont="1" applyFill="1" applyBorder="1" applyAlignment="1">
      <alignment horizontal="right" vertical="center"/>
    </xf>
    <xf numFmtId="3" fontId="32" fillId="0" borderId="43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/>
    <xf numFmtId="4" fontId="21" fillId="0" borderId="0" xfId="0" applyNumberFormat="1" applyFont="1" applyFill="1" applyBorder="1" applyAlignment="1"/>
    <xf numFmtId="0" fontId="21" fillId="0" borderId="0" xfId="0" applyFont="1" applyFill="1" applyBorder="1" applyAlignment="1"/>
    <xf numFmtId="1" fontId="21" fillId="0" borderId="0" xfId="0" applyNumberFormat="1" applyFont="1" applyFill="1"/>
    <xf numFmtId="0" fontId="21" fillId="0" borderId="94" xfId="0" applyFont="1" applyFill="1" applyBorder="1" applyAlignment="1">
      <alignment horizontal="left" vertical="center" wrapText="1"/>
    </xf>
    <xf numFmtId="0" fontId="19" fillId="0" borderId="0" xfId="77" applyFont="1" applyAlignment="1">
      <alignment vertical="center"/>
    </xf>
    <xf numFmtId="0" fontId="21" fillId="0" borderId="16" xfId="0" applyFont="1" applyBorder="1" applyAlignment="1">
      <alignment vertical="center"/>
    </xf>
    <xf numFmtId="3" fontId="21" fillId="0" borderId="52" xfId="0" applyNumberFormat="1" applyFont="1" applyBorder="1" applyAlignment="1">
      <alignment vertical="center"/>
    </xf>
    <xf numFmtId="3" fontId="21" fillId="0" borderId="48" xfId="0" applyNumberFormat="1" applyFont="1" applyBorder="1" applyAlignment="1">
      <alignment vertical="center"/>
    </xf>
    <xf numFmtId="3" fontId="21" fillId="0" borderId="87" xfId="0" applyNumberFormat="1" applyFont="1" applyBorder="1" applyAlignment="1">
      <alignment vertical="center"/>
    </xf>
    <xf numFmtId="166" fontId="21" fillId="0" borderId="87" xfId="0" applyNumberFormat="1" applyFont="1" applyBorder="1" applyAlignment="1">
      <alignment vertical="center"/>
    </xf>
    <xf numFmtId="0" fontId="21" fillId="0" borderId="94" xfId="0" applyFont="1" applyBorder="1" applyAlignment="1">
      <alignment vertical="center"/>
    </xf>
    <xf numFmtId="166" fontId="21" fillId="0" borderId="53" xfId="0" applyNumberFormat="1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3" fontId="21" fillId="0" borderId="68" xfId="0" applyNumberFormat="1" applyFont="1" applyBorder="1" applyAlignment="1">
      <alignment vertical="center"/>
    </xf>
    <xf numFmtId="3" fontId="21" fillId="0" borderId="49" xfId="0" applyNumberFormat="1" applyFont="1" applyBorder="1" applyAlignment="1">
      <alignment vertical="center"/>
    </xf>
    <xf numFmtId="3" fontId="21" fillId="0" borderId="86" xfId="0" applyNumberFormat="1" applyFont="1" applyBorder="1" applyAlignment="1">
      <alignment vertical="center"/>
    </xf>
    <xf numFmtId="0" fontId="21" fillId="0" borderId="84" xfId="0" applyFont="1" applyBorder="1" applyAlignment="1">
      <alignment vertical="center"/>
    </xf>
    <xf numFmtId="3" fontId="21" fillId="0" borderId="68" xfId="0" applyNumberFormat="1" applyFont="1" applyBorder="1" applyAlignment="1">
      <alignment vertical="center" wrapText="1"/>
    </xf>
    <xf numFmtId="3" fontId="21" fillId="0" borderId="49" xfId="0" applyNumberFormat="1" applyFont="1" applyBorder="1" applyAlignment="1">
      <alignment vertical="center" wrapText="1"/>
    </xf>
    <xf numFmtId="3" fontId="21" fillId="0" borderId="68" xfId="0" applyNumberFormat="1" applyFont="1" applyFill="1" applyBorder="1" applyAlignment="1">
      <alignment vertical="center"/>
    </xf>
    <xf numFmtId="3" fontId="21" fillId="0" borderId="49" xfId="0" applyNumberFormat="1" applyFont="1" applyFill="1" applyBorder="1" applyAlignment="1">
      <alignment vertical="center"/>
    </xf>
    <xf numFmtId="0" fontId="21" fillId="0" borderId="84" xfId="0" applyFont="1" applyFill="1" applyBorder="1" applyAlignment="1">
      <alignment vertical="center"/>
    </xf>
    <xf numFmtId="166" fontId="21" fillId="0" borderId="86" xfId="0" applyNumberFormat="1" applyFont="1" applyBorder="1" applyAlignment="1">
      <alignment vertical="center"/>
    </xf>
    <xf numFmtId="0" fontId="21" fillId="27" borderId="18" xfId="0" applyFont="1" applyFill="1" applyBorder="1" applyAlignment="1">
      <alignment vertical="center"/>
    </xf>
    <xf numFmtId="3" fontId="21" fillId="27" borderId="67" xfId="0" applyNumberFormat="1" applyFont="1" applyFill="1" applyBorder="1" applyAlignment="1">
      <alignment vertical="center"/>
    </xf>
    <xf numFmtId="3" fontId="21" fillId="27" borderId="50" xfId="0" applyNumberFormat="1" applyFont="1" applyFill="1" applyBorder="1" applyAlignment="1">
      <alignment vertical="center"/>
    </xf>
    <xf numFmtId="3" fontId="21" fillId="0" borderId="88" xfId="0" applyNumberFormat="1" applyFont="1" applyBorder="1" applyAlignment="1">
      <alignment vertical="center"/>
    </xf>
    <xf numFmtId="166" fontId="21" fillId="0" borderId="88" xfId="0" applyNumberFormat="1" applyFont="1" applyBorder="1" applyAlignment="1">
      <alignment vertical="center"/>
    </xf>
    <xf numFmtId="0" fontId="35" fillId="27" borderId="95" xfId="0" applyFont="1" applyFill="1" applyBorder="1" applyAlignment="1">
      <alignment vertical="center"/>
    </xf>
    <xf numFmtId="3" fontId="35" fillId="27" borderId="67" xfId="0" applyNumberFormat="1" applyFont="1" applyFill="1" applyBorder="1" applyAlignment="1">
      <alignment vertical="center"/>
    </xf>
    <xf numFmtId="3" fontId="21" fillId="0" borderId="50" xfId="0" applyNumberFormat="1" applyFont="1" applyBorder="1" applyAlignment="1">
      <alignment vertical="center"/>
    </xf>
    <xf numFmtId="3" fontId="28" fillId="0" borderId="89" xfId="0" applyNumberFormat="1" applyFont="1" applyBorder="1" applyAlignment="1">
      <alignment vertical="center"/>
    </xf>
    <xf numFmtId="166" fontId="28" fillId="0" borderId="89" xfId="0" applyNumberFormat="1" applyFont="1" applyBorder="1" applyAlignment="1">
      <alignment vertical="center"/>
    </xf>
    <xf numFmtId="166" fontId="28" fillId="0" borderId="41" xfId="0" applyNumberFormat="1" applyFont="1" applyBorder="1" applyAlignment="1">
      <alignment vertical="center"/>
    </xf>
    <xf numFmtId="3" fontId="21" fillId="0" borderId="92" xfId="0" applyNumberFormat="1" applyFont="1" applyBorder="1" applyAlignment="1">
      <alignment vertical="center"/>
    </xf>
    <xf numFmtId="166" fontId="21" fillId="0" borderId="92" xfId="0" applyNumberFormat="1" applyFont="1" applyBorder="1" applyAlignment="1">
      <alignment vertical="center"/>
    </xf>
    <xf numFmtId="166" fontId="21" fillId="0" borderId="43" xfId="0" applyNumberFormat="1" applyFont="1" applyBorder="1" applyAlignment="1">
      <alignment vertical="center"/>
    </xf>
    <xf numFmtId="3" fontId="21" fillId="0" borderId="52" xfId="54" applyNumberFormat="1" applyFont="1" applyBorder="1" applyAlignment="1">
      <alignment vertical="center"/>
    </xf>
    <xf numFmtId="3" fontId="21" fillId="0" borderId="48" xfId="54" applyNumberFormat="1" applyFont="1" applyBorder="1" applyAlignment="1">
      <alignment vertical="center"/>
    </xf>
    <xf numFmtId="0" fontId="19" fillId="0" borderId="0" xfId="77" applyFont="1" applyBorder="1" applyAlignment="1">
      <alignment vertical="center"/>
    </xf>
    <xf numFmtId="0" fontId="21" fillId="0" borderId="13" xfId="0" applyFont="1" applyBorder="1" applyAlignment="1" applyProtection="1">
      <alignment vertical="center"/>
      <protection locked="0" hidden="1"/>
    </xf>
    <xf numFmtId="3" fontId="21" fillId="0" borderId="68" xfId="54" applyNumberFormat="1" applyFont="1" applyBorder="1" applyAlignment="1">
      <alignment vertical="center"/>
    </xf>
    <xf numFmtId="3" fontId="21" fillId="0" borderId="49" xfId="54" applyNumberFormat="1" applyFont="1" applyBorder="1" applyAlignment="1">
      <alignment vertical="center"/>
    </xf>
    <xf numFmtId="166" fontId="21" fillId="0" borderId="51" xfId="0" applyNumberFormat="1" applyFont="1" applyBorder="1" applyAlignment="1">
      <alignment vertical="center"/>
    </xf>
    <xf numFmtId="3" fontId="21" fillId="0" borderId="68" xfId="54" applyNumberFormat="1" applyFont="1" applyBorder="1" applyAlignment="1">
      <alignment horizontal="right" vertical="center"/>
    </xf>
    <xf numFmtId="0" fontId="21" fillId="0" borderId="18" xfId="0" applyFont="1" applyBorder="1" applyAlignment="1">
      <alignment vertical="center"/>
    </xf>
    <xf numFmtId="3" fontId="21" fillId="0" borderId="67" xfId="0" applyNumberFormat="1" applyFont="1" applyFill="1" applyBorder="1" applyAlignment="1">
      <alignment vertical="center"/>
    </xf>
    <xf numFmtId="3" fontId="21" fillId="0" borderId="50" xfId="0" applyNumberFormat="1" applyFont="1" applyFill="1" applyBorder="1" applyAlignment="1">
      <alignment vertical="center"/>
    </xf>
    <xf numFmtId="0" fontId="21" fillId="0" borderId="95" xfId="0" applyFont="1" applyBorder="1" applyAlignment="1">
      <alignment vertical="center"/>
    </xf>
    <xf numFmtId="3" fontId="21" fillId="0" borderId="67" xfId="54" applyNumberFormat="1" applyFont="1" applyBorder="1" applyAlignment="1">
      <alignment vertical="center"/>
    </xf>
    <xf numFmtId="3" fontId="21" fillId="0" borderId="50" xfId="54" applyNumberFormat="1" applyFont="1" applyBorder="1" applyAlignment="1">
      <alignment vertical="center"/>
    </xf>
    <xf numFmtId="166" fontId="21" fillId="0" borderId="69" xfId="0" applyNumberFormat="1" applyFont="1" applyBorder="1" applyAlignment="1">
      <alignment vertical="center"/>
    </xf>
    <xf numFmtId="3" fontId="28" fillId="0" borderId="165" xfId="0" applyNumberFormat="1" applyFont="1" applyBorder="1" applyAlignment="1">
      <alignment vertical="center"/>
    </xf>
    <xf numFmtId="166" fontId="28" fillId="0" borderId="99" xfId="0" applyNumberFormat="1" applyFont="1" applyBorder="1" applyAlignment="1">
      <alignment vertical="center"/>
    </xf>
    <xf numFmtId="3" fontId="28" fillId="0" borderId="182" xfId="0" applyNumberFormat="1" applyFont="1" applyBorder="1" applyAlignment="1">
      <alignment vertical="center"/>
    </xf>
    <xf numFmtId="166" fontId="28" fillId="0" borderId="182" xfId="0" applyNumberFormat="1" applyFont="1" applyBorder="1" applyAlignment="1">
      <alignment vertical="center"/>
    </xf>
    <xf numFmtId="166" fontId="28" fillId="0" borderId="38" xfId="0" applyNumberFormat="1" applyFont="1" applyBorder="1" applyAlignment="1">
      <alignment vertical="center"/>
    </xf>
    <xf numFmtId="3" fontId="21" fillId="0" borderId="190" xfId="0" applyNumberFormat="1" applyFont="1" applyFill="1" applyBorder="1" applyAlignment="1">
      <alignment vertical="center" wrapText="1"/>
    </xf>
    <xf numFmtId="3" fontId="21" fillId="0" borderId="191" xfId="0" applyNumberFormat="1" applyFont="1" applyFill="1" applyBorder="1" applyAlignment="1">
      <alignment vertical="center" wrapText="1"/>
    </xf>
    <xf numFmtId="0" fontId="26" fillId="0" borderId="0" xfId="0" applyFont="1" applyFill="1" applyBorder="1"/>
    <xf numFmtId="0" fontId="32" fillId="0" borderId="116" xfId="0" applyFont="1" applyFill="1" applyBorder="1" applyAlignment="1">
      <alignment horizontal="center" vertical="center"/>
    </xf>
    <xf numFmtId="0" fontId="32" fillId="0" borderId="111" xfId="0" applyFont="1" applyFill="1" applyBorder="1" applyAlignment="1">
      <alignment horizontal="center" vertical="center" wrapText="1"/>
    </xf>
    <xf numFmtId="0" fontId="26" fillId="0" borderId="39" xfId="0" applyFont="1" applyFill="1" applyBorder="1" applyAlignment="1">
      <alignment horizontal="left" vertical="center"/>
    </xf>
    <xf numFmtId="164" fontId="26" fillId="0" borderId="41" xfId="0" applyNumberFormat="1" applyFont="1" applyFill="1" applyBorder="1" applyAlignment="1">
      <alignment horizontal="center" vertical="center" wrapText="1"/>
    </xf>
    <xf numFmtId="0" fontId="32" fillId="0" borderId="94" xfId="0" applyFont="1" applyFill="1" applyBorder="1" applyAlignment="1">
      <alignment horizontal="left" vertical="center"/>
    </xf>
    <xf numFmtId="164" fontId="32" fillId="0" borderId="53" xfId="0" applyNumberFormat="1" applyFont="1" applyFill="1" applyBorder="1" applyAlignment="1">
      <alignment horizontal="center" vertical="center" wrapText="1"/>
    </xf>
    <xf numFmtId="0" fontId="26" fillId="0" borderId="84" xfId="0" applyFont="1" applyFill="1" applyBorder="1" applyAlignment="1">
      <alignment horizontal="left" vertical="center"/>
    </xf>
    <xf numFmtId="164" fontId="26" fillId="0" borderId="51" xfId="0" applyNumberFormat="1" applyFont="1" applyFill="1" applyBorder="1" applyAlignment="1">
      <alignment vertical="center" wrapText="1"/>
    </xf>
    <xf numFmtId="0" fontId="33" fillId="0" borderId="84" xfId="0" applyFont="1" applyFill="1" applyBorder="1" applyAlignment="1">
      <alignment horizontal="left" vertical="center"/>
    </xf>
    <xf numFmtId="164" fontId="32" fillId="0" borderId="51" xfId="0" applyNumberFormat="1" applyFont="1" applyFill="1" applyBorder="1" applyAlignment="1">
      <alignment vertical="center" wrapText="1"/>
    </xf>
    <xf numFmtId="0" fontId="32" fillId="0" borderId="84" xfId="0" applyFont="1" applyFill="1" applyBorder="1" applyAlignment="1">
      <alignment horizontal="left" vertical="center"/>
    </xf>
    <xf numFmtId="0" fontId="26" fillId="0" borderId="84" xfId="0" applyFont="1" applyFill="1" applyBorder="1" applyAlignment="1">
      <alignment vertical="center"/>
    </xf>
    <xf numFmtId="0" fontId="33" fillId="0" borderId="192" xfId="0" applyFont="1" applyFill="1" applyBorder="1" applyAlignment="1">
      <alignment vertical="center"/>
    </xf>
    <xf numFmtId="0" fontId="32" fillId="0" borderId="66" xfId="0" applyFont="1" applyFill="1" applyBorder="1" applyAlignment="1">
      <alignment vertical="center"/>
    </xf>
    <xf numFmtId="164" fontId="32" fillId="0" borderId="38" xfId="0" applyNumberFormat="1" applyFont="1" applyFill="1" applyBorder="1" applyAlignment="1">
      <alignment vertical="center"/>
    </xf>
    <xf numFmtId="3" fontId="21" fillId="0" borderId="193" xfId="0" applyNumberFormat="1" applyFont="1" applyFill="1" applyBorder="1" applyAlignment="1">
      <alignment vertical="center" wrapText="1"/>
    </xf>
    <xf numFmtId="3" fontId="26" fillId="0" borderId="170" xfId="0" applyNumberFormat="1" applyFont="1" applyFill="1" applyBorder="1" applyAlignment="1">
      <alignment horizontal="right" vertical="center"/>
    </xf>
    <xf numFmtId="3" fontId="26" fillId="0" borderId="194" xfId="0" applyNumberFormat="1" applyFont="1" applyFill="1" applyBorder="1" applyAlignment="1">
      <alignment horizontal="right" vertical="center"/>
    </xf>
    <xf numFmtId="3" fontId="28" fillId="0" borderId="135" xfId="54" applyNumberFormat="1" applyFont="1" applyFill="1" applyBorder="1" applyAlignment="1">
      <alignment horizontal="center" vertical="center" wrapText="1"/>
    </xf>
    <xf numFmtId="3" fontId="21" fillId="0" borderId="195" xfId="0" applyNumberFormat="1" applyFont="1" applyFill="1" applyBorder="1" applyAlignment="1">
      <alignment vertical="center" wrapText="1"/>
    </xf>
    <xf numFmtId="0" fontId="32" fillId="0" borderId="30" xfId="0" applyFont="1" applyFill="1" applyBorder="1" applyAlignment="1">
      <alignment vertical="center" wrapText="1"/>
    </xf>
    <xf numFmtId="3" fontId="32" fillId="0" borderId="93" xfId="0" applyNumberFormat="1" applyFont="1" applyFill="1" applyBorder="1" applyAlignment="1">
      <alignment horizontal="right" vertical="center"/>
    </xf>
    <xf numFmtId="1" fontId="21" fillId="0" borderId="0" xfId="0" applyNumberFormat="1" applyFont="1" applyFill="1" applyBorder="1"/>
    <xf numFmtId="0" fontId="36" fillId="0" borderId="63" xfId="75" applyFont="1" applyFill="1" applyBorder="1" applyAlignment="1">
      <alignment horizontal="left" vertical="center"/>
    </xf>
    <xf numFmtId="0" fontId="36" fillId="0" borderId="101" xfId="75" applyFont="1" applyFill="1" applyBorder="1" applyAlignment="1">
      <alignment vertical="center" wrapText="1"/>
    </xf>
    <xf numFmtId="3" fontId="21" fillId="0" borderId="159" xfId="54" applyNumberFormat="1" applyFont="1" applyFill="1" applyBorder="1" applyAlignment="1">
      <alignment wrapText="1"/>
    </xf>
    <xf numFmtId="3" fontId="21" fillId="0" borderId="164" xfId="54" applyNumberFormat="1" applyFont="1" applyFill="1" applyBorder="1" applyAlignment="1">
      <alignment wrapText="1"/>
    </xf>
    <xf numFmtId="3" fontId="21" fillId="0" borderId="159" xfId="0" applyNumberFormat="1" applyFont="1" applyFill="1" applyBorder="1" applyAlignment="1">
      <alignment wrapText="1"/>
    </xf>
    <xf numFmtId="3" fontId="21" fillId="0" borderId="164" xfId="0" applyNumberFormat="1" applyFont="1" applyFill="1" applyBorder="1" applyAlignment="1">
      <alignment wrapText="1"/>
    </xf>
    <xf numFmtId="3" fontId="21" fillId="0" borderId="71" xfId="0" applyNumberFormat="1" applyFont="1" applyFill="1" applyBorder="1" applyAlignment="1">
      <alignment vertical="center" wrapText="1"/>
    </xf>
    <xf numFmtId="3" fontId="21" fillId="0" borderId="101" xfId="0" applyNumberFormat="1" applyFont="1" applyFill="1" applyBorder="1" applyAlignment="1">
      <alignment wrapText="1"/>
    </xf>
    <xf numFmtId="3" fontId="21" fillId="0" borderId="163" xfId="54" applyNumberFormat="1" applyFont="1" applyFill="1" applyBorder="1" applyAlignment="1">
      <alignment horizontal="right"/>
    </xf>
    <xf numFmtId="3" fontId="28" fillId="0" borderId="140" xfId="54" applyNumberFormat="1" applyFont="1" applyFill="1" applyBorder="1" applyAlignment="1">
      <alignment horizontal="center" vertical="center" wrapText="1"/>
    </xf>
    <xf numFmtId="3" fontId="28" fillId="0" borderId="142" xfId="54" applyNumberFormat="1" applyFont="1" applyFill="1" applyBorder="1" applyAlignment="1">
      <alignment horizontal="center" vertical="center" wrapText="1"/>
    </xf>
    <xf numFmtId="3" fontId="28" fillId="0" borderId="143" xfId="54" applyNumberFormat="1" applyFont="1" applyFill="1" applyBorder="1" applyAlignment="1">
      <alignment horizontal="center" vertical="center" wrapText="1"/>
    </xf>
    <xf numFmtId="3" fontId="28" fillId="0" borderId="39" xfId="54" applyNumberFormat="1" applyFont="1" applyFill="1" applyBorder="1" applyAlignment="1">
      <alignment horizontal="center" vertical="center" wrapText="1"/>
    </xf>
    <xf numFmtId="3" fontId="28" fillId="0" borderId="40" xfId="54" applyNumberFormat="1" applyFont="1" applyFill="1" applyBorder="1" applyAlignment="1">
      <alignment horizontal="center" vertical="center" wrapText="1"/>
    </xf>
    <xf numFmtId="3" fontId="28" fillId="0" borderId="41" xfId="54" applyNumberFormat="1" applyFont="1" applyFill="1" applyBorder="1" applyAlignment="1">
      <alignment horizontal="center" vertical="center" wrapText="1"/>
    </xf>
    <xf numFmtId="0" fontId="28" fillId="0" borderId="89" xfId="0" applyFont="1" applyFill="1" applyBorder="1" applyAlignment="1">
      <alignment horizontal="center" vertical="center" wrapText="1"/>
    </xf>
    <xf numFmtId="0" fontId="32" fillId="0" borderId="116" xfId="0" applyFont="1" applyFill="1" applyBorder="1" applyAlignment="1">
      <alignment horizontal="center" vertical="center" wrapText="1"/>
    </xf>
    <xf numFmtId="3" fontId="42" fillId="0" borderId="23" xfId="54" applyNumberFormat="1" applyFont="1" applyFill="1" applyBorder="1" applyAlignment="1">
      <alignment horizontal="center" vertical="center" wrapText="1"/>
    </xf>
    <xf numFmtId="3" fontId="42" fillId="0" borderId="14" xfId="54" applyNumberFormat="1" applyFont="1" applyFill="1" applyBorder="1" applyAlignment="1">
      <alignment horizontal="center" vertical="center" wrapText="1"/>
    </xf>
    <xf numFmtId="3" fontId="42" fillId="0" borderId="196" xfId="54" applyNumberFormat="1" applyFont="1" applyFill="1" applyBorder="1" applyAlignment="1">
      <alignment horizontal="center" vertical="center" wrapText="1"/>
    </xf>
    <xf numFmtId="0" fontId="30" fillId="0" borderId="197" xfId="0" applyFont="1" applyFill="1" applyBorder="1"/>
    <xf numFmtId="3" fontId="30" fillId="0" borderId="198" xfId="0" applyNumberFormat="1" applyFont="1" applyFill="1" applyBorder="1"/>
    <xf numFmtId="3" fontId="30" fillId="0" borderId="199" xfId="0" applyNumberFormat="1" applyFont="1" applyFill="1" applyBorder="1"/>
    <xf numFmtId="3" fontId="30" fillId="0" borderId="200" xfId="0" applyNumberFormat="1" applyFont="1" applyFill="1" applyBorder="1"/>
    <xf numFmtId="3" fontId="30" fillId="0" borderId="201" xfId="0" applyNumberFormat="1" applyFont="1" applyFill="1" applyBorder="1"/>
    <xf numFmtId="3" fontId="30" fillId="0" borderId="202" xfId="0" applyNumberFormat="1" applyFont="1" applyFill="1" applyBorder="1"/>
    <xf numFmtId="0" fontId="30" fillId="0" borderId="22" xfId="0" applyFont="1" applyFill="1" applyBorder="1" applyAlignment="1">
      <alignment vertical="center" wrapText="1"/>
    </xf>
    <xf numFmtId="3" fontId="30" fillId="0" borderId="183" xfId="0" applyNumberFormat="1" applyFont="1" applyFill="1" applyBorder="1" applyAlignment="1">
      <alignment vertical="center"/>
    </xf>
    <xf numFmtId="3" fontId="30" fillId="0" borderId="23" xfId="0" applyNumberFormat="1" applyFont="1" applyFill="1" applyBorder="1" applyAlignment="1">
      <alignment vertical="center"/>
    </xf>
    <xf numFmtId="3" fontId="30" fillId="0" borderId="35" xfId="0" applyNumberFormat="1" applyFont="1" applyFill="1" applyBorder="1" applyAlignment="1">
      <alignment vertical="center"/>
    </xf>
    <xf numFmtId="3" fontId="30" fillId="0" borderId="141" xfId="0" applyNumberFormat="1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1" fontId="21" fillId="0" borderId="33" xfId="0" applyNumberFormat="1" applyFont="1" applyFill="1" applyBorder="1"/>
    <xf numFmtId="1" fontId="21" fillId="0" borderId="203" xfId="0" applyNumberFormat="1" applyFont="1" applyFill="1" applyBorder="1"/>
    <xf numFmtId="0" fontId="28" fillId="0" borderId="26" xfId="0" applyFont="1" applyFill="1" applyBorder="1" applyAlignment="1">
      <alignment horizontal="center" vertical="center" wrapText="1"/>
    </xf>
    <xf numFmtId="0" fontId="28" fillId="0" borderId="148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75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wrapText="1"/>
    </xf>
    <xf numFmtId="0" fontId="28" fillId="0" borderId="75" xfId="0" applyFont="1" applyFill="1" applyBorder="1" applyAlignment="1">
      <alignment horizontal="center" wrapText="1"/>
    </xf>
    <xf numFmtId="0" fontId="28" fillId="0" borderId="116" xfId="75" applyFont="1" applyFill="1" applyBorder="1" applyAlignment="1">
      <alignment horizontal="center" vertical="center" wrapText="1"/>
    </xf>
    <xf numFmtId="0" fontId="28" fillId="0" borderId="39" xfId="75" applyFont="1" applyFill="1" applyBorder="1" applyAlignment="1">
      <alignment horizontal="center" vertical="center" wrapText="1"/>
    </xf>
    <xf numFmtId="0" fontId="28" fillId="0" borderId="120" xfId="0" applyFont="1" applyFill="1" applyBorder="1" applyAlignment="1">
      <alignment horizontal="center" vertical="center"/>
    </xf>
    <xf numFmtId="0" fontId="28" fillId="0" borderId="118" xfId="0" applyFont="1" applyFill="1" applyBorder="1" applyAlignment="1">
      <alignment horizontal="center" vertical="center"/>
    </xf>
    <xf numFmtId="3" fontId="28" fillId="0" borderId="79" xfId="0" applyNumberFormat="1" applyFont="1" applyFill="1" applyBorder="1" applyAlignment="1">
      <alignment horizontal="center" vertical="center" wrapText="1"/>
    </xf>
    <xf numFmtId="3" fontId="28" fillId="0" borderId="104" xfId="0" applyNumberFormat="1" applyFont="1" applyFill="1" applyBorder="1" applyAlignment="1">
      <alignment horizontal="center" vertical="center" wrapText="1"/>
    </xf>
    <xf numFmtId="3" fontId="28" fillId="0" borderId="91" xfId="0" applyNumberFormat="1" applyFont="1" applyFill="1" applyBorder="1" applyAlignment="1">
      <alignment horizontal="center" vertical="center" wrapText="1"/>
    </xf>
    <xf numFmtId="3" fontId="28" fillId="0" borderId="79" xfId="54" applyNumberFormat="1" applyFont="1" applyFill="1" applyBorder="1" applyAlignment="1">
      <alignment horizontal="center" vertical="center" wrapText="1"/>
    </xf>
    <xf numFmtId="3" fontId="28" fillId="0" borderId="104" xfId="54" applyNumberFormat="1" applyFont="1" applyFill="1" applyBorder="1" applyAlignment="1">
      <alignment horizontal="center" vertical="center" wrapText="1"/>
    </xf>
    <xf numFmtId="3" fontId="28" fillId="0" borderId="91" xfId="54" applyNumberFormat="1" applyFont="1" applyFill="1" applyBorder="1" applyAlignment="1">
      <alignment horizontal="center" vertical="center" wrapText="1"/>
    </xf>
    <xf numFmtId="3" fontId="28" fillId="0" borderId="80" xfId="54" applyNumberFormat="1" applyFont="1" applyFill="1" applyBorder="1" applyAlignment="1">
      <alignment horizontal="center" vertical="center" wrapText="1"/>
    </xf>
    <xf numFmtId="3" fontId="28" fillId="0" borderId="152" xfId="54" applyNumberFormat="1" applyFont="1" applyFill="1" applyBorder="1" applyAlignment="1">
      <alignment horizontal="center" vertical="center" wrapText="1"/>
    </xf>
    <xf numFmtId="3" fontId="28" fillId="0" borderId="100" xfId="54" applyNumberFormat="1" applyFont="1" applyFill="1" applyBorder="1" applyAlignment="1">
      <alignment horizontal="center" vertical="center" wrapText="1"/>
    </xf>
    <xf numFmtId="3" fontId="28" fillId="0" borderId="154" xfId="54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165" fontId="28" fillId="0" borderId="117" xfId="54" applyNumberFormat="1" applyFont="1" applyFill="1" applyBorder="1" applyAlignment="1">
      <alignment horizontal="center" vertical="center" wrapText="1"/>
    </xf>
    <xf numFmtId="165" fontId="28" fillId="0" borderId="185" xfId="54" applyNumberFormat="1" applyFont="1" applyFill="1" applyBorder="1" applyAlignment="1">
      <alignment horizontal="center" vertical="center" wrapText="1"/>
    </xf>
    <xf numFmtId="3" fontId="28" fillId="0" borderId="184" xfId="54" applyNumberFormat="1" applyFont="1" applyFill="1" applyBorder="1" applyAlignment="1">
      <alignment horizontal="center" vertical="center" wrapText="1"/>
    </xf>
    <xf numFmtId="3" fontId="28" fillId="0" borderId="135" xfId="54" applyNumberFormat="1" applyFont="1" applyFill="1" applyBorder="1" applyAlignment="1">
      <alignment horizontal="center" vertical="center" wrapText="1"/>
    </xf>
    <xf numFmtId="0" fontId="28" fillId="0" borderId="61" xfId="75" applyFont="1" applyFill="1" applyBorder="1" applyAlignment="1">
      <alignment horizontal="center" vertical="center" wrapText="1"/>
    </xf>
    <xf numFmtId="0" fontId="28" fillId="0" borderId="62" xfId="75" applyFont="1" applyFill="1" applyBorder="1" applyAlignment="1">
      <alignment horizontal="center" vertical="center" wrapText="1"/>
    </xf>
    <xf numFmtId="0" fontId="28" fillId="0" borderId="74" xfId="0" applyFont="1" applyFill="1" applyBorder="1" applyAlignment="1">
      <alignment horizontal="center" vertical="center"/>
    </xf>
    <xf numFmtId="0" fontId="28" fillId="0" borderId="172" xfId="0" applyFont="1" applyFill="1" applyBorder="1" applyAlignment="1">
      <alignment horizontal="center" vertical="center"/>
    </xf>
    <xf numFmtId="0" fontId="28" fillId="0" borderId="123" xfId="0" applyFont="1" applyFill="1" applyBorder="1" applyAlignment="1">
      <alignment horizontal="center" vertical="center" wrapText="1"/>
    </xf>
    <xf numFmtId="0" fontId="28" fillId="0" borderId="133" xfId="0" applyFont="1" applyFill="1" applyBorder="1" applyAlignment="1">
      <alignment horizontal="center" vertical="center" wrapText="1"/>
    </xf>
    <xf numFmtId="0" fontId="28" fillId="0" borderId="130" xfId="0" applyFont="1" applyFill="1" applyBorder="1" applyAlignment="1">
      <alignment horizontal="center" vertical="center" wrapText="1"/>
    </xf>
    <xf numFmtId="0" fontId="28" fillId="0" borderId="131" xfId="0" applyFont="1" applyFill="1" applyBorder="1" applyAlignment="1">
      <alignment horizontal="center" vertical="center" wrapText="1"/>
    </xf>
    <xf numFmtId="0" fontId="28" fillId="0" borderId="106" xfId="0" applyFont="1" applyFill="1" applyBorder="1" applyAlignment="1">
      <alignment horizontal="center" vertical="center" wrapText="1"/>
    </xf>
    <xf numFmtId="0" fontId="28" fillId="0" borderId="107" xfId="0" applyFont="1" applyFill="1" applyBorder="1" applyAlignment="1">
      <alignment horizontal="center" vertical="center" wrapText="1"/>
    </xf>
    <xf numFmtId="166" fontId="28" fillId="0" borderId="129" xfId="0" applyNumberFormat="1" applyFont="1" applyFill="1" applyBorder="1" applyAlignment="1">
      <alignment horizontal="center" vertical="center" wrapText="1"/>
    </xf>
    <xf numFmtId="166" fontId="28" fillId="0" borderId="130" xfId="0" applyNumberFormat="1" applyFont="1" applyFill="1" applyBorder="1" applyAlignment="1">
      <alignment horizontal="center" vertical="center" wrapText="1"/>
    </xf>
    <xf numFmtId="166" fontId="28" fillId="0" borderId="132" xfId="0" applyNumberFormat="1" applyFont="1" applyFill="1" applyBorder="1" applyAlignment="1">
      <alignment horizontal="center" vertical="center" wrapText="1"/>
    </xf>
    <xf numFmtId="0" fontId="28" fillId="0" borderId="129" xfId="0" applyFont="1" applyFill="1" applyBorder="1" applyAlignment="1">
      <alignment horizontal="center" vertical="center" wrapText="1"/>
    </xf>
    <xf numFmtId="0" fontId="28" fillId="0" borderId="132" xfId="0" applyFont="1" applyFill="1" applyBorder="1" applyAlignment="1">
      <alignment horizontal="center" vertical="center" wrapText="1"/>
    </xf>
    <xf numFmtId="0" fontId="28" fillId="0" borderId="83" xfId="0" applyFont="1" applyFill="1" applyBorder="1" applyAlignment="1">
      <alignment horizontal="center" vertical="center"/>
    </xf>
    <xf numFmtId="0" fontId="28" fillId="0" borderId="85" xfId="0" applyFont="1" applyFill="1" applyBorder="1" applyAlignment="1">
      <alignment horizontal="center" vertical="center"/>
    </xf>
    <xf numFmtId="3" fontId="28" fillId="0" borderId="129" xfId="0" applyNumberFormat="1" applyFont="1" applyFill="1" applyBorder="1" applyAlignment="1">
      <alignment horizontal="center" vertical="center" wrapText="1"/>
    </xf>
    <xf numFmtId="3" fontId="28" fillId="0" borderId="130" xfId="0" applyNumberFormat="1" applyFont="1" applyFill="1" applyBorder="1" applyAlignment="1">
      <alignment horizontal="center" vertical="center" wrapText="1"/>
    </xf>
    <xf numFmtId="3" fontId="28" fillId="0" borderId="132" xfId="0" applyNumberFormat="1" applyFont="1" applyFill="1" applyBorder="1" applyAlignment="1">
      <alignment horizontal="center" vertical="center" wrapText="1"/>
    </xf>
    <xf numFmtId="166" fontId="28" fillId="0" borderId="133" xfId="0" applyNumberFormat="1" applyFont="1" applyFill="1" applyBorder="1" applyAlignment="1">
      <alignment horizontal="center" vertical="center" wrapText="1"/>
    </xf>
    <xf numFmtId="166" fontId="28" fillId="0" borderId="131" xfId="0" applyNumberFormat="1" applyFont="1" applyFill="1" applyBorder="1" applyAlignment="1">
      <alignment horizontal="center" vertical="center" wrapText="1"/>
    </xf>
    <xf numFmtId="0" fontId="28" fillId="0" borderId="108" xfId="0" applyFont="1" applyFill="1" applyBorder="1" applyAlignment="1">
      <alignment horizontal="center" vertical="center" wrapText="1"/>
    </xf>
    <xf numFmtId="0" fontId="28" fillId="0" borderId="110" xfId="0" applyFont="1" applyFill="1" applyBorder="1" applyAlignment="1">
      <alignment horizontal="center" vertical="center" wrapText="1"/>
    </xf>
    <xf numFmtId="0" fontId="28" fillId="0" borderId="112" xfId="0" applyFont="1" applyFill="1" applyBorder="1" applyAlignment="1">
      <alignment horizontal="center" vertical="center" wrapText="1"/>
    </xf>
    <xf numFmtId="0" fontId="28" fillId="0" borderId="149" xfId="0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horizontal="center" vertical="center"/>
    </xf>
    <xf numFmtId="164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8" fillId="0" borderId="108" xfId="0" applyFont="1" applyFill="1" applyBorder="1" applyAlignment="1">
      <alignment horizontal="center" vertical="center"/>
    </xf>
    <xf numFmtId="0" fontId="28" fillId="0" borderId="110" xfId="0" applyFont="1" applyFill="1" applyBorder="1" applyAlignment="1">
      <alignment horizontal="center" vertical="center"/>
    </xf>
    <xf numFmtId="0" fontId="28" fillId="0" borderId="112" xfId="0" applyFont="1" applyFill="1" applyBorder="1" applyAlignment="1">
      <alignment horizontal="center" vertical="center"/>
    </xf>
    <xf numFmtId="3" fontId="28" fillId="0" borderId="108" xfId="0" applyNumberFormat="1" applyFont="1" applyFill="1" applyBorder="1" applyAlignment="1">
      <alignment horizontal="center" vertical="center"/>
    </xf>
    <xf numFmtId="3" fontId="28" fillId="0" borderId="110" xfId="0" applyNumberFormat="1" applyFont="1" applyFill="1" applyBorder="1" applyAlignment="1">
      <alignment horizontal="center" vertical="center"/>
    </xf>
    <xf numFmtId="3" fontId="28" fillId="0" borderId="181" xfId="0" applyNumberFormat="1" applyFont="1" applyFill="1" applyBorder="1" applyAlignment="1">
      <alignment horizontal="center" vertical="center"/>
    </xf>
    <xf numFmtId="0" fontId="28" fillId="0" borderId="113" xfId="0" applyFont="1" applyFill="1" applyBorder="1" applyAlignment="1">
      <alignment horizontal="center" vertical="center"/>
    </xf>
    <xf numFmtId="0" fontId="28" fillId="0" borderId="181" xfId="0" applyFont="1" applyFill="1" applyBorder="1" applyAlignment="1">
      <alignment horizontal="center" vertical="center"/>
    </xf>
    <xf numFmtId="4" fontId="28" fillId="0" borderId="113" xfId="0" applyNumberFormat="1" applyFont="1" applyFill="1" applyBorder="1" applyAlignment="1">
      <alignment horizontal="center" vertical="center"/>
    </xf>
    <xf numFmtId="4" fontId="28" fillId="0" borderId="110" xfId="0" applyNumberFormat="1" applyFont="1" applyFill="1" applyBorder="1" applyAlignment="1">
      <alignment horizontal="center" vertical="center"/>
    </xf>
    <xf numFmtId="4" fontId="28" fillId="0" borderId="181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0" fontId="30" fillId="0" borderId="149" xfId="0" applyFont="1" applyFill="1" applyBorder="1" applyAlignment="1">
      <alignment horizontal="center" vertical="center" wrapText="1"/>
    </xf>
    <xf numFmtId="0" fontId="30" fillId="0" borderId="64" xfId="0" applyFont="1" applyFill="1" applyBorder="1" applyAlignment="1">
      <alignment horizontal="center" vertical="center" wrapText="1"/>
    </xf>
  </cellXfs>
  <cellStyles count="92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elölőszín (1)" xfId="64" builtinId="29" customBuiltin="1"/>
    <cellStyle name="Jelölőszín (2)" xfId="65" builtinId="33" customBuiltin="1"/>
    <cellStyle name="Jelölőszín (3)" xfId="66" builtinId="37" customBuiltin="1"/>
    <cellStyle name="Jelölőszín (4)" xfId="67" builtinId="41" customBuiltin="1"/>
    <cellStyle name="Jelölőszín (5)" xfId="68" builtinId="45" customBuiltin="1"/>
    <cellStyle name="Jelölőszín (6)" xfId="69" builtinId="49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ál_CSP2005-KTG-1" xfId="78"/>
    <cellStyle name="Normal_KARSZJ3" xfId="79"/>
    <cellStyle name="Normál_SEGEDLETEK" xfId="91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Százalék" xfId="90" builtinId="5"/>
    <cellStyle name="Százalék 2" xfId="86"/>
    <cellStyle name="Title" xfId="87"/>
    <cellStyle name="Total" xfId="88"/>
    <cellStyle name="Warning Text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z&#246;s/Public/Users/cora/AppData/Local/Microsoft/Messenger/irodavezeto@rkt.hu/Sharing%20Folders/csermenyih@freemail.hu/Normat&#237;va/2008/Szent%20L&#225;szl&#243;%20V&#246;lgye%20T&#246;bbc&#233;l&#250;%20Kist&#233;rs&#233;gi%20T&#225;rsul&#225;s,700107,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z&#246;s/Users/cora/AppData/Local/Microsoft/Messenger/irodavezeto@rkt.hu/Sharing%20Folders/csermenyih@freemail.hu/Normat&#237;va/2008/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17/2017.&#233;vi%20I.%20m&#243;dos&#237;t&#225;s/Szent%20L&#225;szl&#243;%20V&#246;lgye%20TKT%202017.&#233;vi%20I.%20kv%20m&#243;dos&#237;t&#225;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i.%20m&#243;d.%20nyilv&#225;ntart&#225;s%202017.%20II.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17/2017.&#233;vi%20V&#201;GLEGES%20K&#214;LTS&#201;GVET&#201;S/2017.%20&#201;VI%20V&#201;GLEGES%20K&#214;LTS&#201;GVET&#201;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16/2016.eredeti%20k&#246;lts&#233;gvet&#233;s/Szent%20L&#225;szl&#243;%20V&#246;lgye%20TKT%202016.&#233;vi%20kv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 refreshError="1"/>
      <sheetData sheetId="1">
        <row r="28">
          <cell r="N28">
            <v>16952</v>
          </cell>
        </row>
        <row r="72">
          <cell r="N72">
            <v>42376</v>
          </cell>
        </row>
        <row r="73">
          <cell r="N73">
            <v>523</v>
          </cell>
        </row>
        <row r="78">
          <cell r="N78">
            <v>782</v>
          </cell>
        </row>
        <row r="82">
          <cell r="N82">
            <v>1398</v>
          </cell>
        </row>
        <row r="86">
          <cell r="N86">
            <v>6926</v>
          </cell>
        </row>
        <row r="87">
          <cell r="N87">
            <v>9055</v>
          </cell>
        </row>
        <row r="91">
          <cell r="N91">
            <v>1977</v>
          </cell>
        </row>
        <row r="92">
          <cell r="N92">
            <v>4758</v>
          </cell>
        </row>
      </sheetData>
      <sheetData sheetId="2">
        <row r="4">
          <cell r="E4">
            <v>29220</v>
          </cell>
        </row>
        <row r="7">
          <cell r="E7">
            <v>1152</v>
          </cell>
        </row>
        <row r="8">
          <cell r="E8">
            <v>3499</v>
          </cell>
        </row>
        <row r="9">
          <cell r="E9">
            <v>525</v>
          </cell>
        </row>
        <row r="10">
          <cell r="E10">
            <v>453</v>
          </cell>
        </row>
        <row r="11">
          <cell r="E11">
            <v>2370</v>
          </cell>
        </row>
        <row r="12">
          <cell r="E12">
            <v>1397</v>
          </cell>
        </row>
        <row r="13">
          <cell r="E13">
            <v>864</v>
          </cell>
        </row>
        <row r="30">
          <cell r="E30">
            <v>277</v>
          </cell>
        </row>
        <row r="31">
          <cell r="E31">
            <v>841</v>
          </cell>
        </row>
        <row r="32">
          <cell r="E32">
            <v>126</v>
          </cell>
        </row>
        <row r="33">
          <cell r="E33">
            <v>109</v>
          </cell>
        </row>
        <row r="34">
          <cell r="E34">
            <v>570</v>
          </cell>
        </row>
        <row r="35">
          <cell r="E35">
            <v>336</v>
          </cell>
        </row>
        <row r="36">
          <cell r="E36">
            <v>208</v>
          </cell>
        </row>
        <row r="37">
          <cell r="E37">
            <v>255</v>
          </cell>
        </row>
        <row r="40">
          <cell r="E40">
            <v>386</v>
          </cell>
        </row>
        <row r="41">
          <cell r="E41">
            <v>270</v>
          </cell>
        </row>
        <row r="42">
          <cell r="E42">
            <v>347</v>
          </cell>
        </row>
        <row r="43">
          <cell r="E43">
            <v>955</v>
          </cell>
        </row>
        <row r="44">
          <cell r="E44">
            <v>289</v>
          </cell>
        </row>
        <row r="45">
          <cell r="E45">
            <v>482</v>
          </cell>
        </row>
        <row r="46">
          <cell r="E46">
            <v>299</v>
          </cell>
        </row>
        <row r="49">
          <cell r="E49">
            <v>2058</v>
          </cell>
        </row>
        <row r="50">
          <cell r="E50">
            <v>408</v>
          </cell>
        </row>
        <row r="51">
          <cell r="E51">
            <v>1000</v>
          </cell>
        </row>
        <row r="52">
          <cell r="E52">
            <v>243</v>
          </cell>
        </row>
        <row r="53">
          <cell r="E53">
            <v>747</v>
          </cell>
        </row>
        <row r="54">
          <cell r="E54">
            <v>1904</v>
          </cell>
        </row>
        <row r="55">
          <cell r="E55">
            <v>566</v>
          </cell>
        </row>
        <row r="67">
          <cell r="E67">
            <v>1176</v>
          </cell>
        </row>
        <row r="70">
          <cell r="E70">
            <v>689</v>
          </cell>
        </row>
        <row r="95">
          <cell r="E95">
            <v>17047</v>
          </cell>
        </row>
      </sheetData>
      <sheetData sheetId="3">
        <row r="13">
          <cell r="K13">
            <v>272</v>
          </cell>
          <cell r="Q13">
            <v>465</v>
          </cell>
          <cell r="T13">
            <v>500</v>
          </cell>
        </row>
        <row r="14">
          <cell r="Q14">
            <v>0</v>
          </cell>
        </row>
        <row r="15">
          <cell r="Q15">
            <v>0</v>
          </cell>
        </row>
        <row r="16">
          <cell r="E16">
            <v>200</v>
          </cell>
          <cell r="K16">
            <v>1800</v>
          </cell>
          <cell r="Q16">
            <v>1155</v>
          </cell>
          <cell r="W16">
            <v>5343</v>
          </cell>
          <cell r="Z16">
            <v>500</v>
          </cell>
        </row>
        <row r="17">
          <cell r="Q17">
            <v>0</v>
          </cell>
        </row>
        <row r="18">
          <cell r="Q18">
            <v>0</v>
          </cell>
        </row>
        <row r="19">
          <cell r="Q19">
            <v>0</v>
          </cell>
        </row>
        <row r="20">
          <cell r="Q20">
            <v>0</v>
          </cell>
        </row>
        <row r="28">
          <cell r="W28">
            <v>8</v>
          </cell>
        </row>
        <row r="30">
          <cell r="E30">
            <v>600</v>
          </cell>
          <cell r="H30">
            <v>11504</v>
          </cell>
          <cell r="K30">
            <v>14452</v>
          </cell>
          <cell r="N30">
            <v>17258</v>
          </cell>
          <cell r="Q30">
            <v>9828</v>
          </cell>
          <cell r="T30">
            <v>2688</v>
          </cell>
          <cell r="W30">
            <v>6692</v>
          </cell>
          <cell r="Z30">
            <v>443</v>
          </cell>
        </row>
        <row r="31">
          <cell r="H31">
            <v>13</v>
          </cell>
          <cell r="W31">
            <v>1243</v>
          </cell>
        </row>
        <row r="32">
          <cell r="E32">
            <v>1707</v>
          </cell>
          <cell r="H32">
            <v>9662</v>
          </cell>
          <cell r="K32">
            <v>18704</v>
          </cell>
          <cell r="N32">
            <v>6019</v>
          </cell>
          <cell r="Q32">
            <v>3856</v>
          </cell>
          <cell r="T32">
            <v>3266</v>
          </cell>
          <cell r="Z32">
            <v>1005</v>
          </cell>
        </row>
        <row r="33">
          <cell r="H33">
            <v>1424</v>
          </cell>
          <cell r="K33">
            <v>2756</v>
          </cell>
          <cell r="N33">
            <v>887</v>
          </cell>
          <cell r="Q33">
            <v>657</v>
          </cell>
          <cell r="T33">
            <v>3266</v>
          </cell>
        </row>
        <row r="34">
          <cell r="H34">
            <v>648</v>
          </cell>
          <cell r="K34">
            <v>1255</v>
          </cell>
          <cell r="N34">
            <v>404</v>
          </cell>
          <cell r="Q34">
            <v>299</v>
          </cell>
        </row>
        <row r="35">
          <cell r="H35">
            <v>560</v>
          </cell>
          <cell r="K35">
            <v>1084</v>
          </cell>
          <cell r="N35">
            <v>349</v>
          </cell>
          <cell r="Q35">
            <v>259</v>
          </cell>
        </row>
        <row r="36">
          <cell r="E36">
            <v>1707</v>
          </cell>
          <cell r="H36">
            <v>2928</v>
          </cell>
          <cell r="K36">
            <v>5667</v>
          </cell>
          <cell r="N36">
            <v>1824</v>
          </cell>
          <cell r="Q36">
            <v>1351</v>
          </cell>
          <cell r="Z36">
            <v>1005</v>
          </cell>
        </row>
        <row r="37">
          <cell r="H37">
            <v>1726</v>
          </cell>
          <cell r="K37">
            <v>3341</v>
          </cell>
          <cell r="N37">
            <v>1075</v>
          </cell>
          <cell r="Q37">
            <v>797</v>
          </cell>
        </row>
        <row r="38">
          <cell r="H38">
            <v>1067</v>
          </cell>
          <cell r="K38">
            <v>2066</v>
          </cell>
          <cell r="N38">
            <v>665</v>
          </cell>
          <cell r="Q38">
            <v>493</v>
          </cell>
        </row>
        <row r="39">
          <cell r="H39">
            <v>1309</v>
          </cell>
          <cell r="K39">
            <v>2535</v>
          </cell>
          <cell r="N39">
            <v>815</v>
          </cell>
          <cell r="Q39">
            <v>0</v>
          </cell>
        </row>
        <row r="42">
          <cell r="E42">
            <v>1066</v>
          </cell>
          <cell r="H42">
            <v>12209</v>
          </cell>
          <cell r="K42">
            <v>23951</v>
          </cell>
          <cell r="N42">
            <v>14167</v>
          </cell>
          <cell r="Q42">
            <v>7984</v>
          </cell>
          <cell r="T42">
            <v>2225</v>
          </cell>
          <cell r="W42">
            <v>8389</v>
          </cell>
        </row>
        <row r="43">
          <cell r="K43">
            <v>0</v>
          </cell>
          <cell r="N43">
            <v>0</v>
          </cell>
          <cell r="Q43">
            <v>0</v>
          </cell>
          <cell r="T43">
            <v>0</v>
          </cell>
          <cell r="W43">
            <v>0</v>
          </cell>
        </row>
        <row r="44">
          <cell r="K44">
            <v>0</v>
          </cell>
          <cell r="N44">
            <v>0</v>
          </cell>
          <cell r="Q44">
            <v>0</v>
          </cell>
          <cell r="T44">
            <v>0</v>
          </cell>
          <cell r="W44">
            <v>0</v>
          </cell>
        </row>
        <row r="45">
          <cell r="H45">
            <v>663</v>
          </cell>
          <cell r="K45">
            <v>100</v>
          </cell>
          <cell r="N45">
            <v>182</v>
          </cell>
          <cell r="Q45">
            <v>100</v>
          </cell>
          <cell r="T45">
            <v>0</v>
          </cell>
          <cell r="W45">
            <v>40</v>
          </cell>
        </row>
        <row r="46">
          <cell r="K46">
            <v>0</v>
          </cell>
          <cell r="N46">
            <v>0</v>
          </cell>
          <cell r="Q46">
            <v>0</v>
          </cell>
          <cell r="T46">
            <v>0</v>
          </cell>
          <cell r="W46">
            <v>0</v>
          </cell>
        </row>
        <row r="47">
          <cell r="K47">
            <v>0</v>
          </cell>
          <cell r="N47">
            <v>313</v>
          </cell>
          <cell r="Q47">
            <v>0</v>
          </cell>
          <cell r="T47">
            <v>0</v>
          </cell>
          <cell r="W47">
            <v>313</v>
          </cell>
        </row>
        <row r="48">
          <cell r="E48">
            <v>35</v>
          </cell>
          <cell r="H48">
            <v>240</v>
          </cell>
          <cell r="K48">
            <v>720</v>
          </cell>
          <cell r="N48">
            <v>330</v>
          </cell>
          <cell r="Q48">
            <v>210</v>
          </cell>
          <cell r="T48">
            <v>60</v>
          </cell>
          <cell r="W48">
            <v>240</v>
          </cell>
        </row>
        <row r="49">
          <cell r="K49">
            <v>0</v>
          </cell>
          <cell r="N49">
            <v>0</v>
          </cell>
          <cell r="Q49">
            <v>0</v>
          </cell>
          <cell r="T49">
            <v>0</v>
          </cell>
          <cell r="W49">
            <v>0</v>
          </cell>
        </row>
        <row r="50">
          <cell r="E50">
            <v>30</v>
          </cell>
          <cell r="H50">
            <v>98</v>
          </cell>
          <cell r="K50">
            <v>60</v>
          </cell>
          <cell r="N50">
            <v>168</v>
          </cell>
          <cell r="Q50">
            <v>243</v>
          </cell>
          <cell r="T50">
            <v>0</v>
          </cell>
          <cell r="W50">
            <v>12</v>
          </cell>
        </row>
        <row r="51">
          <cell r="K51">
            <v>0</v>
          </cell>
          <cell r="N51">
            <v>0</v>
          </cell>
          <cell r="Q51">
            <v>0</v>
          </cell>
          <cell r="T51">
            <v>0</v>
          </cell>
          <cell r="W51">
            <v>0</v>
          </cell>
        </row>
        <row r="52">
          <cell r="K52">
            <v>0</v>
          </cell>
          <cell r="N52">
            <v>0</v>
          </cell>
          <cell r="Q52">
            <v>0</v>
          </cell>
          <cell r="T52">
            <v>0</v>
          </cell>
          <cell r="W52">
            <v>0</v>
          </cell>
        </row>
        <row r="53">
          <cell r="K53">
            <v>0</v>
          </cell>
          <cell r="N53">
            <v>0</v>
          </cell>
          <cell r="Q53">
            <v>0</v>
          </cell>
          <cell r="T53">
            <v>0</v>
          </cell>
          <cell r="W53">
            <v>0</v>
          </cell>
        </row>
        <row r="54">
          <cell r="E54">
            <v>39</v>
          </cell>
          <cell r="H54">
            <v>214</v>
          </cell>
          <cell r="K54">
            <v>522</v>
          </cell>
          <cell r="N54">
            <v>325</v>
          </cell>
          <cell r="Q54">
            <v>315</v>
          </cell>
          <cell r="T54">
            <v>71</v>
          </cell>
          <cell r="W54">
            <v>2</v>
          </cell>
        </row>
        <row r="57">
          <cell r="K57">
            <v>0</v>
          </cell>
        </row>
        <row r="58">
          <cell r="H58">
            <v>150</v>
          </cell>
          <cell r="K58">
            <v>100</v>
          </cell>
          <cell r="N58">
            <v>150</v>
          </cell>
          <cell r="Q58">
            <v>17</v>
          </cell>
          <cell r="T58">
            <v>150</v>
          </cell>
        </row>
        <row r="59">
          <cell r="H59">
            <v>25</v>
          </cell>
          <cell r="K59">
            <v>15</v>
          </cell>
          <cell r="N59">
            <v>25</v>
          </cell>
          <cell r="Q59">
            <v>10</v>
          </cell>
        </row>
        <row r="63">
          <cell r="E63">
            <v>244</v>
          </cell>
          <cell r="H63">
            <v>2885</v>
          </cell>
          <cell r="K63">
            <v>5422</v>
          </cell>
          <cell r="N63">
            <v>3308</v>
          </cell>
          <cell r="Q63">
            <v>1859</v>
          </cell>
          <cell r="T63">
            <v>507</v>
          </cell>
          <cell r="W63">
            <v>1925</v>
          </cell>
        </row>
        <row r="64">
          <cell r="E64">
            <v>32</v>
          </cell>
          <cell r="H64">
            <v>253</v>
          </cell>
          <cell r="K64">
            <v>917</v>
          </cell>
          <cell r="N64">
            <v>348</v>
          </cell>
          <cell r="Q64">
            <v>221</v>
          </cell>
          <cell r="T64">
            <v>63</v>
          </cell>
          <cell r="W64">
            <v>95</v>
          </cell>
        </row>
        <row r="65">
          <cell r="E65">
            <v>11</v>
          </cell>
          <cell r="H65">
            <v>77</v>
          </cell>
          <cell r="K65">
            <v>231</v>
          </cell>
          <cell r="N65">
            <v>106</v>
          </cell>
          <cell r="Q65">
            <v>67</v>
          </cell>
          <cell r="T65">
            <v>19</v>
          </cell>
          <cell r="W65">
            <v>77</v>
          </cell>
        </row>
        <row r="66">
          <cell r="H66">
            <v>0</v>
          </cell>
          <cell r="K66">
            <v>0</v>
          </cell>
          <cell r="N66">
            <v>0</v>
          </cell>
          <cell r="Q66">
            <v>0</v>
          </cell>
          <cell r="T66">
            <v>0</v>
          </cell>
          <cell r="W66">
            <v>0</v>
          </cell>
        </row>
        <row r="67">
          <cell r="E67">
            <v>6</v>
          </cell>
          <cell r="H67">
            <v>43</v>
          </cell>
          <cell r="K67">
            <v>129</v>
          </cell>
          <cell r="N67">
            <v>59</v>
          </cell>
          <cell r="Q67">
            <v>38</v>
          </cell>
          <cell r="T67">
            <v>11</v>
          </cell>
          <cell r="W67">
            <v>43</v>
          </cell>
        </row>
        <row r="68">
          <cell r="E68">
            <v>22</v>
          </cell>
          <cell r="H68">
            <v>25</v>
          </cell>
          <cell r="K68">
            <v>0</v>
          </cell>
          <cell r="N68">
            <v>14</v>
          </cell>
          <cell r="T68">
            <v>0</v>
          </cell>
          <cell r="W68">
            <v>31</v>
          </cell>
        </row>
        <row r="69">
          <cell r="E69">
            <v>30</v>
          </cell>
          <cell r="H69">
            <v>300</v>
          </cell>
          <cell r="K69">
            <v>525</v>
          </cell>
          <cell r="N69">
            <v>74</v>
          </cell>
          <cell r="Q69">
            <v>1175</v>
          </cell>
          <cell r="T69">
            <v>1322</v>
          </cell>
          <cell r="W69">
            <v>89</v>
          </cell>
          <cell r="Z69">
            <v>5</v>
          </cell>
        </row>
        <row r="72">
          <cell r="E72">
            <v>8</v>
          </cell>
          <cell r="H72">
            <v>15</v>
          </cell>
          <cell r="K72">
            <v>6</v>
          </cell>
          <cell r="N72">
            <v>310</v>
          </cell>
          <cell r="Q72">
            <v>10</v>
          </cell>
          <cell r="T72">
            <v>0</v>
          </cell>
          <cell r="W72">
            <v>8</v>
          </cell>
        </row>
        <row r="73">
          <cell r="E73">
            <v>39</v>
          </cell>
          <cell r="H73">
            <v>185</v>
          </cell>
          <cell r="K73">
            <v>84</v>
          </cell>
          <cell r="N73">
            <v>180</v>
          </cell>
          <cell r="Q73">
            <v>80</v>
          </cell>
          <cell r="T73">
            <v>12</v>
          </cell>
          <cell r="W73">
            <v>142</v>
          </cell>
          <cell r="Z73">
            <v>29</v>
          </cell>
        </row>
        <row r="75">
          <cell r="E75">
            <v>273</v>
          </cell>
          <cell r="H75">
            <v>444</v>
          </cell>
          <cell r="K75">
            <v>563</v>
          </cell>
          <cell r="N75">
            <v>434</v>
          </cell>
          <cell r="Q75">
            <v>563</v>
          </cell>
          <cell r="T75">
            <v>0</v>
          </cell>
          <cell r="W75">
            <v>228</v>
          </cell>
        </row>
        <row r="76">
          <cell r="E76">
            <v>60</v>
          </cell>
          <cell r="K76">
            <v>0</v>
          </cell>
          <cell r="N76">
            <v>0</v>
          </cell>
          <cell r="Q76">
            <v>0</v>
          </cell>
          <cell r="T76">
            <v>0</v>
          </cell>
          <cell r="W76">
            <v>0</v>
          </cell>
          <cell r="Z76">
            <v>1500</v>
          </cell>
        </row>
        <row r="77">
          <cell r="K77">
            <v>0</v>
          </cell>
          <cell r="N77">
            <v>0</v>
          </cell>
          <cell r="Q77">
            <v>0</v>
          </cell>
          <cell r="T77">
            <v>0</v>
          </cell>
          <cell r="W77">
            <v>0</v>
          </cell>
        </row>
        <row r="78">
          <cell r="E78">
            <v>10</v>
          </cell>
          <cell r="H78">
            <v>200</v>
          </cell>
          <cell r="K78">
            <v>350</v>
          </cell>
          <cell r="N78">
            <v>0</v>
          </cell>
          <cell r="Q78">
            <v>500</v>
          </cell>
          <cell r="T78">
            <v>1000</v>
          </cell>
          <cell r="W78">
            <v>0</v>
          </cell>
        </row>
        <row r="79">
          <cell r="K79">
            <v>0</v>
          </cell>
          <cell r="N79">
            <v>0</v>
          </cell>
          <cell r="Q79">
            <v>0</v>
          </cell>
          <cell r="T79">
            <v>0</v>
          </cell>
          <cell r="W79">
            <v>0</v>
          </cell>
        </row>
        <row r="82">
          <cell r="H82">
            <v>900</v>
          </cell>
          <cell r="K82">
            <v>0</v>
          </cell>
          <cell r="N82">
            <v>1100</v>
          </cell>
          <cell r="Q82">
            <v>65</v>
          </cell>
          <cell r="T82">
            <v>0</v>
          </cell>
          <cell r="W82">
            <v>4</v>
          </cell>
        </row>
        <row r="83">
          <cell r="E83">
            <v>380</v>
          </cell>
          <cell r="H83">
            <v>1332</v>
          </cell>
          <cell r="K83">
            <v>789</v>
          </cell>
          <cell r="N83">
            <v>645</v>
          </cell>
          <cell r="Q83">
            <v>732</v>
          </cell>
          <cell r="T83">
            <v>269</v>
          </cell>
          <cell r="W83">
            <v>199</v>
          </cell>
        </row>
        <row r="85">
          <cell r="H85">
            <v>150</v>
          </cell>
          <cell r="K85">
            <v>60</v>
          </cell>
          <cell r="N85">
            <v>295</v>
          </cell>
          <cell r="Q85">
            <v>76</v>
          </cell>
          <cell r="W85">
            <v>7</v>
          </cell>
        </row>
        <row r="86">
          <cell r="K86">
            <v>0</v>
          </cell>
        </row>
        <row r="88">
          <cell r="E88">
            <v>222</v>
          </cell>
          <cell r="H88">
            <v>753</v>
          </cell>
          <cell r="K88">
            <v>623</v>
          </cell>
          <cell r="N88">
            <v>744</v>
          </cell>
          <cell r="Q88">
            <v>839</v>
          </cell>
          <cell r="T88">
            <v>644</v>
          </cell>
          <cell r="W88">
            <v>191</v>
          </cell>
          <cell r="Z88">
            <v>414</v>
          </cell>
        </row>
        <row r="89">
          <cell r="Q89">
            <v>0</v>
          </cell>
          <cell r="T89">
            <v>0</v>
          </cell>
          <cell r="W89">
            <v>0</v>
          </cell>
        </row>
        <row r="90">
          <cell r="Q90">
            <v>0</v>
          </cell>
          <cell r="T90">
            <v>0</v>
          </cell>
          <cell r="W90">
            <v>0</v>
          </cell>
        </row>
        <row r="91">
          <cell r="Q91">
            <v>0</v>
          </cell>
          <cell r="T91">
            <v>0</v>
          </cell>
          <cell r="W91">
            <v>0</v>
          </cell>
        </row>
        <row r="92">
          <cell r="H92">
            <v>18</v>
          </cell>
          <cell r="K92">
            <v>61</v>
          </cell>
          <cell r="Q92">
            <v>200</v>
          </cell>
          <cell r="T92">
            <v>101</v>
          </cell>
          <cell r="W92">
            <v>0</v>
          </cell>
        </row>
        <row r="102">
          <cell r="W102">
            <v>985</v>
          </cell>
        </row>
        <row r="105">
          <cell r="W105">
            <v>266</v>
          </cell>
        </row>
      </sheetData>
      <sheetData sheetId="4">
        <row r="28">
          <cell r="H28">
            <v>87</v>
          </cell>
        </row>
        <row r="30">
          <cell r="E30">
            <v>27308</v>
          </cell>
          <cell r="H30">
            <v>49141</v>
          </cell>
          <cell r="K30">
            <v>23601</v>
          </cell>
          <cell r="N30">
            <v>50889</v>
          </cell>
          <cell r="Q30">
            <v>5504</v>
          </cell>
        </row>
        <row r="31">
          <cell r="E31">
            <v>288</v>
          </cell>
          <cell r="H31">
            <v>1634</v>
          </cell>
        </row>
        <row r="32">
          <cell r="E32">
            <v>3284</v>
          </cell>
          <cell r="H32">
            <v>8749</v>
          </cell>
          <cell r="K32">
            <v>2215</v>
          </cell>
          <cell r="N32">
            <v>-1204</v>
          </cell>
          <cell r="Q32">
            <v>7105</v>
          </cell>
        </row>
        <row r="33">
          <cell r="E33">
            <v>1314</v>
          </cell>
          <cell r="H33">
            <v>8749</v>
          </cell>
          <cell r="Q33">
            <v>2842</v>
          </cell>
        </row>
        <row r="34">
          <cell r="E34">
            <v>656</v>
          </cell>
          <cell r="K34">
            <v>2215</v>
          </cell>
          <cell r="Q34">
            <v>1422</v>
          </cell>
        </row>
        <row r="35">
          <cell r="E35">
            <v>1314</v>
          </cell>
          <cell r="N35">
            <v>-1204</v>
          </cell>
          <cell r="Q35">
            <v>2841</v>
          </cell>
        </row>
        <row r="38">
          <cell r="E38">
            <v>17578</v>
          </cell>
          <cell r="H38">
            <v>36969</v>
          </cell>
          <cell r="K38">
            <v>19187</v>
          </cell>
          <cell r="N38">
            <v>34319</v>
          </cell>
          <cell r="Q38">
            <v>6498</v>
          </cell>
        </row>
        <row r="39">
          <cell r="E39">
            <v>0</v>
          </cell>
          <cell r="H39">
            <v>0</v>
          </cell>
          <cell r="K39">
            <v>0</v>
          </cell>
          <cell r="N39">
            <v>0</v>
          </cell>
          <cell r="Q39">
            <v>0</v>
          </cell>
        </row>
        <row r="40">
          <cell r="E40">
            <v>0</v>
          </cell>
          <cell r="H40">
            <v>0</v>
          </cell>
          <cell r="K40">
            <v>0</v>
          </cell>
          <cell r="N40">
            <v>0</v>
          </cell>
          <cell r="Q40">
            <v>0</v>
          </cell>
        </row>
        <row r="41">
          <cell r="E41">
            <v>307</v>
          </cell>
          <cell r="H41">
            <v>678</v>
          </cell>
          <cell r="K41">
            <v>385</v>
          </cell>
          <cell r="N41">
            <v>617</v>
          </cell>
          <cell r="Q41">
            <v>91</v>
          </cell>
        </row>
        <row r="42">
          <cell r="E42">
            <v>0</v>
          </cell>
          <cell r="H42">
            <v>0</v>
          </cell>
          <cell r="K42">
            <v>0</v>
          </cell>
          <cell r="N42">
            <v>0</v>
          </cell>
          <cell r="Q42">
            <v>0</v>
          </cell>
        </row>
        <row r="43">
          <cell r="E43">
            <v>0</v>
          </cell>
          <cell r="H43">
            <v>903</v>
          </cell>
          <cell r="K43">
            <v>0</v>
          </cell>
          <cell r="N43">
            <v>0</v>
          </cell>
          <cell r="Q43">
            <v>983</v>
          </cell>
        </row>
        <row r="44">
          <cell r="E44">
            <v>395</v>
          </cell>
          <cell r="H44">
            <v>807</v>
          </cell>
          <cell r="K44">
            <v>390</v>
          </cell>
          <cell r="N44">
            <v>735</v>
          </cell>
          <cell r="Q44">
            <v>108</v>
          </cell>
        </row>
        <row r="45">
          <cell r="E45">
            <v>0</v>
          </cell>
          <cell r="H45">
            <v>0</v>
          </cell>
          <cell r="K45">
            <v>0</v>
          </cell>
          <cell r="N45">
            <v>0</v>
          </cell>
          <cell r="Q45">
            <v>0</v>
          </cell>
        </row>
        <row r="46">
          <cell r="E46">
            <v>197</v>
          </cell>
          <cell r="H46">
            <v>314</v>
          </cell>
          <cell r="K46">
            <v>211</v>
          </cell>
          <cell r="N46">
            <v>351</v>
          </cell>
          <cell r="Q46">
            <v>53</v>
          </cell>
        </row>
        <row r="47">
          <cell r="E47">
            <v>0</v>
          </cell>
          <cell r="H47">
            <v>0</v>
          </cell>
          <cell r="K47">
            <v>0</v>
          </cell>
          <cell r="N47">
            <v>0</v>
          </cell>
          <cell r="Q47">
            <v>0</v>
          </cell>
        </row>
        <row r="48">
          <cell r="E48">
            <v>0</v>
          </cell>
          <cell r="H48">
            <v>0</v>
          </cell>
          <cell r="K48">
            <v>0</v>
          </cell>
          <cell r="N48">
            <v>0</v>
          </cell>
          <cell r="Q48">
            <v>0</v>
          </cell>
        </row>
        <row r="49">
          <cell r="E49">
            <v>0</v>
          </cell>
          <cell r="H49">
            <v>0</v>
          </cell>
          <cell r="K49">
            <v>0</v>
          </cell>
          <cell r="N49">
            <v>0</v>
          </cell>
          <cell r="Q49">
            <v>0</v>
          </cell>
        </row>
        <row r="50">
          <cell r="E50">
            <v>97</v>
          </cell>
          <cell r="H50">
            <v>263</v>
          </cell>
          <cell r="K50">
            <v>159</v>
          </cell>
          <cell r="N50">
            <v>235</v>
          </cell>
          <cell r="Q50">
            <v>82</v>
          </cell>
        </row>
        <row r="54">
          <cell r="H54">
            <v>5</v>
          </cell>
          <cell r="N54">
            <v>90</v>
          </cell>
        </row>
        <row r="55">
          <cell r="E55">
            <v>10</v>
          </cell>
          <cell r="H55">
            <v>30</v>
          </cell>
          <cell r="Q55">
            <v>20</v>
          </cell>
        </row>
        <row r="59">
          <cell r="E59">
            <v>3956</v>
          </cell>
          <cell r="H59">
            <v>8529</v>
          </cell>
          <cell r="K59">
            <v>4261</v>
          </cell>
          <cell r="N59">
            <v>7735</v>
          </cell>
          <cell r="Q59">
            <v>1684</v>
          </cell>
        </row>
        <row r="60">
          <cell r="E60">
            <v>317</v>
          </cell>
          <cell r="H60">
            <v>645</v>
          </cell>
          <cell r="K60">
            <v>293</v>
          </cell>
          <cell r="N60">
            <v>586</v>
          </cell>
          <cell r="Q60">
            <v>88</v>
          </cell>
        </row>
        <row r="61">
          <cell r="E61">
            <v>127</v>
          </cell>
          <cell r="H61">
            <v>269</v>
          </cell>
          <cell r="K61">
            <v>125</v>
          </cell>
          <cell r="N61">
            <v>236</v>
          </cell>
          <cell r="Q61">
            <v>41</v>
          </cell>
        </row>
        <row r="62">
          <cell r="E62">
            <v>0</v>
          </cell>
          <cell r="H62">
            <v>12</v>
          </cell>
          <cell r="K62">
            <v>0</v>
          </cell>
          <cell r="N62">
            <v>3</v>
          </cell>
          <cell r="Q62">
            <v>0</v>
          </cell>
        </row>
        <row r="63">
          <cell r="E63">
            <v>71</v>
          </cell>
          <cell r="H63">
            <v>150</v>
          </cell>
          <cell r="K63">
            <v>70</v>
          </cell>
          <cell r="N63">
            <v>131</v>
          </cell>
          <cell r="Q63">
            <v>23</v>
          </cell>
        </row>
        <row r="64">
          <cell r="E64">
            <v>160</v>
          </cell>
          <cell r="H64">
            <v>531</v>
          </cell>
          <cell r="Q64">
            <v>92</v>
          </cell>
        </row>
        <row r="65">
          <cell r="E65">
            <v>275</v>
          </cell>
          <cell r="H65">
            <v>430</v>
          </cell>
          <cell r="Q65">
            <v>240</v>
          </cell>
        </row>
        <row r="68">
          <cell r="E68">
            <v>38</v>
          </cell>
          <cell r="H68">
            <v>8</v>
          </cell>
          <cell r="K68">
            <v>6</v>
          </cell>
          <cell r="N68">
            <v>6</v>
          </cell>
          <cell r="Q68">
            <v>188</v>
          </cell>
        </row>
        <row r="69">
          <cell r="E69">
            <v>162</v>
          </cell>
          <cell r="H69">
            <v>142</v>
          </cell>
          <cell r="K69">
            <v>34</v>
          </cell>
          <cell r="N69">
            <v>34</v>
          </cell>
          <cell r="Q69">
            <v>97</v>
          </cell>
        </row>
        <row r="71">
          <cell r="E71">
            <v>865</v>
          </cell>
          <cell r="H71">
            <v>2300</v>
          </cell>
          <cell r="Q71">
            <v>0</v>
          </cell>
        </row>
        <row r="72">
          <cell r="E72">
            <v>3083</v>
          </cell>
          <cell r="H72">
            <v>0</v>
          </cell>
          <cell r="Q72">
            <v>0</v>
          </cell>
        </row>
        <row r="73">
          <cell r="E73">
            <v>0</v>
          </cell>
          <cell r="H73">
            <v>0</v>
          </cell>
          <cell r="Q73">
            <v>0</v>
          </cell>
        </row>
        <row r="74">
          <cell r="E74">
            <v>200</v>
          </cell>
          <cell r="H74">
            <v>800</v>
          </cell>
          <cell r="Q74">
            <v>100</v>
          </cell>
        </row>
        <row r="75">
          <cell r="E75">
            <v>0</v>
          </cell>
          <cell r="H75">
            <v>0</v>
          </cell>
          <cell r="Q75">
            <v>0</v>
          </cell>
        </row>
        <row r="78">
          <cell r="E78">
            <v>512</v>
          </cell>
          <cell r="H78">
            <v>1560</v>
          </cell>
          <cell r="K78">
            <v>505</v>
          </cell>
          <cell r="N78">
            <v>1498</v>
          </cell>
          <cell r="Q78">
            <v>250</v>
          </cell>
        </row>
        <row r="79">
          <cell r="E79">
            <v>100</v>
          </cell>
          <cell r="H79">
            <v>338</v>
          </cell>
          <cell r="Q79">
            <v>1380</v>
          </cell>
        </row>
        <row r="81">
          <cell r="E81">
            <v>50</v>
          </cell>
          <cell r="H81">
            <v>50</v>
          </cell>
          <cell r="K81">
            <v>17</v>
          </cell>
          <cell r="N81">
            <v>12</v>
          </cell>
          <cell r="Q81">
            <v>50</v>
          </cell>
        </row>
        <row r="84">
          <cell r="E84">
            <v>1457</v>
          </cell>
          <cell r="H84">
            <v>1649</v>
          </cell>
          <cell r="K84">
            <v>173</v>
          </cell>
          <cell r="N84">
            <v>443</v>
          </cell>
          <cell r="Q84">
            <v>350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92">
          <cell r="E92">
            <v>288</v>
          </cell>
          <cell r="N92">
            <v>2654</v>
          </cell>
        </row>
        <row r="99">
          <cell r="Q99">
            <v>150</v>
          </cell>
        </row>
        <row r="100">
          <cell r="E100">
            <v>500</v>
          </cell>
          <cell r="H100">
            <v>400</v>
          </cell>
        </row>
        <row r="103">
          <cell r="E103">
            <v>135</v>
          </cell>
          <cell r="H103">
            <v>108</v>
          </cell>
          <cell r="Q103">
            <v>41</v>
          </cell>
        </row>
        <row r="105">
          <cell r="H105">
            <v>1355</v>
          </cell>
        </row>
        <row r="108">
          <cell r="H108">
            <v>366</v>
          </cell>
        </row>
      </sheetData>
      <sheetData sheetId="5">
        <row r="3">
          <cell r="D3">
            <v>11323747</v>
          </cell>
          <cell r="G3">
            <v>22349500</v>
          </cell>
          <cell r="J3">
            <v>11025753</v>
          </cell>
          <cell r="M3">
            <v>22647493</v>
          </cell>
          <cell r="P3">
            <v>2383947</v>
          </cell>
        </row>
        <row r="4">
          <cell r="D4">
            <v>5661873</v>
          </cell>
          <cell r="G4">
            <v>10280770</v>
          </cell>
          <cell r="J4">
            <v>5363880</v>
          </cell>
          <cell r="M4">
            <v>11323747</v>
          </cell>
          <cell r="P4">
            <v>1191973</v>
          </cell>
        </row>
        <row r="6">
          <cell r="D6">
            <v>145160</v>
          </cell>
          <cell r="G6">
            <v>263580</v>
          </cell>
          <cell r="J6">
            <v>137520</v>
          </cell>
          <cell r="M6">
            <v>290320</v>
          </cell>
          <cell r="P6">
            <v>30560</v>
          </cell>
        </row>
        <row r="7">
          <cell r="G7">
            <v>418900</v>
          </cell>
          <cell r="J7">
            <v>0</v>
          </cell>
          <cell r="M7">
            <v>418900</v>
          </cell>
          <cell r="P7">
            <v>418900</v>
          </cell>
        </row>
        <row r="8">
          <cell r="D8">
            <v>2400000</v>
          </cell>
          <cell r="G8">
            <v>6240000</v>
          </cell>
          <cell r="J8">
            <v>2400000</v>
          </cell>
          <cell r="M8">
            <v>6000000</v>
          </cell>
          <cell r="P8">
            <v>960000</v>
          </cell>
        </row>
        <row r="9">
          <cell r="D9">
            <v>1200000</v>
          </cell>
          <cell r="G9">
            <v>3120000</v>
          </cell>
          <cell r="J9">
            <v>1200000</v>
          </cell>
          <cell r="M9">
            <v>3000000</v>
          </cell>
          <cell r="P9">
            <v>480000</v>
          </cell>
        </row>
        <row r="11">
          <cell r="D11">
            <v>2396534</v>
          </cell>
          <cell r="G11">
            <v>4411800</v>
          </cell>
          <cell r="J11">
            <v>2287600</v>
          </cell>
          <cell r="M11">
            <v>4793066</v>
          </cell>
        </row>
        <row r="12">
          <cell r="D12">
            <v>1198267</v>
          </cell>
          <cell r="G12">
            <v>2042500</v>
          </cell>
          <cell r="J12">
            <v>1116567</v>
          </cell>
          <cell r="M12">
            <v>2396533</v>
          </cell>
        </row>
        <row r="14">
          <cell r="D14">
            <v>2944553</v>
          </cell>
        </row>
        <row r="16">
          <cell r="D16">
            <v>38484</v>
          </cell>
          <cell r="G16">
            <v>13975</v>
          </cell>
          <cell r="J16">
            <v>68960</v>
          </cell>
          <cell r="M16">
            <v>18884</v>
          </cell>
          <cell r="P16">
            <v>39135</v>
          </cell>
        </row>
      </sheetData>
      <sheetData sheetId="6">
        <row r="3">
          <cell r="D3">
            <v>15000000</v>
          </cell>
        </row>
        <row r="4">
          <cell r="D4">
            <v>9900000</v>
          </cell>
        </row>
        <row r="5">
          <cell r="D5">
            <v>442880</v>
          </cell>
        </row>
        <row r="6">
          <cell r="D6">
            <v>1025000</v>
          </cell>
        </row>
        <row r="7">
          <cell r="D7">
            <v>12012000</v>
          </cell>
        </row>
        <row r="8">
          <cell r="D8">
            <v>490500</v>
          </cell>
        </row>
        <row r="9">
          <cell r="D9">
            <v>2500000</v>
          </cell>
        </row>
        <row r="10">
          <cell r="D10">
            <v>6297200</v>
          </cell>
        </row>
        <row r="11">
          <cell r="D11">
            <v>8940000</v>
          </cell>
        </row>
        <row r="14">
          <cell r="D14">
            <v>826</v>
          </cell>
        </row>
        <row r="15">
          <cell r="D15">
            <v>136950</v>
          </cell>
        </row>
        <row r="16">
          <cell r="D16">
            <v>286170</v>
          </cell>
        </row>
        <row r="17">
          <cell r="D17">
            <v>190961</v>
          </cell>
        </row>
        <row r="18">
          <cell r="D18">
            <v>124701</v>
          </cell>
        </row>
        <row r="19">
          <cell r="D19">
            <v>48050</v>
          </cell>
        </row>
        <row r="20">
          <cell r="D20">
            <v>26352</v>
          </cell>
        </row>
        <row r="23">
          <cell r="D23">
            <v>82845</v>
          </cell>
        </row>
        <row r="24">
          <cell r="D24">
            <v>394150</v>
          </cell>
        </row>
        <row r="25">
          <cell r="D25">
            <v>1466693</v>
          </cell>
        </row>
        <row r="26">
          <cell r="D26">
            <v>1128888</v>
          </cell>
        </row>
        <row r="27">
          <cell r="D27">
            <v>2067053</v>
          </cell>
        </row>
        <row r="28">
          <cell r="D28">
            <v>762648</v>
          </cell>
        </row>
        <row r="29">
          <cell r="D29">
            <v>140849</v>
          </cell>
        </row>
      </sheetData>
      <sheetData sheetId="7">
        <row r="3">
          <cell r="O3">
            <v>25768</v>
          </cell>
        </row>
        <row r="4">
          <cell r="O4">
            <v>9509</v>
          </cell>
        </row>
        <row r="5">
          <cell r="O5">
            <v>4748</v>
          </cell>
        </row>
        <row r="6">
          <cell r="O6">
            <v>3404</v>
          </cell>
        </row>
        <row r="7">
          <cell r="O7">
            <v>18377</v>
          </cell>
        </row>
        <row r="8">
          <cell r="O8">
            <v>10884</v>
          </cell>
        </row>
        <row r="9">
          <cell r="O9">
            <v>10700</v>
          </cell>
        </row>
        <row r="10">
          <cell r="O10">
            <v>5779</v>
          </cell>
        </row>
        <row r="12">
          <cell r="O12">
            <v>219908</v>
          </cell>
        </row>
        <row r="17">
          <cell r="O17">
            <v>6926</v>
          </cell>
        </row>
        <row r="18">
          <cell r="O18">
            <v>3331</v>
          </cell>
        </row>
        <row r="19">
          <cell r="O19">
            <v>108</v>
          </cell>
        </row>
        <row r="20">
          <cell r="O20">
            <v>0</v>
          </cell>
        </row>
        <row r="21">
          <cell r="O21">
            <v>269</v>
          </cell>
        </row>
        <row r="22">
          <cell r="O22">
            <v>1634</v>
          </cell>
        </row>
        <row r="23">
          <cell r="O23">
            <v>953</v>
          </cell>
        </row>
        <row r="24">
          <cell r="O24">
            <v>2330</v>
          </cell>
        </row>
        <row r="25">
          <cell r="O25">
            <v>430</v>
          </cell>
        </row>
        <row r="26">
          <cell r="O26">
            <v>9055</v>
          </cell>
        </row>
        <row r="29">
          <cell r="O29">
            <v>288</v>
          </cell>
        </row>
        <row r="31">
          <cell r="O31">
            <v>2654</v>
          </cell>
        </row>
      </sheetData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Összesítés"/>
      <sheetName val="Társulás"/>
      <sheetName val="Seg.Szolgálat"/>
      <sheetName val="MOVI"/>
      <sheetName val="BOVI"/>
      <sheetName val="GYOVI"/>
      <sheetName val="TOVI"/>
      <sheetName val="KIK"/>
      <sheetName val="Munka1"/>
    </sheetNames>
    <sheetDataSet>
      <sheetData sheetId="0"/>
      <sheetData sheetId="1">
        <row r="4">
          <cell r="K4">
            <v>362</v>
          </cell>
        </row>
        <row r="5">
          <cell r="R5">
            <v>-362</v>
          </cell>
        </row>
        <row r="10">
          <cell r="I10">
            <v>3</v>
          </cell>
        </row>
        <row r="11">
          <cell r="R11">
            <v>-3</v>
          </cell>
        </row>
        <row r="12">
          <cell r="K12">
            <v>30</v>
          </cell>
        </row>
        <row r="13">
          <cell r="R13">
            <v>-30</v>
          </cell>
        </row>
        <row r="19">
          <cell r="AA19">
            <v>9261</v>
          </cell>
        </row>
        <row r="20">
          <cell r="I20">
            <v>145</v>
          </cell>
        </row>
        <row r="21">
          <cell r="R21">
            <v>40</v>
          </cell>
        </row>
        <row r="22">
          <cell r="J22">
            <v>39</v>
          </cell>
        </row>
        <row r="23">
          <cell r="Q23">
            <v>7116</v>
          </cell>
        </row>
        <row r="24">
          <cell r="Q24">
            <v>1921</v>
          </cell>
        </row>
        <row r="25">
          <cell r="K25">
            <v>3</v>
          </cell>
        </row>
        <row r="26">
          <cell r="R26">
            <v>-3</v>
          </cell>
        </row>
        <row r="27">
          <cell r="K27">
            <v>100</v>
          </cell>
        </row>
        <row r="28">
          <cell r="R28">
            <v>-100</v>
          </cell>
        </row>
        <row r="38">
          <cell r="I38">
            <v>1200</v>
          </cell>
        </row>
        <row r="56">
          <cell r="O56">
            <v>3291</v>
          </cell>
        </row>
        <row r="57">
          <cell r="R57">
            <v>-3291</v>
          </cell>
        </row>
        <row r="63">
          <cell r="Z63">
            <v>-8160</v>
          </cell>
        </row>
        <row r="64">
          <cell r="I64">
            <v>-8160</v>
          </cell>
        </row>
      </sheetData>
      <sheetData sheetId="2">
        <row r="5">
          <cell r="E5">
            <v>30</v>
          </cell>
        </row>
        <row r="6">
          <cell r="E6">
            <v>42</v>
          </cell>
        </row>
        <row r="7">
          <cell r="E7">
            <v>22</v>
          </cell>
        </row>
        <row r="8">
          <cell r="E8">
            <v>20</v>
          </cell>
        </row>
        <row r="9">
          <cell r="E9">
            <v>8</v>
          </cell>
        </row>
        <row r="10">
          <cell r="E10">
            <v>5</v>
          </cell>
        </row>
        <row r="11">
          <cell r="F11">
            <v>7</v>
          </cell>
        </row>
        <row r="12">
          <cell r="F12">
            <v>9</v>
          </cell>
        </row>
        <row r="13">
          <cell r="F13">
            <v>5</v>
          </cell>
        </row>
        <row r="14">
          <cell r="F14">
            <v>4</v>
          </cell>
        </row>
        <row r="15">
          <cell r="F15">
            <v>2</v>
          </cell>
        </row>
        <row r="16">
          <cell r="F16">
            <v>1</v>
          </cell>
        </row>
        <row r="18">
          <cell r="E18">
            <v>982</v>
          </cell>
        </row>
        <row r="19">
          <cell r="E19">
            <v>59</v>
          </cell>
        </row>
        <row r="20">
          <cell r="E20">
            <v>359</v>
          </cell>
        </row>
        <row r="21">
          <cell r="E21">
            <v>695</v>
          </cell>
        </row>
        <row r="22">
          <cell r="E22">
            <v>192</v>
          </cell>
        </row>
        <row r="23">
          <cell r="E23">
            <v>36</v>
          </cell>
        </row>
        <row r="24">
          <cell r="E24">
            <v>428</v>
          </cell>
        </row>
        <row r="25">
          <cell r="F25">
            <v>216</v>
          </cell>
        </row>
        <row r="26">
          <cell r="F26">
            <v>13</v>
          </cell>
        </row>
        <row r="27">
          <cell r="F27">
            <v>79</v>
          </cell>
        </row>
        <row r="28">
          <cell r="F28">
            <v>153</v>
          </cell>
        </row>
        <row r="29">
          <cell r="F29">
            <v>43</v>
          </cell>
        </row>
        <row r="30">
          <cell r="F30">
            <v>8</v>
          </cell>
        </row>
        <row r="31">
          <cell r="F31">
            <v>94</v>
          </cell>
        </row>
        <row r="32">
          <cell r="H32">
            <v>2</v>
          </cell>
        </row>
        <row r="33">
          <cell r="H33">
            <v>-2</v>
          </cell>
        </row>
        <row r="34">
          <cell r="G34">
            <v>29</v>
          </cell>
        </row>
        <row r="35">
          <cell r="Q35">
            <v>-29</v>
          </cell>
        </row>
        <row r="36">
          <cell r="H36">
            <v>2</v>
          </cell>
        </row>
        <row r="37">
          <cell r="H37">
            <v>-2</v>
          </cell>
        </row>
        <row r="38">
          <cell r="K38">
            <v>7</v>
          </cell>
        </row>
        <row r="39">
          <cell r="I39">
            <v>-7</v>
          </cell>
        </row>
        <row r="40">
          <cell r="H40">
            <v>2</v>
          </cell>
        </row>
        <row r="41">
          <cell r="H41">
            <v>-2</v>
          </cell>
        </row>
        <row r="42">
          <cell r="G42">
            <v>16</v>
          </cell>
        </row>
        <row r="43">
          <cell r="G43">
            <v>1</v>
          </cell>
        </row>
        <row r="44">
          <cell r="H44">
            <v>3</v>
          </cell>
        </row>
        <row r="45">
          <cell r="H45">
            <v>-20</v>
          </cell>
        </row>
        <row r="46">
          <cell r="G46">
            <v>8</v>
          </cell>
        </row>
        <row r="47">
          <cell r="G47">
            <v>-8</v>
          </cell>
        </row>
        <row r="48">
          <cell r="H48">
            <v>3</v>
          </cell>
        </row>
        <row r="49">
          <cell r="H49">
            <v>4</v>
          </cell>
        </row>
        <row r="50">
          <cell r="H50">
            <v>-7</v>
          </cell>
        </row>
        <row r="51">
          <cell r="E51">
            <v>3</v>
          </cell>
        </row>
        <row r="52">
          <cell r="E52">
            <v>-3</v>
          </cell>
        </row>
        <row r="53">
          <cell r="H53">
            <v>3</v>
          </cell>
        </row>
        <row r="54">
          <cell r="H54">
            <v>-3</v>
          </cell>
        </row>
        <row r="55">
          <cell r="K55">
            <v>19</v>
          </cell>
        </row>
        <row r="56">
          <cell r="I56">
            <v>-19</v>
          </cell>
        </row>
        <row r="58">
          <cell r="E58">
            <v>30</v>
          </cell>
        </row>
        <row r="59">
          <cell r="E59">
            <v>42</v>
          </cell>
        </row>
        <row r="60">
          <cell r="E60">
            <v>22</v>
          </cell>
        </row>
        <row r="61">
          <cell r="E61">
            <v>20</v>
          </cell>
        </row>
        <row r="62">
          <cell r="E62">
            <v>8</v>
          </cell>
        </row>
        <row r="63">
          <cell r="E63">
            <v>5</v>
          </cell>
        </row>
        <row r="64">
          <cell r="F64">
            <v>7</v>
          </cell>
        </row>
        <row r="65">
          <cell r="F65">
            <v>9</v>
          </cell>
        </row>
        <row r="66">
          <cell r="F66">
            <v>5</v>
          </cell>
        </row>
        <row r="67">
          <cell r="F67">
            <v>4</v>
          </cell>
        </row>
        <row r="68">
          <cell r="F68">
            <v>2</v>
          </cell>
        </row>
        <row r="69">
          <cell r="F69">
            <v>1</v>
          </cell>
        </row>
        <row r="71">
          <cell r="E71">
            <v>506</v>
          </cell>
        </row>
        <row r="72">
          <cell r="E72">
            <v>30</v>
          </cell>
        </row>
        <row r="73">
          <cell r="E73">
            <v>180</v>
          </cell>
        </row>
        <row r="74">
          <cell r="E74">
            <v>350</v>
          </cell>
        </row>
        <row r="75">
          <cell r="E75">
            <v>96</v>
          </cell>
        </row>
        <row r="76">
          <cell r="E76">
            <v>18</v>
          </cell>
        </row>
        <row r="78">
          <cell r="F78">
            <v>111</v>
          </cell>
        </row>
        <row r="79">
          <cell r="F79">
            <v>7</v>
          </cell>
        </row>
        <row r="80">
          <cell r="F80">
            <v>39</v>
          </cell>
        </row>
        <row r="81">
          <cell r="F81">
            <v>77</v>
          </cell>
        </row>
        <row r="82">
          <cell r="F82">
            <v>21</v>
          </cell>
        </row>
        <row r="83">
          <cell r="F83">
            <v>4</v>
          </cell>
        </row>
        <row r="84">
          <cell r="F84">
            <v>48</v>
          </cell>
        </row>
        <row r="88">
          <cell r="I88">
            <v>-87</v>
          </cell>
        </row>
        <row r="89">
          <cell r="J89">
            <v>-24</v>
          </cell>
        </row>
        <row r="90">
          <cell r="E90">
            <v>-1475</v>
          </cell>
        </row>
        <row r="91">
          <cell r="F91">
            <v>-324</v>
          </cell>
        </row>
        <row r="92">
          <cell r="E92">
            <v>-268</v>
          </cell>
        </row>
        <row r="93">
          <cell r="F93">
            <v>-59</v>
          </cell>
        </row>
        <row r="95">
          <cell r="Q95">
            <v>400</v>
          </cell>
        </row>
        <row r="96">
          <cell r="Q96">
            <v>108</v>
          </cell>
        </row>
        <row r="97">
          <cell r="Q97">
            <v>183</v>
          </cell>
        </row>
        <row r="98">
          <cell r="Q98">
            <v>49</v>
          </cell>
        </row>
        <row r="99">
          <cell r="G99">
            <v>-183</v>
          </cell>
        </row>
        <row r="100">
          <cell r="J100">
            <v>-49</v>
          </cell>
        </row>
        <row r="101">
          <cell r="W101">
            <v>289</v>
          </cell>
        </row>
        <row r="102">
          <cell r="G102">
            <v>1</v>
          </cell>
        </row>
        <row r="103">
          <cell r="I103">
            <v>126</v>
          </cell>
        </row>
        <row r="104">
          <cell r="I104">
            <v>98</v>
          </cell>
        </row>
        <row r="105">
          <cell r="J105">
            <v>64</v>
          </cell>
        </row>
        <row r="106">
          <cell r="G106">
            <v>4</v>
          </cell>
        </row>
        <row r="107">
          <cell r="I107">
            <v>-4</v>
          </cell>
        </row>
        <row r="108">
          <cell r="H108">
            <v>2</v>
          </cell>
        </row>
        <row r="109">
          <cell r="H109">
            <v>-2</v>
          </cell>
        </row>
        <row r="110">
          <cell r="I110">
            <v>30</v>
          </cell>
        </row>
        <row r="111">
          <cell r="K111">
            <v>-30</v>
          </cell>
        </row>
        <row r="112">
          <cell r="H112">
            <v>1</v>
          </cell>
        </row>
        <row r="113">
          <cell r="H113">
            <v>-1</v>
          </cell>
        </row>
        <row r="114">
          <cell r="E114">
            <v>43</v>
          </cell>
        </row>
        <row r="115">
          <cell r="E115">
            <v>-43</v>
          </cell>
        </row>
        <row r="116">
          <cell r="H116">
            <v>3</v>
          </cell>
        </row>
        <row r="117">
          <cell r="H117">
            <v>-3</v>
          </cell>
        </row>
        <row r="118">
          <cell r="E118">
            <v>81</v>
          </cell>
        </row>
        <row r="119">
          <cell r="E119">
            <v>-81</v>
          </cell>
        </row>
        <row r="120">
          <cell r="H120">
            <v>3</v>
          </cell>
        </row>
        <row r="121">
          <cell r="H121">
            <v>-3</v>
          </cell>
        </row>
        <row r="122">
          <cell r="K122">
            <v>10</v>
          </cell>
        </row>
        <row r="123">
          <cell r="K123">
            <v>-10</v>
          </cell>
        </row>
        <row r="124">
          <cell r="H124">
            <v>3</v>
          </cell>
        </row>
        <row r="125">
          <cell r="H125">
            <v>-3</v>
          </cell>
        </row>
        <row r="126">
          <cell r="I126">
            <v>10</v>
          </cell>
        </row>
        <row r="127">
          <cell r="I127">
            <v>-10</v>
          </cell>
        </row>
        <row r="128">
          <cell r="K128">
            <v>7</v>
          </cell>
        </row>
        <row r="129">
          <cell r="Q129">
            <v>-7</v>
          </cell>
        </row>
        <row r="130">
          <cell r="E130">
            <v>28</v>
          </cell>
        </row>
        <row r="131">
          <cell r="E131">
            <v>-28</v>
          </cell>
        </row>
        <row r="132">
          <cell r="H132">
            <v>2</v>
          </cell>
        </row>
        <row r="133">
          <cell r="H133">
            <v>-2</v>
          </cell>
        </row>
        <row r="135">
          <cell r="E135">
            <v>30</v>
          </cell>
        </row>
        <row r="136">
          <cell r="E136">
            <v>42</v>
          </cell>
        </row>
        <row r="137">
          <cell r="E137">
            <v>22</v>
          </cell>
        </row>
        <row r="138">
          <cell r="E138">
            <v>20</v>
          </cell>
        </row>
        <row r="139">
          <cell r="E139">
            <v>8</v>
          </cell>
        </row>
        <row r="140">
          <cell r="E140">
            <v>5</v>
          </cell>
        </row>
        <row r="141">
          <cell r="F141">
            <v>7</v>
          </cell>
        </row>
        <row r="142">
          <cell r="F142">
            <v>9</v>
          </cell>
        </row>
        <row r="143">
          <cell r="F143">
            <v>5</v>
          </cell>
        </row>
        <row r="144">
          <cell r="F144">
            <v>4</v>
          </cell>
        </row>
        <row r="145">
          <cell r="F145">
            <v>2</v>
          </cell>
        </row>
        <row r="146">
          <cell r="F146">
            <v>1</v>
          </cell>
        </row>
        <row r="148">
          <cell r="E148">
            <v>506</v>
          </cell>
        </row>
        <row r="149">
          <cell r="E149">
            <v>30</v>
          </cell>
        </row>
        <row r="150">
          <cell r="E150">
            <v>180</v>
          </cell>
        </row>
        <row r="151">
          <cell r="E151">
            <v>350</v>
          </cell>
        </row>
        <row r="152">
          <cell r="E152">
            <v>96</v>
          </cell>
        </row>
        <row r="153">
          <cell r="E153">
            <v>18</v>
          </cell>
        </row>
        <row r="154">
          <cell r="E154">
            <v>218</v>
          </cell>
        </row>
        <row r="155">
          <cell r="F155">
            <v>111</v>
          </cell>
        </row>
        <row r="156">
          <cell r="F156">
            <v>7</v>
          </cell>
        </row>
        <row r="157">
          <cell r="F157">
            <v>39</v>
          </cell>
        </row>
        <row r="158">
          <cell r="F158">
            <v>77</v>
          </cell>
        </row>
        <row r="159">
          <cell r="F159">
            <v>21</v>
          </cell>
        </row>
        <row r="160">
          <cell r="F160">
            <v>4</v>
          </cell>
        </row>
        <row r="161">
          <cell r="F161">
            <v>48</v>
          </cell>
        </row>
        <row r="162">
          <cell r="E162">
            <v>32</v>
          </cell>
        </row>
        <row r="163">
          <cell r="E163">
            <v>-32</v>
          </cell>
        </row>
        <row r="164">
          <cell r="E164">
            <v>25</v>
          </cell>
        </row>
        <row r="165">
          <cell r="E165">
            <v>-8</v>
          </cell>
        </row>
        <row r="166">
          <cell r="E166">
            <v>-17</v>
          </cell>
        </row>
        <row r="167">
          <cell r="H167">
            <v>3</v>
          </cell>
        </row>
        <row r="168">
          <cell r="H168">
            <v>-3</v>
          </cell>
        </row>
        <row r="169">
          <cell r="K169">
            <v>9</v>
          </cell>
        </row>
        <row r="170">
          <cell r="K170">
            <v>-9</v>
          </cell>
        </row>
        <row r="171">
          <cell r="E171">
            <v>16</v>
          </cell>
        </row>
        <row r="172">
          <cell r="E172">
            <v>-16</v>
          </cell>
        </row>
        <row r="173">
          <cell r="G173">
            <v>4</v>
          </cell>
        </row>
        <row r="174">
          <cell r="I174">
            <v>-4</v>
          </cell>
        </row>
        <row r="175">
          <cell r="H175">
            <v>2</v>
          </cell>
        </row>
        <row r="176">
          <cell r="H176">
            <v>-2</v>
          </cell>
        </row>
        <row r="177">
          <cell r="G177">
            <v>4</v>
          </cell>
        </row>
        <row r="178">
          <cell r="Q178">
            <v>-4</v>
          </cell>
        </row>
        <row r="179">
          <cell r="H179">
            <v>2</v>
          </cell>
        </row>
        <row r="180">
          <cell r="H180">
            <v>-2</v>
          </cell>
        </row>
        <row r="181">
          <cell r="E181">
            <v>190</v>
          </cell>
        </row>
        <row r="182">
          <cell r="E182">
            <v>-190</v>
          </cell>
        </row>
        <row r="183">
          <cell r="H183">
            <v>1</v>
          </cell>
        </row>
        <row r="184">
          <cell r="H184">
            <v>-1</v>
          </cell>
        </row>
        <row r="185">
          <cell r="I185">
            <v>9</v>
          </cell>
        </row>
        <row r="186">
          <cell r="K186">
            <v>-9</v>
          </cell>
        </row>
        <row r="187">
          <cell r="E187">
            <v>105</v>
          </cell>
        </row>
        <row r="188">
          <cell r="E188">
            <v>-20</v>
          </cell>
        </row>
        <row r="189">
          <cell r="E189">
            <v>-85</v>
          </cell>
        </row>
        <row r="190">
          <cell r="G190">
            <v>11</v>
          </cell>
        </row>
        <row r="191">
          <cell r="H191">
            <v>3</v>
          </cell>
        </row>
        <row r="192">
          <cell r="H192">
            <v>-14</v>
          </cell>
        </row>
        <row r="193">
          <cell r="K193">
            <v>11</v>
          </cell>
        </row>
        <row r="194">
          <cell r="I194">
            <v>-11</v>
          </cell>
        </row>
        <row r="195">
          <cell r="E195">
            <v>47</v>
          </cell>
        </row>
        <row r="196">
          <cell r="E196">
            <v>-28</v>
          </cell>
        </row>
        <row r="197">
          <cell r="E197">
            <v>-19</v>
          </cell>
        </row>
        <row r="198">
          <cell r="H198">
            <v>3</v>
          </cell>
        </row>
        <row r="199">
          <cell r="H199">
            <v>-3</v>
          </cell>
        </row>
        <row r="200">
          <cell r="I200">
            <v>5</v>
          </cell>
        </row>
        <row r="201">
          <cell r="K201">
            <v>-5</v>
          </cell>
        </row>
        <row r="203">
          <cell r="E203">
            <v>30</v>
          </cell>
        </row>
        <row r="204">
          <cell r="E204">
            <v>42</v>
          </cell>
        </row>
        <row r="205">
          <cell r="E205">
            <v>22</v>
          </cell>
        </row>
        <row r="206">
          <cell r="E206">
            <v>20</v>
          </cell>
        </row>
        <row r="207">
          <cell r="E207">
            <v>8</v>
          </cell>
        </row>
        <row r="208">
          <cell r="E208">
            <v>5</v>
          </cell>
        </row>
        <row r="209">
          <cell r="F209">
            <v>7</v>
          </cell>
        </row>
        <row r="210">
          <cell r="F210">
            <v>9</v>
          </cell>
        </row>
        <row r="211">
          <cell r="F211">
            <v>5</v>
          </cell>
        </row>
        <row r="212">
          <cell r="F212">
            <v>4</v>
          </cell>
        </row>
        <row r="213">
          <cell r="F213">
            <v>2</v>
          </cell>
        </row>
        <row r="214">
          <cell r="F214">
            <v>1</v>
          </cell>
        </row>
        <row r="216">
          <cell r="E216">
            <v>506</v>
          </cell>
        </row>
        <row r="217">
          <cell r="E217">
            <v>30</v>
          </cell>
        </row>
        <row r="218">
          <cell r="E218">
            <v>172</v>
          </cell>
        </row>
        <row r="219">
          <cell r="E219">
            <v>350</v>
          </cell>
        </row>
        <row r="220">
          <cell r="E220">
            <v>96</v>
          </cell>
        </row>
        <row r="221">
          <cell r="E221">
            <v>18</v>
          </cell>
        </row>
        <row r="222">
          <cell r="E222">
            <v>212</v>
          </cell>
        </row>
        <row r="223">
          <cell r="F223">
            <v>111</v>
          </cell>
        </row>
        <row r="224">
          <cell r="F224">
            <v>7</v>
          </cell>
        </row>
        <row r="225">
          <cell r="F225">
            <v>38</v>
          </cell>
        </row>
        <row r="226">
          <cell r="F226">
            <v>77</v>
          </cell>
        </row>
        <row r="227">
          <cell r="F227">
            <v>21</v>
          </cell>
        </row>
        <row r="228">
          <cell r="F228">
            <v>4</v>
          </cell>
        </row>
        <row r="229">
          <cell r="F229">
            <v>46</v>
          </cell>
        </row>
        <row r="230">
          <cell r="H230">
            <v>2</v>
          </cell>
        </row>
        <row r="231">
          <cell r="H231">
            <v>-2</v>
          </cell>
        </row>
        <row r="232">
          <cell r="E232">
            <v>30</v>
          </cell>
        </row>
        <row r="233">
          <cell r="E233">
            <v>-30</v>
          </cell>
        </row>
        <row r="234">
          <cell r="H234">
            <v>3</v>
          </cell>
        </row>
        <row r="235">
          <cell r="H235">
            <v>-3</v>
          </cell>
        </row>
        <row r="236">
          <cell r="E236">
            <v>1</v>
          </cell>
        </row>
        <row r="237">
          <cell r="E237">
            <v>-1</v>
          </cell>
        </row>
        <row r="238">
          <cell r="H238">
            <v>2</v>
          </cell>
        </row>
        <row r="239">
          <cell r="H239">
            <v>-2</v>
          </cell>
        </row>
        <row r="240">
          <cell r="E240">
            <v>31</v>
          </cell>
        </row>
        <row r="241">
          <cell r="E241">
            <v>-31</v>
          </cell>
        </row>
        <row r="242">
          <cell r="H242">
            <v>1</v>
          </cell>
        </row>
        <row r="243">
          <cell r="H243">
            <v>-1</v>
          </cell>
        </row>
        <row r="244">
          <cell r="E244">
            <v>11</v>
          </cell>
        </row>
        <row r="245">
          <cell r="E245">
            <v>-11</v>
          </cell>
        </row>
        <row r="246">
          <cell r="H246">
            <v>3</v>
          </cell>
        </row>
        <row r="247">
          <cell r="H247">
            <v>-3</v>
          </cell>
        </row>
        <row r="248">
          <cell r="I248">
            <v>18</v>
          </cell>
        </row>
        <row r="249">
          <cell r="I249">
            <v>19</v>
          </cell>
        </row>
        <row r="250">
          <cell r="K250">
            <v>-37</v>
          </cell>
        </row>
        <row r="251">
          <cell r="E251">
            <v>1</v>
          </cell>
        </row>
        <row r="252">
          <cell r="E252">
            <v>-1</v>
          </cell>
        </row>
        <row r="253">
          <cell r="G253">
            <v>3</v>
          </cell>
        </row>
        <row r="254">
          <cell r="G254">
            <v>-3</v>
          </cell>
        </row>
        <row r="255">
          <cell r="H255">
            <v>3</v>
          </cell>
        </row>
        <row r="256">
          <cell r="H256">
            <v>-3</v>
          </cell>
        </row>
      </sheetData>
      <sheetData sheetId="3">
        <row r="5">
          <cell r="E5">
            <v>6</v>
          </cell>
        </row>
        <row r="6">
          <cell r="F6">
            <v>1</v>
          </cell>
        </row>
        <row r="7">
          <cell r="H7">
            <v>8</v>
          </cell>
        </row>
        <row r="8">
          <cell r="H8">
            <v>-8</v>
          </cell>
        </row>
        <row r="10">
          <cell r="E10">
            <v>6</v>
          </cell>
        </row>
        <row r="11">
          <cell r="F11">
            <v>1</v>
          </cell>
        </row>
        <row r="12">
          <cell r="E12">
            <v>1</v>
          </cell>
        </row>
        <row r="13">
          <cell r="E13">
            <v>-1</v>
          </cell>
        </row>
        <row r="14">
          <cell r="H14">
            <v>8</v>
          </cell>
        </row>
        <row r="15">
          <cell r="H15">
            <v>-8</v>
          </cell>
        </row>
        <row r="17">
          <cell r="E17">
            <v>5</v>
          </cell>
        </row>
        <row r="18">
          <cell r="F18">
            <v>2</v>
          </cell>
        </row>
        <row r="19">
          <cell r="H19">
            <v>8</v>
          </cell>
        </row>
        <row r="20">
          <cell r="H20">
            <v>-8</v>
          </cell>
        </row>
        <row r="22">
          <cell r="E22">
            <v>5</v>
          </cell>
        </row>
        <row r="23">
          <cell r="F23">
            <v>2</v>
          </cell>
        </row>
        <row r="24">
          <cell r="W24">
            <v>11</v>
          </cell>
        </row>
        <row r="25">
          <cell r="I25">
            <v>-1248</v>
          </cell>
        </row>
        <row r="26">
          <cell r="J26">
            <v>-336</v>
          </cell>
        </row>
        <row r="27">
          <cell r="E27">
            <v>-4674</v>
          </cell>
        </row>
        <row r="28">
          <cell r="E28">
            <v>-294</v>
          </cell>
        </row>
        <row r="29">
          <cell r="E29">
            <v>-115</v>
          </cell>
        </row>
        <row r="30">
          <cell r="E30">
            <v>-149</v>
          </cell>
        </row>
        <row r="31">
          <cell r="E31">
            <v>14</v>
          </cell>
        </row>
        <row r="32">
          <cell r="E32">
            <v>-10</v>
          </cell>
        </row>
        <row r="33">
          <cell r="F33">
            <v>-732</v>
          </cell>
        </row>
        <row r="34">
          <cell r="F34">
            <v>-81</v>
          </cell>
        </row>
        <row r="35">
          <cell r="F35">
            <v>-21</v>
          </cell>
        </row>
        <row r="36">
          <cell r="G36">
            <v>-32</v>
          </cell>
        </row>
        <row r="37">
          <cell r="G37">
            <v>-10</v>
          </cell>
        </row>
        <row r="38">
          <cell r="G38">
            <v>-50</v>
          </cell>
        </row>
        <row r="39">
          <cell r="I39">
            <v>-330</v>
          </cell>
        </row>
        <row r="40">
          <cell r="K40">
            <v>-45</v>
          </cell>
        </row>
        <row r="41">
          <cell r="G41">
            <v>-60</v>
          </cell>
        </row>
        <row r="42">
          <cell r="G42">
            <v>-40</v>
          </cell>
        </row>
        <row r="43">
          <cell r="G43">
            <v>-21</v>
          </cell>
        </row>
        <row r="44">
          <cell r="H44">
            <v>8</v>
          </cell>
        </row>
        <row r="45">
          <cell r="H45">
            <v>-63</v>
          </cell>
        </row>
        <row r="46">
          <cell r="I46">
            <v>-65</v>
          </cell>
        </row>
        <row r="47">
          <cell r="I47">
            <v>-196</v>
          </cell>
        </row>
        <row r="48">
          <cell r="I48">
            <v>-55</v>
          </cell>
        </row>
        <row r="49">
          <cell r="I49">
            <v>-142</v>
          </cell>
        </row>
        <row r="50">
          <cell r="I50">
            <v>-10</v>
          </cell>
        </row>
        <row r="51">
          <cell r="I51">
            <v>-3</v>
          </cell>
        </row>
        <row r="52">
          <cell r="I52">
            <v>-17</v>
          </cell>
        </row>
        <row r="53">
          <cell r="J53">
            <v>-375</v>
          </cell>
        </row>
        <row r="54">
          <cell r="Q54">
            <v>-500</v>
          </cell>
        </row>
        <row r="55">
          <cell r="Q55">
            <v>-135</v>
          </cell>
        </row>
      </sheetData>
      <sheetData sheetId="4">
        <row r="5">
          <cell r="E5">
            <v>2</v>
          </cell>
        </row>
        <row r="7">
          <cell r="E7">
            <v>39</v>
          </cell>
        </row>
        <row r="8">
          <cell r="E8">
            <v>44</v>
          </cell>
        </row>
        <row r="9">
          <cell r="E9">
            <v>-83</v>
          </cell>
        </row>
        <row r="11">
          <cell r="H11">
            <v>-2</v>
          </cell>
        </row>
        <row r="13">
          <cell r="E13">
            <v>2</v>
          </cell>
        </row>
        <row r="15">
          <cell r="E15">
            <v>233</v>
          </cell>
        </row>
        <row r="16">
          <cell r="E16">
            <v>6</v>
          </cell>
        </row>
        <row r="17">
          <cell r="E17">
            <v>-239</v>
          </cell>
        </row>
        <row r="18">
          <cell r="H18">
            <v>2</v>
          </cell>
        </row>
        <row r="19">
          <cell r="H19">
            <v>-2</v>
          </cell>
        </row>
        <row r="20">
          <cell r="Q20">
            <v>687</v>
          </cell>
        </row>
        <row r="21">
          <cell r="Q21">
            <v>186</v>
          </cell>
        </row>
        <row r="22">
          <cell r="I22">
            <v>-687</v>
          </cell>
        </row>
        <row r="23">
          <cell r="J23">
            <v>-186</v>
          </cell>
        </row>
        <row r="25">
          <cell r="E25">
            <v>1</v>
          </cell>
        </row>
        <row r="26">
          <cell r="F26">
            <v>1</v>
          </cell>
        </row>
        <row r="27">
          <cell r="G27">
            <v>5</v>
          </cell>
        </row>
        <row r="28">
          <cell r="G28">
            <v>-5</v>
          </cell>
        </row>
        <row r="29">
          <cell r="H29">
            <v>2</v>
          </cell>
        </row>
        <row r="30">
          <cell r="H30">
            <v>-2</v>
          </cell>
        </row>
        <row r="32">
          <cell r="E32">
            <v>1</v>
          </cell>
        </row>
        <row r="33">
          <cell r="F33">
            <v>1</v>
          </cell>
        </row>
        <row r="34">
          <cell r="E34">
            <v>-12648</v>
          </cell>
        </row>
        <row r="35">
          <cell r="E35">
            <v>-319</v>
          </cell>
        </row>
        <row r="36">
          <cell r="E36">
            <v>-221</v>
          </cell>
        </row>
        <row r="37">
          <cell r="E37">
            <v>-26</v>
          </cell>
        </row>
        <row r="38">
          <cell r="F38">
            <v>-2502</v>
          </cell>
        </row>
        <row r="39">
          <cell r="F39">
            <v>-174</v>
          </cell>
        </row>
        <row r="40">
          <cell r="F40">
            <v>10</v>
          </cell>
        </row>
        <row r="41">
          <cell r="F41">
            <v>-49</v>
          </cell>
        </row>
        <row r="42">
          <cell r="G42">
            <v>-199</v>
          </cell>
        </row>
        <row r="43">
          <cell r="G43">
            <v>-13</v>
          </cell>
        </row>
        <row r="44">
          <cell r="G44">
            <v>-100</v>
          </cell>
        </row>
        <row r="45">
          <cell r="I45">
            <v>-1098</v>
          </cell>
        </row>
        <row r="46">
          <cell r="K46">
            <v>-37</v>
          </cell>
        </row>
        <row r="47">
          <cell r="J47">
            <v>-2</v>
          </cell>
        </row>
        <row r="48">
          <cell r="G48">
            <v>-14</v>
          </cell>
        </row>
        <row r="49">
          <cell r="G49">
            <v>-38</v>
          </cell>
        </row>
        <row r="50">
          <cell r="H50">
            <v>2</v>
          </cell>
        </row>
        <row r="51">
          <cell r="H51">
            <v>-43</v>
          </cell>
        </row>
        <row r="52">
          <cell r="I52">
            <v>-341</v>
          </cell>
        </row>
        <row r="53">
          <cell r="I53">
            <v>-454</v>
          </cell>
        </row>
        <row r="54">
          <cell r="I54">
            <v>50</v>
          </cell>
        </row>
        <row r="55">
          <cell r="I55">
            <v>-69</v>
          </cell>
        </row>
        <row r="56">
          <cell r="I56">
            <v>-20</v>
          </cell>
        </row>
        <row r="57">
          <cell r="I57">
            <v>-11</v>
          </cell>
        </row>
        <row r="58">
          <cell r="I58">
            <v>-12</v>
          </cell>
        </row>
        <row r="59">
          <cell r="I59">
            <v>-43</v>
          </cell>
        </row>
        <row r="60">
          <cell r="I60">
            <v>-111</v>
          </cell>
        </row>
        <row r="61">
          <cell r="J61">
            <v>-863</v>
          </cell>
        </row>
        <row r="62">
          <cell r="K62">
            <v>-1</v>
          </cell>
        </row>
      </sheetData>
      <sheetData sheetId="5">
        <row r="4">
          <cell r="E4">
            <v>66</v>
          </cell>
        </row>
        <row r="5">
          <cell r="I5">
            <v>-66</v>
          </cell>
        </row>
        <row r="6">
          <cell r="H6">
            <v>1</v>
          </cell>
        </row>
        <row r="7">
          <cell r="H7">
            <v>-1</v>
          </cell>
        </row>
        <row r="8">
          <cell r="I8">
            <v>4</v>
          </cell>
        </row>
        <row r="9">
          <cell r="I9">
            <v>-4</v>
          </cell>
        </row>
        <row r="10">
          <cell r="H10">
            <v>1</v>
          </cell>
        </row>
        <row r="11">
          <cell r="H11">
            <v>-1</v>
          </cell>
        </row>
        <row r="12">
          <cell r="E12">
            <v>12</v>
          </cell>
        </row>
        <row r="13">
          <cell r="E13">
            <v>-12</v>
          </cell>
        </row>
        <row r="14">
          <cell r="H14">
            <v>1</v>
          </cell>
        </row>
        <row r="15">
          <cell r="H15">
            <v>-1</v>
          </cell>
        </row>
        <row r="16">
          <cell r="E16">
            <v>-5540</v>
          </cell>
        </row>
        <row r="17">
          <cell r="E17">
            <v>-135</v>
          </cell>
        </row>
        <row r="18">
          <cell r="E18">
            <v>-5</v>
          </cell>
        </row>
        <row r="19">
          <cell r="F19">
            <v>-802</v>
          </cell>
        </row>
        <row r="20">
          <cell r="F20">
            <v>-83</v>
          </cell>
        </row>
        <row r="21">
          <cell r="F21">
            <v>-25</v>
          </cell>
        </row>
        <row r="22">
          <cell r="I22">
            <v>-225</v>
          </cell>
        </row>
        <row r="23">
          <cell r="J23">
            <v>-162</v>
          </cell>
        </row>
        <row r="24">
          <cell r="H24">
            <v>1</v>
          </cell>
        </row>
        <row r="25">
          <cell r="H25">
            <v>-19</v>
          </cell>
        </row>
        <row r="26">
          <cell r="J26">
            <v>-4</v>
          </cell>
        </row>
      </sheetData>
      <sheetData sheetId="6">
        <row r="4">
          <cell r="E4">
            <v>33</v>
          </cell>
        </row>
        <row r="5">
          <cell r="I5">
            <v>-33</v>
          </cell>
        </row>
        <row r="6">
          <cell r="H6">
            <v>1</v>
          </cell>
        </row>
        <row r="7">
          <cell r="H7">
            <v>-1</v>
          </cell>
        </row>
        <row r="8">
          <cell r="E8">
            <v>5</v>
          </cell>
        </row>
        <row r="9">
          <cell r="I9">
            <v>-5</v>
          </cell>
        </row>
        <row r="10">
          <cell r="H10">
            <v>1</v>
          </cell>
        </row>
        <row r="11">
          <cell r="H11">
            <v>-1</v>
          </cell>
        </row>
        <row r="13">
          <cell r="E13">
            <v>1</v>
          </cell>
        </row>
        <row r="14">
          <cell r="F14">
            <v>1</v>
          </cell>
        </row>
        <row r="15">
          <cell r="H15">
            <v>1</v>
          </cell>
        </row>
        <row r="16">
          <cell r="H16">
            <v>-1</v>
          </cell>
        </row>
        <row r="18">
          <cell r="E18">
            <v>1</v>
          </cell>
        </row>
        <row r="19">
          <cell r="F19">
            <v>1</v>
          </cell>
        </row>
        <row r="20">
          <cell r="E20">
            <v>-11044</v>
          </cell>
        </row>
        <row r="21">
          <cell r="E21">
            <v>-200</v>
          </cell>
        </row>
        <row r="22">
          <cell r="E22">
            <v>-260</v>
          </cell>
        </row>
        <row r="23">
          <cell r="E23">
            <v>-213</v>
          </cell>
        </row>
        <row r="24">
          <cell r="F24">
            <v>-1880</v>
          </cell>
        </row>
        <row r="25">
          <cell r="F25">
            <v>-158</v>
          </cell>
        </row>
        <row r="26">
          <cell r="F26">
            <v>-47</v>
          </cell>
        </row>
        <row r="27">
          <cell r="I27">
            <v>-928</v>
          </cell>
        </row>
        <row r="28">
          <cell r="J28">
            <v>-430</v>
          </cell>
        </row>
        <row r="29">
          <cell r="K29">
            <v>-886</v>
          </cell>
        </row>
        <row r="30">
          <cell r="H30">
            <v>1</v>
          </cell>
        </row>
        <row r="31">
          <cell r="H31">
            <v>-16</v>
          </cell>
        </row>
        <row r="32">
          <cell r="J32">
            <v>-5</v>
          </cell>
        </row>
      </sheetData>
      <sheetData sheetId="7">
        <row r="7">
          <cell r="H7">
            <v>2</v>
          </cell>
        </row>
        <row r="8">
          <cell r="H8">
            <v>-2</v>
          </cell>
        </row>
        <row r="10">
          <cell r="E10">
            <v>6</v>
          </cell>
        </row>
        <row r="11">
          <cell r="F11">
            <v>1</v>
          </cell>
        </row>
        <row r="12">
          <cell r="G12">
            <v>41</v>
          </cell>
        </row>
        <row r="13">
          <cell r="Q13">
            <v>-41</v>
          </cell>
        </row>
        <row r="14">
          <cell r="H14">
            <v>2</v>
          </cell>
        </row>
        <row r="15">
          <cell r="H15">
            <v>-2</v>
          </cell>
        </row>
        <row r="17">
          <cell r="E17">
            <v>6</v>
          </cell>
        </row>
        <row r="18">
          <cell r="F18">
            <v>1</v>
          </cell>
        </row>
        <row r="19">
          <cell r="H19">
            <v>2</v>
          </cell>
        </row>
        <row r="20">
          <cell r="H20">
            <v>-2</v>
          </cell>
        </row>
        <row r="22">
          <cell r="E22">
            <v>6</v>
          </cell>
        </row>
        <row r="23">
          <cell r="F23">
            <v>1</v>
          </cell>
        </row>
        <row r="24">
          <cell r="W24">
            <v>1</v>
          </cell>
        </row>
        <row r="25">
          <cell r="E25">
            <v>-1649</v>
          </cell>
        </row>
        <row r="26">
          <cell r="E26">
            <v>-34</v>
          </cell>
        </row>
        <row r="27">
          <cell r="E27">
            <v>-36</v>
          </cell>
        </row>
        <row r="28">
          <cell r="E28">
            <v>-53</v>
          </cell>
        </row>
        <row r="29">
          <cell r="E29">
            <v>-14</v>
          </cell>
        </row>
        <row r="30">
          <cell r="F30">
            <v>-278</v>
          </cell>
        </row>
        <row r="31">
          <cell r="F31">
            <v>-41</v>
          </cell>
        </row>
        <row r="32">
          <cell r="F32">
            <v>-23</v>
          </cell>
        </row>
        <row r="33">
          <cell r="G33">
            <v>-27</v>
          </cell>
        </row>
        <row r="34">
          <cell r="I34">
            <v>-208</v>
          </cell>
        </row>
        <row r="35">
          <cell r="I35">
            <v>5</v>
          </cell>
        </row>
        <row r="36">
          <cell r="K36">
            <v>-17</v>
          </cell>
        </row>
        <row r="37">
          <cell r="J37">
            <v>-14</v>
          </cell>
        </row>
        <row r="38">
          <cell r="G38">
            <v>-28</v>
          </cell>
        </row>
        <row r="39">
          <cell r="G39">
            <v>-2</v>
          </cell>
        </row>
        <row r="40">
          <cell r="G40">
            <v>-100</v>
          </cell>
        </row>
        <row r="41">
          <cell r="H41">
            <v>2</v>
          </cell>
        </row>
        <row r="42">
          <cell r="H42">
            <v>-60</v>
          </cell>
        </row>
        <row r="43">
          <cell r="H43">
            <v>-63</v>
          </cell>
        </row>
        <row r="44">
          <cell r="I44">
            <v>-100</v>
          </cell>
        </row>
        <row r="45">
          <cell r="I45">
            <v>-669</v>
          </cell>
        </row>
        <row r="46">
          <cell r="I46">
            <v>-146</v>
          </cell>
        </row>
        <row r="47">
          <cell r="J47">
            <v>-248</v>
          </cell>
        </row>
        <row r="48">
          <cell r="Q48">
            <v>-109</v>
          </cell>
        </row>
        <row r="49">
          <cell r="Q49">
            <v>-41</v>
          </cell>
        </row>
      </sheetData>
      <sheetData sheetId="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>
        <row r="2">
          <cell r="I2">
            <v>191934</v>
          </cell>
        </row>
      </sheetData>
      <sheetData sheetId="1">
        <row r="7">
          <cell r="T7">
            <v>327562</v>
          </cell>
        </row>
      </sheetData>
      <sheetData sheetId="2">
        <row r="4">
          <cell r="D4">
            <v>29220</v>
          </cell>
        </row>
      </sheetData>
      <sheetData sheetId="3">
        <row r="13">
          <cell r="D13">
            <v>0</v>
          </cell>
          <cell r="G13">
            <v>0</v>
          </cell>
          <cell r="M13">
            <v>0</v>
          </cell>
          <cell r="V13">
            <v>0</v>
          </cell>
          <cell r="Y13">
            <v>0</v>
          </cell>
        </row>
        <row r="14">
          <cell r="D14">
            <v>0</v>
          </cell>
          <cell r="G14">
            <v>0</v>
          </cell>
          <cell r="J14">
            <v>0</v>
          </cell>
          <cell r="M14">
            <v>0</v>
          </cell>
          <cell r="S14">
            <v>0</v>
          </cell>
          <cell r="V14">
            <v>0</v>
          </cell>
          <cell r="Y14">
            <v>0</v>
          </cell>
        </row>
        <row r="15">
          <cell r="D15">
            <v>0</v>
          </cell>
          <cell r="G15">
            <v>0</v>
          </cell>
          <cell r="J15">
            <v>0</v>
          </cell>
          <cell r="M15">
            <v>0</v>
          </cell>
          <cell r="S15">
            <v>0</v>
          </cell>
          <cell r="V15">
            <v>0</v>
          </cell>
          <cell r="Y15">
            <v>0</v>
          </cell>
        </row>
        <row r="16">
          <cell r="G16">
            <v>0</v>
          </cell>
          <cell r="M16">
            <v>0</v>
          </cell>
          <cell r="S16">
            <v>0</v>
          </cell>
        </row>
        <row r="17">
          <cell r="D17">
            <v>0</v>
          </cell>
          <cell r="G17">
            <v>0</v>
          </cell>
          <cell r="J17">
            <v>0</v>
          </cell>
          <cell r="M17">
            <v>0</v>
          </cell>
          <cell r="S17">
            <v>0</v>
          </cell>
          <cell r="V17">
            <v>0</v>
          </cell>
          <cell r="Y17">
            <v>0</v>
          </cell>
        </row>
        <row r="18">
          <cell r="D18">
            <v>0</v>
          </cell>
          <cell r="G18">
            <v>0</v>
          </cell>
          <cell r="J18">
            <v>0</v>
          </cell>
          <cell r="M18">
            <v>0</v>
          </cell>
          <cell r="S18">
            <v>0</v>
          </cell>
          <cell r="V18">
            <v>0</v>
          </cell>
          <cell r="Y18">
            <v>0</v>
          </cell>
        </row>
        <row r="19">
          <cell r="D19">
            <v>0</v>
          </cell>
          <cell r="G19">
            <v>0</v>
          </cell>
          <cell r="J19">
            <v>0</v>
          </cell>
          <cell r="M19">
            <v>0</v>
          </cell>
          <cell r="S19">
            <v>0</v>
          </cell>
          <cell r="V19">
            <v>0</v>
          </cell>
          <cell r="Y19">
            <v>0</v>
          </cell>
        </row>
        <row r="20">
          <cell r="D20">
            <v>0</v>
          </cell>
          <cell r="G20">
            <v>0</v>
          </cell>
          <cell r="J20">
            <v>0</v>
          </cell>
          <cell r="M20">
            <v>0</v>
          </cell>
          <cell r="S20">
            <v>0</v>
          </cell>
          <cell r="V20">
            <v>0</v>
          </cell>
          <cell r="Y20">
            <v>0</v>
          </cell>
        </row>
        <row r="31">
          <cell r="V31">
            <v>0</v>
          </cell>
        </row>
        <row r="32">
          <cell r="D32">
            <v>0</v>
          </cell>
          <cell r="V32">
            <v>0</v>
          </cell>
          <cell r="Y32">
            <v>0</v>
          </cell>
        </row>
        <row r="33">
          <cell r="D33">
            <v>0</v>
          </cell>
          <cell r="S33">
            <v>0</v>
          </cell>
          <cell r="V33">
            <v>0</v>
          </cell>
          <cell r="Y33">
            <v>0</v>
          </cell>
        </row>
        <row r="34">
          <cell r="D34">
            <v>0</v>
          </cell>
          <cell r="S34">
            <v>0</v>
          </cell>
          <cell r="V34">
            <v>0</v>
          </cell>
          <cell r="Y34">
            <v>0</v>
          </cell>
        </row>
        <row r="35">
          <cell r="S35">
            <v>0</v>
          </cell>
          <cell r="V35">
            <v>0</v>
          </cell>
        </row>
        <row r="36">
          <cell r="D36">
            <v>0</v>
          </cell>
          <cell r="S36">
            <v>0</v>
          </cell>
          <cell r="V36">
            <v>0</v>
          </cell>
          <cell r="Y36">
            <v>0</v>
          </cell>
        </row>
        <row r="37">
          <cell r="D37">
            <v>0</v>
          </cell>
          <cell r="S37">
            <v>0</v>
          </cell>
          <cell r="V37">
            <v>0</v>
          </cell>
          <cell r="Y37">
            <v>0</v>
          </cell>
        </row>
        <row r="38">
          <cell r="D38">
            <v>0</v>
          </cell>
          <cell r="S38">
            <v>0</v>
          </cell>
          <cell r="V38">
            <v>0</v>
          </cell>
          <cell r="Y38">
            <v>0</v>
          </cell>
        </row>
        <row r="41">
          <cell r="Y41">
            <v>0</v>
          </cell>
        </row>
        <row r="42">
          <cell r="D42">
            <v>0</v>
          </cell>
          <cell r="G42">
            <v>0</v>
          </cell>
          <cell r="Y42">
            <v>0</v>
          </cell>
        </row>
        <row r="43">
          <cell r="D43">
            <v>0</v>
          </cell>
          <cell r="G43">
            <v>0</v>
          </cell>
          <cell r="Y43">
            <v>0</v>
          </cell>
        </row>
        <row r="44">
          <cell r="D44">
            <v>0</v>
          </cell>
          <cell r="Y44">
            <v>0</v>
          </cell>
        </row>
        <row r="45">
          <cell r="D45">
            <v>0</v>
          </cell>
          <cell r="G45">
            <v>0</v>
          </cell>
          <cell r="Y45">
            <v>0</v>
          </cell>
        </row>
        <row r="46">
          <cell r="D46">
            <v>0</v>
          </cell>
          <cell r="G46">
            <v>0</v>
          </cell>
          <cell r="Y46">
            <v>0</v>
          </cell>
        </row>
        <row r="47">
          <cell r="Y47">
            <v>0</v>
          </cell>
        </row>
        <row r="48">
          <cell r="D48">
            <v>0</v>
          </cell>
          <cell r="G48">
            <v>0</v>
          </cell>
          <cell r="Y48">
            <v>0</v>
          </cell>
        </row>
        <row r="49">
          <cell r="Y49">
            <v>0</v>
          </cell>
        </row>
        <row r="50">
          <cell r="D50">
            <v>0</v>
          </cell>
          <cell r="G50">
            <v>0</v>
          </cell>
          <cell r="Y50">
            <v>0</v>
          </cell>
        </row>
        <row r="51">
          <cell r="D51">
            <v>0</v>
          </cell>
          <cell r="G51">
            <v>0</v>
          </cell>
          <cell r="Y51">
            <v>0</v>
          </cell>
        </row>
        <row r="52">
          <cell r="D52">
            <v>0</v>
          </cell>
          <cell r="G52">
            <v>0</v>
          </cell>
          <cell r="Y52">
            <v>0</v>
          </cell>
        </row>
        <row r="53">
          <cell r="Y53">
            <v>0</v>
          </cell>
        </row>
        <row r="54">
          <cell r="D54">
            <v>0</v>
          </cell>
          <cell r="G54">
            <v>0</v>
          </cell>
          <cell r="J54">
            <v>0</v>
          </cell>
          <cell r="M54">
            <v>0</v>
          </cell>
          <cell r="P54">
            <v>0</v>
          </cell>
          <cell r="S54">
            <v>0</v>
          </cell>
          <cell r="V54">
            <v>0</v>
          </cell>
          <cell r="Y54">
            <v>0</v>
          </cell>
        </row>
        <row r="56">
          <cell r="D56">
            <v>0</v>
          </cell>
          <cell r="G56">
            <v>0</v>
          </cell>
          <cell r="M56">
            <v>0</v>
          </cell>
          <cell r="P56">
            <v>0</v>
          </cell>
          <cell r="S56">
            <v>0</v>
          </cell>
          <cell r="V56">
            <v>0</v>
          </cell>
          <cell r="Y56">
            <v>0</v>
          </cell>
        </row>
        <row r="57">
          <cell r="D57">
            <v>0</v>
          </cell>
          <cell r="V57">
            <v>0</v>
          </cell>
          <cell r="Y57">
            <v>0</v>
          </cell>
        </row>
        <row r="58">
          <cell r="D58">
            <v>0</v>
          </cell>
          <cell r="S58">
            <v>0</v>
          </cell>
          <cell r="V58">
            <v>0</v>
          </cell>
          <cell r="Y58">
            <v>0</v>
          </cell>
        </row>
        <row r="62">
          <cell r="Y62">
            <v>0</v>
          </cell>
        </row>
        <row r="63">
          <cell r="Y63">
            <v>0</v>
          </cell>
        </row>
        <row r="64">
          <cell r="Y64">
            <v>0</v>
          </cell>
        </row>
        <row r="65">
          <cell r="D65">
            <v>0</v>
          </cell>
          <cell r="Y65">
            <v>0</v>
          </cell>
        </row>
        <row r="66">
          <cell r="Y66">
            <v>0</v>
          </cell>
        </row>
        <row r="67">
          <cell r="P67">
            <v>0</v>
          </cell>
          <cell r="Y67">
            <v>0</v>
          </cell>
        </row>
        <row r="69">
          <cell r="D69">
            <v>0</v>
          </cell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  <cell r="Y69">
            <v>0</v>
          </cell>
        </row>
        <row r="71">
          <cell r="Y71">
            <v>0</v>
          </cell>
        </row>
        <row r="74">
          <cell r="Y74">
            <v>0</v>
          </cell>
        </row>
        <row r="75">
          <cell r="G75">
            <v>0</v>
          </cell>
        </row>
        <row r="76">
          <cell r="D76">
            <v>0</v>
          </cell>
          <cell r="G76">
            <v>0</v>
          </cell>
          <cell r="Y76">
            <v>0</v>
          </cell>
        </row>
        <row r="77">
          <cell r="Y77">
            <v>0</v>
          </cell>
        </row>
        <row r="78">
          <cell r="D78">
            <v>0</v>
          </cell>
          <cell r="G78">
            <v>0</v>
          </cell>
          <cell r="Y78">
            <v>0</v>
          </cell>
        </row>
        <row r="79">
          <cell r="D79">
            <v>0</v>
          </cell>
          <cell r="G79">
            <v>0</v>
          </cell>
          <cell r="J79">
            <v>0</v>
          </cell>
          <cell r="M79">
            <v>0</v>
          </cell>
          <cell r="P79">
            <v>0</v>
          </cell>
          <cell r="S79">
            <v>0</v>
          </cell>
          <cell r="V79">
            <v>0</v>
          </cell>
          <cell r="Y79">
            <v>0</v>
          </cell>
        </row>
        <row r="80">
          <cell r="D80">
            <v>0</v>
          </cell>
          <cell r="G80">
            <v>0</v>
          </cell>
          <cell r="J80">
            <v>0</v>
          </cell>
          <cell r="M80">
            <v>0</v>
          </cell>
          <cell r="P80">
            <v>0</v>
          </cell>
          <cell r="S80">
            <v>0</v>
          </cell>
          <cell r="V80">
            <v>0</v>
          </cell>
          <cell r="Y80">
            <v>0</v>
          </cell>
        </row>
        <row r="81">
          <cell r="D81">
            <v>0</v>
          </cell>
          <cell r="Y81">
            <v>0</v>
          </cell>
        </row>
        <row r="82">
          <cell r="Y82">
            <v>0</v>
          </cell>
        </row>
        <row r="84">
          <cell r="D84">
            <v>0</v>
          </cell>
          <cell r="S84">
            <v>0</v>
          </cell>
          <cell r="Y84">
            <v>0</v>
          </cell>
        </row>
        <row r="85">
          <cell r="D85">
            <v>0</v>
          </cell>
          <cell r="G85">
            <v>0</v>
          </cell>
          <cell r="M85">
            <v>0</v>
          </cell>
          <cell r="P85">
            <v>0</v>
          </cell>
          <cell r="S85">
            <v>0</v>
          </cell>
          <cell r="V85">
            <v>0</v>
          </cell>
          <cell r="Y85">
            <v>0</v>
          </cell>
        </row>
        <row r="88">
          <cell r="D88">
            <v>0</v>
          </cell>
          <cell r="G88">
            <v>0</v>
          </cell>
          <cell r="J88">
            <v>0</v>
          </cell>
          <cell r="M88">
            <v>0</v>
          </cell>
          <cell r="Y88">
            <v>0</v>
          </cell>
        </row>
        <row r="89">
          <cell r="D89">
            <v>0</v>
          </cell>
          <cell r="G89">
            <v>0</v>
          </cell>
          <cell r="J89">
            <v>0</v>
          </cell>
          <cell r="M89">
            <v>0</v>
          </cell>
          <cell r="Y89">
            <v>0</v>
          </cell>
        </row>
        <row r="90">
          <cell r="D90">
            <v>0</v>
          </cell>
          <cell r="G90">
            <v>0</v>
          </cell>
          <cell r="J90">
            <v>0</v>
          </cell>
          <cell r="M90">
            <v>0</v>
          </cell>
          <cell r="Y90">
            <v>0</v>
          </cell>
        </row>
        <row r="91">
          <cell r="D91">
            <v>0</v>
          </cell>
          <cell r="M91">
            <v>0</v>
          </cell>
          <cell r="Y91">
            <v>0</v>
          </cell>
        </row>
        <row r="100">
          <cell r="D100">
            <v>0</v>
          </cell>
          <cell r="G100">
            <v>0</v>
          </cell>
          <cell r="J100">
            <v>0</v>
          </cell>
          <cell r="M100">
            <v>0</v>
          </cell>
          <cell r="P100">
            <v>0</v>
          </cell>
          <cell r="S100">
            <v>0</v>
          </cell>
          <cell r="V100">
            <v>0</v>
          </cell>
          <cell r="Y100">
            <v>0</v>
          </cell>
        </row>
        <row r="101">
          <cell r="D101">
            <v>0</v>
          </cell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  <cell r="Y101">
            <v>0</v>
          </cell>
        </row>
        <row r="102">
          <cell r="D102">
            <v>0</v>
          </cell>
          <cell r="G102">
            <v>0</v>
          </cell>
          <cell r="J102">
            <v>0</v>
          </cell>
          <cell r="M102">
            <v>0</v>
          </cell>
          <cell r="P102">
            <v>0</v>
          </cell>
          <cell r="S102">
            <v>0</v>
          </cell>
          <cell r="V102">
            <v>0</v>
          </cell>
          <cell r="Y102">
            <v>0</v>
          </cell>
        </row>
        <row r="103">
          <cell r="D103">
            <v>0</v>
          </cell>
          <cell r="G103">
            <v>0</v>
          </cell>
          <cell r="J103">
            <v>0</v>
          </cell>
          <cell r="M103">
            <v>0</v>
          </cell>
          <cell r="P103">
            <v>0</v>
          </cell>
          <cell r="S103">
            <v>0</v>
          </cell>
          <cell r="Y103">
            <v>0</v>
          </cell>
        </row>
        <row r="104">
          <cell r="D104">
            <v>0</v>
          </cell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  <cell r="Y104">
            <v>0</v>
          </cell>
        </row>
        <row r="105">
          <cell r="D105">
            <v>0</v>
          </cell>
          <cell r="G105">
            <v>0</v>
          </cell>
          <cell r="J105">
            <v>0</v>
          </cell>
          <cell r="M105">
            <v>0</v>
          </cell>
          <cell r="P105">
            <v>0</v>
          </cell>
          <cell r="S105">
            <v>0</v>
          </cell>
          <cell r="V105">
            <v>0</v>
          </cell>
          <cell r="Y105">
            <v>0</v>
          </cell>
        </row>
        <row r="106">
          <cell r="D106">
            <v>0</v>
          </cell>
          <cell r="G106">
            <v>0</v>
          </cell>
          <cell r="J106">
            <v>0</v>
          </cell>
          <cell r="M106">
            <v>0</v>
          </cell>
          <cell r="P106">
            <v>0</v>
          </cell>
          <cell r="S106">
            <v>0</v>
          </cell>
          <cell r="Y106">
            <v>0</v>
          </cell>
        </row>
        <row r="108">
          <cell r="D108">
            <v>0</v>
          </cell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0</v>
          </cell>
          <cell r="V108">
            <v>0</v>
          </cell>
          <cell r="Y108">
            <v>0</v>
          </cell>
        </row>
        <row r="109">
          <cell r="D109">
            <v>0</v>
          </cell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0</v>
          </cell>
          <cell r="V109">
            <v>0</v>
          </cell>
          <cell r="Y109">
            <v>0</v>
          </cell>
        </row>
        <row r="110">
          <cell r="D110">
            <v>0</v>
          </cell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  <cell r="Y110">
            <v>0</v>
          </cell>
        </row>
        <row r="111">
          <cell r="D111">
            <v>0</v>
          </cell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0</v>
          </cell>
          <cell r="V111">
            <v>0</v>
          </cell>
          <cell r="Y111">
            <v>0</v>
          </cell>
        </row>
      </sheetData>
      <sheetData sheetId="4">
        <row r="30">
          <cell r="D30">
            <v>27270</v>
          </cell>
        </row>
        <row r="32">
          <cell r="J32">
            <v>0</v>
          </cell>
          <cell r="M32">
            <v>0</v>
          </cell>
        </row>
        <row r="33">
          <cell r="G33">
            <v>0</v>
          </cell>
          <cell r="M33">
            <v>0</v>
          </cell>
        </row>
        <row r="34">
          <cell r="G34">
            <v>0</v>
          </cell>
          <cell r="J34">
            <v>0</v>
          </cell>
        </row>
        <row r="50">
          <cell r="D50">
            <v>0</v>
          </cell>
          <cell r="G50">
            <v>0</v>
          </cell>
          <cell r="J50">
            <v>0</v>
          </cell>
          <cell r="M50">
            <v>0</v>
          </cell>
          <cell r="P50">
            <v>0</v>
          </cell>
        </row>
        <row r="52">
          <cell r="D52">
            <v>0</v>
          </cell>
          <cell r="G52">
            <v>0</v>
          </cell>
          <cell r="J52">
            <v>0</v>
          </cell>
          <cell r="M52">
            <v>0</v>
          </cell>
          <cell r="P52">
            <v>0</v>
          </cell>
        </row>
        <row r="53">
          <cell r="D53">
            <v>0</v>
          </cell>
          <cell r="J53">
            <v>0</v>
          </cell>
          <cell r="P53">
            <v>0</v>
          </cell>
        </row>
        <row r="54">
          <cell r="J54">
            <v>0</v>
          </cell>
          <cell r="M54">
            <v>0</v>
          </cell>
        </row>
        <row r="63">
          <cell r="J63">
            <v>0</v>
          </cell>
          <cell r="M63">
            <v>0</v>
          </cell>
        </row>
        <row r="64">
          <cell r="J64">
            <v>0</v>
          </cell>
          <cell r="M64">
            <v>0</v>
          </cell>
        </row>
        <row r="65">
          <cell r="D65">
            <v>0</v>
          </cell>
          <cell r="G65">
            <v>0</v>
          </cell>
          <cell r="J65">
            <v>0</v>
          </cell>
          <cell r="M65">
            <v>0</v>
          </cell>
          <cell r="P65">
            <v>0</v>
          </cell>
        </row>
        <row r="70">
          <cell r="J70">
            <v>0</v>
          </cell>
          <cell r="M70">
            <v>0</v>
          </cell>
        </row>
        <row r="71">
          <cell r="J71">
            <v>0</v>
          </cell>
          <cell r="M71">
            <v>0</v>
          </cell>
        </row>
        <row r="72">
          <cell r="J72">
            <v>0</v>
          </cell>
          <cell r="M72">
            <v>0</v>
          </cell>
        </row>
        <row r="73">
          <cell r="J73">
            <v>0</v>
          </cell>
          <cell r="M73">
            <v>0</v>
          </cell>
        </row>
        <row r="74">
          <cell r="J74">
            <v>0</v>
          </cell>
          <cell r="M74">
            <v>0</v>
          </cell>
        </row>
        <row r="75">
          <cell r="D75">
            <v>0</v>
          </cell>
          <cell r="G75">
            <v>0</v>
          </cell>
          <cell r="J75">
            <v>0</v>
          </cell>
          <cell r="M75">
            <v>0</v>
          </cell>
          <cell r="P75">
            <v>0</v>
          </cell>
        </row>
        <row r="76">
          <cell r="D76">
            <v>0</v>
          </cell>
          <cell r="G76">
            <v>0</v>
          </cell>
          <cell r="J76">
            <v>0</v>
          </cell>
          <cell r="M76">
            <v>0</v>
          </cell>
          <cell r="P76">
            <v>0</v>
          </cell>
        </row>
        <row r="78">
          <cell r="J78">
            <v>0</v>
          </cell>
          <cell r="M78">
            <v>0</v>
          </cell>
        </row>
        <row r="81">
          <cell r="D81">
            <v>0</v>
          </cell>
          <cell r="G81">
            <v>0</v>
          </cell>
          <cell r="J81">
            <v>0</v>
          </cell>
          <cell r="M81">
            <v>0</v>
          </cell>
          <cell r="P81">
            <v>0</v>
          </cell>
        </row>
        <row r="84">
          <cell r="G84">
            <v>0</v>
          </cell>
          <cell r="J84">
            <v>0</v>
          </cell>
          <cell r="M84">
            <v>0</v>
          </cell>
          <cell r="P84">
            <v>0</v>
          </cell>
        </row>
        <row r="85">
          <cell r="G85">
            <v>0</v>
          </cell>
          <cell r="J85">
            <v>0</v>
          </cell>
          <cell r="M85">
            <v>0</v>
          </cell>
          <cell r="P85">
            <v>0</v>
          </cell>
        </row>
        <row r="86">
          <cell r="G86">
            <v>0</v>
          </cell>
          <cell r="J86">
            <v>0</v>
          </cell>
          <cell r="M86">
            <v>0</v>
          </cell>
          <cell r="P86">
            <v>0</v>
          </cell>
        </row>
        <row r="87">
          <cell r="G87">
            <v>0</v>
          </cell>
          <cell r="J87">
            <v>0</v>
          </cell>
          <cell r="M87">
            <v>0</v>
          </cell>
          <cell r="P87">
            <v>0</v>
          </cell>
        </row>
        <row r="92">
          <cell r="G92">
            <v>0</v>
          </cell>
          <cell r="J92">
            <v>0</v>
          </cell>
          <cell r="P92">
            <v>0</v>
          </cell>
        </row>
        <row r="94">
          <cell r="D94">
            <v>0</v>
          </cell>
          <cell r="G94">
            <v>0</v>
          </cell>
          <cell r="J94">
            <v>0</v>
          </cell>
          <cell r="M94">
            <v>0</v>
          </cell>
          <cell r="P94">
            <v>0</v>
          </cell>
        </row>
        <row r="95">
          <cell r="D95">
            <v>0</v>
          </cell>
          <cell r="G95">
            <v>0</v>
          </cell>
          <cell r="J95">
            <v>0</v>
          </cell>
          <cell r="M95">
            <v>0</v>
          </cell>
          <cell r="P95">
            <v>0</v>
          </cell>
        </row>
        <row r="97">
          <cell r="D97">
            <v>0</v>
          </cell>
          <cell r="G97">
            <v>0</v>
          </cell>
          <cell r="J97">
            <v>0</v>
          </cell>
          <cell r="M97">
            <v>0</v>
          </cell>
          <cell r="P97">
            <v>0</v>
          </cell>
        </row>
        <row r="98">
          <cell r="D98">
            <v>0</v>
          </cell>
          <cell r="G98">
            <v>0</v>
          </cell>
          <cell r="J98">
            <v>0</v>
          </cell>
          <cell r="M98">
            <v>0</v>
          </cell>
          <cell r="P98">
            <v>0</v>
          </cell>
        </row>
        <row r="99">
          <cell r="D99">
            <v>0</v>
          </cell>
          <cell r="G99">
            <v>0</v>
          </cell>
          <cell r="J99">
            <v>0</v>
          </cell>
          <cell r="M99">
            <v>0</v>
          </cell>
        </row>
        <row r="100">
          <cell r="J100">
            <v>0</v>
          </cell>
          <cell r="M100">
            <v>0</v>
          </cell>
          <cell r="P100">
            <v>0</v>
          </cell>
        </row>
        <row r="101">
          <cell r="D101">
            <v>0</v>
          </cell>
          <cell r="G101">
            <v>0</v>
          </cell>
          <cell r="J101">
            <v>0</v>
          </cell>
          <cell r="M101">
            <v>0</v>
          </cell>
          <cell r="P101">
            <v>0</v>
          </cell>
        </row>
        <row r="102">
          <cell r="D102">
            <v>0</v>
          </cell>
          <cell r="G102">
            <v>0</v>
          </cell>
          <cell r="J102">
            <v>0</v>
          </cell>
          <cell r="M102">
            <v>0</v>
          </cell>
          <cell r="P102">
            <v>0</v>
          </cell>
        </row>
        <row r="103">
          <cell r="J103">
            <v>0</v>
          </cell>
          <cell r="M103">
            <v>0</v>
          </cell>
        </row>
        <row r="105">
          <cell r="D105">
            <v>0</v>
          </cell>
          <cell r="J105">
            <v>0</v>
          </cell>
          <cell r="M105">
            <v>0</v>
          </cell>
          <cell r="P105">
            <v>0</v>
          </cell>
        </row>
        <row r="106">
          <cell r="D106">
            <v>0</v>
          </cell>
          <cell r="G106">
            <v>0</v>
          </cell>
          <cell r="J106">
            <v>0</v>
          </cell>
          <cell r="M106">
            <v>0</v>
          </cell>
          <cell r="P106">
            <v>0</v>
          </cell>
        </row>
        <row r="107">
          <cell r="D107">
            <v>0</v>
          </cell>
          <cell r="G107">
            <v>0</v>
          </cell>
          <cell r="J107">
            <v>0</v>
          </cell>
          <cell r="M107">
            <v>0</v>
          </cell>
          <cell r="P107">
            <v>0</v>
          </cell>
        </row>
        <row r="108">
          <cell r="D108">
            <v>0</v>
          </cell>
          <cell r="J108">
            <v>0</v>
          </cell>
          <cell r="M108">
            <v>0</v>
          </cell>
          <cell r="P108">
            <v>0</v>
          </cell>
        </row>
      </sheetData>
      <sheetData sheetId="5">
        <row r="4">
          <cell r="C4">
            <v>11323747</v>
          </cell>
        </row>
        <row r="8">
          <cell r="C8">
            <v>0</v>
          </cell>
        </row>
      </sheetData>
      <sheetData sheetId="6">
        <row r="3">
          <cell r="B3">
            <v>15000000</v>
          </cell>
        </row>
      </sheetData>
      <sheetData sheetId="7">
        <row r="3">
          <cell r="O3">
            <v>25119</v>
          </cell>
          <cell r="S3">
            <v>2093</v>
          </cell>
        </row>
        <row r="4">
          <cell r="S4">
            <v>705</v>
          </cell>
        </row>
        <row r="5">
          <cell r="S5">
            <v>396</v>
          </cell>
        </row>
        <row r="6">
          <cell r="S6">
            <v>284</v>
          </cell>
        </row>
        <row r="7">
          <cell r="S7">
            <v>1531</v>
          </cell>
        </row>
        <row r="8">
          <cell r="S8">
            <v>809</v>
          </cell>
        </row>
        <row r="9">
          <cell r="S9">
            <v>823</v>
          </cell>
        </row>
        <row r="10">
          <cell r="S10">
            <v>482</v>
          </cell>
        </row>
        <row r="13">
          <cell r="S13">
            <v>17782</v>
          </cell>
        </row>
        <row r="21">
          <cell r="O21">
            <v>0</v>
          </cell>
          <cell r="Q21">
            <v>0</v>
          </cell>
          <cell r="S21">
            <v>0</v>
          </cell>
        </row>
        <row r="22">
          <cell r="Q22">
            <v>2654</v>
          </cell>
          <cell r="S22">
            <v>221</v>
          </cell>
        </row>
      </sheetData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/>
      <sheetData sheetId="1">
        <row r="5">
          <cell r="P5">
            <v>29220</v>
          </cell>
        </row>
      </sheetData>
      <sheetData sheetId="2">
        <row r="4">
          <cell r="D4">
            <v>29220</v>
          </cell>
        </row>
      </sheetData>
      <sheetData sheetId="3">
        <row r="13">
          <cell r="C13">
            <v>600</v>
          </cell>
        </row>
      </sheetData>
      <sheetData sheetId="4">
        <row r="30">
          <cell r="C30">
            <v>27747</v>
          </cell>
        </row>
      </sheetData>
      <sheetData sheetId="5">
        <row r="32">
          <cell r="C32">
            <v>10913600</v>
          </cell>
        </row>
        <row r="40">
          <cell r="K40">
            <v>0</v>
          </cell>
        </row>
        <row r="41">
          <cell r="K41">
            <v>0</v>
          </cell>
        </row>
        <row r="43">
          <cell r="E43">
            <v>0</v>
          </cell>
          <cell r="G43">
            <v>0</v>
          </cell>
          <cell r="I43">
            <v>0</v>
          </cell>
          <cell r="K43">
            <v>0</v>
          </cell>
        </row>
      </sheetData>
      <sheetData sheetId="6"/>
      <sheetData sheetId="7">
        <row r="3">
          <cell r="O3">
            <v>18835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K26"/>
  <sheetViews>
    <sheetView tabSelected="1" workbookViewId="0">
      <selection activeCell="C3" sqref="C3"/>
    </sheetView>
  </sheetViews>
  <sheetFormatPr defaultColWidth="9.140625" defaultRowHeight="12.75"/>
  <cols>
    <col min="1" max="1" width="37.7109375" style="751" customWidth="1"/>
    <col min="2" max="4" width="11.28515625" style="751" customWidth="1"/>
    <col min="5" max="5" width="8" style="751" customWidth="1"/>
    <col min="6" max="6" width="37.7109375" style="751" customWidth="1"/>
    <col min="7" max="8" width="11.28515625" style="751" customWidth="1"/>
    <col min="9" max="9" width="11.85546875" style="751" customWidth="1"/>
    <col min="10" max="10" width="7.85546875" style="751" customWidth="1"/>
    <col min="11" max="16384" width="9.140625" style="751"/>
  </cols>
  <sheetData>
    <row r="1" spans="1:11" ht="42.75" customHeight="1">
      <c r="A1" s="122" t="s">
        <v>44</v>
      </c>
      <c r="B1" s="123" t="s">
        <v>435</v>
      </c>
      <c r="C1" s="124" t="s">
        <v>418</v>
      </c>
      <c r="D1" s="589" t="s">
        <v>434</v>
      </c>
      <c r="E1" s="589" t="s">
        <v>376</v>
      </c>
      <c r="F1" s="590" t="s">
        <v>83</v>
      </c>
      <c r="G1" s="123" t="s">
        <v>435</v>
      </c>
      <c r="H1" s="124" t="s">
        <v>418</v>
      </c>
      <c r="I1" s="589" t="s">
        <v>436</v>
      </c>
      <c r="J1" s="128" t="s">
        <v>376</v>
      </c>
    </row>
    <row r="2" spans="1:11" ht="16.149999999999999" customHeight="1">
      <c r="A2" s="752" t="s">
        <v>87</v>
      </c>
      <c r="B2" s="753">
        <f>+'1.1.SZ.TÁBL. BEV - KIAD'!O7</f>
        <v>338297</v>
      </c>
      <c r="C2" s="754">
        <f>+'1.1.SZ.TÁBL. BEV - KIAD'!P7</f>
        <v>-55709</v>
      </c>
      <c r="D2" s="755">
        <f>+'1.1.SZ.TÁBL. BEV - KIAD'!Q7</f>
        <v>282588</v>
      </c>
      <c r="E2" s="756">
        <f>+D2/B2</f>
        <v>0.83532517285107466</v>
      </c>
      <c r="F2" s="757" t="s">
        <v>58</v>
      </c>
      <c r="G2" s="753">
        <f>+'1.1.SZ.TÁBL. BEV - KIAD'!O51</f>
        <v>199345</v>
      </c>
      <c r="H2" s="754">
        <f>+'1.1.SZ.TÁBL. BEV - KIAD'!P51</f>
        <v>-31771</v>
      </c>
      <c r="I2" s="755">
        <f>+'1.1.SZ.TÁBL. BEV - KIAD'!Q51</f>
        <v>167574</v>
      </c>
      <c r="J2" s="758">
        <f>+I2/G2</f>
        <v>0.84062304045749836</v>
      </c>
    </row>
    <row r="3" spans="1:11" ht="16.149999999999999" customHeight="1">
      <c r="A3" s="759" t="s">
        <v>89</v>
      </c>
      <c r="B3" s="760">
        <f>+'1.1.SZ.TÁBL. BEV - KIAD'!O21</f>
        <v>10235</v>
      </c>
      <c r="C3" s="761">
        <f>+'1.1.SZ.TÁBL. BEV - KIAD'!P21</f>
        <v>301</v>
      </c>
      <c r="D3" s="762">
        <f>+'1.1.SZ.TÁBL. BEV - KIAD'!Q21</f>
        <v>10536</v>
      </c>
      <c r="E3" s="756">
        <f t="shared" ref="E3:E5" si="0">+D3/B3</f>
        <v>1.029408891060088</v>
      </c>
      <c r="F3" s="763" t="s">
        <v>88</v>
      </c>
      <c r="G3" s="764">
        <f>+'1.1.SZ.TÁBL. BEV - KIAD'!O52</f>
        <v>48348</v>
      </c>
      <c r="H3" s="765">
        <f>+'1.1.SZ.TÁBL. BEV - KIAD'!P52</f>
        <v>-5619</v>
      </c>
      <c r="I3" s="762">
        <f>+'1.1.SZ.TÁBL. BEV - KIAD'!Q52</f>
        <v>42729</v>
      </c>
      <c r="J3" s="758">
        <f t="shared" ref="J3:J7" si="1">+I3/G3</f>
        <v>0.88378009431620752</v>
      </c>
    </row>
    <row r="4" spans="1:11" ht="16.149999999999999" customHeight="1">
      <c r="A4" s="759" t="s">
        <v>346</v>
      </c>
      <c r="B4" s="766">
        <f>+'1.1.SZ.TÁBL. BEV - KIAD'!O24</f>
        <v>0</v>
      </c>
      <c r="C4" s="767">
        <f>+'1.1.SZ.TÁBL. BEV - KIAD'!P24</f>
        <v>0</v>
      </c>
      <c r="D4" s="762">
        <f>+'1.1.SZ.TÁBL. BEV - KIAD'!Q24</f>
        <v>0</v>
      </c>
      <c r="E4" s="756"/>
      <c r="F4" s="763" t="s">
        <v>90</v>
      </c>
      <c r="G4" s="760">
        <f>+'1.1.SZ.TÁBL. BEV - KIAD'!O84</f>
        <v>87922</v>
      </c>
      <c r="H4" s="761">
        <f>+'1.1.SZ.TÁBL. BEV - KIAD'!P84</f>
        <v>-17559</v>
      </c>
      <c r="I4" s="762">
        <f>+'1.1.SZ.TÁBL. BEV - KIAD'!Q84</f>
        <v>70363</v>
      </c>
      <c r="J4" s="758">
        <f t="shared" si="1"/>
        <v>0.80028889242737877</v>
      </c>
    </row>
    <row r="5" spans="1:11" ht="16.149999999999999" customHeight="1">
      <c r="A5" s="759" t="s">
        <v>92</v>
      </c>
      <c r="B5" s="766">
        <f>+'1.1.SZ.TÁBL. BEV - KIAD'!O28</f>
        <v>17047</v>
      </c>
      <c r="C5" s="767">
        <f>+'1.1.SZ.TÁBL. BEV - KIAD'!P28</f>
        <v>0</v>
      </c>
      <c r="D5" s="762">
        <f>+'1.1.SZ.TÁBL. BEV - KIAD'!Q28</f>
        <v>17047</v>
      </c>
      <c r="E5" s="756">
        <f t="shared" si="0"/>
        <v>1</v>
      </c>
      <c r="F5" s="768" t="s">
        <v>91</v>
      </c>
      <c r="G5" s="766"/>
      <c r="H5" s="767"/>
      <c r="I5" s="762"/>
      <c r="J5" s="758"/>
    </row>
    <row r="6" spans="1:11" ht="16.149999999999999" customHeight="1">
      <c r="A6" s="759"/>
      <c r="B6" s="766"/>
      <c r="C6" s="767"/>
      <c r="D6" s="762"/>
      <c r="E6" s="769"/>
      <c r="F6" s="763" t="s">
        <v>93</v>
      </c>
      <c r="G6" s="760">
        <f>+'1.1.SZ.TÁBL. BEV - KIAD'!O86+'1.1.SZ.TÁBL. BEV - KIAD'!O85</f>
        <v>18923</v>
      </c>
      <c r="H6" s="760">
        <f>+'1.1.SZ.TÁBL. BEV - KIAD'!P86+'1.1.SZ.TÁBL. BEV - KIAD'!P85</f>
        <v>2767</v>
      </c>
      <c r="I6" s="760">
        <f>+'1.1.SZ.TÁBL. BEV - KIAD'!Q86+'1.1.SZ.TÁBL. BEV - KIAD'!Q85</f>
        <v>21690</v>
      </c>
      <c r="J6" s="758">
        <f t="shared" si="1"/>
        <v>1.1462241716429742</v>
      </c>
    </row>
    <row r="7" spans="1:11" ht="16.149999999999999" customHeight="1">
      <c r="A7" s="759"/>
      <c r="B7" s="766"/>
      <c r="C7" s="767"/>
      <c r="D7" s="762"/>
      <c r="E7" s="769"/>
      <c r="F7" s="768" t="s">
        <v>94</v>
      </c>
      <c r="G7" s="766">
        <f>+'1.1.SZ.TÁBL. BEV - KIAD'!O89</f>
        <v>6735</v>
      </c>
      <c r="H7" s="761">
        <f>+'1.1.SZ.TÁBL. BEV - KIAD'!P89</f>
        <v>-3749</v>
      </c>
      <c r="I7" s="762">
        <f>+'1.1.SZ.TÁBL. BEV - KIAD'!Q89</f>
        <v>2986</v>
      </c>
      <c r="J7" s="758">
        <f t="shared" si="1"/>
        <v>0.44335560504825539</v>
      </c>
    </row>
    <row r="8" spans="1:11" ht="16.149999999999999" customHeight="1">
      <c r="A8" s="770"/>
      <c r="B8" s="771"/>
      <c r="C8" s="772"/>
      <c r="D8" s="773"/>
      <c r="E8" s="774"/>
      <c r="F8" s="775"/>
      <c r="G8" s="776"/>
      <c r="H8" s="777"/>
      <c r="I8" s="773"/>
      <c r="J8" s="758"/>
    </row>
    <row r="9" spans="1:11" ht="16.149999999999999" customHeight="1">
      <c r="A9" s="129" t="s">
        <v>102</v>
      </c>
      <c r="B9" s="130">
        <f>SUM(B2:B8)</f>
        <v>365579</v>
      </c>
      <c r="C9" s="131">
        <f t="shared" ref="C9:D9" si="2">SUM(C2:C8)</f>
        <v>-55408</v>
      </c>
      <c r="D9" s="778">
        <f t="shared" si="2"/>
        <v>310171</v>
      </c>
      <c r="E9" s="779">
        <f>+D9/B9</f>
        <v>0.84843768378380591</v>
      </c>
      <c r="F9" s="591" t="s">
        <v>104</v>
      </c>
      <c r="G9" s="130">
        <f>SUM(G2:G8)</f>
        <v>361273</v>
      </c>
      <c r="H9" s="131">
        <f>SUM(H2:H8)</f>
        <v>-55931</v>
      </c>
      <c r="I9" s="778">
        <f>SUM(I2:I8)</f>
        <v>305342</v>
      </c>
      <c r="J9" s="780">
        <f>+I9/G9</f>
        <v>0.84518355924743893</v>
      </c>
    </row>
    <row r="10" spans="1:11" ht="16.149999999999999" customHeight="1">
      <c r="A10" s="134"/>
      <c r="B10" s="135"/>
      <c r="C10" s="136"/>
      <c r="D10" s="781"/>
      <c r="E10" s="782"/>
      <c r="F10" s="592"/>
      <c r="G10" s="135"/>
      <c r="H10" s="136"/>
      <c r="I10" s="781"/>
      <c r="J10" s="783"/>
    </row>
    <row r="11" spans="1:11" ht="16.149999999999999" customHeight="1">
      <c r="A11" s="752" t="s">
        <v>95</v>
      </c>
      <c r="B11" s="753">
        <f>+'1.1.SZ.TÁBL. BEV - KIAD'!O11</f>
        <v>0</v>
      </c>
      <c r="C11" s="754">
        <f>+'1.1.SZ.TÁBL. BEV - KIAD'!P11</f>
        <v>9261</v>
      </c>
      <c r="D11" s="755">
        <f>+'1.1.SZ.TÁBL. BEV - KIAD'!Q11</f>
        <v>9261</v>
      </c>
      <c r="E11" s="756"/>
      <c r="F11" s="757" t="s">
        <v>96</v>
      </c>
      <c r="G11" s="784">
        <f>+'1.1.SZ.TÁBL. BEV - KIAD'!O102</f>
        <v>2585</v>
      </c>
      <c r="H11" s="785">
        <f>+'1.1.SZ.TÁBL. BEV - KIAD'!P102</f>
        <v>9784</v>
      </c>
      <c r="I11" s="755">
        <f>+'1.1.SZ.TÁBL. BEV - KIAD'!Q102</f>
        <v>12369</v>
      </c>
      <c r="J11" s="758">
        <f>+I11/G11</f>
        <v>4.7849129593810442</v>
      </c>
      <c r="K11" s="786"/>
    </row>
    <row r="12" spans="1:11" ht="16.149999999999999" customHeight="1">
      <c r="A12" s="787" t="s">
        <v>347</v>
      </c>
      <c r="B12" s="760">
        <f>+'1.1.SZ.TÁBL. BEV - KIAD'!O26</f>
        <v>0</v>
      </c>
      <c r="C12" s="761">
        <f>+'1.1.SZ.TÁBL. BEV - KIAD'!P26</f>
        <v>0</v>
      </c>
      <c r="D12" s="762">
        <f>+'1.1.SZ.TÁBL. BEV - KIAD'!Q26</f>
        <v>0</v>
      </c>
      <c r="E12" s="756"/>
      <c r="F12" s="763" t="s">
        <v>97</v>
      </c>
      <c r="G12" s="788">
        <f>+'1.1.SZ.TÁBL. BEV - KIAD'!O107</f>
        <v>1721</v>
      </c>
      <c r="H12" s="789">
        <f>+'1.1.SZ.TÁBL. BEV - KIAD'!P107</f>
        <v>0</v>
      </c>
      <c r="I12" s="762">
        <f>+'1.1.SZ.TÁBL. BEV - KIAD'!Q107</f>
        <v>1721</v>
      </c>
      <c r="J12" s="758">
        <f>+I12/G12</f>
        <v>1</v>
      </c>
      <c r="K12" s="786"/>
    </row>
    <row r="13" spans="1:11" ht="16.149999999999999" customHeight="1">
      <c r="A13" s="759" t="s">
        <v>98</v>
      </c>
      <c r="B13" s="760"/>
      <c r="C13" s="761"/>
      <c r="D13" s="762"/>
      <c r="E13" s="769"/>
      <c r="F13" s="763" t="s">
        <v>99</v>
      </c>
      <c r="G13" s="788">
        <f>+'1.1.SZ.TÁBL. BEV - KIAD'!O108</f>
        <v>0</v>
      </c>
      <c r="H13" s="789">
        <f>+'1.1.SZ.TÁBL. BEV - KIAD'!P108</f>
        <v>0</v>
      </c>
      <c r="I13" s="762">
        <f>+'1.1.SZ.TÁBL. BEV - KIAD'!Q108</f>
        <v>0</v>
      </c>
      <c r="J13" s="790"/>
      <c r="K13" s="786"/>
    </row>
    <row r="14" spans="1:11" ht="16.149999999999999" customHeight="1">
      <c r="A14" s="759"/>
      <c r="B14" s="766"/>
      <c r="C14" s="767"/>
      <c r="D14" s="762"/>
      <c r="E14" s="769"/>
      <c r="F14" s="763" t="s">
        <v>100</v>
      </c>
      <c r="G14" s="791"/>
      <c r="H14" s="789"/>
      <c r="I14" s="762"/>
      <c r="J14" s="790"/>
      <c r="K14" s="786"/>
    </row>
    <row r="15" spans="1:11" ht="16.149999999999999" customHeight="1">
      <c r="A15" s="792"/>
      <c r="B15" s="793"/>
      <c r="C15" s="794"/>
      <c r="D15" s="773"/>
      <c r="E15" s="774"/>
      <c r="F15" s="795"/>
      <c r="G15" s="796"/>
      <c r="H15" s="797"/>
      <c r="I15" s="773"/>
      <c r="J15" s="798"/>
    </row>
    <row r="16" spans="1:11" ht="16.149999999999999" customHeight="1" thickBot="1">
      <c r="A16" s="125" t="s">
        <v>103</v>
      </c>
      <c r="B16" s="126">
        <f>SUM(B11:B15)</f>
        <v>0</v>
      </c>
      <c r="C16" s="127">
        <f t="shared" ref="C16:D16" si="3">SUM(C11:C15)</f>
        <v>9261</v>
      </c>
      <c r="D16" s="799">
        <f t="shared" si="3"/>
        <v>9261</v>
      </c>
      <c r="E16" s="779"/>
      <c r="F16" s="593" t="s">
        <v>105</v>
      </c>
      <c r="G16" s="630">
        <f>SUM(G11:G15)</f>
        <v>4306</v>
      </c>
      <c r="H16" s="631">
        <f t="shared" ref="H16:I16" si="4">SUM(H11:H15)</f>
        <v>9784</v>
      </c>
      <c r="I16" s="799">
        <f t="shared" si="4"/>
        <v>14090</v>
      </c>
      <c r="J16" s="800">
        <f>+I16/G16</f>
        <v>3.2721783557826289</v>
      </c>
    </row>
    <row r="17" spans="1:11" ht="16.149999999999999" customHeight="1" thickBot="1">
      <c r="A17" s="132" t="s">
        <v>101</v>
      </c>
      <c r="B17" s="133">
        <f>B9+B16</f>
        <v>365579</v>
      </c>
      <c r="C17" s="121">
        <f t="shared" ref="C17:D17" si="5">C9+C16</f>
        <v>-46147</v>
      </c>
      <c r="D17" s="801">
        <f t="shared" si="5"/>
        <v>319432</v>
      </c>
      <c r="E17" s="802">
        <f>+D17/B17</f>
        <v>0.87377010167433034</v>
      </c>
      <c r="F17" s="594" t="s">
        <v>101</v>
      </c>
      <c r="G17" s="632">
        <f>G9+G16</f>
        <v>365579</v>
      </c>
      <c r="H17" s="633">
        <f t="shared" ref="H17:I17" si="6">H9+H16</f>
        <v>-46147</v>
      </c>
      <c r="I17" s="801">
        <f t="shared" si="6"/>
        <v>319432</v>
      </c>
      <c r="J17" s="803">
        <f>+I17/G17</f>
        <v>0.87377010167433034</v>
      </c>
      <c r="K17" s="786"/>
    </row>
    <row r="18" spans="1:11" ht="16.149999999999999" customHeight="1"/>
    <row r="19" spans="1:11" ht="16.149999999999999" customHeight="1"/>
    <row r="20" spans="1:11" ht="16.149999999999999" customHeight="1"/>
    <row r="21" spans="1:11" ht="16.149999999999999" customHeight="1"/>
    <row r="22" spans="1:11" ht="16.149999999999999" customHeight="1"/>
    <row r="23" spans="1:11" ht="16.149999999999999" customHeight="1"/>
    <row r="24" spans="1:11" ht="16.149999999999999" customHeight="1"/>
    <row r="25" spans="1:11" ht="16.149999999999999" customHeight="1"/>
    <row r="26" spans="1:11" ht="16.149999999999999" customHeight="1"/>
  </sheetData>
  <phoneticPr fontId="34" type="noConversion"/>
  <printOptions horizontalCentered="1"/>
  <pageMargins left="0.70866141732283472" right="0.70866141732283472" top="1.299212598425197" bottom="0.74803149606299213" header="0.43307086614173229" footer="0.31496062992125984"/>
  <pageSetup paperSize="9" scale="83" orientation="landscape" r:id="rId1"/>
  <headerFooter>
    <oddHeader>&amp;L&amp;"Times New Roman,Félkövér"&amp;13Szent László Völgye TKT&amp;C&amp;"Times New Roman,Félkövér"&amp;16 2017. ÉVI II. KÖLTSÉGVETÉS MÓDOSÍTÁS&amp;R1. sz. táblázat
&amp;12TÁRSULÁS KONSZOLIDÁLT MÉRLEGE
&amp;10Adatok: eFt-ban</oddHeader>
    <oddFooter>&amp;L&amp;F&amp;R&amp;P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11"/>
  </sheetPr>
  <dimension ref="A1:E80"/>
  <sheetViews>
    <sheetView workbookViewId="0">
      <selection activeCell="C3" sqref="C3"/>
    </sheetView>
  </sheetViews>
  <sheetFormatPr defaultColWidth="9.140625" defaultRowHeight="15"/>
  <cols>
    <col min="1" max="1" width="29" style="24" customWidth="1"/>
    <col min="2" max="6" width="14" style="24" customWidth="1"/>
    <col min="7" max="16384" width="9.140625" style="24"/>
  </cols>
  <sheetData>
    <row r="1" spans="1:4" s="36" customFormat="1" ht="45" customHeight="1">
      <c r="A1" s="807" t="s">
        <v>20</v>
      </c>
      <c r="B1" s="619" t="s">
        <v>388</v>
      </c>
      <c r="C1" s="619" t="s">
        <v>389</v>
      </c>
      <c r="D1" s="808" t="s">
        <v>21</v>
      </c>
    </row>
    <row r="2" spans="1:4" s="36" customFormat="1" ht="21.6" customHeight="1">
      <c r="A2" s="809" t="s">
        <v>22</v>
      </c>
      <c r="B2" s="620" t="s">
        <v>430</v>
      </c>
      <c r="C2" s="620" t="s">
        <v>430</v>
      </c>
      <c r="D2" s="810" t="s">
        <v>430</v>
      </c>
    </row>
    <row r="3" spans="1:4" s="36" customFormat="1" ht="16.5" customHeight="1">
      <c r="A3" s="811" t="s">
        <v>23</v>
      </c>
      <c r="B3" s="621"/>
      <c r="C3" s="621"/>
      <c r="D3" s="812"/>
    </row>
    <row r="4" spans="1:4" s="36" customFormat="1" ht="16.5" customHeight="1">
      <c r="A4" s="813" t="s">
        <v>24</v>
      </c>
      <c r="B4" s="622">
        <v>1</v>
      </c>
      <c r="C4" s="624"/>
      <c r="D4" s="814">
        <f t="shared" ref="D4:D15" si="0">+B4+C4</f>
        <v>1</v>
      </c>
    </row>
    <row r="5" spans="1:4" s="36" customFormat="1" ht="16.5" customHeight="1">
      <c r="A5" s="813" t="s">
        <v>25</v>
      </c>
      <c r="B5" s="622">
        <v>1</v>
      </c>
      <c r="C5" s="624"/>
      <c r="D5" s="814">
        <f t="shared" si="0"/>
        <v>1</v>
      </c>
    </row>
    <row r="6" spans="1:4" s="36" customFormat="1" ht="16.5" customHeight="1">
      <c r="A6" s="813" t="s">
        <v>26</v>
      </c>
      <c r="B6" s="622">
        <v>1</v>
      </c>
      <c r="C6" s="624"/>
      <c r="D6" s="814">
        <f t="shared" si="0"/>
        <v>1</v>
      </c>
    </row>
    <row r="7" spans="1:4" s="36" customFormat="1" ht="16.5" customHeight="1">
      <c r="A7" s="813" t="s">
        <v>27</v>
      </c>
      <c r="B7" s="622">
        <v>1</v>
      </c>
      <c r="C7" s="624"/>
      <c r="D7" s="814">
        <f t="shared" si="0"/>
        <v>1</v>
      </c>
    </row>
    <row r="8" spans="1:4" s="36" customFormat="1" ht="16.5" customHeight="1">
      <c r="A8" s="813" t="s">
        <v>28</v>
      </c>
      <c r="B8" s="622">
        <v>0.5</v>
      </c>
      <c r="C8" s="624"/>
      <c r="D8" s="814">
        <f t="shared" si="0"/>
        <v>0.5</v>
      </c>
    </row>
    <row r="9" spans="1:4" s="36" customFormat="1" ht="16.5" customHeight="1">
      <c r="A9" s="813" t="s">
        <v>70</v>
      </c>
      <c r="B9" s="622">
        <v>0.5</v>
      </c>
      <c r="C9" s="624"/>
      <c r="D9" s="814">
        <f t="shared" si="0"/>
        <v>0.5</v>
      </c>
    </row>
    <row r="10" spans="1:4" s="36" customFormat="1" ht="16.5" customHeight="1">
      <c r="A10" s="813" t="s">
        <v>29</v>
      </c>
      <c r="B10" s="622">
        <v>1.5</v>
      </c>
      <c r="C10" s="624"/>
      <c r="D10" s="814">
        <f t="shared" si="0"/>
        <v>1.5</v>
      </c>
    </row>
    <row r="11" spans="1:4" s="36" customFormat="1" ht="16.5" customHeight="1">
      <c r="A11" s="813" t="s">
        <v>30</v>
      </c>
      <c r="B11" s="622">
        <v>6</v>
      </c>
      <c r="C11" s="624"/>
      <c r="D11" s="814">
        <f t="shared" si="0"/>
        <v>6</v>
      </c>
    </row>
    <row r="12" spans="1:4" s="36" customFormat="1" ht="16.5" customHeight="1">
      <c r="A12" s="813" t="s">
        <v>71</v>
      </c>
      <c r="B12" s="622">
        <v>1</v>
      </c>
      <c r="C12" s="624"/>
      <c r="D12" s="814">
        <f t="shared" si="0"/>
        <v>1</v>
      </c>
    </row>
    <row r="13" spans="1:4" s="36" customFormat="1" ht="16.5" customHeight="1">
      <c r="A13" s="813" t="s">
        <v>31</v>
      </c>
      <c r="B13" s="622">
        <v>14</v>
      </c>
      <c r="C13" s="624"/>
      <c r="D13" s="814">
        <f t="shared" si="0"/>
        <v>14</v>
      </c>
    </row>
    <row r="14" spans="1:4" s="36" customFormat="1" ht="16.5" customHeight="1">
      <c r="A14" s="813" t="s">
        <v>32</v>
      </c>
      <c r="B14" s="622">
        <v>2</v>
      </c>
      <c r="C14" s="624"/>
      <c r="D14" s="814">
        <f t="shared" si="0"/>
        <v>2</v>
      </c>
    </row>
    <row r="15" spans="1:4" s="36" customFormat="1" ht="16.5" customHeight="1">
      <c r="A15" s="813" t="s">
        <v>82</v>
      </c>
      <c r="B15" s="622">
        <v>1</v>
      </c>
      <c r="C15" s="624"/>
      <c r="D15" s="814">
        <f t="shared" si="0"/>
        <v>1</v>
      </c>
    </row>
    <row r="16" spans="1:4" s="36" customFormat="1" ht="16.5" customHeight="1">
      <c r="A16" s="815" t="s">
        <v>33</v>
      </c>
      <c r="B16" s="623">
        <f>SUM(B4:B15)</f>
        <v>30.5</v>
      </c>
      <c r="C16" s="623"/>
      <c r="D16" s="816">
        <f>SUM(D4:D15)</f>
        <v>30.5</v>
      </c>
    </row>
    <row r="17" spans="1:4" s="36" customFormat="1" ht="16.5" customHeight="1">
      <c r="A17" s="817" t="s">
        <v>300</v>
      </c>
      <c r="B17" s="624"/>
      <c r="C17" s="624"/>
      <c r="D17" s="814"/>
    </row>
    <row r="18" spans="1:4" ht="16.5" customHeight="1">
      <c r="A18" s="818" t="s">
        <v>24</v>
      </c>
      <c r="B18" s="625"/>
      <c r="C18" s="625">
        <v>1</v>
      </c>
      <c r="D18" s="814">
        <f t="shared" ref="D18:D24" si="1">+B18+C18</f>
        <v>1</v>
      </c>
    </row>
    <row r="19" spans="1:4" ht="16.5" customHeight="1">
      <c r="A19" s="818" t="s">
        <v>382</v>
      </c>
      <c r="B19" s="625"/>
      <c r="C19" s="625">
        <v>2</v>
      </c>
      <c r="D19" s="814">
        <f t="shared" si="1"/>
        <v>2</v>
      </c>
    </row>
    <row r="20" spans="1:4" ht="16.5" customHeight="1">
      <c r="A20" s="818" t="s">
        <v>34</v>
      </c>
      <c r="B20" s="625"/>
      <c r="C20" s="625">
        <v>3</v>
      </c>
      <c r="D20" s="814">
        <f t="shared" si="1"/>
        <v>3</v>
      </c>
    </row>
    <row r="21" spans="1:4" ht="16.5" customHeight="1">
      <c r="A21" s="818" t="s">
        <v>35</v>
      </c>
      <c r="B21" s="625"/>
      <c r="C21" s="625">
        <v>18</v>
      </c>
      <c r="D21" s="814">
        <f t="shared" si="1"/>
        <v>18</v>
      </c>
    </row>
    <row r="22" spans="1:4" ht="16.5" customHeight="1">
      <c r="A22" s="818" t="s">
        <v>299</v>
      </c>
      <c r="B22" s="625"/>
      <c r="C22" s="625">
        <v>12.5</v>
      </c>
      <c r="D22" s="814">
        <f t="shared" si="1"/>
        <v>12.5</v>
      </c>
    </row>
    <row r="23" spans="1:4" ht="16.5" customHeight="1">
      <c r="A23" s="818" t="s">
        <v>390</v>
      </c>
      <c r="B23" s="625"/>
      <c r="C23" s="625">
        <v>2</v>
      </c>
      <c r="D23" s="814">
        <f t="shared" si="1"/>
        <v>2</v>
      </c>
    </row>
    <row r="24" spans="1:4" ht="16.5" customHeight="1">
      <c r="A24" s="818" t="s">
        <v>36</v>
      </c>
      <c r="B24" s="625"/>
      <c r="C24" s="625">
        <v>1</v>
      </c>
      <c r="D24" s="814">
        <f t="shared" si="1"/>
        <v>1</v>
      </c>
    </row>
    <row r="25" spans="1:4" ht="15.75" thickBot="1">
      <c r="A25" s="819" t="s">
        <v>301</v>
      </c>
      <c r="B25" s="626"/>
      <c r="C25" s="626">
        <f>SUM(C18:C24)</f>
        <v>39.5</v>
      </c>
      <c r="D25" s="816">
        <f>SUM(D18:D24)</f>
        <v>39.5</v>
      </c>
    </row>
    <row r="26" spans="1:4" ht="15.75" thickBot="1">
      <c r="A26" s="820" t="s">
        <v>37</v>
      </c>
      <c r="B26" s="627">
        <f>SUM(B16+B25)</f>
        <v>30.5</v>
      </c>
      <c r="C26" s="627">
        <f>SUM(C16+C25)</f>
        <v>39.5</v>
      </c>
      <c r="D26" s="821">
        <f>+D16+D25</f>
        <v>70</v>
      </c>
    </row>
    <row r="76" spans="1:5">
      <c r="A76" s="37"/>
      <c r="B76" s="37"/>
      <c r="C76" s="37"/>
      <c r="D76" s="806"/>
      <c r="E76" s="806"/>
    </row>
    <row r="77" spans="1:5">
      <c r="A77" s="38"/>
      <c r="B77" s="38"/>
      <c r="C77" s="38"/>
      <c r="D77" s="806"/>
      <c r="E77" s="806"/>
    </row>
    <row r="78" spans="1:5">
      <c r="A78" s="38"/>
      <c r="B78" s="38"/>
      <c r="C78" s="38"/>
      <c r="D78" s="806"/>
      <c r="E78" s="806"/>
    </row>
    <row r="79" spans="1:5">
      <c r="A79" s="38"/>
      <c r="B79" s="38"/>
      <c r="C79" s="38"/>
      <c r="D79" s="806"/>
      <c r="E79" s="806"/>
    </row>
    <row r="80" spans="1:5">
      <c r="A80" s="39"/>
      <c r="B80" s="39"/>
      <c r="C80" s="39"/>
      <c r="D80" s="806"/>
      <c r="E80" s="806"/>
    </row>
  </sheetData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1" orientation="portrait" r:id="rId1"/>
  <headerFooter alignWithMargins="0">
    <oddHeader>&amp;L&amp;"Times New Roman,Félkövér"&amp;13Szent László Völgye TKT&amp;C&amp;"Times New Roman,Félkövér"&amp;16 
2017. ÉVI II. KÖLTSÉGVETÉS MÓDOSÍTÁS&amp;R9. sz. táblázat
LÉTSZÁMADATOK
Adatok: fő</oddHeader>
    <oddFooter>&amp;L&amp;F&amp;R&amp;P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FF00"/>
  </sheetPr>
  <dimension ref="A1:AC115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8.85546875" defaultRowHeight="12.75"/>
  <cols>
    <col min="1" max="1" width="6.28515625" style="1" customWidth="1"/>
    <col min="2" max="2" width="55.7109375" style="33" customWidth="1"/>
    <col min="3" max="5" width="11.85546875" style="34" customWidth="1"/>
    <col min="6" max="8" width="11.85546875" style="33" customWidth="1"/>
    <col min="9" max="11" width="11.85546875" style="35" customWidth="1"/>
    <col min="12" max="16" width="11.85546875" style="14" customWidth="1"/>
    <col min="17" max="17" width="11.85546875" style="33" customWidth="1"/>
    <col min="18" max="18" width="8.85546875" style="1"/>
    <col min="19" max="19" width="10.85546875" style="2" bestFit="1" customWidth="1"/>
    <col min="20" max="16384" width="8.85546875" style="1"/>
  </cols>
  <sheetData>
    <row r="1" spans="1:19" s="139" customFormat="1" ht="45.75" customHeight="1">
      <c r="A1" s="870" t="s">
        <v>146</v>
      </c>
      <c r="B1" s="872" t="s">
        <v>171</v>
      </c>
      <c r="C1" s="877" t="s">
        <v>85</v>
      </c>
      <c r="D1" s="878"/>
      <c r="E1" s="879"/>
      <c r="F1" s="874" t="s">
        <v>106</v>
      </c>
      <c r="G1" s="875"/>
      <c r="H1" s="876"/>
      <c r="I1" s="874" t="s">
        <v>72</v>
      </c>
      <c r="J1" s="875"/>
      <c r="K1" s="876"/>
      <c r="L1" s="874" t="s">
        <v>86</v>
      </c>
      <c r="M1" s="875"/>
      <c r="N1" s="876"/>
      <c r="O1" s="874" t="s">
        <v>73</v>
      </c>
      <c r="P1" s="875"/>
      <c r="Q1" s="876"/>
      <c r="S1" s="140"/>
    </row>
    <row r="2" spans="1:19" s="141" customFormat="1" ht="29.45" customHeight="1">
      <c r="A2" s="871"/>
      <c r="B2" s="873"/>
      <c r="C2" s="150" t="s">
        <v>437</v>
      </c>
      <c r="D2" s="151" t="s">
        <v>391</v>
      </c>
      <c r="E2" s="146" t="s">
        <v>438</v>
      </c>
      <c r="F2" s="150" t="s">
        <v>437</v>
      </c>
      <c r="G2" s="151" t="s">
        <v>391</v>
      </c>
      <c r="H2" s="146" t="s">
        <v>438</v>
      </c>
      <c r="I2" s="150" t="s">
        <v>437</v>
      </c>
      <c r="J2" s="151" t="s">
        <v>391</v>
      </c>
      <c r="K2" s="146" t="s">
        <v>438</v>
      </c>
      <c r="L2" s="150" t="s">
        <v>437</v>
      </c>
      <c r="M2" s="151" t="s">
        <v>391</v>
      </c>
      <c r="N2" s="146" t="s">
        <v>438</v>
      </c>
      <c r="O2" s="150" t="s">
        <v>437</v>
      </c>
      <c r="P2" s="151" t="s">
        <v>391</v>
      </c>
      <c r="Q2" s="146" t="s">
        <v>438</v>
      </c>
      <c r="S2" s="142"/>
    </row>
    <row r="3" spans="1:19" ht="13.5" customHeight="1">
      <c r="A3" s="152" t="s">
        <v>147</v>
      </c>
      <c r="B3" s="176" t="s">
        <v>107</v>
      </c>
      <c r="C3" s="58"/>
      <c r="D3" s="70"/>
      <c r="E3" s="118"/>
      <c r="F3" s="58"/>
      <c r="G3" s="70"/>
      <c r="H3" s="118"/>
      <c r="I3" s="58"/>
      <c r="J3" s="70"/>
      <c r="K3" s="118"/>
      <c r="L3" s="58"/>
      <c r="M3" s="70"/>
      <c r="N3" s="118"/>
      <c r="O3" s="58">
        <f>+I3+L3</f>
        <v>0</v>
      </c>
      <c r="P3" s="70">
        <f>+J3+M3</f>
        <v>0</v>
      </c>
      <c r="Q3" s="118">
        <f>+K3+N3</f>
        <v>0</v>
      </c>
    </row>
    <row r="4" spans="1:19" ht="13.5" customHeight="1">
      <c r="A4" s="153" t="s">
        <v>148</v>
      </c>
      <c r="B4" s="177" t="s">
        <v>108</v>
      </c>
      <c r="C4" s="60"/>
      <c r="D4" s="66"/>
      <c r="E4" s="118"/>
      <c r="F4" s="60"/>
      <c r="G4" s="66"/>
      <c r="H4" s="28"/>
      <c r="I4" s="60"/>
      <c r="J4" s="66"/>
      <c r="K4" s="28"/>
      <c r="L4" s="60">
        <f t="shared" ref="L4:Q4" si="0">+SUM(L5:L6)</f>
        <v>338297</v>
      </c>
      <c r="M4" s="66">
        <f t="shared" si="0"/>
        <v>-55709</v>
      </c>
      <c r="N4" s="28">
        <f t="shared" si="0"/>
        <v>282588</v>
      </c>
      <c r="O4" s="58">
        <f t="shared" si="0"/>
        <v>338297</v>
      </c>
      <c r="P4" s="66">
        <f t="shared" si="0"/>
        <v>-55709</v>
      </c>
      <c r="Q4" s="28">
        <f t="shared" si="0"/>
        <v>282588</v>
      </c>
    </row>
    <row r="5" spans="1:19" s="294" customFormat="1" ht="13.5" customHeight="1">
      <c r="A5" s="155"/>
      <c r="B5" s="156" t="s">
        <v>109</v>
      </c>
      <c r="C5" s="398"/>
      <c r="D5" s="399"/>
      <c r="E5" s="118"/>
      <c r="F5" s="398"/>
      <c r="G5" s="399"/>
      <c r="H5" s="400"/>
      <c r="I5" s="398"/>
      <c r="J5" s="399"/>
      <c r="K5" s="400"/>
      <c r="L5" s="398">
        <f>+'2.SZ.TÁBL. BEVÉTELEK'!C4</f>
        <v>29220</v>
      </c>
      <c r="M5" s="399">
        <f>+'2.SZ.TÁBL. BEVÉTELEK'!D4</f>
        <v>-8160</v>
      </c>
      <c r="N5" s="400">
        <f>+'2.SZ.TÁBL. BEVÉTELEK'!E4</f>
        <v>21060</v>
      </c>
      <c r="O5" s="401">
        <f t="shared" ref="O5:Q6" si="1">+I5+L5</f>
        <v>29220</v>
      </c>
      <c r="P5" s="399">
        <f t="shared" si="1"/>
        <v>-8160</v>
      </c>
      <c r="Q5" s="400">
        <f t="shared" si="1"/>
        <v>21060</v>
      </c>
      <c r="S5" s="402"/>
    </row>
    <row r="6" spans="1:19" s="285" customFormat="1" ht="13.5" customHeight="1">
      <c r="A6" s="165"/>
      <c r="B6" s="178" t="s">
        <v>110</v>
      </c>
      <c r="C6" s="403"/>
      <c r="D6" s="404"/>
      <c r="E6" s="405"/>
      <c r="F6" s="403"/>
      <c r="G6" s="404"/>
      <c r="H6" s="405"/>
      <c r="I6" s="403"/>
      <c r="J6" s="404"/>
      <c r="K6" s="405"/>
      <c r="L6" s="403">
        <f>+'2.SZ.TÁBL. BEVÉTELEK'!C82</f>
        <v>309077</v>
      </c>
      <c r="M6" s="404">
        <f>+'2.SZ.TÁBL. BEVÉTELEK'!D82</f>
        <v>-47549</v>
      </c>
      <c r="N6" s="405">
        <f>+'2.SZ.TÁBL. BEVÉTELEK'!E82</f>
        <v>261528</v>
      </c>
      <c r="O6" s="401">
        <f t="shared" si="1"/>
        <v>309077</v>
      </c>
      <c r="P6" s="404">
        <f t="shared" si="1"/>
        <v>-47549</v>
      </c>
      <c r="Q6" s="405">
        <f t="shared" si="1"/>
        <v>261528</v>
      </c>
      <c r="R6" s="406"/>
      <c r="S6" s="406"/>
    </row>
    <row r="7" spans="1:19" s="3" customFormat="1" ht="13.5" customHeight="1">
      <c r="A7" s="143" t="s">
        <v>149</v>
      </c>
      <c r="B7" s="138" t="s">
        <v>111</v>
      </c>
      <c r="C7" s="428"/>
      <c r="D7" s="429"/>
      <c r="E7" s="430"/>
      <c r="F7" s="428"/>
      <c r="G7" s="431"/>
      <c r="H7" s="432"/>
      <c r="I7" s="428"/>
      <c r="J7" s="429"/>
      <c r="K7" s="430"/>
      <c r="L7" s="433">
        <f t="shared" ref="L7:Q7" si="2">+L3+L4</f>
        <v>338297</v>
      </c>
      <c r="M7" s="434">
        <f t="shared" si="2"/>
        <v>-55709</v>
      </c>
      <c r="N7" s="435">
        <f t="shared" si="2"/>
        <v>282588</v>
      </c>
      <c r="O7" s="428">
        <f t="shared" si="2"/>
        <v>338297</v>
      </c>
      <c r="P7" s="429">
        <f t="shared" si="2"/>
        <v>-55709</v>
      </c>
      <c r="Q7" s="430">
        <f t="shared" si="2"/>
        <v>282588</v>
      </c>
      <c r="S7" s="4"/>
    </row>
    <row r="8" spans="1:19" ht="13.5" customHeight="1">
      <c r="A8" s="166" t="s">
        <v>150</v>
      </c>
      <c r="B8" s="179" t="s">
        <v>145</v>
      </c>
      <c r="C8" s="58"/>
      <c r="D8" s="70"/>
      <c r="E8" s="118"/>
      <c r="F8" s="58"/>
      <c r="G8" s="17"/>
      <c r="H8" s="145"/>
      <c r="I8" s="58"/>
      <c r="J8" s="70"/>
      <c r="K8" s="118"/>
      <c r="L8" s="6"/>
      <c r="M8" s="68"/>
      <c r="N8" s="69"/>
      <c r="O8" s="58">
        <f>+I8+L8</f>
        <v>0</v>
      </c>
      <c r="P8" s="70">
        <f>+J8+M8</f>
        <v>0</v>
      </c>
      <c r="Q8" s="118">
        <f>+K8+N8</f>
        <v>0</v>
      </c>
    </row>
    <row r="9" spans="1:19" ht="13.5" customHeight="1">
      <c r="A9" s="153" t="s">
        <v>151</v>
      </c>
      <c r="B9" s="177" t="s">
        <v>112</v>
      </c>
      <c r="C9" s="60"/>
      <c r="D9" s="66"/>
      <c r="E9" s="28"/>
      <c r="F9" s="60"/>
      <c r="G9" s="15"/>
      <c r="H9" s="119"/>
      <c r="I9" s="60"/>
      <c r="J9" s="66"/>
      <c r="K9" s="28"/>
      <c r="L9" s="7">
        <f>+L10</f>
        <v>0</v>
      </c>
      <c r="M9" s="137">
        <f>+M10</f>
        <v>9261</v>
      </c>
      <c r="N9" s="5">
        <f>+N10</f>
        <v>9261</v>
      </c>
      <c r="O9" s="58">
        <f>+SUM(O10)</f>
        <v>0</v>
      </c>
      <c r="P9" s="66">
        <f>+SUM(P10)</f>
        <v>9261</v>
      </c>
      <c r="Q9" s="28">
        <f>+SUM(Q10)</f>
        <v>9261</v>
      </c>
    </row>
    <row r="10" spans="1:19" s="294" customFormat="1" ht="13.5" customHeight="1">
      <c r="A10" s="165"/>
      <c r="B10" s="178" t="s">
        <v>448</v>
      </c>
      <c r="C10" s="403"/>
      <c r="D10" s="404"/>
      <c r="E10" s="405"/>
      <c r="F10" s="403"/>
      <c r="G10" s="407"/>
      <c r="H10" s="408"/>
      <c r="I10" s="403"/>
      <c r="J10" s="404"/>
      <c r="K10" s="405"/>
      <c r="L10" s="409"/>
      <c r="M10" s="410">
        <f>+'2.SZ.TÁBL. BEVÉTELEK'!D87</f>
        <v>9261</v>
      </c>
      <c r="N10" s="411">
        <f>+L10+M10</f>
        <v>9261</v>
      </c>
      <c r="O10" s="401">
        <f t="shared" ref="O10:Q10" si="3">+I10+L10</f>
        <v>0</v>
      </c>
      <c r="P10" s="404">
        <f t="shared" si="3"/>
        <v>9261</v>
      </c>
      <c r="Q10" s="405">
        <f t="shared" si="3"/>
        <v>9261</v>
      </c>
      <c r="S10" s="402"/>
    </row>
    <row r="11" spans="1:19" s="3" customFormat="1" ht="13.5" customHeight="1">
      <c r="A11" s="143" t="s">
        <v>152</v>
      </c>
      <c r="B11" s="138" t="s">
        <v>113</v>
      </c>
      <c r="C11" s="428"/>
      <c r="D11" s="429"/>
      <c r="E11" s="430"/>
      <c r="F11" s="428"/>
      <c r="G11" s="431"/>
      <c r="H11" s="432"/>
      <c r="I11" s="428"/>
      <c r="J11" s="429"/>
      <c r="K11" s="430"/>
      <c r="L11" s="433">
        <f t="shared" ref="L11:Q11" si="4">+L8+L9</f>
        <v>0</v>
      </c>
      <c r="M11" s="434">
        <f t="shared" si="4"/>
        <v>9261</v>
      </c>
      <c r="N11" s="435">
        <f t="shared" si="4"/>
        <v>9261</v>
      </c>
      <c r="O11" s="428">
        <f t="shared" si="4"/>
        <v>0</v>
      </c>
      <c r="P11" s="429">
        <f t="shared" si="4"/>
        <v>9261</v>
      </c>
      <c r="Q11" s="430">
        <f t="shared" si="4"/>
        <v>9261</v>
      </c>
      <c r="S11" s="4"/>
    </row>
    <row r="12" spans="1:19" ht="13.5" customHeight="1">
      <c r="A12" s="166" t="s">
        <v>153</v>
      </c>
      <c r="B12" s="179" t="s">
        <v>114</v>
      </c>
      <c r="C12" s="58">
        <f>+'3.SZ.TÁBL. SEGÍTŐ SZOLGÁLAT'!AA12</f>
        <v>0</v>
      </c>
      <c r="D12" s="70">
        <f>+'3.SZ.TÁBL. SEGÍTŐ SZOLGÁLAT'!AB12</f>
        <v>0</v>
      </c>
      <c r="E12" s="118">
        <f>+'3.SZ.TÁBL. SEGÍTŐ SZOLGÁLAT'!AC12</f>
        <v>0</v>
      </c>
      <c r="F12" s="58"/>
      <c r="G12" s="70"/>
      <c r="H12" s="118"/>
      <c r="I12" s="58">
        <f>+C12+F12</f>
        <v>0</v>
      </c>
      <c r="J12" s="70">
        <f>+D12+G12</f>
        <v>0</v>
      </c>
      <c r="K12" s="118">
        <f>+E12+H12</f>
        <v>0</v>
      </c>
      <c r="L12" s="6"/>
      <c r="M12" s="70"/>
      <c r="N12" s="118"/>
      <c r="O12" s="58">
        <f t="shared" ref="O12:Q75" si="5">+I12+L12</f>
        <v>0</v>
      </c>
      <c r="P12" s="70">
        <f t="shared" si="5"/>
        <v>0</v>
      </c>
      <c r="Q12" s="118">
        <f t="shared" si="5"/>
        <v>0</v>
      </c>
    </row>
    <row r="13" spans="1:19" ht="13.5" customHeight="1">
      <c r="A13" s="153" t="s">
        <v>154</v>
      </c>
      <c r="B13" s="177" t="s">
        <v>115</v>
      </c>
      <c r="C13" s="60">
        <f>+'3.SZ.TÁBL. SEGÍTŐ SZOLGÁLAT'!AA13</f>
        <v>1237</v>
      </c>
      <c r="D13" s="66">
        <f>+'3.SZ.TÁBL. SEGÍTŐ SZOLGÁLAT'!AB13</f>
        <v>289</v>
      </c>
      <c r="E13" s="28">
        <f>+'3.SZ.TÁBL. SEGÍTŐ SZOLGÁLAT'!AC13</f>
        <v>1526</v>
      </c>
      <c r="F13" s="60"/>
      <c r="G13" s="15"/>
      <c r="H13" s="119"/>
      <c r="I13" s="60">
        <f t="shared" ref="I13:K20" si="6">+C13+F13</f>
        <v>1237</v>
      </c>
      <c r="J13" s="66">
        <f t="shared" si="6"/>
        <v>289</v>
      </c>
      <c r="K13" s="28">
        <f t="shared" si="6"/>
        <v>1526</v>
      </c>
      <c r="L13" s="7"/>
      <c r="M13" s="137"/>
      <c r="N13" s="5"/>
      <c r="O13" s="60">
        <f t="shared" si="5"/>
        <v>1237</v>
      </c>
      <c r="P13" s="66">
        <f t="shared" si="5"/>
        <v>289</v>
      </c>
      <c r="Q13" s="28">
        <f t="shared" si="5"/>
        <v>1526</v>
      </c>
    </row>
    <row r="14" spans="1:19" ht="13.5" customHeight="1">
      <c r="A14" s="153" t="s">
        <v>155</v>
      </c>
      <c r="B14" s="177" t="s">
        <v>116</v>
      </c>
      <c r="C14" s="60">
        <f>+'3.SZ.TÁBL. SEGÍTŐ SZOLGÁLAT'!AA14</f>
        <v>0</v>
      </c>
      <c r="D14" s="66">
        <f>+'3.SZ.TÁBL. SEGÍTŐ SZOLGÁLAT'!AB14</f>
        <v>0</v>
      </c>
      <c r="E14" s="28">
        <f>+'3.SZ.TÁBL. SEGÍTŐ SZOLGÁLAT'!AC14</f>
        <v>0</v>
      </c>
      <c r="F14" s="60"/>
      <c r="G14" s="66"/>
      <c r="H14" s="28"/>
      <c r="I14" s="60">
        <f t="shared" si="6"/>
        <v>0</v>
      </c>
      <c r="J14" s="66">
        <f t="shared" si="6"/>
        <v>0</v>
      </c>
      <c r="K14" s="28">
        <f t="shared" si="6"/>
        <v>0</v>
      </c>
      <c r="L14" s="7"/>
      <c r="M14" s="66"/>
      <c r="N14" s="28"/>
      <c r="O14" s="60">
        <f t="shared" si="5"/>
        <v>0</v>
      </c>
      <c r="P14" s="66">
        <f t="shared" si="5"/>
        <v>0</v>
      </c>
      <c r="Q14" s="28">
        <f t="shared" si="5"/>
        <v>0</v>
      </c>
    </row>
    <row r="15" spans="1:19" ht="13.5" customHeight="1">
      <c r="A15" s="153" t="s">
        <v>156</v>
      </c>
      <c r="B15" s="177" t="s">
        <v>117</v>
      </c>
      <c r="C15" s="60">
        <f>+'3.SZ.TÁBL. SEGÍTŐ SZOLGÁLAT'!AA15</f>
        <v>0</v>
      </c>
      <c r="D15" s="66">
        <f>+'3.SZ.TÁBL. SEGÍTŐ SZOLGÁLAT'!AB15</f>
        <v>0</v>
      </c>
      <c r="E15" s="28">
        <f>+'3.SZ.TÁBL. SEGÍTŐ SZOLGÁLAT'!AC15</f>
        <v>0</v>
      </c>
      <c r="F15" s="60"/>
      <c r="G15" s="15"/>
      <c r="H15" s="119"/>
      <c r="I15" s="60">
        <f t="shared" si="6"/>
        <v>0</v>
      </c>
      <c r="J15" s="66">
        <f t="shared" si="6"/>
        <v>0</v>
      </c>
      <c r="K15" s="28">
        <f t="shared" si="6"/>
        <v>0</v>
      </c>
      <c r="L15" s="7"/>
      <c r="M15" s="137"/>
      <c r="N15" s="5"/>
      <c r="O15" s="60">
        <f t="shared" si="5"/>
        <v>0</v>
      </c>
      <c r="P15" s="137">
        <f t="shared" si="5"/>
        <v>0</v>
      </c>
      <c r="Q15" s="5">
        <f t="shared" si="5"/>
        <v>0</v>
      </c>
    </row>
    <row r="16" spans="1:19" ht="13.5" customHeight="1">
      <c r="A16" s="153" t="s">
        <v>157</v>
      </c>
      <c r="B16" s="177" t="s">
        <v>118</v>
      </c>
      <c r="C16" s="60">
        <f>+'3.SZ.TÁBL. SEGÍTŐ SZOLGÁLAT'!AA16</f>
        <v>8998</v>
      </c>
      <c r="D16" s="66">
        <f>+'3.SZ.TÁBL. SEGÍTŐ SZOLGÁLAT'!AB16</f>
        <v>0</v>
      </c>
      <c r="E16" s="28">
        <f>+'3.SZ.TÁBL. SEGÍTŐ SZOLGÁLAT'!AC16</f>
        <v>8998</v>
      </c>
      <c r="F16" s="60">
        <f>+'4.SZ.TÁBL. ÓVODA'!R16</f>
        <v>0</v>
      </c>
      <c r="G16" s="15">
        <f>+'4.SZ.TÁBL. ÓVODA'!S16</f>
        <v>11</v>
      </c>
      <c r="H16" s="119">
        <f>+'4.SZ.TÁBL. ÓVODA'!T16</f>
        <v>11</v>
      </c>
      <c r="I16" s="60">
        <f t="shared" si="6"/>
        <v>8998</v>
      </c>
      <c r="J16" s="66">
        <f t="shared" si="6"/>
        <v>11</v>
      </c>
      <c r="K16" s="28">
        <f t="shared" si="6"/>
        <v>9009</v>
      </c>
      <c r="L16" s="7"/>
      <c r="M16" s="137"/>
      <c r="N16" s="5"/>
      <c r="O16" s="60">
        <f t="shared" si="5"/>
        <v>8998</v>
      </c>
      <c r="P16" s="137">
        <f t="shared" si="5"/>
        <v>11</v>
      </c>
      <c r="Q16" s="5">
        <f t="shared" si="5"/>
        <v>9009</v>
      </c>
    </row>
    <row r="17" spans="1:19" ht="13.5" customHeight="1">
      <c r="A17" s="153" t="s">
        <v>158</v>
      </c>
      <c r="B17" s="177" t="s">
        <v>119</v>
      </c>
      <c r="C17" s="60">
        <f>+'3.SZ.TÁBL. SEGÍTŐ SZOLGÁLAT'!AA17</f>
        <v>0</v>
      </c>
      <c r="D17" s="66">
        <f>+'3.SZ.TÁBL. SEGÍTŐ SZOLGÁLAT'!AB17</f>
        <v>0</v>
      </c>
      <c r="E17" s="28">
        <f>+'3.SZ.TÁBL. SEGÍTŐ SZOLGÁLAT'!AC17</f>
        <v>0</v>
      </c>
      <c r="F17" s="60">
        <f>+'4.SZ.TÁBL. ÓVODA'!R17</f>
        <v>0</v>
      </c>
      <c r="G17" s="15">
        <f>+'4.SZ.TÁBL. ÓVODA'!S17</f>
        <v>0</v>
      </c>
      <c r="H17" s="119">
        <f>+'4.SZ.TÁBL. ÓVODA'!T17</f>
        <v>0</v>
      </c>
      <c r="I17" s="60">
        <f t="shared" si="6"/>
        <v>0</v>
      </c>
      <c r="J17" s="66">
        <f t="shared" si="6"/>
        <v>0</v>
      </c>
      <c r="K17" s="28">
        <f t="shared" si="6"/>
        <v>0</v>
      </c>
      <c r="L17" s="7"/>
      <c r="M17" s="137"/>
      <c r="N17" s="5"/>
      <c r="O17" s="60">
        <f t="shared" si="5"/>
        <v>0</v>
      </c>
      <c r="P17" s="137">
        <f t="shared" si="5"/>
        <v>0</v>
      </c>
      <c r="Q17" s="5">
        <f t="shared" si="5"/>
        <v>0</v>
      </c>
    </row>
    <row r="18" spans="1:19" ht="13.5" customHeight="1">
      <c r="A18" s="153" t="s">
        <v>159</v>
      </c>
      <c r="B18" s="177" t="s">
        <v>120</v>
      </c>
      <c r="C18" s="60">
        <f>+'3.SZ.TÁBL. SEGÍTŐ SZOLGÁLAT'!AA18</f>
        <v>0</v>
      </c>
      <c r="D18" s="66">
        <f>+'3.SZ.TÁBL. SEGÍTŐ SZOLGÁLAT'!AB18</f>
        <v>0</v>
      </c>
      <c r="E18" s="28">
        <f>+'3.SZ.TÁBL. SEGÍTŐ SZOLGÁLAT'!AC18</f>
        <v>0</v>
      </c>
      <c r="F18" s="60">
        <f>+'4.SZ.TÁBL. ÓVODA'!R18</f>
        <v>0</v>
      </c>
      <c r="G18" s="15">
        <f>+'4.SZ.TÁBL. ÓVODA'!S18</f>
        <v>0</v>
      </c>
      <c r="H18" s="119">
        <f>+'4.SZ.TÁBL. ÓVODA'!T18</f>
        <v>0</v>
      </c>
      <c r="I18" s="60">
        <f t="shared" si="6"/>
        <v>0</v>
      </c>
      <c r="J18" s="66">
        <f t="shared" si="6"/>
        <v>0</v>
      </c>
      <c r="K18" s="28">
        <f t="shared" si="6"/>
        <v>0</v>
      </c>
      <c r="L18" s="7"/>
      <c r="M18" s="137"/>
      <c r="N18" s="5"/>
      <c r="O18" s="60">
        <f t="shared" si="5"/>
        <v>0</v>
      </c>
      <c r="P18" s="137">
        <f t="shared" si="5"/>
        <v>0</v>
      </c>
      <c r="Q18" s="5">
        <f t="shared" si="5"/>
        <v>0</v>
      </c>
    </row>
    <row r="19" spans="1:19" ht="13.5" customHeight="1">
      <c r="A19" s="153" t="s">
        <v>160</v>
      </c>
      <c r="B19" s="177" t="s">
        <v>121</v>
      </c>
      <c r="C19" s="60">
        <f>+'3.SZ.TÁBL. SEGÍTŐ SZOLGÁLAT'!AA19</f>
        <v>0</v>
      </c>
      <c r="D19" s="66">
        <f>+'3.SZ.TÁBL. SEGÍTŐ SZOLGÁLAT'!AB19</f>
        <v>0</v>
      </c>
      <c r="E19" s="28">
        <f>+'3.SZ.TÁBL. SEGÍTŐ SZOLGÁLAT'!AC19</f>
        <v>0</v>
      </c>
      <c r="F19" s="60">
        <f>+'4.SZ.TÁBL. ÓVODA'!R19</f>
        <v>0</v>
      </c>
      <c r="G19" s="15">
        <f>+'4.SZ.TÁBL. ÓVODA'!S19</f>
        <v>0</v>
      </c>
      <c r="H19" s="119">
        <f>+'4.SZ.TÁBL. ÓVODA'!T19</f>
        <v>0</v>
      </c>
      <c r="I19" s="60">
        <f t="shared" si="6"/>
        <v>0</v>
      </c>
      <c r="J19" s="66">
        <f t="shared" si="6"/>
        <v>0</v>
      </c>
      <c r="K19" s="28">
        <f t="shared" si="6"/>
        <v>0</v>
      </c>
      <c r="L19" s="7"/>
      <c r="M19" s="137"/>
      <c r="N19" s="5">
        <f>SUM(L19:M19)</f>
        <v>0</v>
      </c>
      <c r="O19" s="60">
        <f t="shared" si="5"/>
        <v>0</v>
      </c>
      <c r="P19" s="137">
        <f t="shared" si="5"/>
        <v>0</v>
      </c>
      <c r="Q19" s="5">
        <f t="shared" si="5"/>
        <v>0</v>
      </c>
    </row>
    <row r="20" spans="1:19" ht="13.5" customHeight="1">
      <c r="A20" s="168" t="s">
        <v>161</v>
      </c>
      <c r="B20" s="180" t="s">
        <v>122</v>
      </c>
      <c r="C20" s="61">
        <f>+'3.SZ.TÁBL. SEGÍTŐ SZOLGÁLAT'!AA20</f>
        <v>0</v>
      </c>
      <c r="D20" s="67">
        <f>+'3.SZ.TÁBL. SEGÍTŐ SZOLGÁLAT'!AB20</f>
        <v>0</v>
      </c>
      <c r="E20" s="29">
        <f>+'3.SZ.TÁBL. SEGÍTŐ SZOLGÁLAT'!AC20</f>
        <v>0</v>
      </c>
      <c r="F20" s="60">
        <f>+'4.SZ.TÁBL. ÓVODA'!R20</f>
        <v>0</v>
      </c>
      <c r="G20" s="15">
        <f>+'4.SZ.TÁBL. ÓVODA'!S20</f>
        <v>1</v>
      </c>
      <c r="H20" s="119">
        <f>+'4.SZ.TÁBL. ÓVODA'!T20</f>
        <v>1</v>
      </c>
      <c r="I20" s="61">
        <f t="shared" si="6"/>
        <v>0</v>
      </c>
      <c r="J20" s="67">
        <f t="shared" si="6"/>
        <v>1</v>
      </c>
      <c r="K20" s="29">
        <f t="shared" si="6"/>
        <v>1</v>
      </c>
      <c r="L20" s="167"/>
      <c r="M20" s="184"/>
      <c r="N20" s="169"/>
      <c r="O20" s="61">
        <f t="shared" si="5"/>
        <v>0</v>
      </c>
      <c r="P20" s="184">
        <f t="shared" si="5"/>
        <v>1</v>
      </c>
      <c r="Q20" s="169">
        <f t="shared" si="5"/>
        <v>1</v>
      </c>
    </row>
    <row r="21" spans="1:19" s="3" customFormat="1" ht="13.5" customHeight="1">
      <c r="A21" s="143" t="s">
        <v>162</v>
      </c>
      <c r="B21" s="138" t="s">
        <v>123</v>
      </c>
      <c r="C21" s="295">
        <f t="shared" ref="C21:Q21" si="7">SUM(C12:C20)</f>
        <v>10235</v>
      </c>
      <c r="D21" s="429">
        <f t="shared" si="7"/>
        <v>289</v>
      </c>
      <c r="E21" s="430">
        <f t="shared" si="7"/>
        <v>10524</v>
      </c>
      <c r="F21" s="295">
        <f t="shared" si="7"/>
        <v>0</v>
      </c>
      <c r="G21" s="431">
        <f t="shared" si="7"/>
        <v>12</v>
      </c>
      <c r="H21" s="432">
        <f t="shared" si="7"/>
        <v>12</v>
      </c>
      <c r="I21" s="295">
        <f t="shared" si="7"/>
        <v>10235</v>
      </c>
      <c r="J21" s="429">
        <f t="shared" si="7"/>
        <v>301</v>
      </c>
      <c r="K21" s="430">
        <f t="shared" si="7"/>
        <v>10536</v>
      </c>
      <c r="L21" s="295">
        <f t="shared" si="7"/>
        <v>0</v>
      </c>
      <c r="M21" s="434">
        <f t="shared" si="7"/>
        <v>0</v>
      </c>
      <c r="N21" s="435">
        <f t="shared" si="7"/>
        <v>0</v>
      </c>
      <c r="O21" s="428">
        <f t="shared" si="7"/>
        <v>10235</v>
      </c>
      <c r="P21" s="434">
        <f>SUM(P12:P20)</f>
        <v>301</v>
      </c>
      <c r="Q21" s="435">
        <f t="shared" si="7"/>
        <v>10536</v>
      </c>
      <c r="S21" s="4"/>
    </row>
    <row r="22" spans="1:19" s="3" customFormat="1" ht="13.5" customHeight="1">
      <c r="A22" s="143" t="s">
        <v>163</v>
      </c>
      <c r="B22" s="138" t="s">
        <v>124</v>
      </c>
      <c r="C22" s="295"/>
      <c r="D22" s="429"/>
      <c r="E22" s="430"/>
      <c r="F22" s="295"/>
      <c r="G22" s="431"/>
      <c r="H22" s="432"/>
      <c r="I22" s="295"/>
      <c r="J22" s="429"/>
      <c r="K22" s="430"/>
      <c r="L22" s="433"/>
      <c r="M22" s="434"/>
      <c r="N22" s="435"/>
      <c r="O22" s="428">
        <f t="shared" si="5"/>
        <v>0</v>
      </c>
      <c r="P22" s="434">
        <f t="shared" si="5"/>
        <v>0</v>
      </c>
      <c r="Q22" s="435">
        <f t="shared" si="5"/>
        <v>0</v>
      </c>
      <c r="S22" s="4"/>
    </row>
    <row r="23" spans="1:19" ht="13.5" customHeight="1">
      <c r="A23" s="170" t="s">
        <v>164</v>
      </c>
      <c r="B23" s="181" t="s">
        <v>125</v>
      </c>
      <c r="C23" s="242"/>
      <c r="D23" s="117"/>
      <c r="E23" s="171"/>
      <c r="F23" s="242"/>
      <c r="G23" s="172"/>
      <c r="H23" s="185"/>
      <c r="I23" s="242"/>
      <c r="J23" s="117"/>
      <c r="K23" s="171"/>
      <c r="L23" s="8"/>
      <c r="M23" s="186"/>
      <c r="N23" s="120"/>
      <c r="O23" s="59">
        <f t="shared" si="5"/>
        <v>0</v>
      </c>
      <c r="P23" s="186">
        <f t="shared" si="5"/>
        <v>0</v>
      </c>
      <c r="Q23" s="120">
        <f t="shared" si="5"/>
        <v>0</v>
      </c>
    </row>
    <row r="24" spans="1:19" s="3" customFormat="1" ht="13.5" customHeight="1">
      <c r="A24" s="143" t="s">
        <v>165</v>
      </c>
      <c r="B24" s="138" t="s">
        <v>285</v>
      </c>
      <c r="C24" s="295">
        <f t="shared" ref="C24:Q24" si="8">+C23</f>
        <v>0</v>
      </c>
      <c r="D24" s="429">
        <f t="shared" si="8"/>
        <v>0</v>
      </c>
      <c r="E24" s="430">
        <f t="shared" si="8"/>
        <v>0</v>
      </c>
      <c r="F24" s="295">
        <f t="shared" si="8"/>
        <v>0</v>
      </c>
      <c r="G24" s="429">
        <f t="shared" si="8"/>
        <v>0</v>
      </c>
      <c r="H24" s="430">
        <f t="shared" si="8"/>
        <v>0</v>
      </c>
      <c r="I24" s="295">
        <f t="shared" si="8"/>
        <v>0</v>
      </c>
      <c r="J24" s="429">
        <f t="shared" si="8"/>
        <v>0</v>
      </c>
      <c r="K24" s="430">
        <f t="shared" si="8"/>
        <v>0</v>
      </c>
      <c r="L24" s="295">
        <f t="shared" si="8"/>
        <v>0</v>
      </c>
      <c r="M24" s="434">
        <f t="shared" si="8"/>
        <v>0</v>
      </c>
      <c r="N24" s="430">
        <f t="shared" si="8"/>
        <v>0</v>
      </c>
      <c r="O24" s="428">
        <f t="shared" si="8"/>
        <v>0</v>
      </c>
      <c r="P24" s="429">
        <f t="shared" si="8"/>
        <v>0</v>
      </c>
      <c r="Q24" s="430">
        <f t="shared" si="8"/>
        <v>0</v>
      </c>
      <c r="S24" s="4"/>
    </row>
    <row r="25" spans="1:19" ht="13.5" customHeight="1">
      <c r="A25" s="170" t="s">
        <v>166</v>
      </c>
      <c r="B25" s="181" t="s">
        <v>126</v>
      </c>
      <c r="C25" s="242"/>
      <c r="D25" s="117"/>
      <c r="E25" s="171"/>
      <c r="F25" s="242"/>
      <c r="G25" s="172"/>
      <c r="H25" s="185"/>
      <c r="I25" s="242"/>
      <c r="J25" s="117"/>
      <c r="K25" s="171"/>
      <c r="L25" s="8"/>
      <c r="M25" s="186"/>
      <c r="N25" s="120">
        <f>SUM(L25:M25)</f>
        <v>0</v>
      </c>
      <c r="O25" s="59">
        <f t="shared" si="5"/>
        <v>0</v>
      </c>
      <c r="P25" s="186">
        <f t="shared" si="5"/>
        <v>0</v>
      </c>
      <c r="Q25" s="120">
        <f t="shared" si="5"/>
        <v>0</v>
      </c>
    </row>
    <row r="26" spans="1:19" s="3" customFormat="1" ht="13.5" customHeight="1">
      <c r="A26" s="143" t="s">
        <v>167</v>
      </c>
      <c r="B26" s="138" t="s">
        <v>286</v>
      </c>
      <c r="C26" s="295">
        <f t="shared" ref="C26:Q26" si="9">+C25</f>
        <v>0</v>
      </c>
      <c r="D26" s="429">
        <f t="shared" si="9"/>
        <v>0</v>
      </c>
      <c r="E26" s="430">
        <f t="shared" si="9"/>
        <v>0</v>
      </c>
      <c r="F26" s="295">
        <f t="shared" si="9"/>
        <v>0</v>
      </c>
      <c r="G26" s="431">
        <f t="shared" si="9"/>
        <v>0</v>
      </c>
      <c r="H26" s="432">
        <f t="shared" si="9"/>
        <v>0</v>
      </c>
      <c r="I26" s="295">
        <f t="shared" si="9"/>
        <v>0</v>
      </c>
      <c r="J26" s="429">
        <f t="shared" si="9"/>
        <v>0</v>
      </c>
      <c r="K26" s="430">
        <f t="shared" si="9"/>
        <v>0</v>
      </c>
      <c r="L26" s="295">
        <f t="shared" si="9"/>
        <v>0</v>
      </c>
      <c r="M26" s="434">
        <f t="shared" si="9"/>
        <v>0</v>
      </c>
      <c r="N26" s="435">
        <f t="shared" si="9"/>
        <v>0</v>
      </c>
      <c r="O26" s="428">
        <f t="shared" si="9"/>
        <v>0</v>
      </c>
      <c r="P26" s="434">
        <f t="shared" si="9"/>
        <v>0</v>
      </c>
      <c r="Q26" s="435">
        <f t="shared" si="9"/>
        <v>0</v>
      </c>
      <c r="S26" s="4"/>
    </row>
    <row r="27" spans="1:19" s="3" customFormat="1" ht="13.5" customHeight="1">
      <c r="A27" s="143" t="s">
        <v>168</v>
      </c>
      <c r="B27" s="138" t="s">
        <v>127</v>
      </c>
      <c r="C27" s="295">
        <f t="shared" ref="C27:Q27" si="10">+C7+C11+C21+C22+C24+C26</f>
        <v>10235</v>
      </c>
      <c r="D27" s="429">
        <f t="shared" si="10"/>
        <v>289</v>
      </c>
      <c r="E27" s="430">
        <f t="shared" si="10"/>
        <v>10524</v>
      </c>
      <c r="F27" s="295">
        <f t="shared" si="10"/>
        <v>0</v>
      </c>
      <c r="G27" s="431">
        <f t="shared" si="10"/>
        <v>12</v>
      </c>
      <c r="H27" s="432">
        <f t="shared" si="10"/>
        <v>12</v>
      </c>
      <c r="I27" s="295">
        <f t="shared" si="10"/>
        <v>10235</v>
      </c>
      <c r="J27" s="429">
        <f t="shared" si="10"/>
        <v>301</v>
      </c>
      <c r="K27" s="430">
        <f t="shared" si="10"/>
        <v>10536</v>
      </c>
      <c r="L27" s="295">
        <f t="shared" si="10"/>
        <v>338297</v>
      </c>
      <c r="M27" s="434">
        <f t="shared" si="10"/>
        <v>-46448</v>
      </c>
      <c r="N27" s="435">
        <f t="shared" si="10"/>
        <v>291849</v>
      </c>
      <c r="O27" s="428">
        <f t="shared" si="10"/>
        <v>348532</v>
      </c>
      <c r="P27" s="434">
        <f t="shared" si="10"/>
        <v>-46147</v>
      </c>
      <c r="Q27" s="435">
        <f t="shared" si="10"/>
        <v>302385</v>
      </c>
      <c r="S27" s="4"/>
    </row>
    <row r="28" spans="1:19" s="3" customFormat="1" ht="13.5" customHeight="1">
      <c r="A28" s="144" t="s">
        <v>169</v>
      </c>
      <c r="B28" s="138" t="s">
        <v>128</v>
      </c>
      <c r="C28" s="295">
        <f>+'3.SZ.TÁBL. SEGÍTŐ SZOLGÁLAT'!AA28</f>
        <v>8</v>
      </c>
      <c r="D28" s="429">
        <f>+'3.SZ.TÁBL. SEGÍTŐ SZOLGÁLAT'!AB28</f>
        <v>0</v>
      </c>
      <c r="E28" s="430">
        <f>+'3.SZ.TÁBL. SEGÍTŐ SZOLGÁLAT'!AC28</f>
        <v>8</v>
      </c>
      <c r="F28" s="295">
        <f>+'4.SZ.TÁBL. ÓVODA'!R28</f>
        <v>87</v>
      </c>
      <c r="G28" s="431">
        <f>+'4.SZ.TÁBL. ÓVODA'!S28</f>
        <v>0</v>
      </c>
      <c r="H28" s="432">
        <f>+'4.SZ.TÁBL. ÓVODA'!T28</f>
        <v>87</v>
      </c>
      <c r="I28" s="428">
        <f t="shared" ref="I28:K29" si="11">+C28+F28</f>
        <v>95</v>
      </c>
      <c r="J28" s="429">
        <f t="shared" si="11"/>
        <v>0</v>
      </c>
      <c r="K28" s="430">
        <f t="shared" si="11"/>
        <v>95</v>
      </c>
      <c r="L28" s="433">
        <f>+'[3]1.1.SZ.TÁBL. BEV - KIAD'!$N$28</f>
        <v>16952</v>
      </c>
      <c r="M28" s="434"/>
      <c r="N28" s="435">
        <f>SUM(L28:M28)</f>
        <v>16952</v>
      </c>
      <c r="O28" s="428">
        <f t="shared" si="5"/>
        <v>17047</v>
      </c>
      <c r="P28" s="434">
        <f t="shared" si="5"/>
        <v>0</v>
      </c>
      <c r="Q28" s="435">
        <f t="shared" si="5"/>
        <v>17047</v>
      </c>
      <c r="S28" s="4"/>
    </row>
    <row r="29" spans="1:19" s="3" customFormat="1" ht="13.5" customHeight="1">
      <c r="A29" s="492" t="s">
        <v>283</v>
      </c>
      <c r="B29" s="493" t="s">
        <v>284</v>
      </c>
      <c r="C29" s="494">
        <f>+'3.SZ.TÁBL. SEGÍTŐ SZOLGÁLAT'!AA29</f>
        <v>108940</v>
      </c>
      <c r="D29" s="495">
        <f>+'3.SZ.TÁBL. SEGÍTŐ SZOLGÁLAT'!AB29</f>
        <v>7346</v>
      </c>
      <c r="E29" s="496">
        <f>+'3.SZ.TÁBL. SEGÍTŐ SZOLGÁLAT'!AC29</f>
        <v>116286</v>
      </c>
      <c r="F29" s="494">
        <f>+'4.SZ.TÁBL. ÓVODA'!R29</f>
        <v>178514</v>
      </c>
      <c r="G29" s="497">
        <f>+'4.SZ.TÁBL. ÓVODA'!S29</f>
        <v>-56095</v>
      </c>
      <c r="H29" s="498">
        <f>+'4.SZ.TÁBL. ÓVODA'!T29</f>
        <v>122419</v>
      </c>
      <c r="I29" s="499">
        <f t="shared" si="11"/>
        <v>287454</v>
      </c>
      <c r="J29" s="495">
        <f t="shared" si="11"/>
        <v>-48749</v>
      </c>
      <c r="K29" s="496">
        <f t="shared" si="11"/>
        <v>238705</v>
      </c>
      <c r="L29" s="500"/>
      <c r="M29" s="501"/>
      <c r="N29" s="502"/>
      <c r="O29" s="499"/>
      <c r="P29" s="501"/>
      <c r="Q29" s="502"/>
      <c r="S29" s="4"/>
    </row>
    <row r="30" spans="1:19" s="3" customFormat="1" ht="13.5" customHeight="1" thickBot="1">
      <c r="A30" s="147" t="s">
        <v>170</v>
      </c>
      <c r="B30" s="187" t="s">
        <v>129</v>
      </c>
      <c r="C30" s="370">
        <f t="shared" ref="C30:N30" si="12">SUM(C28:C29)</f>
        <v>108948</v>
      </c>
      <c r="D30" s="371">
        <f t="shared" si="12"/>
        <v>7346</v>
      </c>
      <c r="E30" s="372">
        <f t="shared" si="12"/>
        <v>116294</v>
      </c>
      <c r="F30" s="370">
        <f t="shared" si="12"/>
        <v>178601</v>
      </c>
      <c r="G30" s="373">
        <f t="shared" si="12"/>
        <v>-56095</v>
      </c>
      <c r="H30" s="374">
        <f t="shared" si="12"/>
        <v>122506</v>
      </c>
      <c r="I30" s="370">
        <f t="shared" si="12"/>
        <v>287549</v>
      </c>
      <c r="J30" s="371">
        <f t="shared" si="12"/>
        <v>-48749</v>
      </c>
      <c r="K30" s="372">
        <f t="shared" si="12"/>
        <v>238800</v>
      </c>
      <c r="L30" s="370">
        <f t="shared" si="12"/>
        <v>16952</v>
      </c>
      <c r="M30" s="375">
        <f t="shared" si="12"/>
        <v>0</v>
      </c>
      <c r="N30" s="376">
        <f t="shared" si="12"/>
        <v>16952</v>
      </c>
      <c r="O30" s="370">
        <f>+O28+O29</f>
        <v>17047</v>
      </c>
      <c r="P30" s="375">
        <f>+P28+P29</f>
        <v>0</v>
      </c>
      <c r="Q30" s="376">
        <f>+Q28+Q29</f>
        <v>17047</v>
      </c>
      <c r="S30" s="4"/>
    </row>
    <row r="31" spans="1:19" s="3" customFormat="1" ht="13.5" customHeight="1" thickBot="1">
      <c r="A31" s="866" t="s">
        <v>0</v>
      </c>
      <c r="B31" s="867"/>
      <c r="C31" s="377">
        <f t="shared" ref="C31:Q31" si="13">+C27+C30</f>
        <v>119183</v>
      </c>
      <c r="D31" s="378">
        <f t="shared" si="13"/>
        <v>7635</v>
      </c>
      <c r="E31" s="379">
        <f t="shared" si="13"/>
        <v>126818</v>
      </c>
      <c r="F31" s="377">
        <f t="shared" si="13"/>
        <v>178601</v>
      </c>
      <c r="G31" s="380">
        <f t="shared" si="13"/>
        <v>-56083</v>
      </c>
      <c r="H31" s="381">
        <f t="shared" si="13"/>
        <v>122518</v>
      </c>
      <c r="I31" s="377">
        <f t="shared" si="13"/>
        <v>297784</v>
      </c>
      <c r="J31" s="378">
        <f t="shared" si="13"/>
        <v>-48448</v>
      </c>
      <c r="K31" s="379">
        <f t="shared" si="13"/>
        <v>249336</v>
      </c>
      <c r="L31" s="377">
        <f t="shared" si="13"/>
        <v>355249</v>
      </c>
      <c r="M31" s="197">
        <f t="shared" si="13"/>
        <v>-46448</v>
      </c>
      <c r="N31" s="198">
        <f t="shared" si="13"/>
        <v>308801</v>
      </c>
      <c r="O31" s="377">
        <f t="shared" si="13"/>
        <v>365579</v>
      </c>
      <c r="P31" s="197">
        <f t="shared" si="13"/>
        <v>-46147</v>
      </c>
      <c r="Q31" s="198">
        <f t="shared" si="13"/>
        <v>319432</v>
      </c>
      <c r="S31" s="4"/>
    </row>
    <row r="32" spans="1:19" ht="13.5" customHeight="1">
      <c r="A32" s="199" t="s">
        <v>188</v>
      </c>
      <c r="B32" s="173" t="s">
        <v>189</v>
      </c>
      <c r="C32" s="222">
        <f>+'3.SZ.TÁBL. SEGÍTŐ SZOLGÁLAT'!AA42</f>
        <v>69991</v>
      </c>
      <c r="D32" s="70">
        <f>+'3.SZ.TÁBL. SEGÍTŐ SZOLGÁLAT'!AB42</f>
        <v>5315</v>
      </c>
      <c r="E32" s="118">
        <f>+'3.SZ.TÁBL. SEGÍTŐ SZOLGÁLAT'!AC42</f>
        <v>75306</v>
      </c>
      <c r="F32" s="222">
        <f>+'4.SZ.TÁBL. ÓVODA'!R38</f>
        <v>114551</v>
      </c>
      <c r="G32" s="17">
        <f>+'4.SZ.TÁBL. ÓVODA'!S38</f>
        <v>-35866</v>
      </c>
      <c r="H32" s="145">
        <f>+'4.SZ.TÁBL. ÓVODA'!T38</f>
        <v>78685</v>
      </c>
      <c r="I32" s="58">
        <f t="shared" ref="I32:K45" si="14">+C32+F32</f>
        <v>184542</v>
      </c>
      <c r="J32" s="70">
        <f t="shared" si="14"/>
        <v>-30551</v>
      </c>
      <c r="K32" s="118">
        <f t="shared" si="14"/>
        <v>153991</v>
      </c>
      <c r="L32" s="6"/>
      <c r="M32" s="68"/>
      <c r="N32" s="69"/>
      <c r="O32" s="58">
        <f t="shared" si="5"/>
        <v>184542</v>
      </c>
      <c r="P32" s="68">
        <f t="shared" si="5"/>
        <v>-30551</v>
      </c>
      <c r="Q32" s="69">
        <f t="shared" si="5"/>
        <v>153991</v>
      </c>
    </row>
    <row r="33" spans="1:19" ht="13.5" customHeight="1">
      <c r="A33" s="200" t="s">
        <v>190</v>
      </c>
      <c r="B33" s="157" t="s">
        <v>191</v>
      </c>
      <c r="C33" s="215">
        <f>+'3.SZ.TÁBL. SEGÍTŐ SZOLGÁLAT'!AA43</f>
        <v>0</v>
      </c>
      <c r="D33" s="66">
        <f>+'3.SZ.TÁBL. SEGÍTŐ SZOLGÁLAT'!AB43</f>
        <v>0</v>
      </c>
      <c r="E33" s="28">
        <f>+'3.SZ.TÁBL. SEGÍTŐ SZOLGÁLAT'!AC43</f>
        <v>0</v>
      </c>
      <c r="F33" s="215">
        <f>+'4.SZ.TÁBL. ÓVODA'!R39</f>
        <v>0</v>
      </c>
      <c r="G33" s="15">
        <f>+'4.SZ.TÁBL. ÓVODA'!S39</f>
        <v>0</v>
      </c>
      <c r="H33" s="119">
        <f>+'4.SZ.TÁBL. ÓVODA'!T39</f>
        <v>0</v>
      </c>
      <c r="I33" s="60">
        <f t="shared" si="14"/>
        <v>0</v>
      </c>
      <c r="J33" s="66">
        <f t="shared" si="14"/>
        <v>0</v>
      </c>
      <c r="K33" s="28">
        <f t="shared" si="14"/>
        <v>0</v>
      </c>
      <c r="L33" s="7"/>
      <c r="M33" s="137"/>
      <c r="N33" s="5"/>
      <c r="O33" s="60">
        <f t="shared" si="5"/>
        <v>0</v>
      </c>
      <c r="P33" s="137">
        <f t="shared" si="5"/>
        <v>0</v>
      </c>
      <c r="Q33" s="5">
        <f t="shared" si="5"/>
        <v>0</v>
      </c>
    </row>
    <row r="34" spans="1:19" ht="13.5" customHeight="1">
      <c r="A34" s="200" t="s">
        <v>192</v>
      </c>
      <c r="B34" s="157" t="s">
        <v>193</v>
      </c>
      <c r="C34" s="215">
        <f>+'3.SZ.TÁBL. SEGÍTŐ SZOLGÁLAT'!AA44</f>
        <v>0</v>
      </c>
      <c r="D34" s="66">
        <f>+'3.SZ.TÁBL. SEGÍTŐ SZOLGÁLAT'!AB44</f>
        <v>0</v>
      </c>
      <c r="E34" s="28">
        <f>+'3.SZ.TÁBL. SEGÍTŐ SZOLGÁLAT'!AC44</f>
        <v>0</v>
      </c>
      <c r="F34" s="215">
        <f>+'4.SZ.TÁBL. ÓVODA'!R40</f>
        <v>0</v>
      </c>
      <c r="G34" s="15">
        <f>+'4.SZ.TÁBL. ÓVODA'!S40</f>
        <v>0</v>
      </c>
      <c r="H34" s="119">
        <f>+'4.SZ.TÁBL. ÓVODA'!T40</f>
        <v>0</v>
      </c>
      <c r="I34" s="60">
        <f t="shared" si="14"/>
        <v>0</v>
      </c>
      <c r="J34" s="66">
        <f t="shared" si="14"/>
        <v>0</v>
      </c>
      <c r="K34" s="28">
        <f t="shared" si="14"/>
        <v>0</v>
      </c>
      <c r="L34" s="7"/>
      <c r="M34" s="137"/>
      <c r="N34" s="5"/>
      <c r="O34" s="60">
        <f t="shared" si="5"/>
        <v>0</v>
      </c>
      <c r="P34" s="137">
        <f t="shared" si="5"/>
        <v>0</v>
      </c>
      <c r="Q34" s="5">
        <f t="shared" si="5"/>
        <v>0</v>
      </c>
    </row>
    <row r="35" spans="1:19" ht="13.5" customHeight="1">
      <c r="A35" s="200" t="s">
        <v>194</v>
      </c>
      <c r="B35" s="157" t="s">
        <v>195</v>
      </c>
      <c r="C35" s="215">
        <f>+'3.SZ.TÁBL. SEGÍTŐ SZOLGÁLAT'!AA45</f>
        <v>1085</v>
      </c>
      <c r="D35" s="66">
        <f>+'3.SZ.TÁBL. SEGÍTŐ SZOLGÁLAT'!AB45</f>
        <v>75</v>
      </c>
      <c r="E35" s="28">
        <f>+'3.SZ.TÁBL. SEGÍTŐ SZOLGÁLAT'!AC45</f>
        <v>1160</v>
      </c>
      <c r="F35" s="215">
        <f>+'4.SZ.TÁBL. ÓVODA'!R41</f>
        <v>2078</v>
      </c>
      <c r="G35" s="15">
        <f>+'4.SZ.TÁBL. ÓVODA'!S41</f>
        <v>-190</v>
      </c>
      <c r="H35" s="119">
        <f>+'4.SZ.TÁBL. ÓVODA'!T41</f>
        <v>1888</v>
      </c>
      <c r="I35" s="60">
        <f t="shared" si="14"/>
        <v>3163</v>
      </c>
      <c r="J35" s="66">
        <f t="shared" si="14"/>
        <v>-115</v>
      </c>
      <c r="K35" s="28">
        <f t="shared" si="14"/>
        <v>3048</v>
      </c>
      <c r="L35" s="7"/>
      <c r="M35" s="137"/>
      <c r="N35" s="5"/>
      <c r="O35" s="60">
        <f t="shared" si="5"/>
        <v>3163</v>
      </c>
      <c r="P35" s="137">
        <f t="shared" si="5"/>
        <v>-115</v>
      </c>
      <c r="Q35" s="5">
        <f t="shared" si="5"/>
        <v>3048</v>
      </c>
    </row>
    <row r="36" spans="1:19" ht="13.5" customHeight="1">
      <c r="A36" s="200" t="s">
        <v>196</v>
      </c>
      <c r="B36" s="157" t="s">
        <v>197</v>
      </c>
      <c r="C36" s="215">
        <f>+'3.SZ.TÁBL. SEGÍTŐ SZOLGÁLAT'!AA46</f>
        <v>0</v>
      </c>
      <c r="D36" s="66">
        <f>+'3.SZ.TÁBL. SEGÍTŐ SZOLGÁLAT'!AB46</f>
        <v>0</v>
      </c>
      <c r="E36" s="28">
        <f>+'3.SZ.TÁBL. SEGÍTŐ SZOLGÁLAT'!AC46</f>
        <v>0</v>
      </c>
      <c r="F36" s="215">
        <f>+'4.SZ.TÁBL. ÓVODA'!R42</f>
        <v>0</v>
      </c>
      <c r="G36" s="15">
        <f>+'4.SZ.TÁBL. ÓVODA'!S42</f>
        <v>0</v>
      </c>
      <c r="H36" s="119">
        <f>+'4.SZ.TÁBL. ÓVODA'!T42</f>
        <v>0</v>
      </c>
      <c r="I36" s="60">
        <f t="shared" si="14"/>
        <v>0</v>
      </c>
      <c r="J36" s="66">
        <f t="shared" si="14"/>
        <v>0</v>
      </c>
      <c r="K36" s="28">
        <f t="shared" si="14"/>
        <v>0</v>
      </c>
      <c r="L36" s="7"/>
      <c r="M36" s="66"/>
      <c r="N36" s="28"/>
      <c r="O36" s="60">
        <f t="shared" si="5"/>
        <v>0</v>
      </c>
      <c r="P36" s="137">
        <f t="shared" si="5"/>
        <v>0</v>
      </c>
      <c r="Q36" s="5">
        <f t="shared" si="5"/>
        <v>0</v>
      </c>
    </row>
    <row r="37" spans="1:19" ht="13.5" customHeight="1">
      <c r="A37" s="200" t="s">
        <v>198</v>
      </c>
      <c r="B37" s="157" t="s">
        <v>1</v>
      </c>
      <c r="C37" s="215">
        <f>+'3.SZ.TÁBL. SEGÍTŐ SZOLGÁLAT'!AA47</f>
        <v>626</v>
      </c>
      <c r="D37" s="66">
        <f>+'3.SZ.TÁBL. SEGÍTŐ SZOLGÁLAT'!AB47</f>
        <v>2</v>
      </c>
      <c r="E37" s="28">
        <f>+'3.SZ.TÁBL. SEGÍTŐ SZOLGÁLAT'!AC47</f>
        <v>628</v>
      </c>
      <c r="F37" s="215">
        <f>+'4.SZ.TÁBL. ÓVODA'!R43</f>
        <v>1886</v>
      </c>
      <c r="G37" s="15">
        <f>+'4.SZ.TÁBL. ÓVODA'!S43</f>
        <v>0</v>
      </c>
      <c r="H37" s="119">
        <f>+'4.SZ.TÁBL. ÓVODA'!T43</f>
        <v>1886</v>
      </c>
      <c r="I37" s="60">
        <f t="shared" si="14"/>
        <v>2512</v>
      </c>
      <c r="J37" s="66">
        <f t="shared" si="14"/>
        <v>2</v>
      </c>
      <c r="K37" s="28">
        <f t="shared" si="14"/>
        <v>2514</v>
      </c>
      <c r="L37" s="7"/>
      <c r="M37" s="137"/>
      <c r="N37" s="5"/>
      <c r="O37" s="60">
        <f t="shared" si="5"/>
        <v>2512</v>
      </c>
      <c r="P37" s="137">
        <f t="shared" si="5"/>
        <v>2</v>
      </c>
      <c r="Q37" s="5">
        <f t="shared" si="5"/>
        <v>2514</v>
      </c>
    </row>
    <row r="38" spans="1:19" ht="13.5" customHeight="1">
      <c r="A38" s="200" t="s">
        <v>199</v>
      </c>
      <c r="B38" s="157" t="s">
        <v>200</v>
      </c>
      <c r="C38" s="215">
        <f>+'3.SZ.TÁBL. SEGÍTŐ SZOLGÁLAT'!AA48</f>
        <v>1835</v>
      </c>
      <c r="D38" s="66">
        <f>+'3.SZ.TÁBL. SEGÍTŐ SZOLGÁLAT'!AB48</f>
        <v>0</v>
      </c>
      <c r="E38" s="28">
        <f>+'3.SZ.TÁBL. SEGÍTŐ SZOLGÁLAT'!AC48</f>
        <v>1835</v>
      </c>
      <c r="F38" s="215">
        <f>+'4.SZ.TÁBL. ÓVODA'!R44</f>
        <v>2435</v>
      </c>
      <c r="G38" s="15">
        <f>+'4.SZ.TÁBL. ÓVODA'!S44</f>
        <v>-865</v>
      </c>
      <c r="H38" s="119">
        <f>+'4.SZ.TÁBL. ÓVODA'!T44</f>
        <v>1570</v>
      </c>
      <c r="I38" s="60">
        <f t="shared" si="14"/>
        <v>4270</v>
      </c>
      <c r="J38" s="66">
        <f t="shared" si="14"/>
        <v>-865</v>
      </c>
      <c r="K38" s="28">
        <f t="shared" si="14"/>
        <v>3405</v>
      </c>
      <c r="L38" s="7"/>
      <c r="M38" s="137"/>
      <c r="N38" s="5"/>
      <c r="O38" s="60">
        <f t="shared" si="5"/>
        <v>4270</v>
      </c>
      <c r="P38" s="137">
        <f t="shared" si="5"/>
        <v>-865</v>
      </c>
      <c r="Q38" s="5">
        <f t="shared" si="5"/>
        <v>3405</v>
      </c>
    </row>
    <row r="39" spans="1:19" ht="13.5" customHeight="1">
      <c r="A39" s="200" t="s">
        <v>201</v>
      </c>
      <c r="B39" s="157" t="s">
        <v>202</v>
      </c>
      <c r="C39" s="215">
        <f>+'3.SZ.TÁBL. SEGÍTŐ SZOLGÁLAT'!AA49</f>
        <v>0</v>
      </c>
      <c r="D39" s="66">
        <f>+'3.SZ.TÁBL. SEGÍTŐ SZOLGÁLAT'!AB49</f>
        <v>0</v>
      </c>
      <c r="E39" s="28">
        <f>+'3.SZ.TÁBL. SEGÍTŐ SZOLGÁLAT'!AC49</f>
        <v>0</v>
      </c>
      <c r="F39" s="215">
        <f>+'4.SZ.TÁBL. ÓVODA'!R45</f>
        <v>0</v>
      </c>
      <c r="G39" s="15">
        <f>+'4.SZ.TÁBL. ÓVODA'!S45</f>
        <v>0</v>
      </c>
      <c r="H39" s="119">
        <f>+'4.SZ.TÁBL. ÓVODA'!T45</f>
        <v>0</v>
      </c>
      <c r="I39" s="60">
        <f t="shared" si="14"/>
        <v>0</v>
      </c>
      <c r="J39" s="66">
        <f t="shared" si="14"/>
        <v>0</v>
      </c>
      <c r="K39" s="28">
        <f t="shared" si="14"/>
        <v>0</v>
      </c>
      <c r="L39" s="7"/>
      <c r="M39" s="137"/>
      <c r="N39" s="5"/>
      <c r="O39" s="60">
        <f t="shared" si="5"/>
        <v>0</v>
      </c>
      <c r="P39" s="137">
        <f t="shared" si="5"/>
        <v>0</v>
      </c>
      <c r="Q39" s="5">
        <f t="shared" si="5"/>
        <v>0</v>
      </c>
    </row>
    <row r="40" spans="1:19" ht="13.5" customHeight="1">
      <c r="A40" s="200" t="s">
        <v>203</v>
      </c>
      <c r="B40" s="157" t="s">
        <v>2</v>
      </c>
      <c r="C40" s="215">
        <f>+'3.SZ.TÁBL. SEGÍTŐ SZOLGÁLAT'!AA50</f>
        <v>611</v>
      </c>
      <c r="D40" s="66">
        <f>+'3.SZ.TÁBL. SEGÍTŐ SZOLGÁLAT'!AB50</f>
        <v>0</v>
      </c>
      <c r="E40" s="28">
        <f>+'3.SZ.TÁBL. SEGÍTŐ SZOLGÁLAT'!AC50</f>
        <v>611</v>
      </c>
      <c r="F40" s="215">
        <f>+'4.SZ.TÁBL. ÓVODA'!R46</f>
        <v>1126</v>
      </c>
      <c r="G40" s="66">
        <f>+'4.SZ.TÁBL. ÓVODA'!S46</f>
        <v>-641</v>
      </c>
      <c r="H40" s="28">
        <f>+'4.SZ.TÁBL. ÓVODA'!T46</f>
        <v>485</v>
      </c>
      <c r="I40" s="60">
        <f t="shared" si="14"/>
        <v>1737</v>
      </c>
      <c r="J40" s="66">
        <f t="shared" si="14"/>
        <v>-641</v>
      </c>
      <c r="K40" s="28">
        <f t="shared" si="14"/>
        <v>1096</v>
      </c>
      <c r="L40" s="7"/>
      <c r="M40" s="66"/>
      <c r="N40" s="28"/>
      <c r="O40" s="60">
        <f t="shared" si="5"/>
        <v>1737</v>
      </c>
      <c r="P40" s="66">
        <f t="shared" si="5"/>
        <v>-641</v>
      </c>
      <c r="Q40" s="28">
        <f t="shared" si="5"/>
        <v>1096</v>
      </c>
    </row>
    <row r="41" spans="1:19" ht="13.5" customHeight="1">
      <c r="A41" s="200" t="s">
        <v>204</v>
      </c>
      <c r="B41" s="157" t="s">
        <v>205</v>
      </c>
      <c r="C41" s="215">
        <f>+'3.SZ.TÁBL. SEGÍTŐ SZOLGÁLAT'!AA51</f>
        <v>0</v>
      </c>
      <c r="D41" s="66">
        <f>+'3.SZ.TÁBL. SEGÍTŐ SZOLGÁLAT'!AB51</f>
        <v>0</v>
      </c>
      <c r="E41" s="28">
        <f>+'3.SZ.TÁBL. SEGÍTŐ SZOLGÁLAT'!AC51</f>
        <v>0</v>
      </c>
      <c r="F41" s="215">
        <f>+'4.SZ.TÁBL. ÓVODA'!R47</f>
        <v>0</v>
      </c>
      <c r="G41" s="66">
        <f>+'4.SZ.TÁBL. ÓVODA'!S47</f>
        <v>0</v>
      </c>
      <c r="H41" s="28">
        <f>+'4.SZ.TÁBL. ÓVODA'!T47</f>
        <v>0</v>
      </c>
      <c r="I41" s="60">
        <f t="shared" si="14"/>
        <v>0</v>
      </c>
      <c r="J41" s="66">
        <f t="shared" si="14"/>
        <v>0</v>
      </c>
      <c r="K41" s="28">
        <f t="shared" si="14"/>
        <v>0</v>
      </c>
      <c r="L41" s="7"/>
      <c r="M41" s="66"/>
      <c r="N41" s="28"/>
      <c r="O41" s="60">
        <f t="shared" si="5"/>
        <v>0</v>
      </c>
      <c r="P41" s="137">
        <f t="shared" si="5"/>
        <v>0</v>
      </c>
      <c r="Q41" s="5">
        <f t="shared" si="5"/>
        <v>0</v>
      </c>
    </row>
    <row r="42" spans="1:19" ht="13.5" customHeight="1">
      <c r="A42" s="200" t="s">
        <v>206</v>
      </c>
      <c r="B42" s="157" t="s">
        <v>207</v>
      </c>
      <c r="C42" s="215">
        <f>+'3.SZ.TÁBL. SEGÍTŐ SZOLGÁLAT'!AA52</f>
        <v>0</v>
      </c>
      <c r="D42" s="66">
        <f>+'3.SZ.TÁBL. SEGÍTŐ SZOLGÁLAT'!AB52</f>
        <v>0</v>
      </c>
      <c r="E42" s="28">
        <f>+'3.SZ.TÁBL. SEGÍTŐ SZOLGÁLAT'!AC52</f>
        <v>0</v>
      </c>
      <c r="F42" s="215">
        <f>+'4.SZ.TÁBL. ÓVODA'!R48</f>
        <v>0</v>
      </c>
      <c r="G42" s="15">
        <f>+'4.SZ.TÁBL. ÓVODA'!S48</f>
        <v>0</v>
      </c>
      <c r="H42" s="119">
        <f>+'4.SZ.TÁBL. ÓVODA'!T48</f>
        <v>0</v>
      </c>
      <c r="I42" s="60">
        <f t="shared" si="14"/>
        <v>0</v>
      </c>
      <c r="J42" s="66">
        <f t="shared" si="14"/>
        <v>0</v>
      </c>
      <c r="K42" s="28">
        <f t="shared" si="14"/>
        <v>0</v>
      </c>
      <c r="L42" s="7"/>
      <c r="M42" s="137"/>
      <c r="N42" s="5"/>
      <c r="O42" s="60">
        <f t="shared" si="5"/>
        <v>0</v>
      </c>
      <c r="P42" s="137">
        <f t="shared" si="5"/>
        <v>0</v>
      </c>
      <c r="Q42" s="5">
        <f t="shared" si="5"/>
        <v>0</v>
      </c>
    </row>
    <row r="43" spans="1:19" ht="13.5" customHeight="1">
      <c r="A43" s="200" t="s">
        <v>208</v>
      </c>
      <c r="B43" s="157" t="s">
        <v>209</v>
      </c>
      <c r="C43" s="215">
        <f>+'3.SZ.TÁBL. SEGÍTŐ SZOLGÁLAT'!AA53</f>
        <v>0</v>
      </c>
      <c r="D43" s="66">
        <f>+'3.SZ.TÁBL. SEGÍTŐ SZOLGÁLAT'!AB53</f>
        <v>0</v>
      </c>
      <c r="E43" s="28">
        <f>+'3.SZ.TÁBL. SEGÍTŐ SZOLGÁLAT'!AC53</f>
        <v>0</v>
      </c>
      <c r="F43" s="215">
        <f>+'4.SZ.TÁBL. ÓVODA'!R49</f>
        <v>0</v>
      </c>
      <c r="G43" s="15">
        <f>+'4.SZ.TÁBL. ÓVODA'!S49</f>
        <v>0</v>
      </c>
      <c r="H43" s="119">
        <f>+'4.SZ.TÁBL. ÓVODA'!T49</f>
        <v>0</v>
      </c>
      <c r="I43" s="60">
        <f t="shared" si="14"/>
        <v>0</v>
      </c>
      <c r="J43" s="66">
        <f t="shared" si="14"/>
        <v>0</v>
      </c>
      <c r="K43" s="28">
        <f t="shared" si="14"/>
        <v>0</v>
      </c>
      <c r="L43" s="7"/>
      <c r="M43" s="137"/>
      <c r="N43" s="5"/>
      <c r="O43" s="60">
        <f t="shared" si="5"/>
        <v>0</v>
      </c>
      <c r="P43" s="137">
        <f t="shared" si="5"/>
        <v>0</v>
      </c>
      <c r="Q43" s="5">
        <f t="shared" si="5"/>
        <v>0</v>
      </c>
    </row>
    <row r="44" spans="1:19" ht="13.5" customHeight="1">
      <c r="A44" s="200" t="s">
        <v>210</v>
      </c>
      <c r="B44" s="157" t="s">
        <v>211</v>
      </c>
      <c r="C44" s="215">
        <f>+'3.SZ.TÁBL. SEGÍTŐ SZOLGÁLAT'!AA54</f>
        <v>1488</v>
      </c>
      <c r="D44" s="66">
        <f>+'3.SZ.TÁBL. SEGÍTŐ SZOLGÁLAT'!AB54</f>
        <v>84</v>
      </c>
      <c r="E44" s="28">
        <f>+'3.SZ.TÁBL. SEGÍTŐ SZOLGÁLAT'!AC54</f>
        <v>1572</v>
      </c>
      <c r="F44" s="215">
        <f>+'4.SZ.TÁBL. ÓVODA'!R50</f>
        <v>836</v>
      </c>
      <c r="G44" s="15">
        <f>+'4.SZ.TÁBL. ÓVODA'!S50</f>
        <v>107</v>
      </c>
      <c r="H44" s="119">
        <f>+'4.SZ.TÁBL. ÓVODA'!T50</f>
        <v>943</v>
      </c>
      <c r="I44" s="60">
        <f t="shared" si="14"/>
        <v>2324</v>
      </c>
      <c r="J44" s="66">
        <f t="shared" si="14"/>
        <v>191</v>
      </c>
      <c r="K44" s="28">
        <f t="shared" si="14"/>
        <v>2515</v>
      </c>
      <c r="L44" s="7"/>
      <c r="M44" s="137"/>
      <c r="N44" s="5"/>
      <c r="O44" s="60">
        <f t="shared" si="5"/>
        <v>2324</v>
      </c>
      <c r="P44" s="137">
        <f t="shared" si="5"/>
        <v>191</v>
      </c>
      <c r="Q44" s="5">
        <f t="shared" si="5"/>
        <v>2515</v>
      </c>
    </row>
    <row r="45" spans="1:19" ht="13.5" customHeight="1">
      <c r="A45" s="201" t="s">
        <v>210</v>
      </c>
      <c r="B45" s="174" t="s">
        <v>212</v>
      </c>
      <c r="C45" s="231">
        <f>+'3.SZ.TÁBL. SEGÍTŐ SZOLGÁLAT'!AA55</f>
        <v>0</v>
      </c>
      <c r="D45" s="67">
        <f>+'3.SZ.TÁBL. SEGÍTŐ SZOLGÁLAT'!AB55</f>
        <v>0</v>
      </c>
      <c r="E45" s="29">
        <f>+'3.SZ.TÁBL. SEGÍTŐ SZOLGÁLAT'!AC55</f>
        <v>0</v>
      </c>
      <c r="F45" s="231">
        <f>+'4.SZ.TÁBL. ÓVODA'!R51</f>
        <v>0</v>
      </c>
      <c r="G45" s="67">
        <f>+'4.SZ.TÁBL. ÓVODA'!S51</f>
        <v>0</v>
      </c>
      <c r="H45" s="29">
        <f>+'4.SZ.TÁBL. ÓVODA'!T51</f>
        <v>0</v>
      </c>
      <c r="I45" s="61">
        <f t="shared" si="14"/>
        <v>0</v>
      </c>
      <c r="J45" s="67">
        <f t="shared" si="14"/>
        <v>0</v>
      </c>
      <c r="K45" s="29">
        <f t="shared" si="14"/>
        <v>0</v>
      </c>
      <c r="L45" s="167"/>
      <c r="M45" s="67"/>
      <c r="N45" s="29"/>
      <c r="O45" s="61">
        <f t="shared" si="5"/>
        <v>0</v>
      </c>
      <c r="P45" s="67">
        <f t="shared" si="5"/>
        <v>0</v>
      </c>
      <c r="Q45" s="29">
        <f t="shared" si="5"/>
        <v>0</v>
      </c>
    </row>
    <row r="46" spans="1:19" s="3" customFormat="1" ht="13.5" customHeight="1">
      <c r="A46" s="202" t="s">
        <v>172</v>
      </c>
      <c r="B46" s="175" t="s">
        <v>130</v>
      </c>
      <c r="C46" s="295">
        <f t="shared" ref="C46:K46" si="15">+SUM(C32:C44)</f>
        <v>75636</v>
      </c>
      <c r="D46" s="429">
        <f t="shared" si="15"/>
        <v>5476</v>
      </c>
      <c r="E46" s="430">
        <f t="shared" si="15"/>
        <v>81112</v>
      </c>
      <c r="F46" s="295">
        <f t="shared" si="15"/>
        <v>122912</v>
      </c>
      <c r="G46" s="431">
        <f t="shared" si="15"/>
        <v>-37455</v>
      </c>
      <c r="H46" s="432">
        <f t="shared" si="15"/>
        <v>85457</v>
      </c>
      <c r="I46" s="295">
        <f t="shared" si="15"/>
        <v>198548</v>
      </c>
      <c r="J46" s="429">
        <f t="shared" si="15"/>
        <v>-31979</v>
      </c>
      <c r="K46" s="430">
        <f t="shared" si="15"/>
        <v>166569</v>
      </c>
      <c r="L46" s="433"/>
      <c r="M46" s="434"/>
      <c r="N46" s="435"/>
      <c r="O46" s="428">
        <f>SUM(O32:O45)</f>
        <v>198548</v>
      </c>
      <c r="P46" s="434">
        <f>SUM(P32:P45)</f>
        <v>-31979</v>
      </c>
      <c r="Q46" s="435">
        <f>SUM(Q32:Q45)</f>
        <v>166569</v>
      </c>
      <c r="S46" s="4"/>
    </row>
    <row r="47" spans="1:19" ht="13.5" customHeight="1">
      <c r="A47" s="199" t="s">
        <v>213</v>
      </c>
      <c r="B47" s="173" t="s">
        <v>214</v>
      </c>
      <c r="C47" s="222">
        <f>+'3.SZ.TÁBL. SEGÍTŐ SZOLGÁLAT'!AA57</f>
        <v>0</v>
      </c>
      <c r="D47" s="70">
        <f>+'3.SZ.TÁBL. SEGÍTŐ SZOLGÁLAT'!AB57</f>
        <v>0</v>
      </c>
      <c r="E47" s="118">
        <f>+'3.SZ.TÁBL. SEGÍTŐ SZOLGÁLAT'!AC57</f>
        <v>0</v>
      </c>
      <c r="F47" s="222">
        <f>+'4.SZ.TÁBL. ÓVODA'!R53</f>
        <v>0</v>
      </c>
      <c r="G47" s="70">
        <f>+'4.SZ.TÁBL. ÓVODA'!S53</f>
        <v>0</v>
      </c>
      <c r="H47" s="118">
        <f>+'4.SZ.TÁBL. ÓVODA'!T53</f>
        <v>0</v>
      </c>
      <c r="I47" s="58">
        <f t="shared" ref="I47:K49" si="16">+C47+F47</f>
        <v>0</v>
      </c>
      <c r="J47" s="70">
        <f t="shared" si="16"/>
        <v>0</v>
      </c>
      <c r="K47" s="118">
        <f t="shared" si="16"/>
        <v>0</v>
      </c>
      <c r="L47" s="6"/>
      <c r="M47" s="70"/>
      <c r="N47" s="118"/>
      <c r="O47" s="58">
        <f t="shared" si="5"/>
        <v>0</v>
      </c>
      <c r="P47" s="70">
        <f t="shared" si="5"/>
        <v>0</v>
      </c>
      <c r="Q47" s="118">
        <f t="shared" si="5"/>
        <v>0</v>
      </c>
    </row>
    <row r="48" spans="1:19" ht="13.5" customHeight="1">
      <c r="A48" s="200" t="s">
        <v>215</v>
      </c>
      <c r="B48" s="157" t="s">
        <v>216</v>
      </c>
      <c r="C48" s="215">
        <f>+'3.SZ.TÁBL. SEGÍTŐ SZOLGÁLAT'!AA58</f>
        <v>567</v>
      </c>
      <c r="D48" s="66">
        <f>+'3.SZ.TÁBL. SEGÍTŐ SZOLGÁLAT'!AB58</f>
        <v>220</v>
      </c>
      <c r="E48" s="28">
        <f>+'3.SZ.TÁBL. SEGÍTŐ SZOLGÁLAT'!AC58</f>
        <v>787</v>
      </c>
      <c r="F48" s="215">
        <f>+'4.SZ.TÁBL. ÓVODA'!R54</f>
        <v>95</v>
      </c>
      <c r="G48" s="15">
        <f>+'4.SZ.TÁBL. ÓVODA'!S54</f>
        <v>38</v>
      </c>
      <c r="H48" s="119">
        <f>+'4.SZ.TÁBL. ÓVODA'!T54</f>
        <v>133</v>
      </c>
      <c r="I48" s="60">
        <f t="shared" si="16"/>
        <v>662</v>
      </c>
      <c r="J48" s="66">
        <f t="shared" si="16"/>
        <v>258</v>
      </c>
      <c r="K48" s="28">
        <f t="shared" si="16"/>
        <v>920</v>
      </c>
      <c r="L48" s="7"/>
      <c r="M48" s="137"/>
      <c r="N48" s="5"/>
      <c r="O48" s="60">
        <f t="shared" si="5"/>
        <v>662</v>
      </c>
      <c r="P48" s="137">
        <f t="shared" si="5"/>
        <v>258</v>
      </c>
      <c r="Q48" s="5">
        <f t="shared" si="5"/>
        <v>920</v>
      </c>
    </row>
    <row r="49" spans="1:29" ht="13.5" customHeight="1">
      <c r="A49" s="201" t="s">
        <v>217</v>
      </c>
      <c r="B49" s="174" t="s">
        <v>218</v>
      </c>
      <c r="C49" s="231">
        <f>+'3.SZ.TÁBL. SEGÍTŐ SZOLGÁLAT'!AA59</f>
        <v>75</v>
      </c>
      <c r="D49" s="67">
        <f>+'3.SZ.TÁBL. SEGÍTŐ SZOLGÁLAT'!AB59</f>
        <v>0</v>
      </c>
      <c r="E49" s="29">
        <f>+'3.SZ.TÁBL. SEGÍTŐ SZOLGÁLAT'!AC59</f>
        <v>75</v>
      </c>
      <c r="F49" s="231">
        <f>+'4.SZ.TÁBL. ÓVODA'!R55</f>
        <v>60</v>
      </c>
      <c r="G49" s="16">
        <f>+'4.SZ.TÁBL. ÓVODA'!S55</f>
        <v>-50</v>
      </c>
      <c r="H49" s="183">
        <f>+'4.SZ.TÁBL. ÓVODA'!T55</f>
        <v>10</v>
      </c>
      <c r="I49" s="61">
        <f t="shared" si="16"/>
        <v>135</v>
      </c>
      <c r="J49" s="67">
        <f t="shared" si="16"/>
        <v>-50</v>
      </c>
      <c r="K49" s="29">
        <f t="shared" si="16"/>
        <v>85</v>
      </c>
      <c r="L49" s="167"/>
      <c r="M49" s="188"/>
      <c r="N49" s="189"/>
      <c r="O49" s="61">
        <f t="shared" si="5"/>
        <v>135</v>
      </c>
      <c r="P49" s="184">
        <f t="shared" si="5"/>
        <v>-50</v>
      </c>
      <c r="Q49" s="169">
        <f t="shared" si="5"/>
        <v>85</v>
      </c>
      <c r="R49" s="2"/>
      <c r="T49" s="2"/>
      <c r="U49" s="2"/>
      <c r="V49" s="2"/>
      <c r="W49" s="2"/>
      <c r="Y49" s="2"/>
      <c r="Z49" s="2"/>
      <c r="AA49" s="2"/>
      <c r="AB49" s="2"/>
      <c r="AC49" s="2"/>
    </row>
    <row r="50" spans="1:29" s="3" customFormat="1" ht="13.5" customHeight="1">
      <c r="A50" s="202" t="s">
        <v>173</v>
      </c>
      <c r="B50" s="175" t="s">
        <v>131</v>
      </c>
      <c r="C50" s="295">
        <f t="shared" ref="C50:K50" si="17">SUM(C47:C49)</f>
        <v>642</v>
      </c>
      <c r="D50" s="429">
        <f t="shared" si="17"/>
        <v>220</v>
      </c>
      <c r="E50" s="430">
        <f t="shared" si="17"/>
        <v>862</v>
      </c>
      <c r="F50" s="295">
        <f t="shared" si="17"/>
        <v>155</v>
      </c>
      <c r="G50" s="431">
        <f t="shared" si="17"/>
        <v>-12</v>
      </c>
      <c r="H50" s="432">
        <f t="shared" si="17"/>
        <v>143</v>
      </c>
      <c r="I50" s="295">
        <f t="shared" si="17"/>
        <v>797</v>
      </c>
      <c r="J50" s="429">
        <f t="shared" si="17"/>
        <v>208</v>
      </c>
      <c r="K50" s="430">
        <f t="shared" si="17"/>
        <v>1005</v>
      </c>
      <c r="L50" s="295">
        <f t="shared" ref="L50:M50" si="18">SUM(L47:L49)</f>
        <v>0</v>
      </c>
      <c r="M50" s="436">
        <f t="shared" si="18"/>
        <v>0</v>
      </c>
      <c r="N50" s="437">
        <f t="shared" ref="N50" si="19">SUM(N47:N49)</f>
        <v>0</v>
      </c>
      <c r="O50" s="428">
        <f>SUM(O47:O49)</f>
        <v>797</v>
      </c>
      <c r="P50" s="434">
        <f>SUM(P47:P49)</f>
        <v>208</v>
      </c>
      <c r="Q50" s="435">
        <f>SUM(Q47:Q49)</f>
        <v>1005</v>
      </c>
      <c r="R50" s="4"/>
      <c r="S50" s="4"/>
      <c r="T50" s="4"/>
      <c r="U50" s="4"/>
      <c r="V50" s="4"/>
      <c r="W50" s="4"/>
      <c r="Y50" s="4"/>
      <c r="Z50" s="4"/>
      <c r="AA50" s="4"/>
      <c r="AB50" s="4"/>
      <c r="AC50" s="4"/>
    </row>
    <row r="51" spans="1:29" s="3" customFormat="1" ht="13.5" customHeight="1">
      <c r="A51" s="202" t="s">
        <v>174</v>
      </c>
      <c r="B51" s="175" t="s">
        <v>132</v>
      </c>
      <c r="C51" s="295">
        <f t="shared" ref="C51:Q51" si="20">+C46+C50</f>
        <v>76278</v>
      </c>
      <c r="D51" s="429">
        <f t="shared" si="20"/>
        <v>5696</v>
      </c>
      <c r="E51" s="430">
        <f t="shared" si="20"/>
        <v>81974</v>
      </c>
      <c r="F51" s="295">
        <f t="shared" si="20"/>
        <v>123067</v>
      </c>
      <c r="G51" s="431">
        <f t="shared" si="20"/>
        <v>-37467</v>
      </c>
      <c r="H51" s="432">
        <f t="shared" si="20"/>
        <v>85600</v>
      </c>
      <c r="I51" s="295">
        <f t="shared" si="20"/>
        <v>199345</v>
      </c>
      <c r="J51" s="429">
        <f t="shared" si="20"/>
        <v>-31771</v>
      </c>
      <c r="K51" s="430">
        <f t="shared" si="20"/>
        <v>167574</v>
      </c>
      <c r="L51" s="295">
        <f t="shared" si="20"/>
        <v>0</v>
      </c>
      <c r="M51" s="434">
        <f t="shared" si="20"/>
        <v>0</v>
      </c>
      <c r="N51" s="435">
        <f t="shared" si="20"/>
        <v>0</v>
      </c>
      <c r="O51" s="428">
        <f t="shared" si="20"/>
        <v>199345</v>
      </c>
      <c r="P51" s="434">
        <f t="shared" si="20"/>
        <v>-31771</v>
      </c>
      <c r="Q51" s="435">
        <f t="shared" si="20"/>
        <v>167574</v>
      </c>
      <c r="R51" s="4"/>
      <c r="S51" s="4"/>
      <c r="T51" s="4"/>
      <c r="U51" s="4"/>
      <c r="V51" s="4"/>
      <c r="W51" s="4"/>
      <c r="Y51" s="4"/>
      <c r="Z51" s="4"/>
      <c r="AA51" s="4"/>
      <c r="AB51" s="4"/>
      <c r="AC51" s="4"/>
    </row>
    <row r="52" spans="1:29" s="3" customFormat="1" ht="13.5" customHeight="1">
      <c r="A52" s="202" t="s">
        <v>175</v>
      </c>
      <c r="B52" s="175" t="s">
        <v>133</v>
      </c>
      <c r="C52" s="295">
        <f t="shared" ref="C52:Q52" si="21">+SUM(C53:C57)</f>
        <v>18996</v>
      </c>
      <c r="D52" s="429">
        <f t="shared" si="21"/>
        <v>1253</v>
      </c>
      <c r="E52" s="430">
        <f t="shared" si="21"/>
        <v>20249</v>
      </c>
      <c r="F52" s="295">
        <f t="shared" si="21"/>
        <v>29352</v>
      </c>
      <c r="G52" s="431">
        <f t="shared" si="21"/>
        <v>-6872</v>
      </c>
      <c r="H52" s="432">
        <f t="shared" si="21"/>
        <v>22480</v>
      </c>
      <c r="I52" s="295">
        <f t="shared" si="21"/>
        <v>48348</v>
      </c>
      <c r="J52" s="434">
        <f t="shared" si="21"/>
        <v>-5619</v>
      </c>
      <c r="K52" s="435">
        <f t="shared" si="21"/>
        <v>42729</v>
      </c>
      <c r="L52" s="295">
        <f t="shared" si="21"/>
        <v>0</v>
      </c>
      <c r="M52" s="434">
        <f t="shared" si="21"/>
        <v>0</v>
      </c>
      <c r="N52" s="435">
        <f t="shared" si="21"/>
        <v>0</v>
      </c>
      <c r="O52" s="428">
        <f t="shared" si="21"/>
        <v>48348</v>
      </c>
      <c r="P52" s="434">
        <f t="shared" si="21"/>
        <v>-5619</v>
      </c>
      <c r="Q52" s="435">
        <f t="shared" si="21"/>
        <v>42729</v>
      </c>
      <c r="S52" s="4"/>
    </row>
    <row r="53" spans="1:29" s="294" customFormat="1" ht="13.5" customHeight="1">
      <c r="A53" s="203" t="s">
        <v>175</v>
      </c>
      <c r="B53" s="190" t="s">
        <v>277</v>
      </c>
      <c r="C53" s="313">
        <f>+'3.SZ.TÁBL. SEGÍTŐ SZOLGÁLAT'!AA63</f>
        <v>16150</v>
      </c>
      <c r="D53" s="412">
        <f>+'3.SZ.TÁBL. SEGÍTŐ SZOLGÁLAT'!AB63</f>
        <v>1253</v>
      </c>
      <c r="E53" s="413">
        <f>+'3.SZ.TÁBL. SEGÍTŐ SZOLGÁLAT'!AC63</f>
        <v>17403</v>
      </c>
      <c r="F53" s="313">
        <f>+'4.SZ.TÁBL. ÓVODA'!R59</f>
        <v>26165</v>
      </c>
      <c r="G53" s="414">
        <f>+'4.SZ.TÁBL. ÓVODA'!S59</f>
        <v>-6180</v>
      </c>
      <c r="H53" s="415">
        <f>+'4.SZ.TÁBL. ÓVODA'!T59</f>
        <v>19985</v>
      </c>
      <c r="I53" s="401">
        <f t="shared" ref="I53:K60" si="22">+C53+F53</f>
        <v>42315</v>
      </c>
      <c r="J53" s="412">
        <f t="shared" si="22"/>
        <v>-4927</v>
      </c>
      <c r="K53" s="413">
        <f t="shared" si="22"/>
        <v>37388</v>
      </c>
      <c r="L53" s="416"/>
      <c r="M53" s="417"/>
      <c r="N53" s="418"/>
      <c r="O53" s="401">
        <f t="shared" si="5"/>
        <v>42315</v>
      </c>
      <c r="P53" s="417">
        <f t="shared" si="5"/>
        <v>-4927</v>
      </c>
      <c r="Q53" s="418">
        <f t="shared" si="5"/>
        <v>37388</v>
      </c>
      <c r="S53" s="402"/>
    </row>
    <row r="54" spans="1:29" s="294" customFormat="1" ht="13.5" customHeight="1">
      <c r="A54" s="204" t="s">
        <v>175</v>
      </c>
      <c r="B54" s="159" t="s">
        <v>278</v>
      </c>
      <c r="C54" s="283">
        <f>+'3.SZ.TÁBL. SEGÍTŐ SZOLGÁLAT'!AA64</f>
        <v>1929</v>
      </c>
      <c r="D54" s="399">
        <f>+'3.SZ.TÁBL. SEGÍTŐ SZOLGÁLAT'!AB64</f>
        <v>0</v>
      </c>
      <c r="E54" s="400">
        <f>+'3.SZ.TÁBL. SEGÍTŐ SZOLGÁLAT'!AC64</f>
        <v>1929</v>
      </c>
      <c r="F54" s="283">
        <f>+'4.SZ.TÁBL. ÓVODA'!R60</f>
        <v>1929</v>
      </c>
      <c r="G54" s="419">
        <f>+'4.SZ.TÁBL. ÓVODA'!S60</f>
        <v>0</v>
      </c>
      <c r="H54" s="420">
        <f>+'4.SZ.TÁBL. ÓVODA'!T60</f>
        <v>1929</v>
      </c>
      <c r="I54" s="398">
        <f t="shared" si="22"/>
        <v>3858</v>
      </c>
      <c r="J54" s="399">
        <f t="shared" si="22"/>
        <v>0</v>
      </c>
      <c r="K54" s="400">
        <f t="shared" si="22"/>
        <v>3858</v>
      </c>
      <c r="L54" s="421"/>
      <c r="M54" s="422"/>
      <c r="N54" s="423"/>
      <c r="O54" s="398">
        <f t="shared" si="5"/>
        <v>3858</v>
      </c>
      <c r="P54" s="422">
        <f t="shared" si="5"/>
        <v>0</v>
      </c>
      <c r="Q54" s="423">
        <f t="shared" si="5"/>
        <v>3858</v>
      </c>
      <c r="S54" s="402"/>
    </row>
    <row r="55" spans="1:29" s="294" customFormat="1" ht="13.5" customHeight="1">
      <c r="A55" s="204" t="s">
        <v>175</v>
      </c>
      <c r="B55" s="159" t="s">
        <v>279</v>
      </c>
      <c r="C55" s="283">
        <f>+'3.SZ.TÁBL. SEGÍTŐ SZOLGÁLAT'!AA65</f>
        <v>588</v>
      </c>
      <c r="D55" s="399">
        <f>+'3.SZ.TÁBL. SEGÍTŐ SZOLGÁLAT'!AB65</f>
        <v>0</v>
      </c>
      <c r="E55" s="400">
        <f>+'3.SZ.TÁBL. SEGÍTŐ SZOLGÁLAT'!AC65</f>
        <v>588</v>
      </c>
      <c r="F55" s="283">
        <f>+'4.SZ.TÁBL. ÓVODA'!R61</f>
        <v>798</v>
      </c>
      <c r="G55" s="419">
        <f>+'4.SZ.TÁBL. ÓVODA'!S61</f>
        <v>-537</v>
      </c>
      <c r="H55" s="420">
        <f>+'4.SZ.TÁBL. ÓVODA'!T61</f>
        <v>261</v>
      </c>
      <c r="I55" s="398">
        <f t="shared" si="22"/>
        <v>1386</v>
      </c>
      <c r="J55" s="399">
        <f t="shared" si="22"/>
        <v>-537</v>
      </c>
      <c r="K55" s="400">
        <f t="shared" si="22"/>
        <v>849</v>
      </c>
      <c r="L55" s="421"/>
      <c r="M55" s="422"/>
      <c r="N55" s="423"/>
      <c r="O55" s="398">
        <f t="shared" si="5"/>
        <v>1386</v>
      </c>
      <c r="P55" s="422">
        <f t="shared" si="5"/>
        <v>-537</v>
      </c>
      <c r="Q55" s="423">
        <f t="shared" si="5"/>
        <v>849</v>
      </c>
      <c r="S55" s="402"/>
    </row>
    <row r="56" spans="1:29" s="294" customFormat="1" ht="13.5" customHeight="1">
      <c r="A56" s="204" t="s">
        <v>175</v>
      </c>
      <c r="B56" s="159" t="s">
        <v>401</v>
      </c>
      <c r="C56" s="283">
        <f>+'3.SZ.TÁBL. SEGÍTŐ SZOLGÁLAT'!AA66</f>
        <v>0</v>
      </c>
      <c r="D56" s="399">
        <f>+'3.SZ.TÁBL. SEGÍTŐ SZOLGÁLAT'!AB66</f>
        <v>0</v>
      </c>
      <c r="E56" s="400">
        <f>+'3.SZ.TÁBL. SEGÍTŐ SZOLGÁLAT'!AC66</f>
        <v>0</v>
      </c>
      <c r="F56" s="283">
        <f>+'4.SZ.TÁBL. ÓVODA'!R62</f>
        <v>15</v>
      </c>
      <c r="G56" s="419">
        <f>+'4.SZ.TÁBL. ÓVODA'!S62</f>
        <v>10</v>
      </c>
      <c r="H56" s="420">
        <f>+'4.SZ.TÁBL. ÓVODA'!T62</f>
        <v>25</v>
      </c>
      <c r="I56" s="398">
        <f t="shared" si="22"/>
        <v>15</v>
      </c>
      <c r="J56" s="399">
        <f t="shared" si="22"/>
        <v>10</v>
      </c>
      <c r="K56" s="400">
        <f t="shared" si="22"/>
        <v>25</v>
      </c>
      <c r="L56" s="421"/>
      <c r="M56" s="422"/>
      <c r="N56" s="423"/>
      <c r="O56" s="398">
        <f t="shared" si="5"/>
        <v>15</v>
      </c>
      <c r="P56" s="422">
        <f t="shared" si="5"/>
        <v>10</v>
      </c>
      <c r="Q56" s="423">
        <f t="shared" si="5"/>
        <v>25</v>
      </c>
      <c r="S56" s="402"/>
    </row>
    <row r="57" spans="1:29" s="294" customFormat="1" ht="13.5" customHeight="1">
      <c r="A57" s="204" t="s">
        <v>175</v>
      </c>
      <c r="B57" s="159" t="s">
        <v>280</v>
      </c>
      <c r="C57" s="283">
        <f>+'3.SZ.TÁBL. SEGÍTŐ SZOLGÁLAT'!AA67</f>
        <v>329</v>
      </c>
      <c r="D57" s="399">
        <f>+'3.SZ.TÁBL. SEGÍTŐ SZOLGÁLAT'!AB67</f>
        <v>0</v>
      </c>
      <c r="E57" s="400">
        <f>+'3.SZ.TÁBL. SEGÍTŐ SZOLGÁLAT'!AC67</f>
        <v>329</v>
      </c>
      <c r="F57" s="283">
        <f>+'4.SZ.TÁBL. ÓVODA'!R63</f>
        <v>445</v>
      </c>
      <c r="G57" s="419">
        <f>+'4.SZ.TÁBL. ÓVODA'!S63</f>
        <v>-165</v>
      </c>
      <c r="H57" s="420">
        <f>+'4.SZ.TÁBL. ÓVODA'!T63</f>
        <v>280</v>
      </c>
      <c r="I57" s="398">
        <f t="shared" si="22"/>
        <v>774</v>
      </c>
      <c r="J57" s="399">
        <f t="shared" si="22"/>
        <v>-165</v>
      </c>
      <c r="K57" s="400">
        <f t="shared" si="22"/>
        <v>609</v>
      </c>
      <c r="L57" s="421"/>
      <c r="M57" s="422"/>
      <c r="N57" s="423"/>
      <c r="O57" s="398">
        <f t="shared" si="5"/>
        <v>774</v>
      </c>
      <c r="P57" s="422">
        <f t="shared" si="5"/>
        <v>-165</v>
      </c>
      <c r="Q57" s="423">
        <f t="shared" si="5"/>
        <v>609</v>
      </c>
      <c r="S57" s="402"/>
    </row>
    <row r="58" spans="1:29" ht="13.5" customHeight="1">
      <c r="A58" s="200" t="s">
        <v>219</v>
      </c>
      <c r="B58" s="157" t="s">
        <v>220</v>
      </c>
      <c r="C58" s="222">
        <f>+'3.SZ.TÁBL. SEGÍTŐ SZOLGÁLAT'!AA68</f>
        <v>92</v>
      </c>
      <c r="D58" s="66">
        <f>+'3.SZ.TÁBL. SEGÍTŐ SZOLGÁLAT'!AB68</f>
        <v>26</v>
      </c>
      <c r="E58" s="28">
        <f>+'3.SZ.TÁBL. SEGÍTŐ SZOLGÁLAT'!AC68</f>
        <v>118</v>
      </c>
      <c r="F58" s="222">
        <f>+'4.SZ.TÁBL. ÓVODA'!R64</f>
        <v>783</v>
      </c>
      <c r="G58" s="15">
        <f>+'4.SZ.TÁBL. ÓVODA'!S64</f>
        <v>-395</v>
      </c>
      <c r="H58" s="119">
        <f>+'4.SZ.TÁBL. ÓVODA'!T64</f>
        <v>388</v>
      </c>
      <c r="I58" s="58">
        <f t="shared" si="22"/>
        <v>875</v>
      </c>
      <c r="J58" s="66">
        <f t="shared" si="22"/>
        <v>-369</v>
      </c>
      <c r="K58" s="28">
        <f t="shared" si="22"/>
        <v>506</v>
      </c>
      <c r="L58" s="7"/>
      <c r="M58" s="137"/>
      <c r="N58" s="5"/>
      <c r="O58" s="60">
        <f t="shared" si="5"/>
        <v>875</v>
      </c>
      <c r="P58" s="137">
        <f t="shared" si="5"/>
        <v>-369</v>
      </c>
      <c r="Q58" s="5">
        <f t="shared" si="5"/>
        <v>506</v>
      </c>
    </row>
    <row r="59" spans="1:29" ht="13.5" customHeight="1">
      <c r="A59" s="200" t="s">
        <v>221</v>
      </c>
      <c r="B59" s="157" t="s">
        <v>222</v>
      </c>
      <c r="C59" s="215">
        <f>+'3.SZ.TÁBL. SEGÍTŐ SZOLGÁLAT'!AA69</f>
        <v>3520</v>
      </c>
      <c r="D59" s="66">
        <f>+'3.SZ.TÁBL. SEGÍTŐ SZOLGÁLAT'!AB69</f>
        <v>-139</v>
      </c>
      <c r="E59" s="28">
        <f>+'3.SZ.TÁBL. SEGÍTŐ SZOLGÁLAT'!AC69</f>
        <v>3381</v>
      </c>
      <c r="F59" s="215">
        <f>+'4.SZ.TÁBL. ÓVODA'!R65</f>
        <v>945</v>
      </c>
      <c r="G59" s="15">
        <f>+'4.SZ.TÁBL. ÓVODA'!S65</f>
        <v>-298</v>
      </c>
      <c r="H59" s="119">
        <f>+'4.SZ.TÁBL. ÓVODA'!T65</f>
        <v>647</v>
      </c>
      <c r="I59" s="60">
        <f t="shared" si="22"/>
        <v>4465</v>
      </c>
      <c r="J59" s="66">
        <f t="shared" si="22"/>
        <v>-437</v>
      </c>
      <c r="K59" s="28">
        <f t="shared" si="22"/>
        <v>4028</v>
      </c>
      <c r="L59" s="7"/>
      <c r="M59" s="137"/>
      <c r="N59" s="5">
        <f>SUM(L59:M59)</f>
        <v>0</v>
      </c>
      <c r="O59" s="60">
        <f t="shared" si="5"/>
        <v>4465</v>
      </c>
      <c r="P59" s="137">
        <f t="shared" si="5"/>
        <v>-437</v>
      </c>
      <c r="Q59" s="5">
        <f t="shared" si="5"/>
        <v>4028</v>
      </c>
    </row>
    <row r="60" spans="1:29" ht="13.5" customHeight="1">
      <c r="A60" s="201" t="s">
        <v>223</v>
      </c>
      <c r="B60" s="174" t="s">
        <v>224</v>
      </c>
      <c r="C60" s="231">
        <f>+'3.SZ.TÁBL. SEGÍTŐ SZOLGÁLAT'!AA70</f>
        <v>0</v>
      </c>
      <c r="D60" s="67">
        <f>+'3.SZ.TÁBL. SEGÍTŐ SZOLGÁLAT'!AB70</f>
        <v>0</v>
      </c>
      <c r="E60" s="29">
        <f>+'3.SZ.TÁBL. SEGÍTŐ SZOLGÁLAT'!AC70</f>
        <v>0</v>
      </c>
      <c r="F60" s="231">
        <f>+'4.SZ.TÁBL. ÓVODA'!R66</f>
        <v>0</v>
      </c>
      <c r="G60" s="16">
        <f>+'4.SZ.TÁBL. ÓVODA'!S66</f>
        <v>0</v>
      </c>
      <c r="H60" s="183">
        <f>+'4.SZ.TÁBL. ÓVODA'!T66</f>
        <v>0</v>
      </c>
      <c r="I60" s="61">
        <f t="shared" si="22"/>
        <v>0</v>
      </c>
      <c r="J60" s="184">
        <f t="shared" si="22"/>
        <v>0</v>
      </c>
      <c r="K60" s="169">
        <f t="shared" si="22"/>
        <v>0</v>
      </c>
      <c r="L60" s="167"/>
      <c r="M60" s="184"/>
      <c r="N60" s="169"/>
      <c r="O60" s="61">
        <f t="shared" si="5"/>
        <v>0</v>
      </c>
      <c r="P60" s="184">
        <f t="shared" si="5"/>
        <v>0</v>
      </c>
      <c r="Q60" s="169">
        <f t="shared" si="5"/>
        <v>0</v>
      </c>
    </row>
    <row r="61" spans="1:29" s="3" customFormat="1" ht="13.5" customHeight="1">
      <c r="A61" s="202" t="s">
        <v>176</v>
      </c>
      <c r="B61" s="175" t="s">
        <v>134</v>
      </c>
      <c r="C61" s="295">
        <f t="shared" ref="C61:N61" si="23">SUM(C58:C60)</f>
        <v>3612</v>
      </c>
      <c r="D61" s="436">
        <f t="shared" si="23"/>
        <v>-113</v>
      </c>
      <c r="E61" s="437">
        <f t="shared" si="23"/>
        <v>3499</v>
      </c>
      <c r="F61" s="295">
        <f t="shared" si="23"/>
        <v>1728</v>
      </c>
      <c r="G61" s="434">
        <f t="shared" si="23"/>
        <v>-693</v>
      </c>
      <c r="H61" s="435">
        <f t="shared" si="23"/>
        <v>1035</v>
      </c>
      <c r="I61" s="295">
        <f t="shared" si="23"/>
        <v>5340</v>
      </c>
      <c r="J61" s="436">
        <f t="shared" si="23"/>
        <v>-806</v>
      </c>
      <c r="K61" s="437">
        <f t="shared" si="23"/>
        <v>4534</v>
      </c>
      <c r="L61" s="295">
        <f t="shared" si="23"/>
        <v>0</v>
      </c>
      <c r="M61" s="434">
        <f t="shared" si="23"/>
        <v>0</v>
      </c>
      <c r="N61" s="435">
        <f t="shared" si="23"/>
        <v>0</v>
      </c>
      <c r="O61" s="428">
        <f>+SUM(O58:O60)</f>
        <v>5340</v>
      </c>
      <c r="P61" s="434">
        <f>+SUM(P58:P60)</f>
        <v>-806</v>
      </c>
      <c r="Q61" s="435">
        <f>+SUM(Q58:Q60)</f>
        <v>4534</v>
      </c>
      <c r="S61" s="4"/>
    </row>
    <row r="62" spans="1:29" ht="13.5" customHeight="1">
      <c r="A62" s="199" t="s">
        <v>225</v>
      </c>
      <c r="B62" s="173" t="s">
        <v>226</v>
      </c>
      <c r="C62" s="222">
        <f>+'3.SZ.TÁBL. SEGÍTŐ SZOLGÁLAT'!AA72</f>
        <v>357</v>
      </c>
      <c r="D62" s="191">
        <f>+'3.SZ.TÁBL. SEGÍTŐ SZOLGÁLAT'!AB72</f>
        <v>61</v>
      </c>
      <c r="E62" s="192">
        <f>+'3.SZ.TÁBL. SEGÍTŐ SZOLGÁLAT'!AC72</f>
        <v>418</v>
      </c>
      <c r="F62" s="222">
        <f>+'4.SZ.TÁBL. ÓVODA'!R68</f>
        <v>246</v>
      </c>
      <c r="G62" s="68">
        <f>+'4.SZ.TÁBL. ÓVODA'!S68</f>
        <v>-4</v>
      </c>
      <c r="H62" s="69">
        <f>+'4.SZ.TÁBL. ÓVODA'!T68</f>
        <v>242</v>
      </c>
      <c r="I62" s="58">
        <f t="shared" ref="I62:K63" si="24">+C62+F62</f>
        <v>603</v>
      </c>
      <c r="J62" s="191">
        <f t="shared" si="24"/>
        <v>57</v>
      </c>
      <c r="K62" s="192">
        <f t="shared" si="24"/>
        <v>660</v>
      </c>
      <c r="L62" s="6"/>
      <c r="M62" s="68"/>
      <c r="N62" s="69"/>
      <c r="O62" s="58">
        <f t="shared" si="5"/>
        <v>603</v>
      </c>
      <c r="P62" s="68">
        <f t="shared" si="5"/>
        <v>57</v>
      </c>
      <c r="Q62" s="69">
        <f t="shared" si="5"/>
        <v>660</v>
      </c>
    </row>
    <row r="63" spans="1:29" ht="13.5" customHeight="1">
      <c r="A63" s="201" t="s">
        <v>227</v>
      </c>
      <c r="B63" s="174" t="s">
        <v>228</v>
      </c>
      <c r="C63" s="231">
        <f>+'3.SZ.TÁBL. SEGÍTŐ SZOLGÁLAT'!AA73</f>
        <v>751</v>
      </c>
      <c r="D63" s="188">
        <f>+'3.SZ.TÁBL. SEGÍTŐ SZOLGÁLAT'!AB73</f>
        <v>-89</v>
      </c>
      <c r="E63" s="189">
        <f>+'3.SZ.TÁBL. SEGÍTŐ SZOLGÁLAT'!AC73</f>
        <v>662</v>
      </c>
      <c r="F63" s="231">
        <f>+'4.SZ.TÁBL. ÓVODA'!R69</f>
        <v>469</v>
      </c>
      <c r="G63" s="184">
        <f>+'4.SZ.TÁBL. ÓVODA'!S69</f>
        <v>-246</v>
      </c>
      <c r="H63" s="169">
        <f>+'4.SZ.TÁBL. ÓVODA'!T69</f>
        <v>223</v>
      </c>
      <c r="I63" s="61">
        <f t="shared" si="24"/>
        <v>1220</v>
      </c>
      <c r="J63" s="188">
        <f t="shared" si="24"/>
        <v>-335</v>
      </c>
      <c r="K63" s="189">
        <f t="shared" si="24"/>
        <v>885</v>
      </c>
      <c r="L63" s="167"/>
      <c r="M63" s="184"/>
      <c r="N63" s="169"/>
      <c r="O63" s="61">
        <f t="shared" si="5"/>
        <v>1220</v>
      </c>
      <c r="P63" s="184">
        <f t="shared" si="5"/>
        <v>-335</v>
      </c>
      <c r="Q63" s="169">
        <f t="shared" si="5"/>
        <v>885</v>
      </c>
    </row>
    <row r="64" spans="1:29" s="3" customFormat="1" ht="13.5" customHeight="1">
      <c r="A64" s="202" t="s">
        <v>177</v>
      </c>
      <c r="B64" s="175" t="s">
        <v>135</v>
      </c>
      <c r="C64" s="295">
        <f t="shared" ref="C64:N64" si="25">SUM(C62:C63)</f>
        <v>1108</v>
      </c>
      <c r="D64" s="436">
        <f t="shared" si="25"/>
        <v>-28</v>
      </c>
      <c r="E64" s="437">
        <f t="shared" si="25"/>
        <v>1080</v>
      </c>
      <c r="F64" s="295">
        <f t="shared" si="25"/>
        <v>715</v>
      </c>
      <c r="G64" s="434">
        <f t="shared" si="25"/>
        <v>-250</v>
      </c>
      <c r="H64" s="435">
        <f t="shared" si="25"/>
        <v>465</v>
      </c>
      <c r="I64" s="295">
        <f t="shared" si="25"/>
        <v>1823</v>
      </c>
      <c r="J64" s="436">
        <f t="shared" si="25"/>
        <v>-278</v>
      </c>
      <c r="K64" s="437">
        <f t="shared" si="25"/>
        <v>1545</v>
      </c>
      <c r="L64" s="295">
        <f t="shared" si="25"/>
        <v>0</v>
      </c>
      <c r="M64" s="434">
        <f t="shared" si="25"/>
        <v>0</v>
      </c>
      <c r="N64" s="435">
        <f t="shared" si="25"/>
        <v>0</v>
      </c>
      <c r="O64" s="428">
        <f>+SUM(O62:O63)</f>
        <v>1823</v>
      </c>
      <c r="P64" s="434">
        <f>+SUM(P62:P63)</f>
        <v>-278</v>
      </c>
      <c r="Q64" s="435">
        <f>+SUM(Q62:Q63)</f>
        <v>1545</v>
      </c>
      <c r="S64" s="4"/>
    </row>
    <row r="65" spans="1:19" ht="13.5" customHeight="1">
      <c r="A65" s="199" t="s">
        <v>229</v>
      </c>
      <c r="B65" s="173" t="s">
        <v>230</v>
      </c>
      <c r="C65" s="222">
        <f>+'3.SZ.TÁBL. SEGÍTŐ SZOLGÁLAT'!AA75</f>
        <v>2505</v>
      </c>
      <c r="D65" s="191">
        <f>+'3.SZ.TÁBL. SEGÍTŐ SZOLGÁLAT'!AB75</f>
        <v>0</v>
      </c>
      <c r="E65" s="192">
        <f>+'3.SZ.TÁBL. SEGÍTŐ SZOLGÁLAT'!AC75</f>
        <v>2505</v>
      </c>
      <c r="F65" s="222">
        <f>+'4.SZ.TÁBL. ÓVODA'!R71</f>
        <v>3165</v>
      </c>
      <c r="G65" s="68">
        <f>+'4.SZ.TÁBL. ÓVODA'!S71</f>
        <v>-1061</v>
      </c>
      <c r="H65" s="69">
        <f>+'4.SZ.TÁBL. ÓVODA'!T71</f>
        <v>2104</v>
      </c>
      <c r="I65" s="58">
        <f t="shared" ref="I65:K73" si="26">+C65+F65</f>
        <v>5670</v>
      </c>
      <c r="J65" s="191">
        <f t="shared" si="26"/>
        <v>-1061</v>
      </c>
      <c r="K65" s="192">
        <f t="shared" si="26"/>
        <v>4609</v>
      </c>
      <c r="L65" s="6"/>
      <c r="M65" s="68"/>
      <c r="N65" s="69"/>
      <c r="O65" s="58">
        <f t="shared" si="5"/>
        <v>5670</v>
      </c>
      <c r="P65" s="68">
        <f t="shared" si="5"/>
        <v>-1061</v>
      </c>
      <c r="Q65" s="69">
        <f t="shared" si="5"/>
        <v>4609</v>
      </c>
    </row>
    <row r="66" spans="1:19" ht="13.5" customHeight="1">
      <c r="A66" s="200" t="s">
        <v>231</v>
      </c>
      <c r="B66" s="157" t="s">
        <v>3</v>
      </c>
      <c r="C66" s="215">
        <f>+'3.SZ.TÁBL. SEGÍTŐ SZOLGÁLAT'!AA76</f>
        <v>1560</v>
      </c>
      <c r="D66" s="158">
        <f>+'3.SZ.TÁBL. SEGÍTŐ SZOLGÁLAT'!AB76</f>
        <v>41</v>
      </c>
      <c r="E66" s="182">
        <f>+'3.SZ.TÁBL. SEGÍTŐ SZOLGÁLAT'!AC76</f>
        <v>1601</v>
      </c>
      <c r="F66" s="215">
        <f>+'4.SZ.TÁBL. ÓVODA'!R72</f>
        <v>3083</v>
      </c>
      <c r="G66" s="137">
        <f>+'4.SZ.TÁBL. ÓVODA'!S72</f>
        <v>-1248</v>
      </c>
      <c r="H66" s="5">
        <f>+'4.SZ.TÁBL. ÓVODA'!T72</f>
        <v>1835</v>
      </c>
      <c r="I66" s="60">
        <f t="shared" si="26"/>
        <v>4643</v>
      </c>
      <c r="J66" s="158">
        <f t="shared" si="26"/>
        <v>-1207</v>
      </c>
      <c r="K66" s="182">
        <f t="shared" si="26"/>
        <v>3436</v>
      </c>
      <c r="L66" s="7"/>
      <c r="M66" s="137"/>
      <c r="N66" s="5"/>
      <c r="O66" s="60">
        <f t="shared" si="5"/>
        <v>4643</v>
      </c>
      <c r="P66" s="137">
        <f t="shared" si="5"/>
        <v>-1207</v>
      </c>
      <c r="Q66" s="5">
        <f t="shared" si="5"/>
        <v>3436</v>
      </c>
    </row>
    <row r="67" spans="1:19" ht="13.5" customHeight="1">
      <c r="A67" s="200" t="s">
        <v>232</v>
      </c>
      <c r="B67" s="157" t="s">
        <v>233</v>
      </c>
      <c r="C67" s="215">
        <f>+'3.SZ.TÁBL. SEGÍTŐ SZOLGÁLAT'!AA77</f>
        <v>0</v>
      </c>
      <c r="D67" s="158">
        <f>+'3.SZ.TÁBL. SEGÍTŐ SZOLGÁLAT'!AB77</f>
        <v>0</v>
      </c>
      <c r="E67" s="182">
        <f>+'3.SZ.TÁBL. SEGÍTŐ SZOLGÁLAT'!AC77</f>
        <v>0</v>
      </c>
      <c r="F67" s="215">
        <f>+'4.SZ.TÁBL. ÓVODA'!R73</f>
        <v>0</v>
      </c>
      <c r="G67" s="137">
        <f>+'4.SZ.TÁBL. ÓVODA'!S73</f>
        <v>0</v>
      </c>
      <c r="H67" s="5">
        <f>+'4.SZ.TÁBL. ÓVODA'!T73</f>
        <v>0</v>
      </c>
      <c r="I67" s="60">
        <f t="shared" si="26"/>
        <v>0</v>
      </c>
      <c r="J67" s="158">
        <f t="shared" si="26"/>
        <v>0</v>
      </c>
      <c r="K67" s="182">
        <f t="shared" si="26"/>
        <v>0</v>
      </c>
      <c r="L67" s="7"/>
      <c r="M67" s="137"/>
      <c r="N67" s="5"/>
      <c r="O67" s="60">
        <f t="shared" si="5"/>
        <v>0</v>
      </c>
      <c r="P67" s="137">
        <f t="shared" si="5"/>
        <v>0</v>
      </c>
      <c r="Q67" s="5">
        <f t="shared" si="5"/>
        <v>0</v>
      </c>
    </row>
    <row r="68" spans="1:19" ht="13.5" customHeight="1">
      <c r="A68" s="200" t="s">
        <v>234</v>
      </c>
      <c r="B68" s="157" t="s">
        <v>235</v>
      </c>
      <c r="C68" s="215">
        <f>+'3.SZ.TÁBL. SEGÍTŐ SZOLGÁLAT'!AA78</f>
        <v>2060</v>
      </c>
      <c r="D68" s="158">
        <f>+'3.SZ.TÁBL. SEGÍTŐ SZOLGÁLAT'!AB78</f>
        <v>0</v>
      </c>
      <c r="E68" s="182">
        <f>+'3.SZ.TÁBL. SEGÍTŐ SZOLGÁLAT'!AC78</f>
        <v>2060</v>
      </c>
      <c r="F68" s="215">
        <f>+'4.SZ.TÁBL. ÓVODA'!R74</f>
        <v>1100</v>
      </c>
      <c r="G68" s="137">
        <f>+'4.SZ.TÁBL. ÓVODA'!S74</f>
        <v>-994</v>
      </c>
      <c r="H68" s="5">
        <f>+'4.SZ.TÁBL. ÓVODA'!T74</f>
        <v>106</v>
      </c>
      <c r="I68" s="60">
        <f t="shared" si="26"/>
        <v>3160</v>
      </c>
      <c r="J68" s="158">
        <f t="shared" si="26"/>
        <v>-994</v>
      </c>
      <c r="K68" s="182">
        <f t="shared" si="26"/>
        <v>2166</v>
      </c>
      <c r="L68" s="7"/>
      <c r="M68" s="137"/>
      <c r="N68" s="5"/>
      <c r="O68" s="60">
        <f t="shared" si="5"/>
        <v>3160</v>
      </c>
      <c r="P68" s="137">
        <f t="shared" si="5"/>
        <v>-994</v>
      </c>
      <c r="Q68" s="5">
        <f t="shared" si="5"/>
        <v>2166</v>
      </c>
    </row>
    <row r="69" spans="1:19" ht="13.5" customHeight="1">
      <c r="A69" s="200" t="s">
        <v>236</v>
      </c>
      <c r="B69" s="157" t="s">
        <v>237</v>
      </c>
      <c r="C69" s="215">
        <f>+'3.SZ.TÁBL. SEGÍTŐ SZOLGÁLAT'!AA79</f>
        <v>0</v>
      </c>
      <c r="D69" s="158">
        <f>+'3.SZ.TÁBL. SEGÍTŐ SZOLGÁLAT'!AB79</f>
        <v>0</v>
      </c>
      <c r="E69" s="182">
        <f>+'3.SZ.TÁBL. SEGÍTŐ SZOLGÁLAT'!AC79</f>
        <v>0</v>
      </c>
      <c r="F69" s="215">
        <f>+'4.SZ.TÁBL. ÓVODA'!R75</f>
        <v>0</v>
      </c>
      <c r="G69" s="137">
        <f>+'4.SZ.TÁBL. ÓVODA'!S75</f>
        <v>0</v>
      </c>
      <c r="H69" s="5">
        <f>+'4.SZ.TÁBL. ÓVODA'!T75</f>
        <v>0</v>
      </c>
      <c r="I69" s="60">
        <f t="shared" si="26"/>
        <v>0</v>
      </c>
      <c r="J69" s="158">
        <f t="shared" si="26"/>
        <v>0</v>
      </c>
      <c r="K69" s="182">
        <f t="shared" si="26"/>
        <v>0</v>
      </c>
      <c r="L69" s="7"/>
      <c r="M69" s="137"/>
      <c r="N69" s="5"/>
      <c r="O69" s="60">
        <f t="shared" si="5"/>
        <v>0</v>
      </c>
      <c r="P69" s="137">
        <f t="shared" si="5"/>
        <v>0</v>
      </c>
      <c r="Q69" s="5">
        <f t="shared" si="5"/>
        <v>0</v>
      </c>
    </row>
    <row r="70" spans="1:19" s="294" customFormat="1" ht="13.5" customHeight="1">
      <c r="A70" s="204" t="s">
        <v>236</v>
      </c>
      <c r="B70" s="159" t="s">
        <v>281</v>
      </c>
      <c r="C70" s="283">
        <f>+'3.SZ.TÁBL. SEGÍTŐ SZOLGÁLAT'!AA80</f>
        <v>0</v>
      </c>
      <c r="D70" s="424">
        <f>+'3.SZ.TÁBL. SEGÍTŐ SZOLGÁLAT'!AB80</f>
        <v>0</v>
      </c>
      <c r="E70" s="425">
        <f>+'3.SZ.TÁBL. SEGÍTŐ SZOLGÁLAT'!AC80</f>
        <v>0</v>
      </c>
      <c r="F70" s="283">
        <f>+'4.SZ.TÁBL. ÓVODA'!R76</f>
        <v>0</v>
      </c>
      <c r="G70" s="422">
        <f>+'4.SZ.TÁBL. ÓVODA'!S76</f>
        <v>0</v>
      </c>
      <c r="H70" s="423">
        <f>+'4.SZ.TÁBL. ÓVODA'!T76</f>
        <v>0</v>
      </c>
      <c r="I70" s="398">
        <f t="shared" si="26"/>
        <v>0</v>
      </c>
      <c r="J70" s="424">
        <f t="shared" si="26"/>
        <v>0</v>
      </c>
      <c r="K70" s="425">
        <f t="shared" si="26"/>
        <v>0</v>
      </c>
      <c r="L70" s="421"/>
      <c r="M70" s="422"/>
      <c r="N70" s="423"/>
      <c r="O70" s="398">
        <f t="shared" si="5"/>
        <v>0</v>
      </c>
      <c r="P70" s="422">
        <f t="shared" si="5"/>
        <v>0</v>
      </c>
      <c r="Q70" s="423">
        <f t="shared" si="5"/>
        <v>0</v>
      </c>
      <c r="S70" s="402"/>
    </row>
    <row r="71" spans="1:19" s="294" customFormat="1" ht="13.5" customHeight="1">
      <c r="A71" s="204" t="s">
        <v>236</v>
      </c>
      <c r="B71" s="159" t="s">
        <v>282</v>
      </c>
      <c r="C71" s="283">
        <f>+'3.SZ.TÁBL. SEGÍTŐ SZOLGÁLAT'!AA81</f>
        <v>0</v>
      </c>
      <c r="D71" s="424">
        <f>+'3.SZ.TÁBL. SEGÍTŐ SZOLGÁLAT'!AB81</f>
        <v>0</v>
      </c>
      <c r="E71" s="425">
        <f>+'3.SZ.TÁBL. SEGÍTŐ SZOLGÁLAT'!AC81</f>
        <v>0</v>
      </c>
      <c r="F71" s="283">
        <f>+'4.SZ.TÁBL. ÓVODA'!R77</f>
        <v>0</v>
      </c>
      <c r="G71" s="422">
        <f>+'4.SZ.TÁBL. ÓVODA'!S77</f>
        <v>0</v>
      </c>
      <c r="H71" s="423">
        <f>+'4.SZ.TÁBL. ÓVODA'!T77</f>
        <v>0</v>
      </c>
      <c r="I71" s="398">
        <f t="shared" si="26"/>
        <v>0</v>
      </c>
      <c r="J71" s="424">
        <f t="shared" si="26"/>
        <v>0</v>
      </c>
      <c r="K71" s="425">
        <f t="shared" si="26"/>
        <v>0</v>
      </c>
      <c r="L71" s="421"/>
      <c r="M71" s="422"/>
      <c r="N71" s="423"/>
      <c r="O71" s="398">
        <f t="shared" si="5"/>
        <v>0</v>
      </c>
      <c r="P71" s="422">
        <f t="shared" si="5"/>
        <v>0</v>
      </c>
      <c r="Q71" s="423">
        <f t="shared" si="5"/>
        <v>0</v>
      </c>
      <c r="S71" s="402"/>
    </row>
    <row r="72" spans="1:19" ht="13.5" customHeight="1">
      <c r="A72" s="200" t="s">
        <v>238</v>
      </c>
      <c r="B72" s="157" t="s">
        <v>239</v>
      </c>
      <c r="C72" s="215">
        <f>+'3.SZ.TÁBL. SEGÍTŐ SZOLGÁLAT'!AA82</f>
        <v>2069</v>
      </c>
      <c r="D72" s="158">
        <f>+'3.SZ.TÁBL. SEGÍTŐ SZOLGÁLAT'!AB82</f>
        <v>0</v>
      </c>
      <c r="E72" s="182">
        <f>+'3.SZ.TÁBL. SEGÍTŐ SZOLGÁLAT'!AC82</f>
        <v>2069</v>
      </c>
      <c r="F72" s="215">
        <f>+'4.SZ.TÁBL. ÓVODA'!R78</f>
        <v>4325</v>
      </c>
      <c r="G72" s="137">
        <f>+'4.SZ.TÁBL. ÓVODA'!S78</f>
        <v>-2897</v>
      </c>
      <c r="H72" s="5">
        <f>+'4.SZ.TÁBL. ÓVODA'!T78</f>
        <v>1428</v>
      </c>
      <c r="I72" s="60">
        <f t="shared" si="26"/>
        <v>6394</v>
      </c>
      <c r="J72" s="158">
        <f t="shared" si="26"/>
        <v>-2897</v>
      </c>
      <c r="K72" s="182">
        <f t="shared" si="26"/>
        <v>3497</v>
      </c>
      <c r="L72" s="7">
        <f>+'[3]1.1.SZ.TÁBL. BEV - KIAD'!$N$72</f>
        <v>42376</v>
      </c>
      <c r="M72" s="137">
        <f>+[4]Társulás!$I$38+[4]Társulás!$I$64</f>
        <v>-6960</v>
      </c>
      <c r="N72" s="5">
        <f>SUM(L72:M72)</f>
        <v>35416</v>
      </c>
      <c r="O72" s="60">
        <f t="shared" si="5"/>
        <v>48770</v>
      </c>
      <c r="P72" s="137">
        <f t="shared" si="5"/>
        <v>-9857</v>
      </c>
      <c r="Q72" s="5">
        <f t="shared" si="5"/>
        <v>38913</v>
      </c>
    </row>
    <row r="73" spans="1:19" ht="29.25" customHeight="1">
      <c r="A73" s="201" t="s">
        <v>240</v>
      </c>
      <c r="B73" s="174" t="s">
        <v>405</v>
      </c>
      <c r="C73" s="231">
        <f>+'3.SZ.TÁBL. SEGÍTŐ SZOLGÁLAT'!AA83</f>
        <v>4346</v>
      </c>
      <c r="D73" s="188">
        <f>+'3.SZ.TÁBL. SEGÍTŐ SZOLGÁLAT'!AB83</f>
        <v>132</v>
      </c>
      <c r="E73" s="189">
        <f>+'3.SZ.TÁBL. SEGÍTŐ SZOLGÁLAT'!AC83</f>
        <v>4478</v>
      </c>
      <c r="F73" s="231">
        <f>+'4.SZ.TÁBL. ÓVODA'!R79</f>
        <v>1818</v>
      </c>
      <c r="G73" s="184">
        <f>+'4.SZ.TÁBL. ÓVODA'!S79</f>
        <v>-1037</v>
      </c>
      <c r="H73" s="169">
        <f>+'4.SZ.TÁBL. ÓVODA'!T79</f>
        <v>781</v>
      </c>
      <c r="I73" s="61">
        <f t="shared" si="26"/>
        <v>6164</v>
      </c>
      <c r="J73" s="188">
        <f t="shared" si="26"/>
        <v>-905</v>
      </c>
      <c r="K73" s="189">
        <f t="shared" si="26"/>
        <v>5259</v>
      </c>
      <c r="L73" s="167">
        <f>+'[3]1.1.SZ.TÁBL. BEV - KIAD'!$N$73</f>
        <v>523</v>
      </c>
      <c r="M73" s="184">
        <f>+[4]Társulás!$I$10+[4]Társulás!$I$20</f>
        <v>148</v>
      </c>
      <c r="N73" s="169">
        <f>SUM(L73:M73)</f>
        <v>671</v>
      </c>
      <c r="O73" s="61">
        <f t="shared" si="5"/>
        <v>6687</v>
      </c>
      <c r="P73" s="184">
        <f t="shared" si="5"/>
        <v>-757</v>
      </c>
      <c r="Q73" s="169">
        <f t="shared" si="5"/>
        <v>5930</v>
      </c>
    </row>
    <row r="74" spans="1:19" s="3" customFormat="1" ht="13.5" customHeight="1">
      <c r="A74" s="202" t="s">
        <v>178</v>
      </c>
      <c r="B74" s="175" t="s">
        <v>136</v>
      </c>
      <c r="C74" s="295">
        <f>+SUM(C65:C69,C72:C73)</f>
        <v>12540</v>
      </c>
      <c r="D74" s="436">
        <f>+SUM(D65:D69,D72:D73)</f>
        <v>173</v>
      </c>
      <c r="E74" s="437">
        <f t="shared" ref="E74" si="27">+SUM(E65:E69,E72:E73)</f>
        <v>12713</v>
      </c>
      <c r="F74" s="295">
        <f>+SUM(F65:F69,F72:F73)</f>
        <v>13491</v>
      </c>
      <c r="G74" s="436">
        <f>+SUM(G65:G69,G72:G73)</f>
        <v>-7237</v>
      </c>
      <c r="H74" s="437">
        <f t="shared" ref="H74" si="28">+SUM(H65:H69,H72:H73)</f>
        <v>6254</v>
      </c>
      <c r="I74" s="295">
        <f>+SUM(I65:I69,I72:I73)</f>
        <v>26031</v>
      </c>
      <c r="J74" s="436">
        <f>+SUM(J65:J69,J72:J73)</f>
        <v>-7064</v>
      </c>
      <c r="K74" s="437">
        <f t="shared" ref="K74" si="29">+SUM(K65:K69,K72:K73)</f>
        <v>18967</v>
      </c>
      <c r="L74" s="295">
        <f>+SUM(L65:L69,L72:L73)</f>
        <v>42899</v>
      </c>
      <c r="M74" s="436">
        <f>+SUM(M65:M69,M72:M73)</f>
        <v>-6812</v>
      </c>
      <c r="N74" s="437">
        <f t="shared" ref="N74" si="30">+SUM(N65:N69,N72:N73)</f>
        <v>36087</v>
      </c>
      <c r="O74" s="295">
        <f>+SUM(O65:O69,O72:O73)</f>
        <v>68930</v>
      </c>
      <c r="P74" s="436">
        <f>+SUM(P65:P69,P72:P73)</f>
        <v>-13876</v>
      </c>
      <c r="Q74" s="437">
        <f t="shared" ref="Q74" si="31">+SUM(Q65:Q69,Q72:Q73)</f>
        <v>55054</v>
      </c>
      <c r="S74" s="4"/>
    </row>
    <row r="75" spans="1:19" ht="13.5" customHeight="1">
      <c r="A75" s="199" t="s">
        <v>242</v>
      </c>
      <c r="B75" s="173" t="s">
        <v>243</v>
      </c>
      <c r="C75" s="222">
        <f>+'3.SZ.TÁBL. SEGÍTŐ SZOLGÁLAT'!AA85</f>
        <v>588</v>
      </c>
      <c r="D75" s="191">
        <f>+'3.SZ.TÁBL. SEGÍTŐ SZOLGÁLAT'!AB85</f>
        <v>63</v>
      </c>
      <c r="E75" s="192">
        <f>+'3.SZ.TÁBL. SEGÍTŐ SZOLGÁLAT'!AC85</f>
        <v>651</v>
      </c>
      <c r="F75" s="222">
        <f>+'4.SZ.TÁBL. ÓVODA'!R81</f>
        <v>179</v>
      </c>
      <c r="G75" s="68">
        <f>+'4.SZ.TÁBL. ÓVODA'!S81</f>
        <v>-99</v>
      </c>
      <c r="H75" s="69">
        <f>+'4.SZ.TÁBL. ÓVODA'!T81</f>
        <v>80</v>
      </c>
      <c r="I75" s="58">
        <f t="shared" ref="I75:K76" si="32">+C75+F75</f>
        <v>767</v>
      </c>
      <c r="J75" s="191">
        <f t="shared" si="32"/>
        <v>-36</v>
      </c>
      <c r="K75" s="192">
        <f t="shared" si="32"/>
        <v>731</v>
      </c>
      <c r="L75" s="6"/>
      <c r="M75" s="68"/>
      <c r="N75" s="69"/>
      <c r="O75" s="58">
        <f t="shared" si="5"/>
        <v>767</v>
      </c>
      <c r="P75" s="68">
        <f t="shared" si="5"/>
        <v>-36</v>
      </c>
      <c r="Q75" s="69">
        <f t="shared" si="5"/>
        <v>731</v>
      </c>
    </row>
    <row r="76" spans="1:19" ht="13.5" customHeight="1">
      <c r="A76" s="201" t="s">
        <v>244</v>
      </c>
      <c r="B76" s="174" t="s">
        <v>245</v>
      </c>
      <c r="C76" s="231">
        <f>+'3.SZ.TÁBL. SEGÍTŐ SZOLGÁLAT'!AA86</f>
        <v>0</v>
      </c>
      <c r="D76" s="188">
        <f>+'3.SZ.TÁBL. SEGÍTŐ SZOLGÁLAT'!AB86</f>
        <v>0</v>
      </c>
      <c r="E76" s="189">
        <f>+'3.SZ.TÁBL. SEGÍTŐ SZOLGÁLAT'!AC86</f>
        <v>0</v>
      </c>
      <c r="F76" s="231">
        <f>+'4.SZ.TÁBL. ÓVODA'!R82</f>
        <v>0</v>
      </c>
      <c r="G76" s="184">
        <f>+'4.SZ.TÁBL. ÓVODA'!S82</f>
        <v>0</v>
      </c>
      <c r="H76" s="169">
        <f>+'4.SZ.TÁBL. ÓVODA'!T82</f>
        <v>0</v>
      </c>
      <c r="I76" s="61">
        <f t="shared" si="32"/>
        <v>0</v>
      </c>
      <c r="J76" s="188">
        <f t="shared" si="32"/>
        <v>0</v>
      </c>
      <c r="K76" s="189">
        <f t="shared" si="32"/>
        <v>0</v>
      </c>
      <c r="L76" s="167"/>
      <c r="M76" s="184"/>
      <c r="N76" s="169"/>
      <c r="O76" s="61">
        <f t="shared" ref="O76:Q108" si="33">+I76+L76</f>
        <v>0</v>
      </c>
      <c r="P76" s="184">
        <f t="shared" si="33"/>
        <v>0</v>
      </c>
      <c r="Q76" s="169">
        <f t="shared" si="33"/>
        <v>0</v>
      </c>
    </row>
    <row r="77" spans="1:19" s="3" customFormat="1" ht="13.5" customHeight="1">
      <c r="A77" s="202" t="s">
        <v>179</v>
      </c>
      <c r="B77" s="175" t="s">
        <v>137</v>
      </c>
      <c r="C77" s="295">
        <f t="shared" ref="C77:Q77" si="34">+SUM(C75:C76)</f>
        <v>588</v>
      </c>
      <c r="D77" s="436">
        <f t="shared" si="34"/>
        <v>63</v>
      </c>
      <c r="E77" s="437">
        <f t="shared" si="34"/>
        <v>651</v>
      </c>
      <c r="F77" s="295">
        <f t="shared" si="34"/>
        <v>179</v>
      </c>
      <c r="G77" s="434">
        <f t="shared" si="34"/>
        <v>-99</v>
      </c>
      <c r="H77" s="435">
        <f t="shared" si="34"/>
        <v>80</v>
      </c>
      <c r="I77" s="295">
        <f t="shared" si="34"/>
        <v>767</v>
      </c>
      <c r="J77" s="436">
        <f t="shared" si="34"/>
        <v>-36</v>
      </c>
      <c r="K77" s="437">
        <f t="shared" si="34"/>
        <v>731</v>
      </c>
      <c r="L77" s="295">
        <f t="shared" si="34"/>
        <v>0</v>
      </c>
      <c r="M77" s="434">
        <f t="shared" si="34"/>
        <v>0</v>
      </c>
      <c r="N77" s="435">
        <f t="shared" si="34"/>
        <v>0</v>
      </c>
      <c r="O77" s="428">
        <f t="shared" si="34"/>
        <v>767</v>
      </c>
      <c r="P77" s="434">
        <f t="shared" si="34"/>
        <v>-36</v>
      </c>
      <c r="Q77" s="435">
        <f t="shared" si="34"/>
        <v>731</v>
      </c>
      <c r="S77" s="4"/>
    </row>
    <row r="78" spans="1:19" ht="13.5" customHeight="1">
      <c r="A78" s="199" t="s">
        <v>246</v>
      </c>
      <c r="B78" s="173" t="s">
        <v>247</v>
      </c>
      <c r="C78" s="222">
        <f>+'3.SZ.TÁBL. SEGÍTŐ SZOLGÁLAT'!AA88</f>
        <v>4430</v>
      </c>
      <c r="D78" s="191">
        <f>+'3.SZ.TÁBL. SEGÍTŐ SZOLGÁLAT'!AB88</f>
        <v>-9</v>
      </c>
      <c r="E78" s="192">
        <f>+'3.SZ.TÁBL. SEGÍTŐ SZOLGÁLAT'!AC88</f>
        <v>4421</v>
      </c>
      <c r="F78" s="222">
        <f>+'4.SZ.TÁBL. ÓVODA'!R84</f>
        <v>4072</v>
      </c>
      <c r="G78" s="68">
        <f>+'4.SZ.TÁBL. ÓVODA'!S84</f>
        <v>-2625</v>
      </c>
      <c r="H78" s="69">
        <f>+'4.SZ.TÁBL. ÓVODA'!T84</f>
        <v>1447</v>
      </c>
      <c r="I78" s="58">
        <f t="shared" ref="I78:K82" si="35">+C78+F78</f>
        <v>8502</v>
      </c>
      <c r="J78" s="191">
        <f t="shared" si="35"/>
        <v>-2634</v>
      </c>
      <c r="K78" s="192">
        <f t="shared" si="35"/>
        <v>5868</v>
      </c>
      <c r="L78" s="6">
        <f>+'[3]1.1.SZ.TÁBL. BEV - KIAD'!$N$78</f>
        <v>782</v>
      </c>
      <c r="M78" s="68">
        <f>+[4]Társulás!$J$22</f>
        <v>39</v>
      </c>
      <c r="N78" s="69">
        <f>SUM(L78:M78)</f>
        <v>821</v>
      </c>
      <c r="O78" s="58">
        <f t="shared" si="33"/>
        <v>9284</v>
      </c>
      <c r="P78" s="68">
        <f t="shared" si="33"/>
        <v>-2595</v>
      </c>
      <c r="Q78" s="69">
        <f t="shared" si="33"/>
        <v>6689</v>
      </c>
    </row>
    <row r="79" spans="1:19" ht="13.5" customHeight="1">
      <c r="A79" s="200" t="s">
        <v>248</v>
      </c>
      <c r="B79" s="157" t="s">
        <v>249</v>
      </c>
      <c r="C79" s="215">
        <f>+'3.SZ.TÁBL. SEGÍTŐ SZOLGÁLAT'!AA89</f>
        <v>0</v>
      </c>
      <c r="D79" s="158">
        <f>+'3.SZ.TÁBL. SEGÍTŐ SZOLGÁLAT'!AB89</f>
        <v>0</v>
      </c>
      <c r="E79" s="182">
        <f>+'3.SZ.TÁBL. SEGÍTŐ SZOLGÁLAT'!AC89</f>
        <v>0</v>
      </c>
      <c r="F79" s="215">
        <f>+'4.SZ.TÁBL. ÓVODA'!R85</f>
        <v>0</v>
      </c>
      <c r="G79" s="137">
        <f>+'4.SZ.TÁBL. ÓVODA'!S85</f>
        <v>0</v>
      </c>
      <c r="H79" s="5">
        <f>+'4.SZ.TÁBL. ÓVODA'!T85</f>
        <v>0</v>
      </c>
      <c r="I79" s="60">
        <f t="shared" si="35"/>
        <v>0</v>
      </c>
      <c r="J79" s="158">
        <f t="shared" si="35"/>
        <v>0</v>
      </c>
      <c r="K79" s="182">
        <f t="shared" si="35"/>
        <v>0</v>
      </c>
      <c r="L79" s="7"/>
      <c r="M79" s="137"/>
      <c r="N79" s="5"/>
      <c r="O79" s="60">
        <f t="shared" si="33"/>
        <v>0</v>
      </c>
      <c r="P79" s="137">
        <f t="shared" si="33"/>
        <v>0</v>
      </c>
      <c r="Q79" s="5">
        <f t="shared" si="33"/>
        <v>0</v>
      </c>
    </row>
    <row r="80" spans="1:19" ht="13.5" customHeight="1">
      <c r="A80" s="200" t="s">
        <v>250</v>
      </c>
      <c r="B80" s="157" t="s">
        <v>251</v>
      </c>
      <c r="C80" s="215">
        <f>+'3.SZ.TÁBL. SEGÍTŐ SZOLGÁLAT'!AA90</f>
        <v>0</v>
      </c>
      <c r="D80" s="158">
        <f>+'3.SZ.TÁBL. SEGÍTŐ SZOLGÁLAT'!AB90</f>
        <v>0</v>
      </c>
      <c r="E80" s="182">
        <f>+'3.SZ.TÁBL. SEGÍTŐ SZOLGÁLAT'!AC90</f>
        <v>0</v>
      </c>
      <c r="F80" s="215">
        <f>+'4.SZ.TÁBL. ÓVODA'!R86</f>
        <v>0</v>
      </c>
      <c r="G80" s="137">
        <f>+'4.SZ.TÁBL. ÓVODA'!S86</f>
        <v>0</v>
      </c>
      <c r="H80" s="5">
        <f>+'4.SZ.TÁBL. ÓVODA'!T86</f>
        <v>0</v>
      </c>
      <c r="I80" s="60">
        <f t="shared" si="35"/>
        <v>0</v>
      </c>
      <c r="J80" s="158">
        <f t="shared" si="35"/>
        <v>0</v>
      </c>
      <c r="K80" s="182">
        <f t="shared" si="35"/>
        <v>0</v>
      </c>
      <c r="L80" s="7"/>
      <c r="M80" s="137"/>
      <c r="N80" s="5"/>
      <c r="O80" s="60">
        <f t="shared" si="33"/>
        <v>0</v>
      </c>
      <c r="P80" s="137">
        <f t="shared" si="33"/>
        <v>0</v>
      </c>
      <c r="Q80" s="5">
        <f t="shared" si="33"/>
        <v>0</v>
      </c>
    </row>
    <row r="81" spans="1:19" ht="13.5" customHeight="1">
      <c r="A81" s="200" t="s">
        <v>252</v>
      </c>
      <c r="B81" s="157" t="s">
        <v>253</v>
      </c>
      <c r="C81" s="215">
        <f>+'3.SZ.TÁBL. SEGÍTŐ SZOLGÁLAT'!AA91</f>
        <v>0</v>
      </c>
      <c r="D81" s="158">
        <f>+'3.SZ.TÁBL. SEGÍTŐ SZOLGÁLAT'!AB91</f>
        <v>0</v>
      </c>
      <c r="E81" s="182">
        <f>+'3.SZ.TÁBL. SEGÍTŐ SZOLGÁLAT'!AC91</f>
        <v>0</v>
      </c>
      <c r="F81" s="215">
        <f>+'4.SZ.TÁBL. ÓVODA'!R87</f>
        <v>0</v>
      </c>
      <c r="G81" s="137">
        <f>+'4.SZ.TÁBL. ÓVODA'!S87</f>
        <v>0</v>
      </c>
      <c r="H81" s="5">
        <f>+'4.SZ.TÁBL. ÓVODA'!T87</f>
        <v>0</v>
      </c>
      <c r="I81" s="60">
        <f t="shared" si="35"/>
        <v>0</v>
      </c>
      <c r="J81" s="158">
        <f t="shared" si="35"/>
        <v>0</v>
      </c>
      <c r="K81" s="182">
        <f t="shared" si="35"/>
        <v>0</v>
      </c>
      <c r="L81" s="7"/>
      <c r="M81" s="137"/>
      <c r="N81" s="5"/>
      <c r="O81" s="60">
        <f t="shared" si="33"/>
        <v>0</v>
      </c>
      <c r="P81" s="137">
        <f t="shared" si="33"/>
        <v>0</v>
      </c>
      <c r="Q81" s="5">
        <f t="shared" si="33"/>
        <v>0</v>
      </c>
    </row>
    <row r="82" spans="1:19" ht="13.5" customHeight="1">
      <c r="A82" s="201" t="s">
        <v>254</v>
      </c>
      <c r="B82" s="174" t="s">
        <v>377</v>
      </c>
      <c r="C82" s="231">
        <f>+'3.SZ.TÁBL. SEGÍTŐ SZOLGÁLAT'!AA92</f>
        <v>380</v>
      </c>
      <c r="D82" s="188">
        <f>+'3.SZ.TÁBL. SEGÍTŐ SZOLGÁLAT'!AB92</f>
        <v>-100</v>
      </c>
      <c r="E82" s="189">
        <f>+'3.SZ.TÁBL. SEGÍTŐ SZOLGÁLAT'!AC92</f>
        <v>280</v>
      </c>
      <c r="F82" s="231">
        <f>+'4.SZ.TÁBL. ÓVODA'!R88</f>
        <v>0</v>
      </c>
      <c r="G82" s="184">
        <f>+'4.SZ.TÁBL. ÓVODA'!S88</f>
        <v>-1</v>
      </c>
      <c r="H82" s="169">
        <f>+'4.SZ.TÁBL. ÓVODA'!T88</f>
        <v>-1</v>
      </c>
      <c r="I82" s="61">
        <f t="shared" si="35"/>
        <v>380</v>
      </c>
      <c r="J82" s="188">
        <f t="shared" si="35"/>
        <v>-101</v>
      </c>
      <c r="K82" s="189">
        <f t="shared" si="35"/>
        <v>279</v>
      </c>
      <c r="L82" s="167">
        <f>+'[3]1.1.SZ.TÁBL. BEV - KIAD'!$N$82</f>
        <v>1398</v>
      </c>
      <c r="M82" s="184">
        <f>+[4]Társulás!$K$12+[4]Társulás!$K$25+[4]Társulás!$K$27</f>
        <v>133</v>
      </c>
      <c r="N82" s="169">
        <f>SUM(L82:M82)</f>
        <v>1531</v>
      </c>
      <c r="O82" s="61">
        <f t="shared" si="33"/>
        <v>1778</v>
      </c>
      <c r="P82" s="184">
        <f t="shared" si="33"/>
        <v>32</v>
      </c>
      <c r="Q82" s="169">
        <f t="shared" si="33"/>
        <v>1810</v>
      </c>
    </row>
    <row r="83" spans="1:19" s="3" customFormat="1" ht="13.5" customHeight="1">
      <c r="A83" s="202" t="s">
        <v>180</v>
      </c>
      <c r="B83" s="175" t="s">
        <v>138</v>
      </c>
      <c r="C83" s="295">
        <f t="shared" ref="C83:N83" si="36">SUM(C78:C82)</f>
        <v>4810</v>
      </c>
      <c r="D83" s="436">
        <f t="shared" si="36"/>
        <v>-109</v>
      </c>
      <c r="E83" s="437">
        <f t="shared" si="36"/>
        <v>4701</v>
      </c>
      <c r="F83" s="295">
        <f t="shared" si="36"/>
        <v>4072</v>
      </c>
      <c r="G83" s="434">
        <f t="shared" si="36"/>
        <v>-2626</v>
      </c>
      <c r="H83" s="435">
        <f t="shared" si="36"/>
        <v>1446</v>
      </c>
      <c r="I83" s="295">
        <f t="shared" si="36"/>
        <v>8882</v>
      </c>
      <c r="J83" s="436">
        <f t="shared" si="36"/>
        <v>-2735</v>
      </c>
      <c r="K83" s="437">
        <f t="shared" si="36"/>
        <v>6147</v>
      </c>
      <c r="L83" s="295">
        <f t="shared" si="36"/>
        <v>2180</v>
      </c>
      <c r="M83" s="434">
        <f t="shared" si="36"/>
        <v>172</v>
      </c>
      <c r="N83" s="435">
        <f t="shared" si="36"/>
        <v>2352</v>
      </c>
      <c r="O83" s="428">
        <f>+SUM(O78:O82)</f>
        <v>11062</v>
      </c>
      <c r="P83" s="434">
        <f>+SUM(P78:P82)</f>
        <v>-2563</v>
      </c>
      <c r="Q83" s="435">
        <f>+SUM(Q78:Q82)</f>
        <v>8499</v>
      </c>
      <c r="S83" s="4"/>
    </row>
    <row r="84" spans="1:19" s="3" customFormat="1" ht="13.5" customHeight="1">
      <c r="A84" s="202" t="s">
        <v>181</v>
      </c>
      <c r="B84" s="175" t="s">
        <v>139</v>
      </c>
      <c r="C84" s="295">
        <f t="shared" ref="C84:Q84" si="37">+C61+C64+C74+C77+C83</f>
        <v>22658</v>
      </c>
      <c r="D84" s="436">
        <f t="shared" si="37"/>
        <v>-14</v>
      </c>
      <c r="E84" s="437">
        <f t="shared" si="37"/>
        <v>22644</v>
      </c>
      <c r="F84" s="295">
        <f t="shared" si="37"/>
        <v>20185</v>
      </c>
      <c r="G84" s="434">
        <f t="shared" si="37"/>
        <v>-10905</v>
      </c>
      <c r="H84" s="435">
        <f t="shared" si="37"/>
        <v>9280</v>
      </c>
      <c r="I84" s="295">
        <f t="shared" si="37"/>
        <v>42843</v>
      </c>
      <c r="J84" s="436">
        <f t="shared" si="37"/>
        <v>-10919</v>
      </c>
      <c r="K84" s="437">
        <f t="shared" si="37"/>
        <v>31924</v>
      </c>
      <c r="L84" s="295">
        <f t="shared" si="37"/>
        <v>45079</v>
      </c>
      <c r="M84" s="434">
        <f t="shared" si="37"/>
        <v>-6640</v>
      </c>
      <c r="N84" s="435">
        <f t="shared" si="37"/>
        <v>38439</v>
      </c>
      <c r="O84" s="428">
        <f t="shared" si="37"/>
        <v>87922</v>
      </c>
      <c r="P84" s="434">
        <f t="shared" si="37"/>
        <v>-17559</v>
      </c>
      <c r="Q84" s="435">
        <f t="shared" si="37"/>
        <v>70363</v>
      </c>
      <c r="S84" s="4"/>
    </row>
    <row r="85" spans="1:19" ht="13.5" customHeight="1">
      <c r="A85" s="830" t="s">
        <v>450</v>
      </c>
      <c r="B85" s="831" t="s">
        <v>451</v>
      </c>
      <c r="C85" s="272"/>
      <c r="D85" s="832"/>
      <c r="E85" s="833"/>
      <c r="F85" s="272"/>
      <c r="G85" s="834"/>
      <c r="H85" s="835"/>
      <c r="I85" s="272">
        <f>+C85+F85</f>
        <v>0</v>
      </c>
      <c r="J85" s="832">
        <f>+D85+G85</f>
        <v>0</v>
      </c>
      <c r="K85" s="833">
        <f>+E85+H85</f>
        <v>0</v>
      </c>
      <c r="L85" s="836"/>
      <c r="M85" s="834">
        <f>+[4]Társulás!$O$56</f>
        <v>3291</v>
      </c>
      <c r="N85" s="837">
        <f>+L85+M85</f>
        <v>3291</v>
      </c>
      <c r="O85" s="838">
        <f>+I85+L85</f>
        <v>0</v>
      </c>
      <c r="P85" s="834">
        <f t="shared" ref="P85" si="38">+J85+M85</f>
        <v>3291</v>
      </c>
      <c r="Q85" s="835">
        <f t="shared" ref="Q85" si="39">+K85+N85</f>
        <v>3291</v>
      </c>
    </row>
    <row r="86" spans="1:19" ht="13.5" customHeight="1">
      <c r="A86" s="199" t="s">
        <v>304</v>
      </c>
      <c r="B86" s="193" t="s">
        <v>305</v>
      </c>
      <c r="C86" s="222">
        <f>+'3.SZ.TÁBL. SEGÍTŐ SZOLGÁLAT'!AA95</f>
        <v>0</v>
      </c>
      <c r="D86" s="191">
        <f>+'3.SZ.TÁBL. SEGÍTŐ SZOLGÁLAT'!AB95</f>
        <v>0</v>
      </c>
      <c r="E86" s="192">
        <f>+'3.SZ.TÁBL. SEGÍTŐ SZOLGÁLAT'!AC95</f>
        <v>0</v>
      </c>
      <c r="F86" s="222">
        <f>+'4.SZ.TÁBL. ÓVODA'!R91</f>
        <v>2942</v>
      </c>
      <c r="G86" s="68">
        <f>+'4.SZ.TÁBL. ÓVODA'!S91</f>
        <v>-886</v>
      </c>
      <c r="H86" s="69">
        <f>+'4.SZ.TÁBL. ÓVODA'!T91</f>
        <v>2056</v>
      </c>
      <c r="I86" s="58">
        <f t="shared" ref="I86:K93" si="40">+C86+F86</f>
        <v>2942</v>
      </c>
      <c r="J86" s="191">
        <f t="shared" si="40"/>
        <v>-886</v>
      </c>
      <c r="K86" s="192">
        <f>+E86+H86</f>
        <v>2056</v>
      </c>
      <c r="L86" s="640">
        <f>+SUM(L87:L88)</f>
        <v>15981</v>
      </c>
      <c r="M86" s="68">
        <f>SUM(M87:M88)</f>
        <v>362</v>
      </c>
      <c r="N86" s="641">
        <f>SUM(N87:N88)</f>
        <v>16343</v>
      </c>
      <c r="O86" s="58">
        <f>SUM(O87:O88)</f>
        <v>18923</v>
      </c>
      <c r="P86" s="68">
        <f>SUM(P87:P88)</f>
        <v>-524</v>
      </c>
      <c r="Q86" s="69">
        <f>SUM(Q87:Q88)</f>
        <v>18399</v>
      </c>
    </row>
    <row r="87" spans="1:19" s="294" customFormat="1">
      <c r="A87" s="205" t="s">
        <v>304</v>
      </c>
      <c r="B87" s="194" t="s">
        <v>378</v>
      </c>
      <c r="C87" s="222">
        <f>+'3.SZ.TÁBL. SEGÍTŐ SZOLGÁLAT'!AA96</f>
        <v>0</v>
      </c>
      <c r="D87" s="191">
        <f>+'3.SZ.TÁBL. SEGÍTŐ SZOLGÁLAT'!AB96</f>
        <v>0</v>
      </c>
      <c r="E87" s="192">
        <f>+'3.SZ.TÁBL. SEGÍTŐ SZOLGÁLAT'!AC96</f>
        <v>0</v>
      </c>
      <c r="F87" s="296">
        <f>+'4.SZ.TÁBL. ÓVODA'!R92</f>
        <v>2942</v>
      </c>
      <c r="G87" s="410">
        <f>+'4.SZ.TÁBL. ÓVODA'!S92</f>
        <v>-886</v>
      </c>
      <c r="H87" s="411">
        <f>+'4.SZ.TÁBL. ÓVODA'!T92</f>
        <v>2056</v>
      </c>
      <c r="I87" s="403">
        <f t="shared" ref="I87" si="41">+C87+F87</f>
        <v>2942</v>
      </c>
      <c r="J87" s="426">
        <f t="shared" ref="J87" si="42">+D87+G87</f>
        <v>-886</v>
      </c>
      <c r="K87" s="427">
        <f t="shared" ref="K87" si="43">+E87+H87</f>
        <v>2056</v>
      </c>
      <c r="L87" s="167">
        <f>+'[3]1.1.SZ.TÁBL. BEV - KIAD'!$N$86</f>
        <v>6926</v>
      </c>
      <c r="M87" s="410">
        <f>+[4]Társulás!$K$4</f>
        <v>362</v>
      </c>
      <c r="N87" s="411">
        <f>SUM(L87:M87)</f>
        <v>7288</v>
      </c>
      <c r="O87" s="403">
        <f>+I87+L87</f>
        <v>9868</v>
      </c>
      <c r="P87" s="410">
        <f t="shared" ref="P87" si="44">+J87+M87</f>
        <v>-524</v>
      </c>
      <c r="Q87" s="411">
        <f t="shared" ref="Q87" si="45">+K87+N87</f>
        <v>9344</v>
      </c>
      <c r="S87" s="402"/>
    </row>
    <row r="88" spans="1:19" s="294" customFormat="1">
      <c r="A88" s="205" t="s">
        <v>304</v>
      </c>
      <c r="B88" s="194" t="s">
        <v>432</v>
      </c>
      <c r="C88" s="296"/>
      <c r="D88" s="426"/>
      <c r="E88" s="427"/>
      <c r="F88" s="296"/>
      <c r="G88" s="410"/>
      <c r="H88" s="411"/>
      <c r="I88" s="403"/>
      <c r="J88" s="426"/>
      <c r="K88" s="427"/>
      <c r="L88" s="167">
        <f>+'[3]1.1.SZ.TÁBL. BEV - KIAD'!$N$87</f>
        <v>9055</v>
      </c>
      <c r="M88" s="410"/>
      <c r="N88" s="411">
        <f>SUM(L88:M88)</f>
        <v>9055</v>
      </c>
      <c r="O88" s="403">
        <f>+I88+L88</f>
        <v>9055</v>
      </c>
      <c r="P88" s="410">
        <f t="shared" ref="P88" si="46">+J88+M88</f>
        <v>0</v>
      </c>
      <c r="Q88" s="411">
        <f t="shared" ref="Q88" si="47">+K88+N88</f>
        <v>9055</v>
      </c>
      <c r="S88" s="402"/>
    </row>
    <row r="89" spans="1:19" ht="13.5" customHeight="1">
      <c r="A89" s="483" t="s">
        <v>392</v>
      </c>
      <c r="B89" s="484" t="s">
        <v>307</v>
      </c>
      <c r="C89" s="215">
        <f t="shared" ref="C89:H89" si="48">+SUM(C90:C93)</f>
        <v>0</v>
      </c>
      <c r="D89" s="158">
        <f t="shared" si="48"/>
        <v>0</v>
      </c>
      <c r="E89" s="182">
        <f t="shared" si="48"/>
        <v>0</v>
      </c>
      <c r="F89" s="215">
        <f t="shared" si="48"/>
        <v>0</v>
      </c>
      <c r="G89" s="137">
        <f t="shared" si="48"/>
        <v>0</v>
      </c>
      <c r="H89" s="5">
        <f t="shared" si="48"/>
        <v>0</v>
      </c>
      <c r="I89" s="60">
        <f t="shared" si="40"/>
        <v>0</v>
      </c>
      <c r="J89" s="158">
        <f t="shared" si="40"/>
        <v>0</v>
      </c>
      <c r="K89" s="182">
        <f t="shared" si="40"/>
        <v>0</v>
      </c>
      <c r="L89" s="215">
        <f t="shared" ref="L89:Q89" si="49">+SUM(L90:L93)</f>
        <v>6735</v>
      </c>
      <c r="M89" s="137">
        <f t="shared" si="49"/>
        <v>-3749</v>
      </c>
      <c r="N89" s="5">
        <f t="shared" si="49"/>
        <v>2986</v>
      </c>
      <c r="O89" s="215">
        <f t="shared" si="49"/>
        <v>6735</v>
      </c>
      <c r="P89" s="137">
        <f>+SUM(P90:P93)</f>
        <v>-3749</v>
      </c>
      <c r="Q89" s="5">
        <f t="shared" si="49"/>
        <v>2986</v>
      </c>
    </row>
    <row r="90" spans="1:19" s="294" customFormat="1" ht="13.5" customHeight="1">
      <c r="A90" s="485"/>
      <c r="B90" s="486" t="s">
        <v>348</v>
      </c>
      <c r="C90" s="283"/>
      <c r="D90" s="424"/>
      <c r="E90" s="425"/>
      <c r="F90" s="283">
        <f>+'4.SZ.TÁBL. ÓVODA'!R94</f>
        <v>0</v>
      </c>
      <c r="G90" s="422">
        <f>+'4.SZ.TÁBL. ÓVODA'!S94</f>
        <v>0</v>
      </c>
      <c r="H90" s="423">
        <f>+'4.SZ.TÁBL. ÓVODA'!T94</f>
        <v>0</v>
      </c>
      <c r="I90" s="403">
        <f t="shared" si="40"/>
        <v>0</v>
      </c>
      <c r="J90" s="424">
        <f t="shared" si="40"/>
        <v>0</v>
      </c>
      <c r="K90" s="425">
        <f t="shared" si="40"/>
        <v>0</v>
      </c>
      <c r="L90" s="421">
        <v>0</v>
      </c>
      <c r="M90" s="422"/>
      <c r="N90" s="423">
        <f>SUM(L90:M90)</f>
        <v>0</v>
      </c>
      <c r="O90" s="403">
        <f t="shared" si="33"/>
        <v>0</v>
      </c>
      <c r="P90" s="422">
        <f t="shared" si="33"/>
        <v>0</v>
      </c>
      <c r="Q90" s="423">
        <f t="shared" si="33"/>
        <v>0</v>
      </c>
      <c r="S90" s="402"/>
    </row>
    <row r="91" spans="1:19" s="294" customFormat="1" ht="13.5" customHeight="1">
      <c r="A91" s="485"/>
      <c r="B91" s="486" t="s">
        <v>349</v>
      </c>
      <c r="C91" s="283"/>
      <c r="D91" s="424"/>
      <c r="E91" s="425"/>
      <c r="F91" s="283">
        <f>+'4.SZ.TÁBL. ÓVODA'!R95</f>
        <v>0</v>
      </c>
      <c r="G91" s="422">
        <f>+'4.SZ.TÁBL. ÓVODA'!S95</f>
        <v>0</v>
      </c>
      <c r="H91" s="423">
        <f>+'4.SZ.TÁBL. ÓVODA'!T95</f>
        <v>0</v>
      </c>
      <c r="I91" s="403">
        <f t="shared" si="40"/>
        <v>0</v>
      </c>
      <c r="J91" s="424">
        <f t="shared" si="40"/>
        <v>0</v>
      </c>
      <c r="K91" s="425">
        <f t="shared" si="40"/>
        <v>0</v>
      </c>
      <c r="L91" s="421"/>
      <c r="M91" s="422"/>
      <c r="N91" s="423">
        <f>SUM(L91:M91)</f>
        <v>0</v>
      </c>
      <c r="O91" s="403">
        <f t="shared" si="33"/>
        <v>0</v>
      </c>
      <c r="P91" s="422">
        <f t="shared" si="33"/>
        <v>0</v>
      </c>
      <c r="Q91" s="423">
        <f t="shared" si="33"/>
        <v>0</v>
      </c>
      <c r="S91" s="402"/>
    </row>
    <row r="92" spans="1:19" s="294" customFormat="1" ht="13.5" customHeight="1">
      <c r="A92" s="485"/>
      <c r="B92" s="486" t="s">
        <v>350</v>
      </c>
      <c r="C92" s="283"/>
      <c r="D92" s="424"/>
      <c r="E92" s="425"/>
      <c r="F92" s="283"/>
      <c r="G92" s="422"/>
      <c r="H92" s="423"/>
      <c r="I92" s="403">
        <f t="shared" si="40"/>
        <v>0</v>
      </c>
      <c r="J92" s="424">
        <f t="shared" si="40"/>
        <v>0</v>
      </c>
      <c r="K92" s="425">
        <f t="shared" si="40"/>
        <v>0</v>
      </c>
      <c r="L92" s="421">
        <f>+'[3]1.1.SZ.TÁBL. BEV - KIAD'!$N$91</f>
        <v>1977</v>
      </c>
      <c r="M92" s="422"/>
      <c r="N92" s="423">
        <f>SUM(L92:M92)</f>
        <v>1977</v>
      </c>
      <c r="O92" s="403">
        <f t="shared" si="33"/>
        <v>1977</v>
      </c>
      <c r="P92" s="422">
        <f t="shared" si="33"/>
        <v>0</v>
      </c>
      <c r="Q92" s="423">
        <f t="shared" si="33"/>
        <v>1977</v>
      </c>
      <c r="S92" s="402"/>
    </row>
    <row r="93" spans="1:19" s="294" customFormat="1" ht="13.5" customHeight="1">
      <c r="A93" s="487"/>
      <c r="B93" s="488" t="s">
        <v>351</v>
      </c>
      <c r="C93" s="290"/>
      <c r="D93" s="489"/>
      <c r="E93" s="490"/>
      <c r="F93" s="290"/>
      <c r="G93" s="448"/>
      <c r="H93" s="450"/>
      <c r="I93" s="403">
        <f t="shared" si="40"/>
        <v>0</v>
      </c>
      <c r="J93" s="489">
        <f t="shared" si="40"/>
        <v>0</v>
      </c>
      <c r="K93" s="490">
        <f t="shared" si="40"/>
        <v>0</v>
      </c>
      <c r="L93" s="449">
        <f>+'[3]1.1.SZ.TÁBL. BEV - KIAD'!$N$92</f>
        <v>4758</v>
      </c>
      <c r="M93" s="448">
        <f>+[4]Társulás!$R$5+[4]Társulás!$R$11+[4]Társulás!$R$13+[4]Társulás!$R$21+[4]Társulás!$R$26+[4]Társulás!$R$28+[4]Társulás!$R$57</f>
        <v>-3749</v>
      </c>
      <c r="N93" s="450">
        <f>SUM(L93:M93)</f>
        <v>1009</v>
      </c>
      <c r="O93" s="403">
        <f t="shared" si="33"/>
        <v>4758</v>
      </c>
      <c r="P93" s="448">
        <f t="shared" si="33"/>
        <v>-3749</v>
      </c>
      <c r="Q93" s="450">
        <f t="shared" si="33"/>
        <v>1009</v>
      </c>
      <c r="S93" s="402"/>
    </row>
    <row r="94" spans="1:19" s="3" customFormat="1" ht="13.5" customHeight="1">
      <c r="A94" s="202" t="s">
        <v>182</v>
      </c>
      <c r="B94" s="175" t="s">
        <v>140</v>
      </c>
      <c r="C94" s="295">
        <f>+C86+C89+C85</f>
        <v>0</v>
      </c>
      <c r="D94" s="300">
        <f t="shared" ref="D94:Q94" si="50">+D86+D89+D85</f>
        <v>0</v>
      </c>
      <c r="E94" s="301">
        <f t="shared" si="50"/>
        <v>0</v>
      </c>
      <c r="F94" s="295">
        <f t="shared" si="50"/>
        <v>2942</v>
      </c>
      <c r="G94" s="300">
        <f t="shared" si="50"/>
        <v>-886</v>
      </c>
      <c r="H94" s="301">
        <f t="shared" si="50"/>
        <v>2056</v>
      </c>
      <c r="I94" s="295">
        <f t="shared" si="50"/>
        <v>2942</v>
      </c>
      <c r="J94" s="300">
        <f t="shared" si="50"/>
        <v>-886</v>
      </c>
      <c r="K94" s="301">
        <f t="shared" si="50"/>
        <v>2056</v>
      </c>
      <c r="L94" s="295">
        <f t="shared" si="50"/>
        <v>22716</v>
      </c>
      <c r="M94" s="300">
        <f t="shared" si="50"/>
        <v>-96</v>
      </c>
      <c r="N94" s="301">
        <f t="shared" si="50"/>
        <v>22620</v>
      </c>
      <c r="O94" s="295">
        <f t="shared" si="50"/>
        <v>25658</v>
      </c>
      <c r="P94" s="300">
        <f t="shared" si="50"/>
        <v>-982</v>
      </c>
      <c r="Q94" s="301">
        <f t="shared" si="50"/>
        <v>24676</v>
      </c>
      <c r="S94" s="4"/>
    </row>
    <row r="95" spans="1:19" ht="13.5" customHeight="1">
      <c r="A95" s="199" t="s">
        <v>255</v>
      </c>
      <c r="B95" s="173" t="s">
        <v>256</v>
      </c>
      <c r="C95" s="222">
        <f>+'3.SZ.TÁBL. SEGÍTŐ SZOLGÁLAT'!AA99</f>
        <v>0</v>
      </c>
      <c r="D95" s="191">
        <f>+'3.SZ.TÁBL. SEGÍTŐ SZOLGÁLAT'!AB99</f>
        <v>0</v>
      </c>
      <c r="E95" s="192">
        <f>+'3.SZ.TÁBL. SEGÍTŐ SZOLGÁLAT'!AC99</f>
        <v>0</v>
      </c>
      <c r="F95" s="222">
        <f>+'4.SZ.TÁBL. ÓVODA'!R97</f>
        <v>0</v>
      </c>
      <c r="G95" s="68">
        <f>+'4.SZ.TÁBL. ÓVODA'!S97</f>
        <v>0</v>
      </c>
      <c r="H95" s="69">
        <f>+'4.SZ.TÁBL. ÓVODA'!T97</f>
        <v>0</v>
      </c>
      <c r="I95" s="58">
        <f t="shared" ref="I95:K101" si="51">+C95+F95</f>
        <v>0</v>
      </c>
      <c r="J95" s="191">
        <f t="shared" si="51"/>
        <v>0</v>
      </c>
      <c r="K95" s="192">
        <f t="shared" si="51"/>
        <v>0</v>
      </c>
      <c r="L95" s="6"/>
      <c r="M95" s="68"/>
      <c r="N95" s="69"/>
      <c r="O95" s="58">
        <f t="shared" si="33"/>
        <v>0</v>
      </c>
      <c r="P95" s="68">
        <f t="shared" si="33"/>
        <v>0</v>
      </c>
      <c r="Q95" s="69">
        <f t="shared" si="33"/>
        <v>0</v>
      </c>
    </row>
    <row r="96" spans="1:19" ht="13.5" customHeight="1">
      <c r="A96" s="200" t="s">
        <v>257</v>
      </c>
      <c r="B96" s="157" t="s">
        <v>258</v>
      </c>
      <c r="C96" s="215">
        <f>+'3.SZ.TÁBL. SEGÍTŐ SZOLGÁLAT'!AA100</f>
        <v>0</v>
      </c>
      <c r="D96" s="158">
        <f>+'3.SZ.TÁBL. SEGÍTŐ SZOLGÁLAT'!AB100</f>
        <v>0</v>
      </c>
      <c r="E96" s="182">
        <f>+'3.SZ.TÁBL. SEGÍTŐ SZOLGÁLAT'!AC100</f>
        <v>0</v>
      </c>
      <c r="F96" s="215">
        <f>+'4.SZ.TÁBL. ÓVODA'!R98</f>
        <v>0</v>
      </c>
      <c r="G96" s="137">
        <f>+'4.SZ.TÁBL. ÓVODA'!S98</f>
        <v>0</v>
      </c>
      <c r="H96" s="5">
        <f>+'4.SZ.TÁBL. ÓVODA'!T98</f>
        <v>0</v>
      </c>
      <c r="I96" s="60">
        <f t="shared" si="51"/>
        <v>0</v>
      </c>
      <c r="J96" s="158">
        <f t="shared" si="51"/>
        <v>0</v>
      </c>
      <c r="K96" s="182">
        <f t="shared" si="51"/>
        <v>0</v>
      </c>
      <c r="L96" s="7"/>
      <c r="M96" s="137"/>
      <c r="N96" s="5"/>
      <c r="O96" s="60">
        <f t="shared" si="33"/>
        <v>0</v>
      </c>
      <c r="P96" s="137">
        <f t="shared" si="33"/>
        <v>0</v>
      </c>
      <c r="Q96" s="5">
        <f t="shared" si="33"/>
        <v>0</v>
      </c>
    </row>
    <row r="97" spans="1:19" ht="13.5" customHeight="1">
      <c r="A97" s="200" t="s">
        <v>259</v>
      </c>
      <c r="B97" s="157" t="s">
        <v>260</v>
      </c>
      <c r="C97" s="215">
        <f>+'3.SZ.TÁBL. SEGÍTŐ SZOLGÁLAT'!AA101</f>
        <v>0</v>
      </c>
      <c r="D97" s="158">
        <f>+'3.SZ.TÁBL. SEGÍTŐ SZOLGÁLAT'!AB101</f>
        <v>0</v>
      </c>
      <c r="E97" s="182">
        <f>+'3.SZ.TÁBL. SEGÍTŐ SZOLGÁLAT'!AC101</f>
        <v>0</v>
      </c>
      <c r="F97" s="215">
        <f>+'4.SZ.TÁBL. ÓVODA'!R99</f>
        <v>150</v>
      </c>
      <c r="G97" s="137">
        <f>+'4.SZ.TÁBL. ÓVODA'!S99</f>
        <v>-150</v>
      </c>
      <c r="H97" s="5">
        <f>+'4.SZ.TÁBL. ÓVODA'!T99</f>
        <v>0</v>
      </c>
      <c r="I97" s="60">
        <f t="shared" si="51"/>
        <v>150</v>
      </c>
      <c r="J97" s="158">
        <f t="shared" si="51"/>
        <v>-150</v>
      </c>
      <c r="K97" s="182">
        <f t="shared" si="51"/>
        <v>0</v>
      </c>
      <c r="L97" s="7"/>
      <c r="M97" s="137"/>
      <c r="N97" s="5"/>
      <c r="O97" s="60">
        <f t="shared" si="33"/>
        <v>150</v>
      </c>
      <c r="P97" s="137">
        <f t="shared" si="33"/>
        <v>-150</v>
      </c>
      <c r="Q97" s="5">
        <f t="shared" si="33"/>
        <v>0</v>
      </c>
    </row>
    <row r="98" spans="1:19" ht="13.5" customHeight="1">
      <c r="A98" s="200" t="s">
        <v>261</v>
      </c>
      <c r="B98" s="157" t="s">
        <v>262</v>
      </c>
      <c r="C98" s="215">
        <f>+'3.SZ.TÁBL. SEGÍTŐ SZOLGÁLAT'!AA102</f>
        <v>985</v>
      </c>
      <c r="D98" s="158">
        <f>+'3.SZ.TÁBL. SEGÍTŐ SZOLGÁLAT'!AB102</f>
        <v>543</v>
      </c>
      <c r="E98" s="182">
        <f>+'3.SZ.TÁBL. SEGÍTŐ SZOLGÁLAT'!AC102</f>
        <v>1528</v>
      </c>
      <c r="F98" s="215">
        <f>+'4.SZ.TÁBL. ÓVODA'!R100</f>
        <v>900</v>
      </c>
      <c r="G98" s="137">
        <f>+'4.SZ.TÁBL. ÓVODA'!S100</f>
        <v>187</v>
      </c>
      <c r="H98" s="5">
        <f>+'4.SZ.TÁBL. ÓVODA'!T100</f>
        <v>1087</v>
      </c>
      <c r="I98" s="60">
        <f t="shared" si="51"/>
        <v>1885</v>
      </c>
      <c r="J98" s="158">
        <f t="shared" si="51"/>
        <v>730</v>
      </c>
      <c r="K98" s="182">
        <f t="shared" si="51"/>
        <v>2615</v>
      </c>
      <c r="L98" s="7"/>
      <c r="M98" s="137">
        <f>+[4]Társulás!$Q$23</f>
        <v>7116</v>
      </c>
      <c r="N98" s="5">
        <f>+L98+M98</f>
        <v>7116</v>
      </c>
      <c r="O98" s="60">
        <f t="shared" si="33"/>
        <v>1885</v>
      </c>
      <c r="P98" s="137">
        <f t="shared" si="33"/>
        <v>7846</v>
      </c>
      <c r="Q98" s="5">
        <f t="shared" si="33"/>
        <v>9731</v>
      </c>
    </row>
    <row r="99" spans="1:19" ht="13.5" customHeight="1">
      <c r="A99" s="200" t="s">
        <v>263</v>
      </c>
      <c r="B99" s="157" t="s">
        <v>264</v>
      </c>
      <c r="C99" s="215">
        <f>+'3.SZ.TÁBL. SEGÍTŐ SZOLGÁLAT'!AA103</f>
        <v>0</v>
      </c>
      <c r="D99" s="158">
        <f>+'3.SZ.TÁBL. SEGÍTŐ SZOLGÁLAT'!AB103</f>
        <v>0</v>
      </c>
      <c r="E99" s="182">
        <f>+'3.SZ.TÁBL. SEGÍTŐ SZOLGÁLAT'!AC103</f>
        <v>0</v>
      </c>
      <c r="F99" s="215">
        <f>+'4.SZ.TÁBL. ÓVODA'!R101</f>
        <v>0</v>
      </c>
      <c r="G99" s="137">
        <f>+'4.SZ.TÁBL. ÓVODA'!S101</f>
        <v>0</v>
      </c>
      <c r="H99" s="5">
        <f>+'4.SZ.TÁBL. ÓVODA'!T101</f>
        <v>0</v>
      </c>
      <c r="I99" s="60">
        <f t="shared" si="51"/>
        <v>0</v>
      </c>
      <c r="J99" s="158">
        <f t="shared" si="51"/>
        <v>0</v>
      </c>
      <c r="K99" s="182">
        <f t="shared" si="51"/>
        <v>0</v>
      </c>
      <c r="L99" s="7"/>
      <c r="M99" s="137"/>
      <c r="N99" s="5"/>
      <c r="O99" s="60">
        <f t="shared" si="33"/>
        <v>0</v>
      </c>
      <c r="P99" s="137">
        <f t="shared" si="33"/>
        <v>0</v>
      </c>
      <c r="Q99" s="5">
        <f t="shared" si="33"/>
        <v>0</v>
      </c>
    </row>
    <row r="100" spans="1:19" ht="13.5" customHeight="1">
      <c r="A100" s="200" t="s">
        <v>265</v>
      </c>
      <c r="B100" s="157" t="s">
        <v>266</v>
      </c>
      <c r="C100" s="215">
        <f>+'3.SZ.TÁBL. SEGÍTŐ SZOLGÁLAT'!AA104</f>
        <v>0</v>
      </c>
      <c r="D100" s="158">
        <f>+'3.SZ.TÁBL. SEGÍTŐ SZOLGÁLAT'!AB104</f>
        <v>0</v>
      </c>
      <c r="E100" s="182">
        <f>+'3.SZ.TÁBL. SEGÍTŐ SZOLGÁLAT'!AC104</f>
        <v>0</v>
      </c>
      <c r="F100" s="215">
        <f>+'4.SZ.TÁBL. ÓVODA'!R102</f>
        <v>0</v>
      </c>
      <c r="G100" s="137">
        <f>+'4.SZ.TÁBL. ÓVODA'!S102</f>
        <v>0</v>
      </c>
      <c r="H100" s="5">
        <f>+'4.SZ.TÁBL. ÓVODA'!T102</f>
        <v>0</v>
      </c>
      <c r="I100" s="60">
        <f t="shared" si="51"/>
        <v>0</v>
      </c>
      <c r="J100" s="158">
        <f t="shared" si="51"/>
        <v>0</v>
      </c>
      <c r="K100" s="182">
        <f t="shared" si="51"/>
        <v>0</v>
      </c>
      <c r="L100" s="7"/>
      <c r="M100" s="137"/>
      <c r="N100" s="5"/>
      <c r="O100" s="60">
        <f t="shared" si="33"/>
        <v>0</v>
      </c>
      <c r="P100" s="137">
        <f t="shared" si="33"/>
        <v>0</v>
      </c>
      <c r="Q100" s="5">
        <f t="shared" si="33"/>
        <v>0</v>
      </c>
    </row>
    <row r="101" spans="1:19" ht="13.5" customHeight="1">
      <c r="A101" s="201" t="s">
        <v>267</v>
      </c>
      <c r="B101" s="174" t="s">
        <v>268</v>
      </c>
      <c r="C101" s="231">
        <f>+'3.SZ.TÁBL. SEGÍTŐ SZOLGÁLAT'!AA105</f>
        <v>266</v>
      </c>
      <c r="D101" s="188">
        <f>+'3.SZ.TÁBL. SEGÍTŐ SZOLGÁLAT'!AB105</f>
        <v>157</v>
      </c>
      <c r="E101" s="189">
        <f>+'3.SZ.TÁBL. SEGÍTŐ SZOLGÁLAT'!AC105</f>
        <v>423</v>
      </c>
      <c r="F101" s="231">
        <f>+'4.SZ.TÁBL. ÓVODA'!R103</f>
        <v>284</v>
      </c>
      <c r="G101" s="184">
        <f>+'4.SZ.TÁBL. ÓVODA'!S103</f>
        <v>10</v>
      </c>
      <c r="H101" s="169">
        <f>+'4.SZ.TÁBL. ÓVODA'!T103</f>
        <v>294</v>
      </c>
      <c r="I101" s="61">
        <f t="shared" si="51"/>
        <v>550</v>
      </c>
      <c r="J101" s="188">
        <f t="shared" si="51"/>
        <v>167</v>
      </c>
      <c r="K101" s="189">
        <f t="shared" si="51"/>
        <v>717</v>
      </c>
      <c r="L101" s="167"/>
      <c r="M101" s="184">
        <f>+[4]Társulás!$Q$24</f>
        <v>1921</v>
      </c>
      <c r="N101" s="169">
        <f>+L101+M101</f>
        <v>1921</v>
      </c>
      <c r="O101" s="61">
        <f t="shared" si="33"/>
        <v>550</v>
      </c>
      <c r="P101" s="184">
        <f t="shared" si="33"/>
        <v>2088</v>
      </c>
      <c r="Q101" s="169">
        <f t="shared" si="33"/>
        <v>2638</v>
      </c>
    </row>
    <row r="102" spans="1:19" s="3" customFormat="1" ht="13.5" customHeight="1">
      <c r="A102" s="202" t="s">
        <v>183</v>
      </c>
      <c r="B102" s="175" t="s">
        <v>96</v>
      </c>
      <c r="C102" s="295">
        <f t="shared" ref="C102:N102" si="52">SUM(C95:C101)</f>
        <v>1251</v>
      </c>
      <c r="D102" s="436">
        <f t="shared" si="52"/>
        <v>700</v>
      </c>
      <c r="E102" s="437">
        <f t="shared" si="52"/>
        <v>1951</v>
      </c>
      <c r="F102" s="295">
        <f t="shared" si="52"/>
        <v>1334</v>
      </c>
      <c r="G102" s="434">
        <f t="shared" si="52"/>
        <v>47</v>
      </c>
      <c r="H102" s="435">
        <f t="shared" si="52"/>
        <v>1381</v>
      </c>
      <c r="I102" s="295">
        <f t="shared" si="52"/>
        <v>2585</v>
      </c>
      <c r="J102" s="436">
        <f t="shared" si="52"/>
        <v>747</v>
      </c>
      <c r="K102" s="437">
        <f t="shared" si="52"/>
        <v>3332</v>
      </c>
      <c r="L102" s="295">
        <f t="shared" si="52"/>
        <v>0</v>
      </c>
      <c r="M102" s="434">
        <f t="shared" si="52"/>
        <v>9037</v>
      </c>
      <c r="N102" s="435">
        <f t="shared" si="52"/>
        <v>9037</v>
      </c>
      <c r="O102" s="428">
        <f>+SUM(O95:O101)</f>
        <v>2585</v>
      </c>
      <c r="P102" s="434">
        <f>+SUM(P95:P101)</f>
        <v>9784</v>
      </c>
      <c r="Q102" s="435">
        <f>+SUM(Q95:Q101)</f>
        <v>12369</v>
      </c>
      <c r="S102" s="4"/>
    </row>
    <row r="103" spans="1:19" ht="13.5" customHeight="1">
      <c r="A103" s="199" t="s">
        <v>269</v>
      </c>
      <c r="B103" s="173" t="s">
        <v>270</v>
      </c>
      <c r="C103" s="222">
        <f>+'3.SZ.TÁBL. SEGÍTŐ SZOLGÁLAT'!AA107</f>
        <v>0</v>
      </c>
      <c r="D103" s="191">
        <f>+'3.SZ.TÁBL. SEGÍTŐ SZOLGÁLAT'!AB107</f>
        <v>0</v>
      </c>
      <c r="E103" s="192">
        <f>+'3.SZ.TÁBL. SEGÍTŐ SZOLGÁLAT'!AC107</f>
        <v>0</v>
      </c>
      <c r="F103" s="222">
        <f>+'4.SZ.TÁBL. ÓVODA'!R105</f>
        <v>1355</v>
      </c>
      <c r="G103" s="68">
        <f>+'4.SZ.TÁBL. ÓVODA'!S105</f>
        <v>0</v>
      </c>
      <c r="H103" s="69">
        <f>+'4.SZ.TÁBL. ÓVODA'!T105</f>
        <v>1355</v>
      </c>
      <c r="I103" s="58">
        <f t="shared" ref="I103:K106" si="53">+C103+F103</f>
        <v>1355</v>
      </c>
      <c r="J103" s="191">
        <f t="shared" si="53"/>
        <v>0</v>
      </c>
      <c r="K103" s="192">
        <f t="shared" si="53"/>
        <v>1355</v>
      </c>
      <c r="L103" s="6"/>
      <c r="M103" s="68"/>
      <c r="N103" s="69"/>
      <c r="O103" s="58">
        <f t="shared" si="33"/>
        <v>1355</v>
      </c>
      <c r="P103" s="68">
        <f t="shared" si="33"/>
        <v>0</v>
      </c>
      <c r="Q103" s="69">
        <f t="shared" si="33"/>
        <v>1355</v>
      </c>
    </row>
    <row r="104" spans="1:19" ht="13.5" customHeight="1">
      <c r="A104" s="200" t="s">
        <v>271</v>
      </c>
      <c r="B104" s="157" t="s">
        <v>272</v>
      </c>
      <c r="C104" s="215">
        <f>+'3.SZ.TÁBL. SEGÍTŐ SZOLGÁLAT'!AA108</f>
        <v>0</v>
      </c>
      <c r="D104" s="158">
        <f>+'3.SZ.TÁBL. SEGÍTŐ SZOLGÁLAT'!AB108</f>
        <v>0</v>
      </c>
      <c r="E104" s="182">
        <f>+'3.SZ.TÁBL. SEGÍTŐ SZOLGÁLAT'!AC108</f>
        <v>0</v>
      </c>
      <c r="F104" s="215">
        <f>+'4.SZ.TÁBL. ÓVODA'!R106</f>
        <v>0</v>
      </c>
      <c r="G104" s="137">
        <f>+'4.SZ.TÁBL. ÓVODA'!S106</f>
        <v>0</v>
      </c>
      <c r="H104" s="5">
        <f>+'4.SZ.TÁBL. ÓVODA'!T106</f>
        <v>0</v>
      </c>
      <c r="I104" s="60">
        <f t="shared" si="53"/>
        <v>0</v>
      </c>
      <c r="J104" s="158">
        <f t="shared" si="53"/>
        <v>0</v>
      </c>
      <c r="K104" s="182">
        <f t="shared" si="53"/>
        <v>0</v>
      </c>
      <c r="L104" s="7"/>
      <c r="M104" s="137"/>
      <c r="N104" s="5"/>
      <c r="O104" s="60">
        <f t="shared" si="33"/>
        <v>0</v>
      </c>
      <c r="P104" s="137">
        <f t="shared" si="33"/>
        <v>0</v>
      </c>
      <c r="Q104" s="5">
        <f t="shared" si="33"/>
        <v>0</v>
      </c>
    </row>
    <row r="105" spans="1:19" ht="13.5" customHeight="1">
      <c r="A105" s="200" t="s">
        <v>273</v>
      </c>
      <c r="B105" s="157" t="s">
        <v>274</v>
      </c>
      <c r="C105" s="215">
        <f>+'3.SZ.TÁBL. SEGÍTŐ SZOLGÁLAT'!AA109</f>
        <v>0</v>
      </c>
      <c r="D105" s="158">
        <f>+'3.SZ.TÁBL. SEGÍTŐ SZOLGÁLAT'!AB109</f>
        <v>0</v>
      </c>
      <c r="E105" s="182">
        <f>+'3.SZ.TÁBL. SEGÍTŐ SZOLGÁLAT'!AC109</f>
        <v>0</v>
      </c>
      <c r="F105" s="215">
        <f>+'4.SZ.TÁBL. ÓVODA'!R107</f>
        <v>0</v>
      </c>
      <c r="G105" s="137">
        <f>+'4.SZ.TÁBL. ÓVODA'!S107</f>
        <v>0</v>
      </c>
      <c r="H105" s="5">
        <f>+'4.SZ.TÁBL. ÓVODA'!T107</f>
        <v>0</v>
      </c>
      <c r="I105" s="60">
        <f t="shared" si="53"/>
        <v>0</v>
      </c>
      <c r="J105" s="158">
        <f t="shared" si="53"/>
        <v>0</v>
      </c>
      <c r="K105" s="182">
        <f t="shared" si="53"/>
        <v>0</v>
      </c>
      <c r="L105" s="7"/>
      <c r="M105" s="137"/>
      <c r="N105" s="5"/>
      <c r="O105" s="60">
        <f t="shared" si="33"/>
        <v>0</v>
      </c>
      <c r="P105" s="137">
        <f t="shared" si="33"/>
        <v>0</v>
      </c>
      <c r="Q105" s="5">
        <f t="shared" si="33"/>
        <v>0</v>
      </c>
    </row>
    <row r="106" spans="1:19" ht="13.5" customHeight="1">
      <c r="A106" s="201" t="s">
        <v>275</v>
      </c>
      <c r="B106" s="174" t="s">
        <v>276</v>
      </c>
      <c r="C106" s="231">
        <f>+'3.SZ.TÁBL. SEGÍTŐ SZOLGÁLAT'!AA110</f>
        <v>0</v>
      </c>
      <c r="D106" s="188">
        <f>+'3.SZ.TÁBL. SEGÍTŐ SZOLGÁLAT'!AB110</f>
        <v>0</v>
      </c>
      <c r="E106" s="189">
        <f>+'3.SZ.TÁBL. SEGÍTŐ SZOLGÁLAT'!AC110</f>
        <v>0</v>
      </c>
      <c r="F106" s="231">
        <f>+'4.SZ.TÁBL. ÓVODA'!R108</f>
        <v>366</v>
      </c>
      <c r="G106" s="184">
        <f>+'4.SZ.TÁBL. ÓVODA'!S108</f>
        <v>0</v>
      </c>
      <c r="H106" s="169">
        <f>+'4.SZ.TÁBL. ÓVODA'!T108</f>
        <v>366</v>
      </c>
      <c r="I106" s="61">
        <f t="shared" si="53"/>
        <v>366</v>
      </c>
      <c r="J106" s="188">
        <f t="shared" si="53"/>
        <v>0</v>
      </c>
      <c r="K106" s="189">
        <f t="shared" si="53"/>
        <v>366</v>
      </c>
      <c r="L106" s="167"/>
      <c r="M106" s="184"/>
      <c r="N106" s="169"/>
      <c r="O106" s="61">
        <f t="shared" si="33"/>
        <v>366</v>
      </c>
      <c r="P106" s="184">
        <f t="shared" si="33"/>
        <v>0</v>
      </c>
      <c r="Q106" s="169">
        <f t="shared" si="33"/>
        <v>366</v>
      </c>
    </row>
    <row r="107" spans="1:19" s="3" customFormat="1" ht="13.5" customHeight="1">
      <c r="A107" s="202" t="s">
        <v>184</v>
      </c>
      <c r="B107" s="175" t="s">
        <v>141</v>
      </c>
      <c r="C107" s="295">
        <f t="shared" ref="C107:N107" si="54">SUM(C103:C106)</f>
        <v>0</v>
      </c>
      <c r="D107" s="436">
        <f t="shared" si="54"/>
        <v>0</v>
      </c>
      <c r="E107" s="437">
        <f t="shared" si="54"/>
        <v>0</v>
      </c>
      <c r="F107" s="295">
        <f t="shared" si="54"/>
        <v>1721</v>
      </c>
      <c r="G107" s="434">
        <f t="shared" si="54"/>
        <v>0</v>
      </c>
      <c r="H107" s="435">
        <f t="shared" si="54"/>
        <v>1721</v>
      </c>
      <c r="I107" s="295">
        <f t="shared" si="54"/>
        <v>1721</v>
      </c>
      <c r="J107" s="436">
        <f t="shared" si="54"/>
        <v>0</v>
      </c>
      <c r="K107" s="437">
        <f t="shared" si="54"/>
        <v>1721</v>
      </c>
      <c r="L107" s="295">
        <f t="shared" si="54"/>
        <v>0</v>
      </c>
      <c r="M107" s="434">
        <f t="shared" si="54"/>
        <v>0</v>
      </c>
      <c r="N107" s="435">
        <f t="shared" si="54"/>
        <v>0</v>
      </c>
      <c r="O107" s="428">
        <f>+SUM(O103:O106)</f>
        <v>1721</v>
      </c>
      <c r="P107" s="434">
        <f>+SUM(P103:P106)</f>
        <v>0</v>
      </c>
      <c r="Q107" s="435">
        <f>+SUM(Q103:Q106)</f>
        <v>1721</v>
      </c>
      <c r="S107" s="4"/>
    </row>
    <row r="108" spans="1:19" s="3" customFormat="1" ht="13.5" customHeight="1">
      <c r="A108" s="202" t="s">
        <v>185</v>
      </c>
      <c r="B108" s="175" t="s">
        <v>142</v>
      </c>
      <c r="C108" s="295">
        <f>+'3.SZ.TÁBL. SEGÍTŐ SZOLGÁLAT'!AA112</f>
        <v>0</v>
      </c>
      <c r="D108" s="436">
        <f>+'3.SZ.TÁBL. SEGÍTŐ SZOLGÁLAT'!AB112</f>
        <v>0</v>
      </c>
      <c r="E108" s="437">
        <f>+'3.SZ.TÁBL. SEGÍTŐ SZOLGÁLAT'!AC112</f>
        <v>0</v>
      </c>
      <c r="F108" s="295">
        <f>+'4.SZ.TÁBL. ÓVODA'!R110</f>
        <v>0</v>
      </c>
      <c r="G108" s="434">
        <f>+'4.SZ.TÁBL. ÓVODA'!S110</f>
        <v>0</v>
      </c>
      <c r="H108" s="435">
        <f>+'4.SZ.TÁBL. ÓVODA'!T110</f>
        <v>0</v>
      </c>
      <c r="I108" s="428">
        <f>+C108+F108</f>
        <v>0</v>
      </c>
      <c r="J108" s="436">
        <f>+D108+G108</f>
        <v>0</v>
      </c>
      <c r="K108" s="437">
        <f>+E108+H108</f>
        <v>0</v>
      </c>
      <c r="L108" s="433"/>
      <c r="M108" s="434"/>
      <c r="N108" s="435"/>
      <c r="O108" s="428">
        <f t="shared" si="33"/>
        <v>0</v>
      </c>
      <c r="P108" s="434">
        <f t="shared" si="33"/>
        <v>0</v>
      </c>
      <c r="Q108" s="435">
        <f t="shared" si="33"/>
        <v>0</v>
      </c>
      <c r="S108" s="4"/>
    </row>
    <row r="109" spans="1:19" s="3" customFormat="1" ht="13.5" customHeight="1">
      <c r="A109" s="206" t="s">
        <v>186</v>
      </c>
      <c r="B109" s="175" t="s">
        <v>143</v>
      </c>
      <c r="C109" s="295">
        <f t="shared" ref="C109:Q109" si="55">+C51+C52+C84+C94+C102+C107+C108</f>
        <v>119183</v>
      </c>
      <c r="D109" s="436">
        <f t="shared" si="55"/>
        <v>7635</v>
      </c>
      <c r="E109" s="437">
        <f t="shared" si="55"/>
        <v>126818</v>
      </c>
      <c r="F109" s="295">
        <f t="shared" si="55"/>
        <v>178601</v>
      </c>
      <c r="G109" s="434">
        <f t="shared" si="55"/>
        <v>-56083</v>
      </c>
      <c r="H109" s="435">
        <f t="shared" si="55"/>
        <v>122518</v>
      </c>
      <c r="I109" s="295">
        <f t="shared" si="55"/>
        <v>297784</v>
      </c>
      <c r="J109" s="436">
        <f t="shared" si="55"/>
        <v>-48448</v>
      </c>
      <c r="K109" s="437">
        <f t="shared" si="55"/>
        <v>249336</v>
      </c>
      <c r="L109" s="295">
        <f t="shared" si="55"/>
        <v>67795</v>
      </c>
      <c r="M109" s="434">
        <f t="shared" si="55"/>
        <v>2301</v>
      </c>
      <c r="N109" s="435">
        <f t="shared" si="55"/>
        <v>70096</v>
      </c>
      <c r="O109" s="428">
        <f t="shared" si="55"/>
        <v>365579</v>
      </c>
      <c r="P109" s="434">
        <f t="shared" si="55"/>
        <v>-46147</v>
      </c>
      <c r="Q109" s="435">
        <f t="shared" si="55"/>
        <v>319432</v>
      </c>
      <c r="S109" s="4"/>
    </row>
    <row r="110" spans="1:19" s="3" customFormat="1" ht="13.5" customHeight="1" thickBot="1">
      <c r="A110" s="503" t="s">
        <v>357</v>
      </c>
      <c r="B110" s="504" t="s">
        <v>144</v>
      </c>
      <c r="C110" s="505">
        <f>+'3.SZ.TÁBL. SEGÍTŐ SZOLGÁLAT'!AA114</f>
        <v>0</v>
      </c>
      <c r="D110" s="506">
        <f>+'3.SZ.TÁBL. SEGÍTŐ SZOLGÁLAT'!AB114</f>
        <v>0</v>
      </c>
      <c r="E110" s="508">
        <f>+'3.SZ.TÁBL. SEGÍTŐ SZOLGÁLAT'!AC114</f>
        <v>0</v>
      </c>
      <c r="F110" s="505">
        <f>+'4.SZ.TÁBL. ÓVODA'!R112</f>
        <v>0</v>
      </c>
      <c r="G110" s="510">
        <f>+'4.SZ.TÁBL. ÓVODA'!S112</f>
        <v>0</v>
      </c>
      <c r="H110" s="629">
        <f>+'4.SZ.TÁBL. ÓVODA'!T112</f>
        <v>0</v>
      </c>
      <c r="I110" s="507">
        <f>+C110+F110</f>
        <v>0</v>
      </c>
      <c r="J110" s="506">
        <f>+D110+G110</f>
        <v>0</v>
      </c>
      <c r="K110" s="508">
        <f>+E110+H110</f>
        <v>0</v>
      </c>
      <c r="L110" s="509">
        <f>+I29</f>
        <v>287454</v>
      </c>
      <c r="M110" s="510">
        <f>+J29</f>
        <v>-48749</v>
      </c>
      <c r="N110" s="508">
        <f>+K29</f>
        <v>238705</v>
      </c>
      <c r="O110" s="511"/>
      <c r="P110" s="510"/>
      <c r="Q110" s="508"/>
      <c r="R110" s="4"/>
    </row>
    <row r="111" spans="1:19" s="3" customFormat="1" ht="13.5" customHeight="1" thickBot="1">
      <c r="A111" s="868" t="s">
        <v>289</v>
      </c>
      <c r="B111" s="869"/>
      <c r="C111" s="308">
        <f t="shared" ref="C111:N111" si="56">+SUM(C109:C110)</f>
        <v>119183</v>
      </c>
      <c r="D111" s="195">
        <f t="shared" si="56"/>
        <v>7635</v>
      </c>
      <c r="E111" s="196">
        <f t="shared" si="56"/>
        <v>126818</v>
      </c>
      <c r="F111" s="308">
        <f t="shared" si="56"/>
        <v>178601</v>
      </c>
      <c r="G111" s="197">
        <f t="shared" si="56"/>
        <v>-56083</v>
      </c>
      <c r="H111" s="198">
        <f t="shared" si="56"/>
        <v>122518</v>
      </c>
      <c r="I111" s="308">
        <f t="shared" si="56"/>
        <v>297784</v>
      </c>
      <c r="J111" s="195">
        <f t="shared" si="56"/>
        <v>-48448</v>
      </c>
      <c r="K111" s="196">
        <f t="shared" si="56"/>
        <v>249336</v>
      </c>
      <c r="L111" s="308">
        <f t="shared" si="56"/>
        <v>355249</v>
      </c>
      <c r="M111" s="197">
        <f t="shared" si="56"/>
        <v>-46448</v>
      </c>
      <c r="N111" s="198">
        <f t="shared" si="56"/>
        <v>308801</v>
      </c>
      <c r="O111" s="11">
        <f>+O109+O110</f>
        <v>365579</v>
      </c>
      <c r="P111" s="197">
        <f>+P109+P110</f>
        <v>-46147</v>
      </c>
      <c r="Q111" s="198">
        <f>+Q109+Q110</f>
        <v>319432</v>
      </c>
      <c r="S111" s="4"/>
    </row>
    <row r="112" spans="1:19" s="3" customFormat="1" ht="13.5" customHeight="1" thickBot="1">
      <c r="B112" s="438"/>
      <c r="C112" s="439"/>
      <c r="D112" s="439"/>
      <c r="E112" s="439"/>
      <c r="F112" s="439"/>
      <c r="G112" s="440"/>
      <c r="H112" s="440"/>
      <c r="I112" s="439"/>
      <c r="J112" s="439"/>
      <c r="K112" s="439"/>
      <c r="L112" s="440"/>
      <c r="M112" s="440"/>
      <c r="N112" s="440"/>
      <c r="O112" s="440"/>
      <c r="P112" s="440"/>
      <c r="Q112" s="440"/>
      <c r="S112" s="4"/>
    </row>
    <row r="113" spans="1:26" s="328" customFormat="1" ht="13.5" customHeight="1" thickBot="1">
      <c r="A113" s="864" t="s">
        <v>308</v>
      </c>
      <c r="B113" s="865"/>
      <c r="C113" s="331">
        <f t="shared" ref="C113:Q113" si="57">+C31-C111</f>
        <v>0</v>
      </c>
      <c r="D113" s="309">
        <f t="shared" si="57"/>
        <v>0</v>
      </c>
      <c r="E113" s="332">
        <f t="shared" si="57"/>
        <v>0</v>
      </c>
      <c r="F113" s="331">
        <f t="shared" si="57"/>
        <v>0</v>
      </c>
      <c r="G113" s="309">
        <f t="shared" si="57"/>
        <v>0</v>
      </c>
      <c r="H113" s="332">
        <f t="shared" si="57"/>
        <v>0</v>
      </c>
      <c r="I113" s="331">
        <f t="shared" si="57"/>
        <v>0</v>
      </c>
      <c r="J113" s="309">
        <f t="shared" si="57"/>
        <v>0</v>
      </c>
      <c r="K113" s="332">
        <f t="shared" si="57"/>
        <v>0</v>
      </c>
      <c r="L113" s="331">
        <f t="shared" si="57"/>
        <v>0</v>
      </c>
      <c r="M113" s="309">
        <f t="shared" si="57"/>
        <v>0</v>
      </c>
      <c r="N113" s="332">
        <f t="shared" si="57"/>
        <v>0</v>
      </c>
      <c r="O113" s="331">
        <f t="shared" si="57"/>
        <v>0</v>
      </c>
      <c r="P113" s="309">
        <f t="shared" si="57"/>
        <v>0</v>
      </c>
      <c r="Q113" s="310">
        <f t="shared" si="57"/>
        <v>0</v>
      </c>
      <c r="R113" s="446"/>
      <c r="S113" s="447"/>
      <c r="T113" s="447"/>
      <c r="U113" s="447"/>
      <c r="V113" s="447"/>
      <c r="W113" s="447"/>
      <c r="X113" s="447"/>
      <c r="Y113" s="447"/>
      <c r="Z113" s="447"/>
    </row>
    <row r="114" spans="1:26" ht="13.5" customHeight="1"/>
    <row r="115" spans="1:26" ht="13.5" customHeight="1"/>
  </sheetData>
  <mergeCells count="10">
    <mergeCell ref="O1:Q1"/>
    <mergeCell ref="I1:K1"/>
    <mergeCell ref="C1:E1"/>
    <mergeCell ref="F1:H1"/>
    <mergeCell ref="L1:N1"/>
    <mergeCell ref="A113:B113"/>
    <mergeCell ref="A31:B31"/>
    <mergeCell ref="A111:B111"/>
    <mergeCell ref="A1:A2"/>
    <mergeCell ref="B1:B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76" orientation="landscape" r:id="rId1"/>
  <headerFooter alignWithMargins="0">
    <oddHeader>&amp;L&amp;"Times New Roman,Félkövér"&amp;13Szent László Völgye TKT&amp;C&amp;"Times New Roman,Félkövér"&amp;16 2017. ÉVI II. KÖLTSÉGVETÉS MÓDOSÍTÁS&amp;R1/1. sz. táblázat
TÁRSULÁS ÉS INTÉZMÉNYEK 
BEVÉTELEK - KIADÁSOK
Adatok: eFt</oddHeader>
    <oddFooter>&amp;L&amp;F&amp;R&amp;P</oddFooter>
  </headerFooter>
  <rowBreaks count="1" manualBreakCount="1">
    <brk id="5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P108"/>
  <sheetViews>
    <sheetView workbookViewId="0">
      <selection activeCell="C3" sqref="C3"/>
    </sheetView>
  </sheetViews>
  <sheetFormatPr defaultColWidth="8.85546875" defaultRowHeight="12.95" customHeight="1"/>
  <cols>
    <col min="1" max="1" width="6.5703125" style="12" customWidth="1"/>
    <col min="2" max="2" width="54.5703125" style="1" customWidth="1"/>
    <col min="3" max="3" width="11" style="52" customWidth="1"/>
    <col min="4" max="5" width="10.42578125" style="52" customWidth="1"/>
    <col min="6" max="6" width="7.7109375" style="610" customWidth="1"/>
    <col min="7" max="7" width="10.42578125" style="52" customWidth="1"/>
    <col min="8" max="8" width="11.7109375" style="21" customWidth="1"/>
    <col min="9" max="9" width="10.42578125" style="23" customWidth="1"/>
    <col min="10" max="10" width="24.85546875" style="23" customWidth="1"/>
    <col min="11" max="11" width="10.140625" style="23" customWidth="1"/>
    <col min="12" max="12" width="8.85546875" style="23"/>
    <col min="13" max="13" width="9.28515625" style="23" customWidth="1"/>
    <col min="14" max="16384" width="8.85546875" style="23"/>
  </cols>
  <sheetData>
    <row r="1" spans="1:14" ht="12.75" customHeight="1">
      <c r="A1" s="889" t="s">
        <v>146</v>
      </c>
      <c r="B1" s="891" t="s">
        <v>171</v>
      </c>
      <c r="C1" s="882" t="s">
        <v>435</v>
      </c>
      <c r="D1" s="880" t="s">
        <v>418</v>
      </c>
      <c r="E1" s="887" t="s">
        <v>439</v>
      </c>
      <c r="F1" s="885" t="s">
        <v>376</v>
      </c>
      <c r="G1" s="442"/>
    </row>
    <row r="2" spans="1:14" ht="31.5" customHeight="1">
      <c r="A2" s="890"/>
      <c r="B2" s="892"/>
      <c r="C2" s="883"/>
      <c r="D2" s="881"/>
      <c r="E2" s="888"/>
      <c r="F2" s="886"/>
      <c r="G2" s="442"/>
    </row>
    <row r="3" spans="1:14" s="51" customFormat="1" ht="14.25" customHeight="1">
      <c r="A3" s="153" t="s">
        <v>148</v>
      </c>
      <c r="B3" s="154" t="s">
        <v>108</v>
      </c>
      <c r="C3" s="342">
        <f>+C4+C82</f>
        <v>338297</v>
      </c>
      <c r="D3" s="148">
        <f>+D4+D82</f>
        <v>-55709</v>
      </c>
      <c r="E3" s="599">
        <f>+E4+E82</f>
        <v>282588</v>
      </c>
      <c r="F3" s="611">
        <f>+E3/C3</f>
        <v>0.83532517285107466</v>
      </c>
      <c r="G3" s="52"/>
      <c r="H3" s="53"/>
      <c r="I3" s="364"/>
      <c r="J3" s="23"/>
      <c r="K3" s="23"/>
      <c r="M3" s="23"/>
      <c r="N3" s="23"/>
    </row>
    <row r="4" spans="1:14" s="51" customFormat="1" ht="14.25" customHeight="1">
      <c r="A4" s="155"/>
      <c r="B4" s="397" t="s">
        <v>342</v>
      </c>
      <c r="C4" s="343">
        <f>+'[3]2.SZ.TÁBL. BEVÉTELEK'!$E$4</f>
        <v>29220</v>
      </c>
      <c r="D4" s="149">
        <f>+[4]Társulás!$Z$63</f>
        <v>-8160</v>
      </c>
      <c r="E4" s="599">
        <f>+SUM(C4:D4)</f>
        <v>21060</v>
      </c>
      <c r="F4" s="611">
        <f t="shared" ref="F4:F72" si="0">+E4/C4</f>
        <v>0.72073921971252564</v>
      </c>
      <c r="G4" s="53"/>
      <c r="H4" s="53"/>
      <c r="I4" s="618"/>
      <c r="J4" s="23"/>
      <c r="K4" s="23"/>
      <c r="M4" s="23"/>
      <c r="N4" s="23"/>
    </row>
    <row r="5" spans="1:14" s="51" customFormat="1" ht="14.25" customHeight="1">
      <c r="A5" s="165"/>
      <c r="B5" s="367" t="s">
        <v>343</v>
      </c>
      <c r="C5" s="348"/>
      <c r="D5" s="349"/>
      <c r="E5" s="599"/>
      <c r="F5" s="611"/>
      <c r="G5" s="53"/>
      <c r="H5" s="53"/>
      <c r="I5" s="364"/>
      <c r="J5" s="23"/>
      <c r="K5" s="884"/>
      <c r="M5" s="23"/>
      <c r="N5" s="23"/>
    </row>
    <row r="6" spans="1:14" s="51" customFormat="1" ht="14.25" customHeight="1">
      <c r="A6" s="165"/>
      <c r="B6" s="366" t="s">
        <v>332</v>
      </c>
      <c r="C6" s="344">
        <f>SUM(C7:C13)</f>
        <v>10260</v>
      </c>
      <c r="D6" s="345">
        <f>SUM(D7:D13)</f>
        <v>0</v>
      </c>
      <c r="E6" s="602">
        <f>SUM(E7:E13)</f>
        <v>10260</v>
      </c>
      <c r="F6" s="611">
        <f t="shared" si="0"/>
        <v>1</v>
      </c>
      <c r="G6" s="53"/>
      <c r="H6" s="21"/>
      <c r="I6" s="23"/>
      <c r="J6" s="23"/>
      <c r="K6" s="884"/>
      <c r="M6" s="23"/>
      <c r="N6" s="23"/>
    </row>
    <row r="7" spans="1:14" s="347" customFormat="1" ht="14.25" customHeight="1">
      <c r="A7" s="165"/>
      <c r="B7" s="368" t="s">
        <v>311</v>
      </c>
      <c r="C7" s="344">
        <f>+'[3]2.SZ.TÁBL. BEVÉTELEK'!$E7</f>
        <v>1152</v>
      </c>
      <c r="D7" s="345"/>
      <c r="E7" s="602">
        <f>SUM(C7:D7)</f>
        <v>1152</v>
      </c>
      <c r="F7" s="611">
        <f t="shared" si="0"/>
        <v>1</v>
      </c>
      <c r="G7" s="53"/>
      <c r="H7" s="346"/>
      <c r="I7" s="364"/>
      <c r="J7" s="365"/>
      <c r="K7" s="384"/>
      <c r="L7" s="386"/>
      <c r="M7" s="23"/>
      <c r="N7" s="57"/>
    </row>
    <row r="8" spans="1:14" ht="14.25" customHeight="1">
      <c r="A8" s="165"/>
      <c r="B8" s="368" t="s">
        <v>312</v>
      </c>
      <c r="C8" s="344">
        <f>+'[3]2.SZ.TÁBL. BEVÉTELEK'!$E8</f>
        <v>3499</v>
      </c>
      <c r="D8" s="345"/>
      <c r="E8" s="602">
        <f t="shared" ref="E8:E13" si="1">SUM(C8:D8)</f>
        <v>3499</v>
      </c>
      <c r="F8" s="611">
        <f t="shared" si="0"/>
        <v>1</v>
      </c>
      <c r="G8" s="53"/>
      <c r="I8" s="364"/>
      <c r="J8" s="365"/>
      <c r="K8" s="384"/>
      <c r="L8" s="386"/>
    </row>
    <row r="9" spans="1:14" ht="14.25" customHeight="1">
      <c r="A9" s="165"/>
      <c r="B9" s="368" t="s">
        <v>318</v>
      </c>
      <c r="C9" s="344">
        <f>+'[3]2.SZ.TÁBL. BEVÉTELEK'!$E9</f>
        <v>525</v>
      </c>
      <c r="D9" s="345"/>
      <c r="E9" s="602">
        <f t="shared" si="1"/>
        <v>525</v>
      </c>
      <c r="F9" s="611">
        <f t="shared" si="0"/>
        <v>1</v>
      </c>
      <c r="G9" s="53"/>
      <c r="I9" s="364"/>
      <c r="J9" s="365"/>
      <c r="K9" s="384"/>
      <c r="L9" s="386"/>
    </row>
    <row r="10" spans="1:14" ht="14.25" customHeight="1">
      <c r="A10" s="165"/>
      <c r="B10" s="368" t="s">
        <v>313</v>
      </c>
      <c r="C10" s="344">
        <f>+'[3]2.SZ.TÁBL. BEVÉTELEK'!$E10</f>
        <v>453</v>
      </c>
      <c r="D10" s="345"/>
      <c r="E10" s="602">
        <f t="shared" si="1"/>
        <v>453</v>
      </c>
      <c r="F10" s="611">
        <f t="shared" si="0"/>
        <v>1</v>
      </c>
      <c r="G10" s="53"/>
      <c r="I10" s="364"/>
      <c r="J10" s="365"/>
      <c r="K10" s="384"/>
      <c r="L10" s="386"/>
    </row>
    <row r="11" spans="1:14" ht="14.25" customHeight="1">
      <c r="A11" s="165"/>
      <c r="B11" s="368" t="s">
        <v>314</v>
      </c>
      <c r="C11" s="344">
        <f>+'[3]2.SZ.TÁBL. BEVÉTELEK'!$E11</f>
        <v>2370</v>
      </c>
      <c r="D11" s="345"/>
      <c r="E11" s="602">
        <f t="shared" si="1"/>
        <v>2370</v>
      </c>
      <c r="F11" s="611">
        <f t="shared" si="0"/>
        <v>1</v>
      </c>
      <c r="G11" s="53"/>
      <c r="I11" s="364"/>
      <c r="J11" s="365"/>
      <c r="K11" s="384"/>
      <c r="L11" s="386"/>
    </row>
    <row r="12" spans="1:14" ht="14.25" customHeight="1">
      <c r="A12" s="165"/>
      <c r="B12" s="368" t="s">
        <v>315</v>
      </c>
      <c r="C12" s="344">
        <f>+'[3]2.SZ.TÁBL. BEVÉTELEK'!$E12</f>
        <v>1397</v>
      </c>
      <c r="D12" s="345"/>
      <c r="E12" s="602">
        <f t="shared" si="1"/>
        <v>1397</v>
      </c>
      <c r="F12" s="611">
        <f t="shared" si="0"/>
        <v>1</v>
      </c>
      <c r="G12" s="53"/>
      <c r="I12" s="364"/>
      <c r="J12" s="365"/>
      <c r="K12" s="384"/>
      <c r="L12" s="386"/>
    </row>
    <row r="13" spans="1:14" ht="14.25" customHeight="1">
      <c r="A13" s="165"/>
      <c r="B13" s="368" t="s">
        <v>316</v>
      </c>
      <c r="C13" s="344">
        <f>+'[3]2.SZ.TÁBL. BEVÉTELEK'!$E13</f>
        <v>864</v>
      </c>
      <c r="D13" s="345"/>
      <c r="E13" s="602">
        <f t="shared" si="1"/>
        <v>864</v>
      </c>
      <c r="F13" s="611">
        <f t="shared" si="0"/>
        <v>1</v>
      </c>
      <c r="G13" s="53"/>
      <c r="I13" s="364"/>
      <c r="J13" s="365"/>
      <c r="K13" s="384"/>
      <c r="L13" s="386"/>
    </row>
    <row r="14" spans="1:14" s="51" customFormat="1" ht="14.25" customHeight="1">
      <c r="A14" s="165"/>
      <c r="B14" s="225"/>
      <c r="C14" s="348"/>
      <c r="D14" s="349"/>
      <c r="E14" s="601"/>
      <c r="F14" s="611"/>
      <c r="G14" s="53"/>
      <c r="H14" s="53"/>
      <c r="I14" s="364"/>
      <c r="K14" s="385"/>
      <c r="L14" s="387"/>
      <c r="M14" s="388"/>
      <c r="N14" s="23"/>
    </row>
    <row r="15" spans="1:14" s="51" customFormat="1" ht="14.25" customHeight="1">
      <c r="A15" s="165"/>
      <c r="B15" s="366" t="s">
        <v>449</v>
      </c>
      <c r="C15" s="344">
        <f>SUM(C16:C21)</f>
        <v>0</v>
      </c>
      <c r="D15" s="345">
        <f>SUM(D16:D21)</f>
        <v>1200</v>
      </c>
      <c r="E15" s="602">
        <f>SUM(E16:E21)</f>
        <v>1200</v>
      </c>
      <c r="F15" s="611"/>
      <c r="G15" s="53"/>
      <c r="H15" s="21" t="s">
        <v>320</v>
      </c>
      <c r="I15" s="23">
        <v>1200000</v>
      </c>
      <c r="J15" s="23"/>
      <c r="K15" s="385"/>
      <c r="M15" s="23"/>
      <c r="N15" s="23"/>
    </row>
    <row r="16" spans="1:14" s="347" customFormat="1" ht="14.25" customHeight="1">
      <c r="A16" s="165"/>
      <c r="B16" s="368" t="s">
        <v>311</v>
      </c>
      <c r="C16" s="344"/>
      <c r="D16" s="345">
        <f>+N16</f>
        <v>215</v>
      </c>
      <c r="E16" s="602">
        <f>SUM(C16:D16)</f>
        <v>215</v>
      </c>
      <c r="F16" s="611"/>
      <c r="G16" s="53"/>
      <c r="H16" s="346"/>
      <c r="I16" s="364"/>
      <c r="J16" s="365" t="s">
        <v>311</v>
      </c>
      <c r="K16" s="384">
        <v>2771</v>
      </c>
      <c r="L16" s="386">
        <f>+K16/K22</f>
        <v>0.17936436015276069</v>
      </c>
      <c r="M16" s="829">
        <f t="shared" ref="M16:M21" si="2">+$I$15*L16</f>
        <v>215237.23218331282</v>
      </c>
      <c r="N16" s="57">
        <v>215</v>
      </c>
    </row>
    <row r="17" spans="1:14" ht="14.25" customHeight="1">
      <c r="A17" s="165"/>
      <c r="B17" s="368" t="s">
        <v>318</v>
      </c>
      <c r="C17" s="344"/>
      <c r="D17" s="345">
        <f t="shared" ref="D17:D21" si="3">+N17</f>
        <v>98</v>
      </c>
      <c r="E17" s="602">
        <f t="shared" ref="E17:E21" si="4">SUM(C17:D17)</f>
        <v>98</v>
      </c>
      <c r="F17" s="611"/>
      <c r="G17" s="53"/>
      <c r="I17" s="364"/>
      <c r="J17" s="365" t="s">
        <v>318</v>
      </c>
      <c r="K17" s="384">
        <v>1262</v>
      </c>
      <c r="L17" s="386">
        <f>+K17/K22</f>
        <v>8.1688135154378921E-2</v>
      </c>
      <c r="M17" s="829">
        <f t="shared" si="2"/>
        <v>98025.762185254702</v>
      </c>
      <c r="N17" s="23">
        <v>98</v>
      </c>
    </row>
    <row r="18" spans="1:14" ht="14.25" customHeight="1">
      <c r="A18" s="165"/>
      <c r="B18" s="368" t="s">
        <v>313</v>
      </c>
      <c r="C18" s="344"/>
      <c r="D18" s="345">
        <f t="shared" si="3"/>
        <v>85</v>
      </c>
      <c r="E18" s="602">
        <f t="shared" si="4"/>
        <v>85</v>
      </c>
      <c r="F18" s="611"/>
      <c r="G18" s="53"/>
      <c r="I18" s="364"/>
      <c r="J18" s="365" t="s">
        <v>313</v>
      </c>
      <c r="K18" s="384">
        <v>1090</v>
      </c>
      <c r="L18" s="386">
        <f>+K18/K22</f>
        <v>7.0554728461389091E-2</v>
      </c>
      <c r="M18" s="829">
        <f t="shared" si="2"/>
        <v>84665.674153666914</v>
      </c>
      <c r="N18" s="23">
        <v>85</v>
      </c>
    </row>
    <row r="19" spans="1:14" ht="14.25" customHeight="1">
      <c r="A19" s="165"/>
      <c r="B19" s="368" t="s">
        <v>314</v>
      </c>
      <c r="C19" s="344"/>
      <c r="D19" s="345">
        <f t="shared" si="3"/>
        <v>443</v>
      </c>
      <c r="E19" s="602">
        <f t="shared" si="4"/>
        <v>443</v>
      </c>
      <c r="F19" s="611"/>
      <c r="G19" s="53"/>
      <c r="I19" s="364"/>
      <c r="J19" s="365" t="s">
        <v>314</v>
      </c>
      <c r="K19" s="384">
        <v>5699</v>
      </c>
      <c r="L19" s="386">
        <f>+K19/K22</f>
        <v>0.36889119036830864</v>
      </c>
      <c r="M19" s="829">
        <f t="shared" si="2"/>
        <v>442669.42844197038</v>
      </c>
      <c r="N19" s="23">
        <v>443</v>
      </c>
    </row>
    <row r="20" spans="1:14" ht="14.25" customHeight="1">
      <c r="A20" s="165"/>
      <c r="B20" s="368" t="s">
        <v>10</v>
      </c>
      <c r="C20" s="344"/>
      <c r="D20" s="345">
        <f t="shared" si="3"/>
        <v>161</v>
      </c>
      <c r="E20" s="602">
        <f t="shared" si="4"/>
        <v>161</v>
      </c>
      <c r="F20" s="611"/>
      <c r="G20" s="53"/>
      <c r="I20" s="364"/>
      <c r="J20" s="365" t="s">
        <v>10</v>
      </c>
      <c r="K20" s="384">
        <v>2078</v>
      </c>
      <c r="L20" s="386">
        <f>+K20/K22</f>
        <v>0.13450708783740048</v>
      </c>
      <c r="M20" s="829">
        <f t="shared" si="2"/>
        <v>161408.50540488056</v>
      </c>
      <c r="N20" s="23">
        <v>161</v>
      </c>
    </row>
    <row r="21" spans="1:14" ht="14.25" customHeight="1">
      <c r="A21" s="165"/>
      <c r="B21" s="368" t="s">
        <v>295</v>
      </c>
      <c r="C21" s="344"/>
      <c r="D21" s="345">
        <f t="shared" si="3"/>
        <v>198</v>
      </c>
      <c r="E21" s="602">
        <f t="shared" si="4"/>
        <v>198</v>
      </c>
      <c r="F21" s="611"/>
      <c r="G21" s="53"/>
      <c r="I21" s="364"/>
      <c r="J21" s="365" t="s">
        <v>295</v>
      </c>
      <c r="K21" s="384">
        <v>2549</v>
      </c>
      <c r="L21" s="386">
        <f>+K21/K22</f>
        <v>0.16499449802576219</v>
      </c>
      <c r="M21" s="829">
        <f t="shared" si="2"/>
        <v>197993.39763091464</v>
      </c>
      <c r="N21" s="23">
        <v>198</v>
      </c>
    </row>
    <row r="22" spans="1:14" s="51" customFormat="1" ht="14.25" customHeight="1">
      <c r="A22" s="165"/>
      <c r="B22" s="225"/>
      <c r="C22" s="348"/>
      <c r="D22" s="349"/>
      <c r="E22" s="601"/>
      <c r="F22" s="611"/>
      <c r="G22" s="53"/>
      <c r="H22" s="53"/>
      <c r="I22" s="364"/>
      <c r="K22" s="385">
        <f>SUM(K16:K21)</f>
        <v>15449</v>
      </c>
      <c r="L22" s="387"/>
      <c r="M22" s="829">
        <f>SUM(M16:M21)</f>
        <v>1200000</v>
      </c>
      <c r="N22" s="23">
        <f>SUM(N16:N21)</f>
        <v>1200</v>
      </c>
    </row>
    <row r="23" spans="1:14" ht="14.25" customHeight="1">
      <c r="A23" s="168"/>
      <c r="B23" s="366" t="s">
        <v>317</v>
      </c>
      <c r="C23" s="344">
        <f>+SUM(C24:C26)</f>
        <v>20149</v>
      </c>
      <c r="D23" s="345">
        <f>+SUM(D24:D26)</f>
        <v>-7149</v>
      </c>
      <c r="E23" s="602">
        <f>+SUM(E24:E26)</f>
        <v>13000</v>
      </c>
      <c r="F23" s="611">
        <f t="shared" si="0"/>
        <v>0.64519330984167944</v>
      </c>
      <c r="G23" s="21"/>
      <c r="I23" s="364"/>
    </row>
    <row r="24" spans="1:14" ht="14.25" customHeight="1">
      <c r="A24" s="168"/>
      <c r="B24" s="368" t="s">
        <v>311</v>
      </c>
      <c r="C24" s="344">
        <f>+'4.SZ.TÁBL. ÓVODA'!R33</f>
        <v>12905</v>
      </c>
      <c r="D24" s="345">
        <f>+'4.SZ.TÁBL. ÓVODA'!S33</f>
        <v>-6281</v>
      </c>
      <c r="E24" s="602">
        <f>SUM(C24:D24)</f>
        <v>6624</v>
      </c>
      <c r="F24" s="611">
        <f t="shared" si="0"/>
        <v>0.51328942270437816</v>
      </c>
      <c r="G24" s="21"/>
      <c r="I24" s="364"/>
    </row>
    <row r="25" spans="1:14" ht="14.25" customHeight="1">
      <c r="A25" s="168"/>
      <c r="B25" s="368" t="s">
        <v>318</v>
      </c>
      <c r="C25" s="344">
        <f>+'4.SZ.TÁBL. ÓVODA'!R34</f>
        <v>4293</v>
      </c>
      <c r="D25" s="345">
        <f>+'4.SZ.TÁBL. ÓVODA'!S34</f>
        <v>337</v>
      </c>
      <c r="E25" s="602">
        <f t="shared" ref="E25:E26" si="5">SUM(C25:D25)</f>
        <v>4630</v>
      </c>
      <c r="F25" s="611">
        <f t="shared" si="0"/>
        <v>1.07849988353133</v>
      </c>
      <c r="G25" s="21"/>
    </row>
    <row r="26" spans="1:14" ht="14.25" customHeight="1">
      <c r="A26" s="168"/>
      <c r="B26" s="368" t="s">
        <v>316</v>
      </c>
      <c r="C26" s="344">
        <f>+'4.SZ.TÁBL. ÓVODA'!R35</f>
        <v>2951</v>
      </c>
      <c r="D26" s="345">
        <f>+'4.SZ.TÁBL. ÓVODA'!S35</f>
        <v>-1205</v>
      </c>
      <c r="E26" s="602">
        <f t="shared" si="5"/>
        <v>1746</v>
      </c>
      <c r="F26" s="611">
        <f t="shared" si="0"/>
        <v>0.59166384276516437</v>
      </c>
      <c r="G26" s="21"/>
    </row>
    <row r="27" spans="1:14" ht="14.25" customHeight="1">
      <c r="A27" s="168"/>
      <c r="B27" s="383"/>
      <c r="C27" s="344"/>
      <c r="D27" s="345"/>
      <c r="E27" s="602"/>
      <c r="F27" s="611"/>
      <c r="G27" s="21"/>
    </row>
    <row r="28" spans="1:14" ht="14.25" customHeight="1">
      <c r="A28" s="168"/>
      <c r="B28" s="366" t="s">
        <v>319</v>
      </c>
      <c r="C28" s="344">
        <f>+SUM(C29:C35)</f>
        <v>44219</v>
      </c>
      <c r="D28" s="345">
        <f>+SUM(D29:D35)</f>
        <v>-8869</v>
      </c>
      <c r="E28" s="602">
        <f>+SUM(E29:E35)</f>
        <v>35350</v>
      </c>
      <c r="F28" s="611">
        <f t="shared" si="0"/>
        <v>0.79943010922906443</v>
      </c>
      <c r="G28" s="21"/>
    </row>
    <row r="29" spans="1:14" ht="14.25" customHeight="1">
      <c r="A29" s="168"/>
      <c r="B29" s="368" t="s">
        <v>311</v>
      </c>
      <c r="C29" s="344">
        <f>+'3.SZ.TÁBL. SEGÍTŐ SZOLGÁLAT'!AA33</f>
        <v>8990</v>
      </c>
      <c r="D29" s="344">
        <f>+'3.SZ.TÁBL. SEGÍTŐ SZOLGÁLAT'!AB33</f>
        <v>-1518</v>
      </c>
      <c r="E29" s="602">
        <f>SUM(C29:D29)</f>
        <v>7472</v>
      </c>
      <c r="F29" s="611">
        <f t="shared" si="0"/>
        <v>0.83114571746384869</v>
      </c>
      <c r="G29" s="21"/>
    </row>
    <row r="30" spans="1:14" ht="14.25" customHeight="1">
      <c r="A30" s="168"/>
      <c r="B30" s="368" t="s">
        <v>318</v>
      </c>
      <c r="C30" s="344">
        <f>+'3.SZ.TÁBL. SEGÍTŐ SZOLGÁLAT'!AA34</f>
        <v>2606</v>
      </c>
      <c r="D30" s="344">
        <f>+'3.SZ.TÁBL. SEGÍTŐ SZOLGÁLAT'!AB34</f>
        <v>-576</v>
      </c>
      <c r="E30" s="602">
        <f t="shared" ref="E30:E35" si="6">SUM(C30:D30)</f>
        <v>2030</v>
      </c>
      <c r="F30" s="611">
        <f t="shared" si="0"/>
        <v>0.77897160399079046</v>
      </c>
      <c r="G30" s="21"/>
    </row>
    <row r="31" spans="1:14" ht="14.25" customHeight="1">
      <c r="A31" s="168"/>
      <c r="B31" s="368" t="s">
        <v>313</v>
      </c>
      <c r="C31" s="344">
        <f>+'3.SZ.TÁBL. SEGÍTŐ SZOLGÁLAT'!AA35</f>
        <v>2252</v>
      </c>
      <c r="D31" s="344">
        <f>+'3.SZ.TÁBL. SEGÍTŐ SZOLGÁLAT'!AB35</f>
        <v>-499</v>
      </c>
      <c r="E31" s="602">
        <f t="shared" si="6"/>
        <v>1753</v>
      </c>
      <c r="F31" s="611">
        <f t="shared" si="0"/>
        <v>0.77841918294849022</v>
      </c>
      <c r="G31" s="21"/>
      <c r="J31" s="382"/>
      <c r="K31" s="382"/>
    </row>
    <row r="32" spans="1:14" ht="14.25" customHeight="1">
      <c r="A32" s="168"/>
      <c r="B32" s="368" t="s">
        <v>314</v>
      </c>
      <c r="C32" s="344">
        <f>+'3.SZ.TÁBL. SEGÍTŐ SZOLGÁLAT'!AA36</f>
        <v>14482</v>
      </c>
      <c r="D32" s="344">
        <f>+'3.SZ.TÁBL. SEGÍTŐ SZOLGÁLAT'!AB36</f>
        <v>-2729</v>
      </c>
      <c r="E32" s="602">
        <f t="shared" si="6"/>
        <v>11753</v>
      </c>
      <c r="F32" s="611">
        <f t="shared" si="0"/>
        <v>0.81155917690926671</v>
      </c>
      <c r="G32" s="21"/>
      <c r="I32" s="382"/>
      <c r="L32" s="382"/>
    </row>
    <row r="33" spans="1:14" ht="14.25" customHeight="1">
      <c r="A33" s="168"/>
      <c r="B33" s="368" t="s">
        <v>315</v>
      </c>
      <c r="C33" s="344">
        <f>+'3.SZ.TÁBL. SEGÍTŐ SZOLGÁLAT'!AA37</f>
        <v>6939</v>
      </c>
      <c r="D33" s="344">
        <f>+'3.SZ.TÁBL. SEGÍTŐ SZOLGÁLAT'!AB37</f>
        <v>-1534</v>
      </c>
      <c r="E33" s="602">
        <f t="shared" si="6"/>
        <v>5405</v>
      </c>
      <c r="F33" s="611">
        <f t="shared" si="0"/>
        <v>0.77893068165441703</v>
      </c>
      <c r="G33" s="21"/>
    </row>
    <row r="34" spans="1:14" s="382" customFormat="1" ht="14.25" customHeight="1">
      <c r="A34" s="168"/>
      <c r="B34" s="368" t="s">
        <v>316</v>
      </c>
      <c r="C34" s="344">
        <f>+'3.SZ.TÁBL. SEGÍTŐ SZOLGÁLAT'!AA38</f>
        <v>4291</v>
      </c>
      <c r="D34" s="344">
        <f>+'3.SZ.TÁBL. SEGÍTŐ SZOLGÁLAT'!AB38</f>
        <v>-948</v>
      </c>
      <c r="E34" s="602">
        <f t="shared" si="6"/>
        <v>3343</v>
      </c>
      <c r="F34" s="611">
        <f t="shared" si="0"/>
        <v>0.77907247727802376</v>
      </c>
      <c r="G34" s="21"/>
      <c r="H34" s="22"/>
      <c r="I34" s="23"/>
      <c r="J34" s="23"/>
      <c r="K34" s="23"/>
      <c r="L34" s="23"/>
      <c r="M34" s="23"/>
      <c r="N34" s="23"/>
    </row>
    <row r="35" spans="1:14" s="382" customFormat="1" ht="14.25" customHeight="1">
      <c r="A35" s="168"/>
      <c r="B35" s="369" t="s">
        <v>295</v>
      </c>
      <c r="C35" s="344">
        <f>+'3.SZ.TÁBL. SEGÍTŐ SZOLGÁLAT'!AA39</f>
        <v>4659</v>
      </c>
      <c r="D35" s="344">
        <f>+'3.SZ.TÁBL. SEGÍTŐ SZOLGÁLAT'!AB39</f>
        <v>-1065</v>
      </c>
      <c r="E35" s="602">
        <f t="shared" si="6"/>
        <v>3594</v>
      </c>
      <c r="F35" s="611">
        <f t="shared" si="0"/>
        <v>0.77141017385705091</v>
      </c>
      <c r="G35" s="21"/>
      <c r="H35" s="22"/>
      <c r="I35" s="23"/>
      <c r="J35" s="23"/>
      <c r="K35" s="23"/>
      <c r="L35" s="23"/>
      <c r="M35" s="23"/>
      <c r="N35" s="23"/>
    </row>
    <row r="36" spans="1:14" s="363" customFormat="1" ht="14.25" customHeight="1">
      <c r="A36" s="165"/>
      <c r="B36" s="369"/>
      <c r="C36" s="348"/>
      <c r="D36" s="349"/>
      <c r="E36" s="601"/>
      <c r="F36" s="611"/>
      <c r="G36" s="53"/>
      <c r="H36" s="22"/>
      <c r="I36" s="23"/>
      <c r="J36" s="23"/>
      <c r="K36" s="884" t="s">
        <v>384</v>
      </c>
      <c r="L36" s="23"/>
      <c r="M36" s="23"/>
      <c r="N36" s="23"/>
    </row>
    <row r="37" spans="1:14" s="363" customFormat="1" ht="14.25" customHeight="1">
      <c r="A37" s="165"/>
      <c r="B37" s="366" t="s">
        <v>331</v>
      </c>
      <c r="C37" s="344">
        <f>SUM(C38:C45)</f>
        <v>2722</v>
      </c>
      <c r="D37" s="345">
        <f>SUM(D38:D45)</f>
        <v>0</v>
      </c>
      <c r="E37" s="602">
        <f>SUM(E38:E45)</f>
        <v>2722</v>
      </c>
      <c r="F37" s="611">
        <f t="shared" si="0"/>
        <v>1</v>
      </c>
      <c r="G37" s="53"/>
      <c r="H37" s="362"/>
      <c r="I37" s="23"/>
      <c r="J37" s="23"/>
      <c r="K37" s="884"/>
      <c r="L37" s="23"/>
      <c r="M37" s="23"/>
      <c r="N37" s="23"/>
    </row>
    <row r="38" spans="1:14" s="363" customFormat="1" ht="14.25" customHeight="1">
      <c r="A38" s="165"/>
      <c r="B38" s="368" t="s">
        <v>311</v>
      </c>
      <c r="C38" s="344">
        <f>+'[3]2.SZ.TÁBL. BEVÉTELEK'!$E30</f>
        <v>277</v>
      </c>
      <c r="D38" s="345"/>
      <c r="E38" s="602">
        <f>SUM(C38:D38)</f>
        <v>277</v>
      </c>
      <c r="F38" s="611">
        <f t="shared" si="0"/>
        <v>1</v>
      </c>
      <c r="G38" s="53"/>
      <c r="H38" s="21" t="s">
        <v>321</v>
      </c>
      <c r="I38" s="23">
        <v>100</v>
      </c>
      <c r="J38" s="23" t="s">
        <v>4</v>
      </c>
      <c r="K38" s="384">
        <v>2744</v>
      </c>
      <c r="L38" s="21">
        <f>+$I$38*K38</f>
        <v>274400</v>
      </c>
      <c r="M38" s="23">
        <v>274</v>
      </c>
      <c r="N38" s="23"/>
    </row>
    <row r="39" spans="1:14" s="363" customFormat="1" ht="14.25" customHeight="1">
      <c r="A39" s="165"/>
      <c r="B39" s="368" t="s">
        <v>312</v>
      </c>
      <c r="C39" s="344">
        <f>+'[3]2.SZ.TÁBL. BEVÉTELEK'!$E31</f>
        <v>841</v>
      </c>
      <c r="D39" s="345"/>
      <c r="E39" s="602">
        <f t="shared" ref="E39:E45" si="7">SUM(C39:D39)</f>
        <v>841</v>
      </c>
      <c r="F39" s="611">
        <f t="shared" si="0"/>
        <v>1</v>
      </c>
      <c r="G39" s="53"/>
      <c r="H39" s="21"/>
      <c r="I39" s="23"/>
      <c r="J39" s="23" t="s">
        <v>5</v>
      </c>
      <c r="K39" s="384">
        <v>8542</v>
      </c>
      <c r="L39" s="21">
        <f t="shared" ref="L39:L45" si="8">+$I$38*K39</f>
        <v>854200</v>
      </c>
      <c r="M39" s="23">
        <v>854</v>
      </c>
      <c r="N39" s="23"/>
    </row>
    <row r="40" spans="1:14" s="363" customFormat="1" ht="14.25" customHeight="1">
      <c r="A40" s="165"/>
      <c r="B40" s="368" t="s">
        <v>318</v>
      </c>
      <c r="C40" s="344">
        <f>+'[3]2.SZ.TÁBL. BEVÉTELEK'!$E32</f>
        <v>126</v>
      </c>
      <c r="D40" s="345"/>
      <c r="E40" s="602">
        <f t="shared" si="7"/>
        <v>126</v>
      </c>
      <c r="F40" s="611">
        <f t="shared" si="0"/>
        <v>1</v>
      </c>
      <c r="G40" s="53"/>
      <c r="H40" s="21"/>
      <c r="I40" s="23"/>
      <c r="J40" s="23" t="s">
        <v>6</v>
      </c>
      <c r="K40" s="384">
        <v>1246</v>
      </c>
      <c r="L40" s="21">
        <f t="shared" si="8"/>
        <v>124600</v>
      </c>
      <c r="M40" s="23">
        <v>125</v>
      </c>
      <c r="N40" s="23"/>
    </row>
    <row r="41" spans="1:14" s="363" customFormat="1" ht="14.25" customHeight="1">
      <c r="A41" s="165"/>
      <c r="B41" s="368" t="s">
        <v>313</v>
      </c>
      <c r="C41" s="344">
        <f>+'[3]2.SZ.TÁBL. BEVÉTELEK'!$E33</f>
        <v>109</v>
      </c>
      <c r="D41" s="345"/>
      <c r="E41" s="602">
        <f t="shared" si="7"/>
        <v>109</v>
      </c>
      <c r="F41" s="611">
        <f t="shared" si="0"/>
        <v>1</v>
      </c>
      <c r="G41" s="53"/>
      <c r="H41" s="21"/>
      <c r="I41" s="23"/>
      <c r="J41" s="23" t="s">
        <v>7</v>
      </c>
      <c r="K41" s="384">
        <v>1075</v>
      </c>
      <c r="L41" s="21">
        <f t="shared" si="8"/>
        <v>107500</v>
      </c>
      <c r="M41" s="23">
        <v>107</v>
      </c>
      <c r="N41" s="23"/>
    </row>
    <row r="42" spans="1:14" s="363" customFormat="1" ht="14.25" customHeight="1">
      <c r="A42" s="165"/>
      <c r="B42" s="368" t="s">
        <v>314</v>
      </c>
      <c r="C42" s="344">
        <f>+'[3]2.SZ.TÁBL. BEVÉTELEK'!$E34</f>
        <v>570</v>
      </c>
      <c r="D42" s="345"/>
      <c r="E42" s="602">
        <f t="shared" si="7"/>
        <v>570</v>
      </c>
      <c r="F42" s="611">
        <f t="shared" si="0"/>
        <v>1</v>
      </c>
      <c r="G42" s="53"/>
      <c r="H42" s="21"/>
      <c r="I42" s="23"/>
      <c r="J42" s="23" t="s">
        <v>8</v>
      </c>
      <c r="K42" s="384">
        <v>5668</v>
      </c>
      <c r="L42" s="21">
        <f t="shared" si="8"/>
        <v>566800</v>
      </c>
      <c r="M42" s="23">
        <v>567</v>
      </c>
      <c r="N42" s="23"/>
    </row>
    <row r="43" spans="1:14" s="363" customFormat="1" ht="14.25" customHeight="1">
      <c r="A43" s="165"/>
      <c r="B43" s="368" t="s">
        <v>315</v>
      </c>
      <c r="C43" s="344">
        <f>+'[3]2.SZ.TÁBL. BEVÉTELEK'!$E35</f>
        <v>336</v>
      </c>
      <c r="D43" s="345"/>
      <c r="E43" s="602">
        <f t="shared" si="7"/>
        <v>336</v>
      </c>
      <c r="F43" s="611">
        <f t="shared" si="0"/>
        <v>1</v>
      </c>
      <c r="G43" s="53"/>
      <c r="H43" s="21"/>
      <c r="I43" s="23"/>
      <c r="J43" s="23" t="s">
        <v>9</v>
      </c>
      <c r="K43" s="384">
        <v>3398</v>
      </c>
      <c r="L43" s="21">
        <f t="shared" si="8"/>
        <v>339800</v>
      </c>
      <c r="M43" s="23">
        <v>340</v>
      </c>
      <c r="N43" s="23"/>
    </row>
    <row r="44" spans="1:14" s="363" customFormat="1" ht="14.25" customHeight="1">
      <c r="A44" s="165"/>
      <c r="B44" s="368" t="s">
        <v>316</v>
      </c>
      <c r="C44" s="344">
        <f>+'[3]2.SZ.TÁBL. BEVÉTELEK'!$E36</f>
        <v>208</v>
      </c>
      <c r="D44" s="345"/>
      <c r="E44" s="602">
        <f t="shared" si="7"/>
        <v>208</v>
      </c>
      <c r="F44" s="611">
        <f t="shared" si="0"/>
        <v>1</v>
      </c>
      <c r="G44" s="53"/>
      <c r="H44" s="21"/>
      <c r="I44" s="23"/>
      <c r="J44" s="23" t="s">
        <v>10</v>
      </c>
      <c r="K44" s="384">
        <v>2027</v>
      </c>
      <c r="L44" s="21">
        <f t="shared" si="8"/>
        <v>202700</v>
      </c>
      <c r="M44" s="23">
        <v>203</v>
      </c>
      <c r="N44" s="23"/>
    </row>
    <row r="45" spans="1:14" s="363" customFormat="1" ht="14.25" customHeight="1">
      <c r="A45" s="165"/>
      <c r="B45" s="369" t="s">
        <v>295</v>
      </c>
      <c r="C45" s="344">
        <f>+'[3]2.SZ.TÁBL. BEVÉTELEK'!$E37</f>
        <v>255</v>
      </c>
      <c r="D45" s="345"/>
      <c r="E45" s="602">
        <f t="shared" si="7"/>
        <v>255</v>
      </c>
      <c r="F45" s="611">
        <f t="shared" si="0"/>
        <v>1</v>
      </c>
      <c r="G45" s="53"/>
      <c r="H45" s="362"/>
      <c r="I45" s="23"/>
      <c r="J45" s="57" t="s">
        <v>295</v>
      </c>
      <c r="K45" s="338">
        <v>2519</v>
      </c>
      <c r="L45" s="21">
        <f t="shared" si="8"/>
        <v>251900</v>
      </c>
      <c r="M45" s="338">
        <v>252</v>
      </c>
      <c r="N45" s="23"/>
    </row>
    <row r="46" spans="1:14" s="363" customFormat="1" ht="14.25" customHeight="1">
      <c r="A46" s="165"/>
      <c r="B46" s="369"/>
      <c r="C46" s="348"/>
      <c r="D46" s="345"/>
      <c r="E46" s="602"/>
      <c r="F46" s="611"/>
      <c r="G46" s="53"/>
      <c r="H46" s="362"/>
      <c r="I46" s="23"/>
      <c r="J46" s="23"/>
      <c r="K46" s="385">
        <f>SUM(K38:K45)</f>
        <v>27219</v>
      </c>
      <c r="L46" s="21">
        <f>SUM(L38:L45)</f>
        <v>2721900</v>
      </c>
      <c r="M46" s="21">
        <f>SUM(M38:M45)</f>
        <v>2722</v>
      </c>
      <c r="N46" s="23"/>
    </row>
    <row r="47" spans="1:14" s="363" customFormat="1" ht="14.25" customHeight="1">
      <c r="A47" s="165"/>
      <c r="B47" s="366" t="s">
        <v>336</v>
      </c>
      <c r="C47" s="344">
        <f>+SUM(C48:C54)</f>
        <v>3028</v>
      </c>
      <c r="D47" s="345">
        <f>+SUM(D48:D54)</f>
        <v>0</v>
      </c>
      <c r="E47" s="602">
        <f>+SUM(E48:E54)</f>
        <v>3028</v>
      </c>
      <c r="F47" s="611">
        <f t="shared" si="0"/>
        <v>1</v>
      </c>
      <c r="G47" s="53"/>
      <c r="H47" s="362"/>
      <c r="I47" s="23"/>
      <c r="J47" s="23"/>
      <c r="K47" s="385"/>
      <c r="L47" s="21"/>
      <c r="M47" s="21"/>
      <c r="N47" s="23"/>
    </row>
    <row r="48" spans="1:14" s="363" customFormat="1" ht="14.25" customHeight="1">
      <c r="A48" s="165"/>
      <c r="B48" s="368" t="s">
        <v>311</v>
      </c>
      <c r="C48" s="344">
        <f>+'[3]2.SZ.TÁBL. BEVÉTELEK'!$E40</f>
        <v>386</v>
      </c>
      <c r="D48" s="345"/>
      <c r="E48" s="602">
        <f>SUM(C48:D48)</f>
        <v>386</v>
      </c>
      <c r="F48" s="611">
        <f t="shared" si="0"/>
        <v>1</v>
      </c>
      <c r="G48" s="53"/>
      <c r="H48" s="21" t="s">
        <v>339</v>
      </c>
      <c r="I48" s="23" t="s">
        <v>341</v>
      </c>
      <c r="J48" s="23"/>
      <c r="K48" s="385" t="s">
        <v>340</v>
      </c>
      <c r="L48" s="21"/>
      <c r="M48" s="21"/>
      <c r="N48" s="23"/>
    </row>
    <row r="49" spans="1:16" s="363" customFormat="1" ht="14.25" customHeight="1">
      <c r="A49" s="165"/>
      <c r="B49" s="368" t="s">
        <v>318</v>
      </c>
      <c r="C49" s="344">
        <f>+'[3]2.SZ.TÁBL. BEVÉTELEK'!$E41</f>
        <v>270</v>
      </c>
      <c r="D49" s="345"/>
      <c r="E49" s="602">
        <f t="shared" ref="E49:E54" si="9">SUM(C49:D49)</f>
        <v>270</v>
      </c>
      <c r="F49" s="611">
        <f t="shared" si="0"/>
        <v>1</v>
      </c>
      <c r="G49" s="53"/>
      <c r="H49" s="21"/>
      <c r="I49" s="23">
        <v>12413</v>
      </c>
      <c r="J49" s="23" t="s">
        <v>4</v>
      </c>
      <c r="K49" s="385">
        <f>18+2</f>
        <v>20</v>
      </c>
      <c r="L49" s="21">
        <f>+I49*K49</f>
        <v>248260</v>
      </c>
      <c r="M49" s="21">
        <v>248</v>
      </c>
      <c r="N49" s="23"/>
      <c r="O49" s="23" t="s">
        <v>385</v>
      </c>
      <c r="P49" s="23">
        <v>2073000</v>
      </c>
    </row>
    <row r="50" spans="1:16" s="363" customFormat="1" ht="14.25" customHeight="1">
      <c r="A50" s="165"/>
      <c r="B50" s="368" t="s">
        <v>313</v>
      </c>
      <c r="C50" s="344">
        <f>+'[3]2.SZ.TÁBL. BEVÉTELEK'!$E42</f>
        <v>347</v>
      </c>
      <c r="D50" s="345"/>
      <c r="E50" s="602">
        <f t="shared" si="9"/>
        <v>347</v>
      </c>
      <c r="F50" s="611">
        <f t="shared" si="0"/>
        <v>1</v>
      </c>
      <c r="G50" s="53"/>
      <c r="H50" s="21"/>
      <c r="I50" s="23"/>
      <c r="J50" s="23" t="s">
        <v>6</v>
      </c>
      <c r="K50" s="385">
        <f>25+2</f>
        <v>27</v>
      </c>
      <c r="L50" s="21">
        <f>+I49*K50</f>
        <v>335151</v>
      </c>
      <c r="M50" s="21">
        <v>335</v>
      </c>
      <c r="N50" s="23"/>
      <c r="O50" s="23" t="s">
        <v>386</v>
      </c>
      <c r="P50" s="23">
        <f>+K49+K50+K51+K53+K54+K55</f>
        <v>167</v>
      </c>
    </row>
    <row r="51" spans="1:16" s="363" customFormat="1" ht="14.25" customHeight="1">
      <c r="A51" s="165"/>
      <c r="B51" s="368" t="s">
        <v>314</v>
      </c>
      <c r="C51" s="344">
        <f>+'[3]2.SZ.TÁBL. BEVÉTELEK'!$E43</f>
        <v>955</v>
      </c>
      <c r="D51" s="345"/>
      <c r="E51" s="602">
        <f t="shared" si="9"/>
        <v>955</v>
      </c>
      <c r="F51" s="611">
        <f t="shared" si="0"/>
        <v>1</v>
      </c>
      <c r="G51" s="53"/>
      <c r="H51" s="21"/>
      <c r="I51" s="23"/>
      <c r="J51" s="23" t="s">
        <v>7</v>
      </c>
      <c r="K51" s="385">
        <f>29+2</f>
        <v>31</v>
      </c>
      <c r="L51" s="21">
        <f>+I49*K51</f>
        <v>384803</v>
      </c>
      <c r="M51" s="21">
        <v>385</v>
      </c>
      <c r="N51" s="23"/>
      <c r="O51" s="23" t="s">
        <v>387</v>
      </c>
      <c r="P51" s="23">
        <f>+P49/P50</f>
        <v>12413.173652694612</v>
      </c>
    </row>
    <row r="52" spans="1:16" s="363" customFormat="1" ht="14.25" customHeight="1">
      <c r="A52" s="165"/>
      <c r="B52" s="368" t="s">
        <v>315</v>
      </c>
      <c r="C52" s="344">
        <f>+'[3]2.SZ.TÁBL. BEVÉTELEK'!$E44</f>
        <v>289</v>
      </c>
      <c r="D52" s="345"/>
      <c r="E52" s="602">
        <f t="shared" si="9"/>
        <v>289</v>
      </c>
      <c r="F52" s="611">
        <f t="shared" si="0"/>
        <v>1</v>
      </c>
      <c r="G52" s="53"/>
      <c r="H52" s="21"/>
      <c r="I52" s="23">
        <v>20320</v>
      </c>
      <c r="J52" s="23" t="s">
        <v>8</v>
      </c>
      <c r="K52" s="385">
        <v>46</v>
      </c>
      <c r="L52" s="21">
        <f>+I52*K52</f>
        <v>934720</v>
      </c>
      <c r="M52" s="21">
        <v>935</v>
      </c>
      <c r="N52" s="23"/>
    </row>
    <row r="53" spans="1:16" s="363" customFormat="1" ht="14.25" customHeight="1">
      <c r="A53" s="165"/>
      <c r="B53" s="368" t="s">
        <v>316</v>
      </c>
      <c r="C53" s="344">
        <f>+'[3]2.SZ.TÁBL. BEVÉTELEK'!$E45</f>
        <v>482</v>
      </c>
      <c r="D53" s="345"/>
      <c r="E53" s="602">
        <f t="shared" si="9"/>
        <v>482</v>
      </c>
      <c r="F53" s="611">
        <f t="shared" si="0"/>
        <v>1</v>
      </c>
      <c r="G53" s="53"/>
      <c r="H53" s="21"/>
      <c r="I53" s="23"/>
      <c r="J53" s="23" t="s">
        <v>9</v>
      </c>
      <c r="K53" s="385">
        <f>34+2</f>
        <v>36</v>
      </c>
      <c r="L53" s="21">
        <f>+I49*K53</f>
        <v>446868</v>
      </c>
      <c r="M53" s="21">
        <v>447</v>
      </c>
      <c r="N53" s="23"/>
    </row>
    <row r="54" spans="1:16" s="363" customFormat="1" ht="14.25" customHeight="1">
      <c r="A54" s="165"/>
      <c r="B54" s="369" t="s">
        <v>295</v>
      </c>
      <c r="C54" s="344">
        <f>+'[3]2.SZ.TÁBL. BEVÉTELEK'!$E46</f>
        <v>299</v>
      </c>
      <c r="D54" s="345"/>
      <c r="E54" s="602">
        <f t="shared" si="9"/>
        <v>299</v>
      </c>
      <c r="F54" s="611">
        <f t="shared" si="0"/>
        <v>1</v>
      </c>
      <c r="G54" s="53"/>
      <c r="H54" s="21"/>
      <c r="I54" s="23"/>
      <c r="J54" s="23" t="s">
        <v>10</v>
      </c>
      <c r="K54" s="385">
        <f>20+2</f>
        <v>22</v>
      </c>
      <c r="L54" s="21">
        <f>+I49*K54</f>
        <v>273086</v>
      </c>
      <c r="M54" s="21">
        <v>273</v>
      </c>
      <c r="N54" s="23"/>
    </row>
    <row r="55" spans="1:16" s="363" customFormat="1" ht="14.25" customHeight="1">
      <c r="A55" s="165"/>
      <c r="B55" s="441"/>
      <c r="C55" s="348"/>
      <c r="D55" s="345"/>
      <c r="E55" s="602"/>
      <c r="F55" s="611"/>
      <c r="G55" s="53"/>
      <c r="H55" s="21"/>
      <c r="I55" s="23"/>
      <c r="J55" s="57" t="s">
        <v>295</v>
      </c>
      <c r="K55" s="385">
        <f>29+2</f>
        <v>31</v>
      </c>
      <c r="L55" s="21">
        <f>+I49*K55</f>
        <v>384803</v>
      </c>
      <c r="M55" s="21">
        <v>385</v>
      </c>
      <c r="N55" s="23"/>
    </row>
    <row r="56" spans="1:16" s="363" customFormat="1" ht="14.25" customHeight="1">
      <c r="A56" s="165"/>
      <c r="B56" s="366" t="s">
        <v>337</v>
      </c>
      <c r="C56" s="344">
        <f>+SUM(C57:C63)</f>
        <v>6926</v>
      </c>
      <c r="D56" s="345">
        <f>+SUM(D57:D63)</f>
        <v>0</v>
      </c>
      <c r="E56" s="602">
        <f>+SUM(E57:E63)</f>
        <v>6926</v>
      </c>
      <c r="F56" s="611">
        <f t="shared" si="0"/>
        <v>1</v>
      </c>
      <c r="G56" s="53"/>
      <c r="H56" s="21"/>
      <c r="I56" s="23"/>
      <c r="J56" s="57"/>
      <c r="K56" s="385"/>
      <c r="L56" s="21">
        <f>SUM(L49:L55)</f>
        <v>3007691</v>
      </c>
      <c r="M56" s="21">
        <f>SUM(M49:M55)</f>
        <v>3008</v>
      </c>
      <c r="N56" s="23"/>
    </row>
    <row r="57" spans="1:16" s="363" customFormat="1" ht="14.25" customHeight="1">
      <c r="A57" s="165"/>
      <c r="B57" s="368" t="s">
        <v>311</v>
      </c>
      <c r="C57" s="344">
        <f>+'[3]2.SZ.TÁBL. BEVÉTELEK'!$E49</f>
        <v>2058</v>
      </c>
      <c r="D57" s="345"/>
      <c r="E57" s="602">
        <f>SUM(C57:D57)</f>
        <v>2058</v>
      </c>
      <c r="F57" s="611">
        <f t="shared" si="0"/>
        <v>1</v>
      </c>
      <c r="G57" s="53"/>
      <c r="H57" s="21"/>
      <c r="I57" s="23"/>
      <c r="J57" s="23"/>
      <c r="K57" s="385"/>
      <c r="L57" s="21"/>
      <c r="M57" s="21"/>
      <c r="N57" s="23"/>
      <c r="O57" s="23"/>
    </row>
    <row r="58" spans="1:16" s="363" customFormat="1" ht="14.25" customHeight="1">
      <c r="A58" s="165"/>
      <c r="B58" s="368" t="s">
        <v>312</v>
      </c>
      <c r="C58" s="344">
        <f>+'[3]2.SZ.TÁBL. BEVÉTELEK'!$E50</f>
        <v>408</v>
      </c>
      <c r="D58" s="345"/>
      <c r="E58" s="602">
        <f t="shared" ref="E58:E63" si="10">SUM(C58:D58)</f>
        <v>408</v>
      </c>
      <c r="F58" s="611">
        <f t="shared" si="0"/>
        <v>1</v>
      </c>
      <c r="G58" s="53"/>
      <c r="H58" s="21" t="s">
        <v>322</v>
      </c>
      <c r="I58" s="23"/>
      <c r="J58" s="23" t="s">
        <v>323</v>
      </c>
      <c r="K58" s="23" t="s">
        <v>324</v>
      </c>
      <c r="L58" s="21">
        <v>171405</v>
      </c>
      <c r="M58" s="23"/>
      <c r="N58" s="23"/>
      <c r="O58" s="23"/>
    </row>
    <row r="59" spans="1:16" ht="12.75">
      <c r="A59" s="165"/>
      <c r="B59" s="368" t="s">
        <v>318</v>
      </c>
      <c r="C59" s="344">
        <f>+'[3]2.SZ.TÁBL. BEVÉTELEK'!$E51</f>
        <v>1000</v>
      </c>
      <c r="D59" s="345"/>
      <c r="E59" s="602">
        <f t="shared" si="10"/>
        <v>1000</v>
      </c>
      <c r="F59" s="611">
        <f t="shared" si="0"/>
        <v>1</v>
      </c>
      <c r="G59" s="53"/>
      <c r="J59" s="23" t="s">
        <v>4</v>
      </c>
      <c r="K59" s="389">
        <v>0.4</v>
      </c>
      <c r="L59" s="74">
        <f>+$L$58*K59*0.02</f>
        <v>1371.24</v>
      </c>
      <c r="M59" s="23">
        <v>1371</v>
      </c>
    </row>
    <row r="60" spans="1:16" ht="12.95" customHeight="1">
      <c r="A60" s="165"/>
      <c r="B60" s="368" t="s">
        <v>313</v>
      </c>
      <c r="C60" s="344">
        <f>+'[3]2.SZ.TÁBL. BEVÉTELEK'!$E52</f>
        <v>243</v>
      </c>
      <c r="D60" s="345"/>
      <c r="E60" s="602">
        <f t="shared" si="10"/>
        <v>243</v>
      </c>
      <c r="F60" s="611">
        <f t="shared" si="0"/>
        <v>1</v>
      </c>
      <c r="G60" s="53"/>
      <c r="J60" s="23" t="s">
        <v>6</v>
      </c>
      <c r="K60" s="389">
        <v>0.2</v>
      </c>
      <c r="L60" s="74">
        <f>+$L$58*K60*0.02</f>
        <v>685.62</v>
      </c>
      <c r="M60" s="23">
        <v>686</v>
      </c>
    </row>
    <row r="61" spans="1:16" ht="12.95" customHeight="1">
      <c r="A61" s="165"/>
      <c r="B61" s="368" t="s">
        <v>315</v>
      </c>
      <c r="C61" s="344">
        <f>+'[3]2.SZ.TÁBL. BEVÉTELEK'!$E53</f>
        <v>747</v>
      </c>
      <c r="D61" s="345"/>
      <c r="E61" s="602">
        <f t="shared" si="10"/>
        <v>747</v>
      </c>
      <c r="F61" s="611">
        <f t="shared" si="0"/>
        <v>1</v>
      </c>
      <c r="G61" s="53"/>
      <c r="J61" s="23" t="s">
        <v>10</v>
      </c>
      <c r="K61" s="389">
        <v>0.4</v>
      </c>
      <c r="L61" s="74">
        <f>+$L$58*K61*0.02</f>
        <v>1371.24</v>
      </c>
      <c r="M61" s="23">
        <v>1371</v>
      </c>
    </row>
    <row r="62" spans="1:16" ht="12.95" customHeight="1">
      <c r="A62" s="165"/>
      <c r="B62" s="368" t="s">
        <v>316</v>
      </c>
      <c r="C62" s="344">
        <f>+'[3]2.SZ.TÁBL. BEVÉTELEK'!$E54</f>
        <v>1904</v>
      </c>
      <c r="D62" s="345"/>
      <c r="E62" s="602">
        <f t="shared" si="10"/>
        <v>1904</v>
      </c>
      <c r="F62" s="611">
        <f t="shared" si="0"/>
        <v>1</v>
      </c>
      <c r="G62" s="53"/>
      <c r="K62" s="389">
        <f>SUM(K59:K61)</f>
        <v>1</v>
      </c>
      <c r="L62" s="74">
        <f>SUM(L59:L61)</f>
        <v>3428.1000000000004</v>
      </c>
      <c r="M62" s="23">
        <f>SUM(M59:M61)</f>
        <v>3428</v>
      </c>
    </row>
    <row r="63" spans="1:16" ht="12.95" customHeight="1">
      <c r="A63" s="165"/>
      <c r="B63" s="369" t="s">
        <v>295</v>
      </c>
      <c r="C63" s="344">
        <f>+'[3]2.SZ.TÁBL. BEVÉTELEK'!$E55</f>
        <v>566</v>
      </c>
      <c r="D63" s="345"/>
      <c r="E63" s="602">
        <f t="shared" si="10"/>
        <v>566</v>
      </c>
      <c r="F63" s="611">
        <f t="shared" si="0"/>
        <v>1</v>
      </c>
      <c r="G63" s="53"/>
      <c r="L63" s="21"/>
    </row>
    <row r="64" spans="1:16" ht="12.95" customHeight="1">
      <c r="A64" s="165"/>
      <c r="B64" s="369"/>
      <c r="C64" s="348"/>
      <c r="D64" s="345"/>
      <c r="E64" s="602"/>
      <c r="F64" s="611"/>
      <c r="G64" s="53"/>
      <c r="J64" s="23" t="s">
        <v>325</v>
      </c>
      <c r="K64" s="23" t="s">
        <v>324</v>
      </c>
      <c r="L64" s="21">
        <v>91644</v>
      </c>
    </row>
    <row r="65" spans="1:14" ht="12.95" customHeight="1">
      <c r="A65" s="165"/>
      <c r="B65" s="366" t="s">
        <v>356</v>
      </c>
      <c r="C65" s="344">
        <f>+C66</f>
        <v>0</v>
      </c>
      <c r="D65" s="345">
        <f>+D66</f>
        <v>0</v>
      </c>
      <c r="E65" s="602">
        <f>+E66</f>
        <v>0</v>
      </c>
      <c r="F65" s="611"/>
      <c r="G65" s="53"/>
      <c r="J65" s="23" t="s">
        <v>326</v>
      </c>
      <c r="K65" s="384">
        <v>2744</v>
      </c>
      <c r="L65" s="386">
        <f>+K65/$K$71</f>
        <v>0.21093089399646398</v>
      </c>
      <c r="M65" s="74">
        <f t="shared" ref="M65:M70" si="11">+$L$64*L65*0.02</f>
        <v>386.61101698823893</v>
      </c>
      <c r="N65" s="385">
        <v>387</v>
      </c>
    </row>
    <row r="66" spans="1:14" ht="12.95" customHeight="1">
      <c r="A66" s="165"/>
      <c r="B66" s="369" t="s">
        <v>8</v>
      </c>
      <c r="C66" s="344">
        <v>0</v>
      </c>
      <c r="D66" s="345"/>
      <c r="E66" s="602">
        <f>SUM(C66:D66)</f>
        <v>0</v>
      </c>
      <c r="F66" s="611"/>
      <c r="G66" s="53"/>
      <c r="J66" s="390" t="s">
        <v>318</v>
      </c>
      <c r="K66" s="384">
        <v>1246</v>
      </c>
      <c r="L66" s="386">
        <f t="shared" ref="L66:L70" si="12">+K66/$K$71</f>
        <v>9.5779844722884158E-2</v>
      </c>
      <c r="M66" s="74">
        <f t="shared" si="11"/>
        <v>175.55296179567992</v>
      </c>
      <c r="N66" s="391">
        <v>175</v>
      </c>
    </row>
    <row r="67" spans="1:14" ht="12.95" customHeight="1">
      <c r="A67" s="165"/>
      <c r="B67" s="369"/>
      <c r="C67" s="348"/>
      <c r="D67" s="345"/>
      <c r="E67" s="602"/>
      <c r="F67" s="611"/>
      <c r="G67" s="53"/>
      <c r="J67" s="390" t="s">
        <v>327</v>
      </c>
      <c r="K67" s="384">
        <v>1075</v>
      </c>
      <c r="L67" s="386">
        <f t="shared" si="12"/>
        <v>8.2635098777769242E-2</v>
      </c>
      <c r="M67" s="74">
        <f t="shared" si="11"/>
        <v>151.4602198477977</v>
      </c>
      <c r="N67" s="385">
        <v>151</v>
      </c>
    </row>
    <row r="68" spans="1:14" ht="12.95" customHeight="1">
      <c r="A68" s="165"/>
      <c r="B68" s="366" t="s">
        <v>338</v>
      </c>
      <c r="C68" s="344">
        <f>+SUM(C69:C74)</f>
        <v>219908</v>
      </c>
      <c r="D68" s="345">
        <f>+SUM(D69:D74)</f>
        <v>-32731</v>
      </c>
      <c r="E68" s="602">
        <f>+SUM(E69:E74)</f>
        <v>187177</v>
      </c>
      <c r="F68" s="611">
        <f t="shared" si="0"/>
        <v>0.85116048529385013</v>
      </c>
      <c r="G68" s="53"/>
      <c r="J68" s="390" t="s">
        <v>328</v>
      </c>
      <c r="K68" s="384">
        <v>3398</v>
      </c>
      <c r="L68" s="386">
        <f t="shared" si="12"/>
        <v>0.26120378199707894</v>
      </c>
      <c r="M68" s="74">
        <f t="shared" si="11"/>
        <v>478.75518794680602</v>
      </c>
      <c r="N68" s="385">
        <v>479</v>
      </c>
    </row>
    <row r="69" spans="1:14" ht="12.95" customHeight="1">
      <c r="A69" s="165"/>
      <c r="B69" s="369" t="s">
        <v>333</v>
      </c>
      <c r="C69" s="344">
        <f>+'5.SZ.TÁBL. ÓVODAI NORMATÍVA'!Q18</f>
        <v>156264</v>
      </c>
      <c r="D69" s="345">
        <f>+'5.SZ.TÁBL. ÓVODAI NORMATÍVA'!R18</f>
        <v>-53018</v>
      </c>
      <c r="E69" s="602">
        <f>SUM(C69:D69)</f>
        <v>103246</v>
      </c>
      <c r="F69" s="611">
        <f t="shared" si="0"/>
        <v>0.66071519991808736</v>
      </c>
      <c r="G69" s="53"/>
      <c r="J69" s="390" t="s">
        <v>329</v>
      </c>
      <c r="K69" s="384">
        <v>2027</v>
      </c>
      <c r="L69" s="386">
        <f t="shared" si="12"/>
        <v>0.1558152048581751</v>
      </c>
      <c r="M69" s="74">
        <f t="shared" si="11"/>
        <v>285.590572680452</v>
      </c>
      <c r="N69" s="385">
        <v>286</v>
      </c>
    </row>
    <row r="70" spans="1:14" ht="12.95" customHeight="1">
      <c r="A70" s="165"/>
      <c r="B70" s="369" t="s">
        <v>334</v>
      </c>
      <c r="C70" s="344">
        <f>+'6.SZ.TÁBL. SZOCIÁLIS NORMATÍVA'!F12</f>
        <v>56608</v>
      </c>
      <c r="D70" s="345">
        <f>+'6.SZ.TÁBL. SZOCIÁLIS NORMATÍVA'!G12</f>
        <v>1802</v>
      </c>
      <c r="E70" s="602">
        <f>SUM(C70:D70)</f>
        <v>58410</v>
      </c>
      <c r="F70" s="611">
        <f t="shared" si="0"/>
        <v>1.0318329564725834</v>
      </c>
      <c r="G70" s="53"/>
      <c r="J70" s="390" t="s">
        <v>295</v>
      </c>
      <c r="K70" s="338">
        <v>2519</v>
      </c>
      <c r="L70" s="386">
        <f t="shared" si="12"/>
        <v>0.19363517564762855</v>
      </c>
      <c r="M70" s="74">
        <f t="shared" si="11"/>
        <v>354.91004074102545</v>
      </c>
      <c r="N70" s="385">
        <v>355</v>
      </c>
    </row>
    <row r="71" spans="1:14" ht="12.95" customHeight="1">
      <c r="A71" s="165"/>
      <c r="B71" s="369" t="s">
        <v>393</v>
      </c>
      <c r="C71" s="344">
        <f>+'5.SZ.TÁBL. ÓVODAI NORMATÍVA'!Q19+'6.SZ.TÁBL. SZOCIÁLIS NORMATÍVA'!F21</f>
        <v>993</v>
      </c>
      <c r="D71" s="345">
        <f>+'5.SZ.TÁBL. ÓVODAI NORMATÍVA'!R19+'6.SZ.TÁBL. SZOCIÁLIS NORMATÍVA'!G21</f>
        <v>688</v>
      </c>
      <c r="E71" s="602">
        <f t="shared" ref="E71:E74" si="13">SUM(C71:D71)</f>
        <v>1681</v>
      </c>
      <c r="F71" s="611">
        <f t="shared" si="0"/>
        <v>1.6928499496475327</v>
      </c>
      <c r="G71" s="53"/>
      <c r="J71" s="392"/>
      <c r="K71" s="338">
        <f>SUM(K65:K70)</f>
        <v>13009</v>
      </c>
      <c r="L71" s="389">
        <f>SUM(L65:L70)</f>
        <v>1</v>
      </c>
      <c r="M71" s="74">
        <f>SUM(M65:M70)</f>
        <v>1832.88</v>
      </c>
      <c r="N71" s="385">
        <f>SUM(N65:N70)</f>
        <v>1833</v>
      </c>
    </row>
    <row r="72" spans="1:14" ht="12.95" customHeight="1">
      <c r="A72" s="165"/>
      <c r="B72" s="369" t="s">
        <v>400</v>
      </c>
      <c r="C72" s="344">
        <f>+'6.SZ.TÁBL. SZOCIÁLIS NORMATÍVA'!F30</f>
        <v>6043</v>
      </c>
      <c r="D72" s="345">
        <f>+'6.SZ.TÁBL. SZOCIÁLIS NORMATÍVA'!G30</f>
        <v>8455</v>
      </c>
      <c r="E72" s="602">
        <f t="shared" si="13"/>
        <v>14498</v>
      </c>
      <c r="F72" s="611">
        <f t="shared" si="0"/>
        <v>2.399139500248221</v>
      </c>
      <c r="G72" s="53"/>
    </row>
    <row r="73" spans="1:14" ht="12.95" customHeight="1">
      <c r="A73" s="165"/>
      <c r="B73" s="369" t="s">
        <v>445</v>
      </c>
      <c r="C73" s="344"/>
      <c r="D73" s="345">
        <f>+'6.SZ.TÁBL. SZOCIÁLIS NORMATÍVA'!G39</f>
        <v>5338</v>
      </c>
      <c r="E73" s="602">
        <f t="shared" si="13"/>
        <v>5338</v>
      </c>
      <c r="F73" s="611"/>
      <c r="G73" s="53"/>
      <c r="J73" s="23" t="s">
        <v>330</v>
      </c>
      <c r="K73" s="23" t="s">
        <v>324</v>
      </c>
      <c r="L73" s="23">
        <v>51983</v>
      </c>
    </row>
    <row r="74" spans="1:14" ht="12.95" customHeight="1">
      <c r="A74" s="165"/>
      <c r="B74" s="369" t="s">
        <v>447</v>
      </c>
      <c r="C74" s="344"/>
      <c r="D74" s="345">
        <f>+'5.SZ.TÁBL. ÓVODAI NORMATÍVA'!R20</f>
        <v>4004</v>
      </c>
      <c r="E74" s="602">
        <f t="shared" si="13"/>
        <v>4004</v>
      </c>
      <c r="F74" s="643"/>
      <c r="G74" s="346"/>
      <c r="J74" s="23" t="s">
        <v>4</v>
      </c>
      <c r="K74" s="384">
        <v>2744</v>
      </c>
      <c r="L74" s="386">
        <f>+K74/$K$81</f>
        <v>0.12732587814950583</v>
      </c>
      <c r="M74" s="74">
        <f t="shared" ref="M74:M80" si="14">+$L$73*L74*0.02</f>
        <v>132.37562247691523</v>
      </c>
      <c r="N74" s="23">
        <v>132</v>
      </c>
    </row>
    <row r="75" spans="1:14" ht="12.95" customHeight="1">
      <c r="A75" s="165"/>
      <c r="B75" s="369"/>
      <c r="C75" s="348"/>
      <c r="D75" s="345"/>
      <c r="E75" s="602"/>
      <c r="F75" s="643"/>
      <c r="G75" s="21"/>
      <c r="H75" s="393"/>
      <c r="I75" s="394"/>
      <c r="J75" s="23" t="s">
        <v>5</v>
      </c>
      <c r="K75" s="384">
        <v>8542</v>
      </c>
      <c r="L75" s="386">
        <f t="shared" ref="L75:L80" si="15">+K75/$K$81</f>
        <v>0.39636211776715696</v>
      </c>
      <c r="M75" s="74">
        <f t="shared" si="14"/>
        <v>412.08183935780238</v>
      </c>
      <c r="N75" s="385">
        <v>412</v>
      </c>
    </row>
    <row r="76" spans="1:14" ht="12.95" customHeight="1">
      <c r="A76" s="165"/>
      <c r="B76" s="366" t="s">
        <v>431</v>
      </c>
      <c r="C76" s="344">
        <f>+C77</f>
        <v>1176</v>
      </c>
      <c r="D76" s="345">
        <f>+D77</f>
        <v>0</v>
      </c>
      <c r="E76" s="602">
        <f>+E77</f>
        <v>1176</v>
      </c>
      <c r="F76" s="611">
        <f t="shared" ref="F76:F77" si="16">+E76/C76</f>
        <v>1</v>
      </c>
      <c r="G76" s="21"/>
      <c r="H76" s="395"/>
      <c r="J76" s="23" t="s">
        <v>6</v>
      </c>
      <c r="K76" s="384">
        <v>1246</v>
      </c>
      <c r="L76" s="386">
        <f t="shared" si="15"/>
        <v>5.7816342629112338E-2</v>
      </c>
      <c r="M76" s="74">
        <f t="shared" si="14"/>
        <v>60.109338777782931</v>
      </c>
      <c r="N76" s="385">
        <v>60</v>
      </c>
    </row>
    <row r="77" spans="1:14" ht="12.95" customHeight="1">
      <c r="A77" s="165"/>
      <c r="B77" s="369" t="s">
        <v>9</v>
      </c>
      <c r="C77" s="344">
        <f>+'[3]2.SZ.TÁBL. BEVÉTELEK'!$E$67</f>
        <v>1176</v>
      </c>
      <c r="D77" s="345"/>
      <c r="E77" s="602">
        <f>SUM(C77:D77)</f>
        <v>1176</v>
      </c>
      <c r="F77" s="611">
        <f t="shared" si="16"/>
        <v>1</v>
      </c>
      <c r="G77" s="21"/>
      <c r="H77" s="395"/>
      <c r="I77" s="51"/>
      <c r="J77" s="23" t="s">
        <v>7</v>
      </c>
      <c r="K77" s="384">
        <v>1075</v>
      </c>
      <c r="L77" s="386">
        <f t="shared" si="15"/>
        <v>4.9881676024314418E-2</v>
      </c>
      <c r="M77" s="74">
        <f t="shared" si="14"/>
        <v>51.859983295438724</v>
      </c>
      <c r="N77" s="385">
        <v>52</v>
      </c>
    </row>
    <row r="78" spans="1:14" ht="12.95" customHeight="1">
      <c r="A78" s="165"/>
      <c r="B78" s="441"/>
      <c r="C78" s="344"/>
      <c r="D78" s="345"/>
      <c r="E78" s="602"/>
      <c r="F78" s="643"/>
      <c r="G78" s="22"/>
      <c r="H78" s="395"/>
      <c r="I78" s="51"/>
      <c r="J78" s="23" t="s">
        <v>9</v>
      </c>
      <c r="K78" s="384">
        <v>3398</v>
      </c>
      <c r="L78" s="386">
        <f t="shared" si="15"/>
        <v>0.15767249779592593</v>
      </c>
      <c r="M78" s="74">
        <f t="shared" si="14"/>
        <v>163.92578905851235</v>
      </c>
      <c r="N78" s="385">
        <v>164</v>
      </c>
    </row>
    <row r="79" spans="1:14" ht="12.95" customHeight="1">
      <c r="A79" s="165"/>
      <c r="B79" s="366" t="s">
        <v>433</v>
      </c>
      <c r="C79" s="344">
        <f>+C80</f>
        <v>689</v>
      </c>
      <c r="D79" s="345">
        <f>+D80</f>
        <v>0</v>
      </c>
      <c r="E79" s="602">
        <f>+E80</f>
        <v>689</v>
      </c>
      <c r="F79" s="611">
        <f t="shared" ref="F79:F80" si="17">+E79/C79</f>
        <v>1</v>
      </c>
      <c r="G79" s="21"/>
      <c r="H79" s="395"/>
      <c r="J79" s="23" t="s">
        <v>10</v>
      </c>
      <c r="K79" s="384">
        <v>2027</v>
      </c>
      <c r="L79" s="386">
        <f t="shared" si="15"/>
        <v>9.4055960280265416E-2</v>
      </c>
      <c r="M79" s="74">
        <f t="shared" si="14"/>
        <v>97.786219664980749</v>
      </c>
      <c r="N79" s="385">
        <v>98</v>
      </c>
    </row>
    <row r="80" spans="1:14" ht="12.95" customHeight="1">
      <c r="A80" s="165"/>
      <c r="B80" s="369" t="s">
        <v>6</v>
      </c>
      <c r="C80" s="344">
        <f>+'[3]2.SZ.TÁBL. BEVÉTELEK'!$E$70</f>
        <v>689</v>
      </c>
      <c r="D80" s="345"/>
      <c r="E80" s="602">
        <f>SUM(C80:D80)</f>
        <v>689</v>
      </c>
      <c r="F80" s="611">
        <f t="shared" si="17"/>
        <v>1</v>
      </c>
      <c r="G80" s="21"/>
      <c r="H80" s="395"/>
      <c r="J80" s="390" t="s">
        <v>295</v>
      </c>
      <c r="K80" s="338">
        <v>2519</v>
      </c>
      <c r="L80" s="386">
        <f t="shared" si="15"/>
        <v>0.11688552735371908</v>
      </c>
      <c r="M80" s="74">
        <f t="shared" si="14"/>
        <v>121.52120736856757</v>
      </c>
      <c r="N80" s="385">
        <v>122</v>
      </c>
    </row>
    <row r="81" spans="1:14" ht="12.95" customHeight="1">
      <c r="A81" s="165"/>
      <c r="B81" s="369"/>
      <c r="C81" s="348"/>
      <c r="D81" s="345"/>
      <c r="E81" s="602"/>
      <c r="F81" s="643"/>
      <c r="G81" s="21"/>
      <c r="H81" s="395"/>
      <c r="I81" s="392"/>
      <c r="K81" s="23">
        <f>SUM(K74:K80)</f>
        <v>21551</v>
      </c>
      <c r="L81" s="386">
        <f>SUM(L74:L80)</f>
        <v>1</v>
      </c>
      <c r="M81" s="74">
        <f>SUM(M74:M80)</f>
        <v>1039.6599999999999</v>
      </c>
      <c r="N81" s="385">
        <f>SUM(N74:N80)</f>
        <v>1040</v>
      </c>
    </row>
    <row r="82" spans="1:14" ht="12.95" customHeight="1">
      <c r="A82" s="165"/>
      <c r="B82" s="396" t="s">
        <v>335</v>
      </c>
      <c r="C82" s="344">
        <f>+C6+C23+C28+C37+C47+C56+C65+C68+C79+C76+C15</f>
        <v>309077</v>
      </c>
      <c r="D82" s="345">
        <f>+D6+D23+D28+D37+D47+D56+D65+D68+D79+D76+D15</f>
        <v>-47549</v>
      </c>
      <c r="E82" s="602">
        <f>+E6+E23+E28+E37+E47+E56+E65+E68+E79+E76+E15</f>
        <v>261528</v>
      </c>
      <c r="F82" s="643">
        <f t="shared" ref="F82:F108" si="18">+E82/C82</f>
        <v>0.84615807711347013</v>
      </c>
      <c r="G82" s="21"/>
      <c r="H82" s="395"/>
    </row>
    <row r="83" spans="1:14" ht="12.95" customHeight="1">
      <c r="A83" s="165"/>
      <c r="B83" s="225"/>
      <c r="C83" s="348"/>
      <c r="D83" s="349"/>
      <c r="E83" s="601"/>
      <c r="F83" s="643"/>
      <c r="G83" s="443"/>
      <c r="H83" s="395"/>
    </row>
    <row r="84" spans="1:14" ht="12.95" customHeight="1">
      <c r="A84" s="143" t="s">
        <v>149</v>
      </c>
      <c r="B84" s="233" t="s">
        <v>111</v>
      </c>
      <c r="C84" s="351">
        <f>+C4+C82</f>
        <v>338297</v>
      </c>
      <c r="D84" s="352">
        <f>+D4+D82</f>
        <v>-55709</v>
      </c>
      <c r="E84" s="603">
        <f>+E4+E82</f>
        <v>282588</v>
      </c>
      <c r="F84" s="649">
        <f t="shared" si="18"/>
        <v>0.83532517285107466</v>
      </c>
      <c r="G84" s="53"/>
    </row>
    <row r="85" spans="1:14" ht="12.95" customHeight="1">
      <c r="A85" s="166" t="s">
        <v>150</v>
      </c>
      <c r="B85" s="216" t="s">
        <v>145</v>
      </c>
      <c r="C85" s="341"/>
      <c r="D85" s="350"/>
      <c r="E85" s="604"/>
      <c r="F85" s="645"/>
      <c r="G85" s="21"/>
    </row>
    <row r="86" spans="1:14" ht="12.95" customHeight="1">
      <c r="A86" s="153" t="s">
        <v>151</v>
      </c>
      <c r="B86" s="154" t="s">
        <v>112</v>
      </c>
      <c r="C86" s="342">
        <f>+C87</f>
        <v>0</v>
      </c>
      <c r="D86" s="40">
        <f>+D87</f>
        <v>9261</v>
      </c>
      <c r="E86" s="116">
        <f>+E87</f>
        <v>9261</v>
      </c>
      <c r="F86" s="611"/>
      <c r="G86" s="21"/>
    </row>
    <row r="87" spans="1:14" ht="12.95" customHeight="1">
      <c r="A87" s="165"/>
      <c r="B87" s="225" t="s">
        <v>448</v>
      </c>
      <c r="C87" s="344"/>
      <c r="D87" s="345">
        <f>+[4]Társulás!$AA$19</f>
        <v>9261</v>
      </c>
      <c r="E87" s="602">
        <f>+SUM(C87:D87)</f>
        <v>9261</v>
      </c>
      <c r="F87" s="643"/>
      <c r="G87" s="21"/>
    </row>
    <row r="88" spans="1:14" ht="12.95" customHeight="1">
      <c r="A88" s="143" t="s">
        <v>152</v>
      </c>
      <c r="B88" s="233" t="s">
        <v>113</v>
      </c>
      <c r="C88" s="353">
        <f>+C85+C86</f>
        <v>0</v>
      </c>
      <c r="D88" s="354">
        <f>+D85+D86</f>
        <v>9261</v>
      </c>
      <c r="E88" s="605">
        <f>+E85+E86</f>
        <v>9261</v>
      </c>
      <c r="F88" s="644"/>
      <c r="G88" s="22"/>
    </row>
    <row r="89" spans="1:14" ht="12.95" customHeight="1">
      <c r="A89" s="166" t="s">
        <v>153</v>
      </c>
      <c r="B89" s="216" t="s">
        <v>114</v>
      </c>
      <c r="C89" s="341"/>
      <c r="D89" s="350"/>
      <c r="E89" s="604"/>
      <c r="F89" s="645"/>
      <c r="G89" s="22"/>
    </row>
    <row r="90" spans="1:14" ht="12.95" customHeight="1">
      <c r="A90" s="153" t="s">
        <v>154</v>
      </c>
      <c r="B90" s="154" t="s">
        <v>115</v>
      </c>
      <c r="C90" s="342">
        <f>+'3.SZ.TÁBL. SEGÍTŐ SZOLGÁLAT'!AA13</f>
        <v>1237</v>
      </c>
      <c r="D90" s="40">
        <f>+'3.SZ.TÁBL. SEGÍTŐ SZOLGÁLAT'!AB13</f>
        <v>289</v>
      </c>
      <c r="E90" s="116">
        <f>+'3.SZ.TÁBL. SEGÍTŐ SZOLGÁLAT'!AC13</f>
        <v>1526</v>
      </c>
      <c r="F90" s="611">
        <f t="shared" si="18"/>
        <v>1.2336297493936945</v>
      </c>
      <c r="G90" s="21"/>
    </row>
    <row r="91" spans="1:14" ht="12.95" customHeight="1">
      <c r="A91" s="153" t="s">
        <v>155</v>
      </c>
      <c r="B91" s="154" t="s">
        <v>116</v>
      </c>
      <c r="C91" s="342"/>
      <c r="D91" s="40">
        <f>+'3.SZ.TÁBL. SEGÍTŐ SZOLGÁLAT'!AB14</f>
        <v>0</v>
      </c>
      <c r="E91" s="116">
        <f>SUM(C91:D91)</f>
        <v>0</v>
      </c>
      <c r="F91" s="611"/>
      <c r="G91" s="22"/>
    </row>
    <row r="92" spans="1:14" ht="12.95" customHeight="1">
      <c r="A92" s="153" t="s">
        <v>156</v>
      </c>
      <c r="B92" s="154" t="s">
        <v>117</v>
      </c>
      <c r="C92" s="342"/>
      <c r="D92" s="40"/>
      <c r="E92" s="116"/>
      <c r="F92" s="611"/>
      <c r="G92" s="21"/>
    </row>
    <row r="93" spans="1:14" ht="12.95" customHeight="1">
      <c r="A93" s="153" t="s">
        <v>157</v>
      </c>
      <c r="B93" s="154" t="s">
        <v>118</v>
      </c>
      <c r="C93" s="342">
        <f>+'3.SZ.TÁBL. SEGÍTŐ SZOLGÁLAT'!AA16+'4.SZ.TÁBL. ÓVODA'!R16</f>
        <v>8998</v>
      </c>
      <c r="D93" s="342">
        <f>+'3.SZ.TÁBL. SEGÍTŐ SZOLGÁLAT'!AB16+'4.SZ.TÁBL. ÓVODA'!S16</f>
        <v>11</v>
      </c>
      <c r="E93" s="599">
        <f>+'3.SZ.TÁBL. SEGÍTŐ SZOLGÁLAT'!AC16+'4.SZ.TÁBL. ÓVODA'!T16</f>
        <v>9009</v>
      </c>
      <c r="F93" s="611">
        <f t="shared" si="18"/>
        <v>1.0012224938875305</v>
      </c>
      <c r="G93" s="444"/>
    </row>
    <row r="94" spans="1:14" ht="12.95" customHeight="1">
      <c r="A94" s="153" t="s">
        <v>158</v>
      </c>
      <c r="B94" s="154" t="s">
        <v>119</v>
      </c>
      <c r="C94" s="343"/>
      <c r="D94" s="149"/>
      <c r="E94" s="600"/>
      <c r="F94" s="611"/>
      <c r="G94" s="445"/>
    </row>
    <row r="95" spans="1:14" ht="12.95" customHeight="1">
      <c r="A95" s="153" t="s">
        <v>159</v>
      </c>
      <c r="B95" s="154" t="s">
        <v>120</v>
      </c>
      <c r="C95" s="342"/>
      <c r="D95" s="40"/>
      <c r="E95" s="116"/>
      <c r="F95" s="611"/>
      <c r="G95" s="22"/>
    </row>
    <row r="96" spans="1:14" ht="12.95" customHeight="1">
      <c r="A96" s="153" t="s">
        <v>160</v>
      </c>
      <c r="B96" s="154" t="s">
        <v>121</v>
      </c>
      <c r="C96" s="342"/>
      <c r="D96" s="40"/>
      <c r="E96" s="116">
        <f>SUM(C96:D96)</f>
        <v>0</v>
      </c>
      <c r="F96" s="611"/>
      <c r="G96" s="22"/>
    </row>
    <row r="97" spans="1:7" ht="12.95" customHeight="1">
      <c r="A97" s="168" t="s">
        <v>161</v>
      </c>
      <c r="B97" s="235" t="s">
        <v>122</v>
      </c>
      <c r="C97" s="344"/>
      <c r="D97" s="345">
        <f>+'3.SZ.TÁBL. SEGÍTŐ SZOLGÁLAT'!AB20+'4.SZ.TÁBL. ÓVODA'!S20</f>
        <v>1</v>
      </c>
      <c r="E97" s="116">
        <f>SUM(C97:D97)</f>
        <v>1</v>
      </c>
      <c r="F97" s="643"/>
      <c r="G97" s="22"/>
    </row>
    <row r="98" spans="1:7" ht="12.95" customHeight="1">
      <c r="A98" s="143" t="s">
        <v>162</v>
      </c>
      <c r="B98" s="233" t="s">
        <v>123</v>
      </c>
      <c r="C98" s="353">
        <f>SUM(C89:C97)</f>
        <v>10235</v>
      </c>
      <c r="D98" s="354">
        <f>SUM(D89:D97)</f>
        <v>301</v>
      </c>
      <c r="E98" s="605">
        <f>SUM(E89:E97)</f>
        <v>10536</v>
      </c>
      <c r="F98" s="649">
        <f t="shared" si="18"/>
        <v>1.029408891060088</v>
      </c>
      <c r="G98" s="22"/>
    </row>
    <row r="99" spans="1:7" ht="12.95" customHeight="1">
      <c r="A99" s="143" t="s">
        <v>163</v>
      </c>
      <c r="B99" s="233" t="s">
        <v>124</v>
      </c>
      <c r="C99" s="353"/>
      <c r="D99" s="354"/>
      <c r="E99" s="605"/>
      <c r="F99" s="644"/>
    </row>
    <row r="100" spans="1:7" ht="12.95" customHeight="1">
      <c r="A100" s="170" t="s">
        <v>164</v>
      </c>
      <c r="B100" s="236" t="s">
        <v>125</v>
      </c>
      <c r="C100" s="355"/>
      <c r="D100" s="356"/>
      <c r="E100" s="606"/>
      <c r="F100" s="646"/>
    </row>
    <row r="101" spans="1:7" ht="12.95" customHeight="1">
      <c r="A101" s="143" t="s">
        <v>165</v>
      </c>
      <c r="B101" s="233" t="s">
        <v>285</v>
      </c>
      <c r="C101" s="353">
        <f>+C100</f>
        <v>0</v>
      </c>
      <c r="D101" s="354">
        <f>+D100</f>
        <v>0</v>
      </c>
      <c r="E101" s="605">
        <f>+E100</f>
        <v>0</v>
      </c>
      <c r="F101" s="644"/>
    </row>
    <row r="102" spans="1:7" ht="12.95" customHeight="1">
      <c r="A102" s="170" t="s">
        <v>166</v>
      </c>
      <c r="B102" s="236" t="s">
        <v>126</v>
      </c>
      <c r="C102" s="355"/>
      <c r="D102" s="356"/>
      <c r="E102" s="606"/>
      <c r="F102" s="646"/>
    </row>
    <row r="103" spans="1:7" ht="12.95" customHeight="1">
      <c r="A103" s="143" t="s">
        <v>167</v>
      </c>
      <c r="B103" s="233" t="s">
        <v>286</v>
      </c>
      <c r="C103" s="353">
        <f>+C102</f>
        <v>0</v>
      </c>
      <c r="D103" s="358">
        <f>+D102</f>
        <v>0</v>
      </c>
      <c r="E103" s="607">
        <f>+E102</f>
        <v>0</v>
      </c>
      <c r="F103" s="644"/>
    </row>
    <row r="104" spans="1:7" ht="12.95" customHeight="1">
      <c r="A104" s="143" t="s">
        <v>168</v>
      </c>
      <c r="B104" s="233" t="s">
        <v>127</v>
      </c>
      <c r="C104" s="353">
        <f>+C84+C88+C98+C99+C101+C103</f>
        <v>348532</v>
      </c>
      <c r="D104" s="358">
        <f>+D84+D88+D98+D99+D101+D103</f>
        <v>-46147</v>
      </c>
      <c r="E104" s="607">
        <f>+E84+E88+E98+E99+E101+E103</f>
        <v>302385</v>
      </c>
      <c r="F104" s="649">
        <f t="shared" si="18"/>
        <v>0.86759608873790639</v>
      </c>
    </row>
    <row r="105" spans="1:7" ht="12.95" customHeight="1">
      <c r="A105" s="244" t="s">
        <v>169</v>
      </c>
      <c r="B105" s="233" t="s">
        <v>128</v>
      </c>
      <c r="C105" s="353">
        <f>+'[3]2.SZ.TÁBL. BEVÉTELEK'!$E$95</f>
        <v>17047</v>
      </c>
      <c r="D105" s="354">
        <f>+'3.SZ.TÁBL. SEGÍTŐ SZOLGÁLAT'!AB28+'4.SZ.TÁBL. ÓVODA'!S28+'1.1.SZ.TÁBL. BEV - KIAD'!M28</f>
        <v>0</v>
      </c>
      <c r="E105" s="605">
        <f>SUM(C105:D105)</f>
        <v>17047</v>
      </c>
      <c r="F105" s="644"/>
    </row>
    <row r="106" spans="1:7" ht="12.95" customHeight="1">
      <c r="A106" s="244" t="s">
        <v>283</v>
      </c>
      <c r="B106" s="233" t="s">
        <v>284</v>
      </c>
      <c r="C106" s="353"/>
      <c r="D106" s="354"/>
      <c r="E106" s="605"/>
      <c r="F106" s="644"/>
    </row>
    <row r="107" spans="1:7" ht="12.95" customHeight="1" thickBot="1">
      <c r="A107" s="292" t="s">
        <v>170</v>
      </c>
      <c r="B107" s="357" t="s">
        <v>129</v>
      </c>
      <c r="C107" s="359">
        <f>+SUM(C105:C106)</f>
        <v>17047</v>
      </c>
      <c r="D107" s="360">
        <f>+SUM(D105:D106)</f>
        <v>0</v>
      </c>
      <c r="E107" s="608">
        <f>+SUM(E105:E106)</f>
        <v>17047</v>
      </c>
      <c r="F107" s="647"/>
    </row>
    <row r="108" spans="1:7" ht="12.95" customHeight="1" thickBot="1">
      <c r="A108" s="864" t="s">
        <v>0</v>
      </c>
      <c r="B108" s="865"/>
      <c r="C108" s="361">
        <f>+C104+C107</f>
        <v>365579</v>
      </c>
      <c r="D108" s="41">
        <f>+D104+D107</f>
        <v>-46147</v>
      </c>
      <c r="E108" s="609">
        <f>+E104+E107</f>
        <v>319432</v>
      </c>
      <c r="F108" s="648">
        <f t="shared" si="18"/>
        <v>0.87377010167433034</v>
      </c>
    </row>
  </sheetData>
  <mergeCells count="9">
    <mergeCell ref="A108:B108"/>
    <mergeCell ref="D1:D2"/>
    <mergeCell ref="C1:C2"/>
    <mergeCell ref="K5:K6"/>
    <mergeCell ref="K36:K37"/>
    <mergeCell ref="F1:F2"/>
    <mergeCell ref="E1:E2"/>
    <mergeCell ref="A1:A2"/>
    <mergeCell ref="B1:B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72" orientation="portrait" r:id="rId1"/>
  <headerFooter alignWithMargins="0">
    <oddHeader>&amp;L&amp;"Times New Roman,Félkövér"&amp;13Szent László Völgye TKT&amp;C&amp;"Times New Roman,Félkövér"&amp;16 2017. ÉVI II. KÖLTSÉGVETÉS MÓDOSÍTÁS&amp;R2. sz. táblázat
BEVÉTELEK
Adatok: eFt</oddHeader>
    <oddFooter>&amp;L&amp;F&amp;R&amp;P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1"/>
  </sheetPr>
  <dimension ref="A1:AC161"/>
  <sheetViews>
    <sheetView zoomScaleSheetLayoutView="50" workbookViewId="0">
      <pane xSplit="2" ySplit="2" topLeftCell="Q98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8.85546875" defaultRowHeight="15" customHeight="1"/>
  <cols>
    <col min="1" max="1" width="8.85546875" style="9"/>
    <col min="2" max="2" width="56" style="54" customWidth="1"/>
    <col min="3" max="3" width="11.140625" style="55" customWidth="1"/>
    <col min="4" max="5" width="10.42578125" style="55" customWidth="1"/>
    <col min="6" max="6" width="10.85546875" style="55" customWidth="1"/>
    <col min="7" max="8" width="10.42578125" style="55" customWidth="1"/>
    <col min="9" max="9" width="10.85546875" style="55" customWidth="1"/>
    <col min="10" max="11" width="10.42578125" style="55" customWidth="1"/>
    <col min="12" max="12" width="10.85546875" style="55" customWidth="1"/>
    <col min="13" max="13" width="10.42578125" style="55" customWidth="1"/>
    <col min="14" max="14" width="10.42578125" style="56" customWidth="1"/>
    <col min="15" max="15" width="10.85546875" style="55" customWidth="1"/>
    <col min="16" max="17" width="10.42578125" style="55" customWidth="1"/>
    <col min="18" max="18" width="10.85546875" style="55" customWidth="1"/>
    <col min="19" max="19" width="10.42578125" style="55" customWidth="1"/>
    <col min="20" max="20" width="10.42578125" style="56" customWidth="1"/>
    <col min="21" max="21" width="10.85546875" style="55" customWidth="1"/>
    <col min="22" max="22" width="10.42578125" style="55" customWidth="1"/>
    <col min="23" max="23" width="10.42578125" style="56" customWidth="1"/>
    <col min="24" max="24" width="10.85546875" style="55" customWidth="1"/>
    <col min="25" max="25" width="10.42578125" style="55" customWidth="1"/>
    <col min="26" max="26" width="10.42578125" style="56" customWidth="1"/>
    <col min="27" max="27" width="10.85546875" style="55" customWidth="1"/>
    <col min="28" max="29" width="10.42578125" style="55" customWidth="1"/>
    <col min="30" max="31" width="11.5703125" style="9" bestFit="1" customWidth="1"/>
    <col min="32" max="16384" width="8.85546875" style="9"/>
  </cols>
  <sheetData>
    <row r="1" spans="1:29" s="10" customFormat="1" ht="30" customHeight="1">
      <c r="A1" s="889" t="s">
        <v>146</v>
      </c>
      <c r="B1" s="904" t="s">
        <v>171</v>
      </c>
      <c r="C1" s="902" t="s">
        <v>11</v>
      </c>
      <c r="D1" s="895"/>
      <c r="E1" s="896"/>
      <c r="F1" s="906" t="s">
        <v>411</v>
      </c>
      <c r="G1" s="907"/>
      <c r="H1" s="908"/>
      <c r="I1" s="894" t="s">
        <v>12</v>
      </c>
      <c r="J1" s="895"/>
      <c r="K1" s="896"/>
      <c r="L1" s="902" t="s">
        <v>412</v>
      </c>
      <c r="M1" s="895"/>
      <c r="N1" s="903"/>
      <c r="O1" s="894" t="s">
        <v>13</v>
      </c>
      <c r="P1" s="895"/>
      <c r="Q1" s="896"/>
      <c r="R1" s="899" t="s">
        <v>19</v>
      </c>
      <c r="S1" s="900"/>
      <c r="T1" s="901"/>
      <c r="U1" s="899" t="s">
        <v>427</v>
      </c>
      <c r="V1" s="900"/>
      <c r="W1" s="901"/>
      <c r="X1" s="909" t="s">
        <v>406</v>
      </c>
      <c r="Y1" s="900"/>
      <c r="Z1" s="910"/>
      <c r="AA1" s="897" t="s">
        <v>14</v>
      </c>
      <c r="AB1" s="895"/>
      <c r="AC1" s="898"/>
    </row>
    <row r="2" spans="1:29" s="13" customFormat="1" ht="38.25" customHeight="1">
      <c r="A2" s="890"/>
      <c r="B2" s="905"/>
      <c r="C2" s="840" t="s">
        <v>437</v>
      </c>
      <c r="D2" s="151" t="s">
        <v>391</v>
      </c>
      <c r="E2" s="841" t="s">
        <v>440</v>
      </c>
      <c r="F2" s="840" t="s">
        <v>437</v>
      </c>
      <c r="G2" s="151" t="s">
        <v>391</v>
      </c>
      <c r="H2" s="841" t="s">
        <v>440</v>
      </c>
      <c r="I2" s="839" t="s">
        <v>437</v>
      </c>
      <c r="J2" s="224" t="s">
        <v>391</v>
      </c>
      <c r="K2" s="841" t="s">
        <v>440</v>
      </c>
      <c r="L2" s="839" t="s">
        <v>437</v>
      </c>
      <c r="M2" s="224" t="s">
        <v>391</v>
      </c>
      <c r="N2" s="841" t="s">
        <v>440</v>
      </c>
      <c r="O2" s="839" t="s">
        <v>437</v>
      </c>
      <c r="P2" s="224" t="s">
        <v>391</v>
      </c>
      <c r="Q2" s="841" t="s">
        <v>440</v>
      </c>
      <c r="R2" s="839" t="s">
        <v>437</v>
      </c>
      <c r="S2" s="224" t="s">
        <v>391</v>
      </c>
      <c r="T2" s="841" t="s">
        <v>440</v>
      </c>
      <c r="U2" s="839" t="s">
        <v>437</v>
      </c>
      <c r="V2" s="224" t="s">
        <v>391</v>
      </c>
      <c r="W2" s="841" t="s">
        <v>440</v>
      </c>
      <c r="X2" s="839" t="s">
        <v>437</v>
      </c>
      <c r="Y2" s="224" t="s">
        <v>391</v>
      </c>
      <c r="Z2" s="825" t="s">
        <v>440</v>
      </c>
      <c r="AA2" s="150" t="s">
        <v>437</v>
      </c>
      <c r="AB2" s="224" t="s">
        <v>391</v>
      </c>
      <c r="AC2" s="146" t="s">
        <v>440</v>
      </c>
    </row>
    <row r="3" spans="1:29" ht="13.5" customHeight="1">
      <c r="A3" s="166" t="s">
        <v>147</v>
      </c>
      <c r="B3" s="216" t="s">
        <v>107</v>
      </c>
      <c r="C3" s="217"/>
      <c r="D3" s="218"/>
      <c r="E3" s="219"/>
      <c r="F3" s="270"/>
      <c r="G3" s="218"/>
      <c r="H3" s="221"/>
      <c r="I3" s="270"/>
      <c r="J3" s="218"/>
      <c r="K3" s="219"/>
      <c r="L3" s="270"/>
      <c r="M3" s="218"/>
      <c r="N3" s="221"/>
      <c r="O3" s="270"/>
      <c r="P3" s="218"/>
      <c r="Q3" s="219"/>
      <c r="R3" s="270"/>
      <c r="S3" s="218"/>
      <c r="T3" s="221"/>
      <c r="U3" s="270"/>
      <c r="V3" s="218"/>
      <c r="W3" s="221"/>
      <c r="X3" s="270"/>
      <c r="Y3" s="218"/>
      <c r="Z3" s="219"/>
      <c r="AA3" s="222"/>
      <c r="AB3" s="218"/>
      <c r="AC3" s="223"/>
    </row>
    <row r="4" spans="1:29" ht="13.5" customHeight="1">
      <c r="A4" s="153" t="s">
        <v>148</v>
      </c>
      <c r="B4" s="154" t="s">
        <v>108</v>
      </c>
      <c r="C4" s="209"/>
      <c r="D4" s="207"/>
      <c r="E4" s="219"/>
      <c r="F4" s="213"/>
      <c r="G4" s="207"/>
      <c r="H4" s="214"/>
      <c r="I4" s="213"/>
      <c r="J4" s="207"/>
      <c r="K4" s="212"/>
      <c r="L4" s="213"/>
      <c r="M4" s="207"/>
      <c r="N4" s="214"/>
      <c r="O4" s="213"/>
      <c r="P4" s="207"/>
      <c r="Q4" s="212"/>
      <c r="R4" s="213"/>
      <c r="S4" s="207"/>
      <c r="T4" s="214"/>
      <c r="U4" s="213"/>
      <c r="V4" s="207"/>
      <c r="W4" s="214"/>
      <c r="X4" s="213"/>
      <c r="Y4" s="207"/>
      <c r="Z4" s="212"/>
      <c r="AA4" s="215"/>
      <c r="AB4" s="207"/>
      <c r="AC4" s="208"/>
    </row>
    <row r="5" spans="1:29" ht="13.5" customHeight="1">
      <c r="A5" s="155"/>
      <c r="B5" s="451" t="s">
        <v>109</v>
      </c>
      <c r="C5" s="209"/>
      <c r="D5" s="207"/>
      <c r="E5" s="219"/>
      <c r="F5" s="213"/>
      <c r="G5" s="207"/>
      <c r="H5" s="214"/>
      <c r="I5" s="213"/>
      <c r="J5" s="207"/>
      <c r="K5" s="212"/>
      <c r="L5" s="213"/>
      <c r="M5" s="207"/>
      <c r="N5" s="214"/>
      <c r="O5" s="213"/>
      <c r="P5" s="207"/>
      <c r="Q5" s="212"/>
      <c r="R5" s="213"/>
      <c r="S5" s="207"/>
      <c r="T5" s="214"/>
      <c r="U5" s="213"/>
      <c r="V5" s="207"/>
      <c r="W5" s="214"/>
      <c r="X5" s="213"/>
      <c r="Y5" s="207"/>
      <c r="Z5" s="212"/>
      <c r="AA5" s="215"/>
      <c r="AB5" s="207"/>
      <c r="AC5" s="208"/>
    </row>
    <row r="6" spans="1:29" ht="13.5" customHeight="1">
      <c r="A6" s="165"/>
      <c r="B6" s="452" t="s">
        <v>110</v>
      </c>
      <c r="C6" s="226"/>
      <c r="D6" s="227"/>
      <c r="E6" s="228"/>
      <c r="F6" s="229"/>
      <c r="G6" s="227"/>
      <c r="H6" s="230"/>
      <c r="I6" s="229"/>
      <c r="J6" s="227"/>
      <c r="K6" s="228"/>
      <c r="L6" s="229"/>
      <c r="M6" s="227"/>
      <c r="N6" s="230"/>
      <c r="O6" s="229"/>
      <c r="P6" s="227"/>
      <c r="Q6" s="228"/>
      <c r="R6" s="229"/>
      <c r="S6" s="227"/>
      <c r="T6" s="230"/>
      <c r="U6" s="229"/>
      <c r="V6" s="227"/>
      <c r="W6" s="230"/>
      <c r="X6" s="229"/>
      <c r="Y6" s="227"/>
      <c r="Z6" s="228"/>
      <c r="AA6" s="231"/>
      <c r="AB6" s="227"/>
      <c r="AC6" s="232"/>
    </row>
    <row r="7" spans="1:29" s="328" customFormat="1" ht="13.5" customHeight="1">
      <c r="A7" s="143" t="s">
        <v>149</v>
      </c>
      <c r="B7" s="233" t="s">
        <v>111</v>
      </c>
      <c r="C7" s="302">
        <f t="shared" ref="C7:AC7" si="0">SUM(C3:C4)</f>
        <v>0</v>
      </c>
      <c r="D7" s="300">
        <f t="shared" si="0"/>
        <v>0</v>
      </c>
      <c r="E7" s="303">
        <f t="shared" si="0"/>
        <v>0</v>
      </c>
      <c r="F7" s="326">
        <f t="shared" ref="F7" si="1">SUM(F3:F4)</f>
        <v>0</v>
      </c>
      <c r="G7" s="300">
        <f t="shared" si="0"/>
        <v>0</v>
      </c>
      <c r="H7" s="327">
        <f t="shared" si="0"/>
        <v>0</v>
      </c>
      <c r="I7" s="326">
        <f t="shared" si="0"/>
        <v>0</v>
      </c>
      <c r="J7" s="300">
        <f t="shared" si="0"/>
        <v>0</v>
      </c>
      <c r="K7" s="303">
        <f t="shared" si="0"/>
        <v>0</v>
      </c>
      <c r="L7" s="326">
        <f t="shared" ref="L7" si="2">SUM(L3:L4)</f>
        <v>0</v>
      </c>
      <c r="M7" s="300">
        <f t="shared" si="0"/>
        <v>0</v>
      </c>
      <c r="N7" s="327">
        <f t="shared" si="0"/>
        <v>0</v>
      </c>
      <c r="O7" s="326">
        <f t="shared" si="0"/>
        <v>0</v>
      </c>
      <c r="P7" s="300">
        <f t="shared" si="0"/>
        <v>0</v>
      </c>
      <c r="Q7" s="303">
        <f t="shared" si="0"/>
        <v>0</v>
      </c>
      <c r="R7" s="326">
        <f t="shared" ref="R7" si="3">SUM(R3:R4)</f>
        <v>0</v>
      </c>
      <c r="S7" s="300">
        <f t="shared" si="0"/>
        <v>0</v>
      </c>
      <c r="T7" s="327">
        <f t="shared" si="0"/>
        <v>0</v>
      </c>
      <c r="U7" s="326">
        <f t="shared" si="0"/>
        <v>0</v>
      </c>
      <c r="V7" s="300">
        <f t="shared" si="0"/>
        <v>0</v>
      </c>
      <c r="W7" s="327">
        <f t="shared" si="0"/>
        <v>0</v>
      </c>
      <c r="X7" s="326">
        <f t="shared" ref="X7" si="4">SUM(X3:X4)</f>
        <v>0</v>
      </c>
      <c r="Y7" s="300">
        <f t="shared" ref="Y7:Z7" si="5">SUM(Y3:Y4)</f>
        <v>0</v>
      </c>
      <c r="Z7" s="303">
        <f t="shared" si="5"/>
        <v>0</v>
      </c>
      <c r="AA7" s="295">
        <f t="shared" si="0"/>
        <v>0</v>
      </c>
      <c r="AB7" s="300">
        <f t="shared" si="0"/>
        <v>0</v>
      </c>
      <c r="AC7" s="301">
        <f t="shared" si="0"/>
        <v>0</v>
      </c>
    </row>
    <row r="8" spans="1:29" ht="13.5" customHeight="1">
      <c r="A8" s="166" t="s">
        <v>150</v>
      </c>
      <c r="B8" s="216" t="s">
        <v>145</v>
      </c>
      <c r="C8" s="217"/>
      <c r="D8" s="218"/>
      <c r="E8" s="219"/>
      <c r="F8" s="220"/>
      <c r="G8" s="218"/>
      <c r="H8" s="221"/>
      <c r="I8" s="220"/>
      <c r="J8" s="218"/>
      <c r="K8" s="219"/>
      <c r="L8" s="220"/>
      <c r="M8" s="218"/>
      <c r="N8" s="221"/>
      <c r="O8" s="220"/>
      <c r="P8" s="218"/>
      <c r="Q8" s="219"/>
      <c r="R8" s="220"/>
      <c r="S8" s="218"/>
      <c r="T8" s="221"/>
      <c r="U8" s="220"/>
      <c r="V8" s="218"/>
      <c r="W8" s="221"/>
      <c r="X8" s="220"/>
      <c r="Y8" s="218"/>
      <c r="Z8" s="219"/>
      <c r="AA8" s="222"/>
      <c r="AB8" s="218"/>
      <c r="AC8" s="223"/>
    </row>
    <row r="9" spans="1:29" ht="13.5" customHeight="1">
      <c r="A9" s="153" t="s">
        <v>151</v>
      </c>
      <c r="B9" s="154" t="s">
        <v>112</v>
      </c>
      <c r="C9" s="209"/>
      <c r="D9" s="207"/>
      <c r="E9" s="212"/>
      <c r="F9" s="213"/>
      <c r="G9" s="207"/>
      <c r="H9" s="214"/>
      <c r="I9" s="213"/>
      <c r="J9" s="207"/>
      <c r="K9" s="212"/>
      <c r="L9" s="213"/>
      <c r="M9" s="207"/>
      <c r="N9" s="214"/>
      <c r="O9" s="213"/>
      <c r="P9" s="207"/>
      <c r="Q9" s="212"/>
      <c r="R9" s="213"/>
      <c r="S9" s="207"/>
      <c r="T9" s="214"/>
      <c r="U9" s="213"/>
      <c r="V9" s="207"/>
      <c r="W9" s="214"/>
      <c r="X9" s="213"/>
      <c r="Y9" s="207"/>
      <c r="Z9" s="212"/>
      <c r="AA9" s="215"/>
      <c r="AB9" s="207"/>
      <c r="AC9" s="208"/>
    </row>
    <row r="10" spans="1:29" ht="13.5" customHeight="1">
      <c r="A10" s="165"/>
      <c r="B10" s="452" t="s">
        <v>110</v>
      </c>
      <c r="C10" s="226"/>
      <c r="D10" s="227"/>
      <c r="E10" s="228"/>
      <c r="F10" s="229"/>
      <c r="G10" s="227"/>
      <c r="H10" s="230"/>
      <c r="I10" s="229"/>
      <c r="J10" s="227"/>
      <c r="K10" s="228"/>
      <c r="L10" s="229"/>
      <c r="M10" s="227"/>
      <c r="N10" s="230"/>
      <c r="O10" s="229"/>
      <c r="P10" s="227"/>
      <c r="Q10" s="228"/>
      <c r="R10" s="229"/>
      <c r="S10" s="227"/>
      <c r="T10" s="230"/>
      <c r="U10" s="229"/>
      <c r="V10" s="227"/>
      <c r="W10" s="230"/>
      <c r="X10" s="229"/>
      <c r="Y10" s="227"/>
      <c r="Z10" s="228"/>
      <c r="AA10" s="231"/>
      <c r="AB10" s="227"/>
      <c r="AC10" s="232"/>
    </row>
    <row r="11" spans="1:29" s="328" customFormat="1" ht="13.5" customHeight="1">
      <c r="A11" s="143" t="s">
        <v>152</v>
      </c>
      <c r="B11" s="233" t="s">
        <v>113</v>
      </c>
      <c r="C11" s="302">
        <f t="shared" ref="C11:AC11" si="6">SUM(C8:C9)</f>
        <v>0</v>
      </c>
      <c r="D11" s="300">
        <f t="shared" si="6"/>
        <v>0</v>
      </c>
      <c r="E11" s="303">
        <f t="shared" si="6"/>
        <v>0</v>
      </c>
      <c r="F11" s="326">
        <f t="shared" ref="F11" si="7">SUM(F8:F9)</f>
        <v>0</v>
      </c>
      <c r="G11" s="300">
        <f t="shared" si="6"/>
        <v>0</v>
      </c>
      <c r="H11" s="327">
        <f t="shared" si="6"/>
        <v>0</v>
      </c>
      <c r="I11" s="326">
        <f t="shared" si="6"/>
        <v>0</v>
      </c>
      <c r="J11" s="300">
        <f t="shared" si="6"/>
        <v>0</v>
      </c>
      <c r="K11" s="303">
        <f t="shared" si="6"/>
        <v>0</v>
      </c>
      <c r="L11" s="326">
        <f t="shared" ref="L11" si="8">SUM(L8:L9)</f>
        <v>0</v>
      </c>
      <c r="M11" s="300">
        <f t="shared" si="6"/>
        <v>0</v>
      </c>
      <c r="N11" s="327">
        <f t="shared" si="6"/>
        <v>0</v>
      </c>
      <c r="O11" s="326">
        <f t="shared" si="6"/>
        <v>0</v>
      </c>
      <c r="P11" s="300">
        <f t="shared" si="6"/>
        <v>0</v>
      </c>
      <c r="Q11" s="303">
        <f t="shared" si="6"/>
        <v>0</v>
      </c>
      <c r="R11" s="326">
        <f t="shared" ref="R11" si="9">SUM(R8:R9)</f>
        <v>0</v>
      </c>
      <c r="S11" s="300">
        <f t="shared" si="6"/>
        <v>0</v>
      </c>
      <c r="T11" s="327">
        <f t="shared" si="6"/>
        <v>0</v>
      </c>
      <c r="U11" s="326">
        <f t="shared" si="6"/>
        <v>0</v>
      </c>
      <c r="V11" s="300">
        <f t="shared" si="6"/>
        <v>0</v>
      </c>
      <c r="W11" s="327">
        <f t="shared" si="6"/>
        <v>0</v>
      </c>
      <c r="X11" s="326">
        <f t="shared" ref="X11" si="10">SUM(X8:X9)</f>
        <v>0</v>
      </c>
      <c r="Y11" s="300">
        <f t="shared" ref="Y11:Z11" si="11">SUM(Y8:Y9)</f>
        <v>0</v>
      </c>
      <c r="Z11" s="303">
        <f t="shared" si="11"/>
        <v>0</v>
      </c>
      <c r="AA11" s="295">
        <f t="shared" si="6"/>
        <v>0</v>
      </c>
      <c r="AB11" s="300">
        <f t="shared" si="6"/>
        <v>0</v>
      </c>
      <c r="AC11" s="301">
        <f t="shared" si="6"/>
        <v>0</v>
      </c>
    </row>
    <row r="12" spans="1:29" ht="13.5" customHeight="1">
      <c r="A12" s="166" t="s">
        <v>153</v>
      </c>
      <c r="B12" s="216" t="s">
        <v>114</v>
      </c>
      <c r="C12" s="217"/>
      <c r="D12" s="218"/>
      <c r="E12" s="219"/>
      <c r="F12" s="220"/>
      <c r="G12" s="218"/>
      <c r="H12" s="221"/>
      <c r="I12" s="220"/>
      <c r="J12" s="218"/>
      <c r="K12" s="219"/>
      <c r="L12" s="220"/>
      <c r="M12" s="218"/>
      <c r="N12" s="221"/>
      <c r="O12" s="220"/>
      <c r="P12" s="218"/>
      <c r="Q12" s="219"/>
      <c r="R12" s="220"/>
      <c r="S12" s="218"/>
      <c r="T12" s="221"/>
      <c r="U12" s="220"/>
      <c r="V12" s="218"/>
      <c r="W12" s="221"/>
      <c r="X12" s="220"/>
      <c r="Y12" s="218"/>
      <c r="Z12" s="219"/>
      <c r="AA12" s="222">
        <f>+C12+F12+I12+L12+O12+R12+U12+X12</f>
        <v>0</v>
      </c>
      <c r="AB12" s="218">
        <f>+D12+G12+J12+M12+P12+S12+V12+Y12</f>
        <v>0</v>
      </c>
      <c r="AC12" s="223">
        <f>+E12+H12+K12+N12+Q12+T12+W12+Z12</f>
        <v>0</v>
      </c>
    </row>
    <row r="13" spans="1:29" ht="13.5" customHeight="1">
      <c r="A13" s="153" t="s">
        <v>154</v>
      </c>
      <c r="B13" s="154" t="s">
        <v>115</v>
      </c>
      <c r="C13" s="209">
        <f>+'[5]3.SZ.TÁBL. SEGÍTŐ SZOLGÁLAT'!$D13</f>
        <v>0</v>
      </c>
      <c r="D13" s="207"/>
      <c r="E13" s="212">
        <f>SUM(C13:D13)</f>
        <v>0</v>
      </c>
      <c r="F13" s="213">
        <f>+'[5]3.SZ.TÁBL. SEGÍTŐ SZOLGÁLAT'!$G13</f>
        <v>0</v>
      </c>
      <c r="G13" s="207"/>
      <c r="H13" s="214">
        <f>SUM(F13:G13)</f>
        <v>0</v>
      </c>
      <c r="I13" s="213">
        <f>+'[3]3.SZ.TÁBL. SEGÍTŐ SZOLGÁLAT'!$K$13</f>
        <v>272</v>
      </c>
      <c r="J13" s="207"/>
      <c r="K13" s="212">
        <f>SUM(I13:J13)</f>
        <v>272</v>
      </c>
      <c r="L13" s="213">
        <f>+'[5]3.SZ.TÁBL. SEGÍTŐ SZOLGÁLAT'!$M13</f>
        <v>0</v>
      </c>
      <c r="M13" s="207">
        <f>+[4]Seg.Szolgálat!$W$101</f>
        <v>289</v>
      </c>
      <c r="N13" s="214">
        <f>SUM(L13:M13)</f>
        <v>289</v>
      </c>
      <c r="O13" s="213">
        <f>+'[3]3.SZ.TÁBL. SEGÍTŐ SZOLGÁLAT'!$Q13</f>
        <v>465</v>
      </c>
      <c r="P13" s="207"/>
      <c r="Q13" s="212">
        <f>SUM(O13:P13)</f>
        <v>465</v>
      </c>
      <c r="R13" s="213">
        <f>+'[3]3.SZ.TÁBL. SEGÍTŐ SZOLGÁLAT'!$T$13</f>
        <v>500</v>
      </c>
      <c r="S13" s="207"/>
      <c r="T13" s="214">
        <f>SUM(R13:S13)</f>
        <v>500</v>
      </c>
      <c r="U13" s="213">
        <f>+'[5]3.SZ.TÁBL. SEGÍTŐ SZOLGÁLAT'!$V13</f>
        <v>0</v>
      </c>
      <c r="V13" s="207"/>
      <c r="W13" s="214">
        <f>SUM(U13:V13)</f>
        <v>0</v>
      </c>
      <c r="X13" s="213">
        <f>+'[5]3.SZ.TÁBL. SEGÍTŐ SZOLGÁLAT'!$Y13</f>
        <v>0</v>
      </c>
      <c r="Y13" s="207"/>
      <c r="Z13" s="212">
        <f>SUM(X13:Y13)</f>
        <v>0</v>
      </c>
      <c r="AA13" s="215">
        <f t="shared" ref="AA13:AA20" si="12">+C13+F13+I13+L13+O13+R13+U13+X13</f>
        <v>1237</v>
      </c>
      <c r="AB13" s="207">
        <f t="shared" ref="AB13:AB20" si="13">+D13+G13+J13+M13+P13+S13+V13+Y13</f>
        <v>289</v>
      </c>
      <c r="AC13" s="208">
        <f t="shared" ref="AC13:AC20" si="14">+E13+H13+K13+N13+Q13+T13+W13+Z13</f>
        <v>1526</v>
      </c>
    </row>
    <row r="14" spans="1:29" ht="13.5" customHeight="1">
      <c r="A14" s="153" t="s">
        <v>155</v>
      </c>
      <c r="B14" s="154" t="s">
        <v>116</v>
      </c>
      <c r="C14" s="209">
        <f>+'[5]3.SZ.TÁBL. SEGÍTŐ SZOLGÁLAT'!$D14</f>
        <v>0</v>
      </c>
      <c r="D14" s="207"/>
      <c r="E14" s="212">
        <f t="shared" ref="E14:E20" si="15">SUM(C14:D14)</f>
        <v>0</v>
      </c>
      <c r="F14" s="213">
        <f>+'[5]3.SZ.TÁBL. SEGÍTŐ SZOLGÁLAT'!$G14</f>
        <v>0</v>
      </c>
      <c r="G14" s="207"/>
      <c r="H14" s="214">
        <f t="shared" ref="H14:H20" si="16">SUM(F14:G14)</f>
        <v>0</v>
      </c>
      <c r="I14" s="213">
        <f>+'[5]3.SZ.TÁBL. SEGÍTŐ SZOLGÁLAT'!$J14</f>
        <v>0</v>
      </c>
      <c r="J14" s="207"/>
      <c r="K14" s="212">
        <f t="shared" ref="K14:K20" si="17">SUM(I14:J14)</f>
        <v>0</v>
      </c>
      <c r="L14" s="213">
        <f>+'[5]3.SZ.TÁBL. SEGÍTŐ SZOLGÁLAT'!$M14</f>
        <v>0</v>
      </c>
      <c r="M14" s="207"/>
      <c r="N14" s="214">
        <f t="shared" ref="N14:N20" si="18">SUM(L14:M14)</f>
        <v>0</v>
      </c>
      <c r="O14" s="213">
        <f>+'[3]3.SZ.TÁBL. SEGÍTŐ SZOLGÁLAT'!$Q14</f>
        <v>0</v>
      </c>
      <c r="P14" s="207"/>
      <c r="Q14" s="212">
        <f t="shared" ref="Q14:Q20" si="19">SUM(O14:P14)</f>
        <v>0</v>
      </c>
      <c r="R14" s="213">
        <f>+'[5]3.SZ.TÁBL. SEGÍTŐ SZOLGÁLAT'!$S14</f>
        <v>0</v>
      </c>
      <c r="S14" s="207"/>
      <c r="T14" s="214">
        <f t="shared" ref="T14:T20" si="20">SUM(R14:S14)</f>
        <v>0</v>
      </c>
      <c r="U14" s="213">
        <f>+'[5]3.SZ.TÁBL. SEGÍTŐ SZOLGÁLAT'!$V14</f>
        <v>0</v>
      </c>
      <c r="V14" s="207"/>
      <c r="W14" s="214">
        <f t="shared" ref="W14:W20" si="21">SUM(U14:V14)</f>
        <v>0</v>
      </c>
      <c r="X14" s="213">
        <f>+'[5]3.SZ.TÁBL. SEGÍTŐ SZOLGÁLAT'!$Y14</f>
        <v>0</v>
      </c>
      <c r="Y14" s="207"/>
      <c r="Z14" s="212">
        <f t="shared" ref="Z14:Z20" si="22">SUM(X14:Y14)</f>
        <v>0</v>
      </c>
      <c r="AA14" s="215">
        <f t="shared" si="12"/>
        <v>0</v>
      </c>
      <c r="AB14" s="207">
        <f t="shared" si="13"/>
        <v>0</v>
      </c>
      <c r="AC14" s="208">
        <f t="shared" si="14"/>
        <v>0</v>
      </c>
    </row>
    <row r="15" spans="1:29" ht="13.5" customHeight="1">
      <c r="A15" s="153" t="s">
        <v>156</v>
      </c>
      <c r="B15" s="154" t="s">
        <v>117</v>
      </c>
      <c r="C15" s="209">
        <f>+'[5]3.SZ.TÁBL. SEGÍTŐ SZOLGÁLAT'!$D15</f>
        <v>0</v>
      </c>
      <c r="D15" s="207"/>
      <c r="E15" s="212">
        <f t="shared" si="15"/>
        <v>0</v>
      </c>
      <c r="F15" s="213">
        <f>+'[5]3.SZ.TÁBL. SEGÍTŐ SZOLGÁLAT'!$G15</f>
        <v>0</v>
      </c>
      <c r="G15" s="207"/>
      <c r="H15" s="214">
        <f t="shared" si="16"/>
        <v>0</v>
      </c>
      <c r="I15" s="213">
        <f>+'[5]3.SZ.TÁBL. SEGÍTŐ SZOLGÁLAT'!$J15</f>
        <v>0</v>
      </c>
      <c r="J15" s="207"/>
      <c r="K15" s="212">
        <f t="shared" si="17"/>
        <v>0</v>
      </c>
      <c r="L15" s="213">
        <f>+'[5]3.SZ.TÁBL. SEGÍTŐ SZOLGÁLAT'!$M15</f>
        <v>0</v>
      </c>
      <c r="M15" s="207"/>
      <c r="N15" s="214">
        <f t="shared" si="18"/>
        <v>0</v>
      </c>
      <c r="O15" s="213">
        <f>+'[3]3.SZ.TÁBL. SEGÍTŐ SZOLGÁLAT'!$Q15</f>
        <v>0</v>
      </c>
      <c r="P15" s="207"/>
      <c r="Q15" s="212">
        <f t="shared" si="19"/>
        <v>0</v>
      </c>
      <c r="R15" s="213">
        <f>+'[5]3.SZ.TÁBL. SEGÍTŐ SZOLGÁLAT'!$S15</f>
        <v>0</v>
      </c>
      <c r="S15" s="207"/>
      <c r="T15" s="214">
        <f t="shared" si="20"/>
        <v>0</v>
      </c>
      <c r="U15" s="213">
        <f>+'[5]3.SZ.TÁBL. SEGÍTŐ SZOLGÁLAT'!$V15</f>
        <v>0</v>
      </c>
      <c r="V15" s="207"/>
      <c r="W15" s="214">
        <f t="shared" si="21"/>
        <v>0</v>
      </c>
      <c r="X15" s="213">
        <f>+'[5]3.SZ.TÁBL. SEGÍTŐ SZOLGÁLAT'!$Y15</f>
        <v>0</v>
      </c>
      <c r="Y15" s="207"/>
      <c r="Z15" s="212">
        <f t="shared" si="22"/>
        <v>0</v>
      </c>
      <c r="AA15" s="215">
        <f t="shared" si="12"/>
        <v>0</v>
      </c>
      <c r="AB15" s="207">
        <f t="shared" si="13"/>
        <v>0</v>
      </c>
      <c r="AC15" s="208">
        <f t="shared" si="14"/>
        <v>0</v>
      </c>
    </row>
    <row r="16" spans="1:29" ht="13.5" customHeight="1">
      <c r="A16" s="153" t="s">
        <v>157</v>
      </c>
      <c r="B16" s="154" t="s">
        <v>118</v>
      </c>
      <c r="C16" s="209">
        <f>+'[3]3.SZ.TÁBL. SEGÍTŐ SZOLGÁLAT'!$E$16</f>
        <v>200</v>
      </c>
      <c r="D16" s="207"/>
      <c r="E16" s="212">
        <f t="shared" si="15"/>
        <v>200</v>
      </c>
      <c r="F16" s="213">
        <f>+'[5]3.SZ.TÁBL. SEGÍTŐ SZOLGÁLAT'!$G16</f>
        <v>0</v>
      </c>
      <c r="G16" s="207"/>
      <c r="H16" s="214">
        <f t="shared" si="16"/>
        <v>0</v>
      </c>
      <c r="I16" s="213">
        <f>+'[3]3.SZ.TÁBL. SEGÍTŐ SZOLGÁLAT'!$K$16</f>
        <v>1800</v>
      </c>
      <c r="J16" s="207"/>
      <c r="K16" s="212">
        <f t="shared" si="17"/>
        <v>1800</v>
      </c>
      <c r="L16" s="213">
        <f>+'[5]3.SZ.TÁBL. SEGÍTŐ SZOLGÁLAT'!$M16</f>
        <v>0</v>
      </c>
      <c r="M16" s="207"/>
      <c r="N16" s="214">
        <f t="shared" si="18"/>
        <v>0</v>
      </c>
      <c r="O16" s="213">
        <f>+'[3]3.SZ.TÁBL. SEGÍTŐ SZOLGÁLAT'!$Q16</f>
        <v>1155</v>
      </c>
      <c r="P16" s="207"/>
      <c r="Q16" s="212">
        <f t="shared" si="19"/>
        <v>1155</v>
      </c>
      <c r="R16" s="213">
        <f>+'[5]3.SZ.TÁBL. SEGÍTŐ SZOLGÁLAT'!$S16</f>
        <v>0</v>
      </c>
      <c r="S16" s="207"/>
      <c r="T16" s="214">
        <f t="shared" si="20"/>
        <v>0</v>
      </c>
      <c r="U16" s="213">
        <f>+'[3]3.SZ.TÁBL. SEGÍTŐ SZOLGÁLAT'!$W$16</f>
        <v>5343</v>
      </c>
      <c r="V16" s="207"/>
      <c r="W16" s="214">
        <f t="shared" si="21"/>
        <v>5343</v>
      </c>
      <c r="X16" s="213">
        <f>+'[3]3.SZ.TÁBL. SEGÍTŐ SZOLGÁLAT'!$Z$16</f>
        <v>500</v>
      </c>
      <c r="Y16" s="207"/>
      <c r="Z16" s="212">
        <f t="shared" si="22"/>
        <v>500</v>
      </c>
      <c r="AA16" s="215">
        <f t="shared" si="12"/>
        <v>8998</v>
      </c>
      <c r="AB16" s="207">
        <f t="shared" si="13"/>
        <v>0</v>
      </c>
      <c r="AC16" s="208">
        <f t="shared" si="14"/>
        <v>8998</v>
      </c>
    </row>
    <row r="17" spans="1:29" ht="13.5" customHeight="1">
      <c r="A17" s="153" t="s">
        <v>158</v>
      </c>
      <c r="B17" s="154" t="s">
        <v>119</v>
      </c>
      <c r="C17" s="209">
        <f>+'[5]3.SZ.TÁBL. SEGÍTŐ SZOLGÁLAT'!$D17</f>
        <v>0</v>
      </c>
      <c r="D17" s="207"/>
      <c r="E17" s="212">
        <f t="shared" si="15"/>
        <v>0</v>
      </c>
      <c r="F17" s="213">
        <f>+'[5]3.SZ.TÁBL. SEGÍTŐ SZOLGÁLAT'!$G17</f>
        <v>0</v>
      </c>
      <c r="G17" s="207"/>
      <c r="H17" s="214">
        <f t="shared" si="16"/>
        <v>0</v>
      </c>
      <c r="I17" s="213">
        <f>+'[5]3.SZ.TÁBL. SEGÍTŐ SZOLGÁLAT'!$J17</f>
        <v>0</v>
      </c>
      <c r="J17" s="207"/>
      <c r="K17" s="212">
        <f t="shared" si="17"/>
        <v>0</v>
      </c>
      <c r="L17" s="213">
        <f>+'[5]3.SZ.TÁBL. SEGÍTŐ SZOLGÁLAT'!$M17</f>
        <v>0</v>
      </c>
      <c r="M17" s="207"/>
      <c r="N17" s="214">
        <f t="shared" si="18"/>
        <v>0</v>
      </c>
      <c r="O17" s="213">
        <f>+'[3]3.SZ.TÁBL. SEGÍTŐ SZOLGÁLAT'!$Q17</f>
        <v>0</v>
      </c>
      <c r="P17" s="207"/>
      <c r="Q17" s="212">
        <f t="shared" si="19"/>
        <v>0</v>
      </c>
      <c r="R17" s="213">
        <f>+'[5]3.SZ.TÁBL. SEGÍTŐ SZOLGÁLAT'!$S17</f>
        <v>0</v>
      </c>
      <c r="S17" s="207"/>
      <c r="T17" s="214">
        <f t="shared" si="20"/>
        <v>0</v>
      </c>
      <c r="U17" s="213">
        <f>+'[5]3.SZ.TÁBL. SEGÍTŐ SZOLGÁLAT'!$V17</f>
        <v>0</v>
      </c>
      <c r="V17" s="207"/>
      <c r="W17" s="214">
        <f t="shared" si="21"/>
        <v>0</v>
      </c>
      <c r="X17" s="213">
        <f>+'[5]3.SZ.TÁBL. SEGÍTŐ SZOLGÁLAT'!$Y17</f>
        <v>0</v>
      </c>
      <c r="Y17" s="207"/>
      <c r="Z17" s="212">
        <f t="shared" si="22"/>
        <v>0</v>
      </c>
      <c r="AA17" s="215">
        <f t="shared" si="12"/>
        <v>0</v>
      </c>
      <c r="AB17" s="207">
        <f t="shared" si="13"/>
        <v>0</v>
      </c>
      <c r="AC17" s="208">
        <f t="shared" si="14"/>
        <v>0</v>
      </c>
    </row>
    <row r="18" spans="1:29" ht="13.5" customHeight="1">
      <c r="A18" s="153" t="s">
        <v>159</v>
      </c>
      <c r="B18" s="154" t="s">
        <v>120</v>
      </c>
      <c r="C18" s="209">
        <f>+'[5]3.SZ.TÁBL. SEGÍTŐ SZOLGÁLAT'!$D18</f>
        <v>0</v>
      </c>
      <c r="D18" s="207"/>
      <c r="E18" s="212">
        <f t="shared" si="15"/>
        <v>0</v>
      </c>
      <c r="F18" s="213">
        <f>+'[5]3.SZ.TÁBL. SEGÍTŐ SZOLGÁLAT'!$G18</f>
        <v>0</v>
      </c>
      <c r="G18" s="207"/>
      <c r="H18" s="214">
        <f t="shared" si="16"/>
        <v>0</v>
      </c>
      <c r="I18" s="213">
        <f>+'[5]3.SZ.TÁBL. SEGÍTŐ SZOLGÁLAT'!$J18</f>
        <v>0</v>
      </c>
      <c r="J18" s="207"/>
      <c r="K18" s="212">
        <f t="shared" si="17"/>
        <v>0</v>
      </c>
      <c r="L18" s="213">
        <f>+'[5]3.SZ.TÁBL. SEGÍTŐ SZOLGÁLAT'!$M18</f>
        <v>0</v>
      </c>
      <c r="M18" s="207"/>
      <c r="N18" s="214">
        <f t="shared" si="18"/>
        <v>0</v>
      </c>
      <c r="O18" s="213">
        <f>+'[3]3.SZ.TÁBL. SEGÍTŐ SZOLGÁLAT'!$Q18</f>
        <v>0</v>
      </c>
      <c r="P18" s="207"/>
      <c r="Q18" s="212">
        <f t="shared" si="19"/>
        <v>0</v>
      </c>
      <c r="R18" s="213">
        <f>+'[5]3.SZ.TÁBL. SEGÍTŐ SZOLGÁLAT'!$S18</f>
        <v>0</v>
      </c>
      <c r="S18" s="207"/>
      <c r="T18" s="214">
        <f t="shared" si="20"/>
        <v>0</v>
      </c>
      <c r="U18" s="213">
        <f>+'[5]3.SZ.TÁBL. SEGÍTŐ SZOLGÁLAT'!$V18</f>
        <v>0</v>
      </c>
      <c r="V18" s="207"/>
      <c r="W18" s="214">
        <f t="shared" si="21"/>
        <v>0</v>
      </c>
      <c r="X18" s="213">
        <f>+'[5]3.SZ.TÁBL. SEGÍTŐ SZOLGÁLAT'!$Y18</f>
        <v>0</v>
      </c>
      <c r="Y18" s="207"/>
      <c r="Z18" s="212">
        <f t="shared" si="22"/>
        <v>0</v>
      </c>
      <c r="AA18" s="215">
        <f t="shared" si="12"/>
        <v>0</v>
      </c>
      <c r="AB18" s="207">
        <f t="shared" si="13"/>
        <v>0</v>
      </c>
      <c r="AC18" s="208">
        <f t="shared" si="14"/>
        <v>0</v>
      </c>
    </row>
    <row r="19" spans="1:29" ht="13.5" customHeight="1">
      <c r="A19" s="153" t="s">
        <v>160</v>
      </c>
      <c r="B19" s="154" t="s">
        <v>121</v>
      </c>
      <c r="C19" s="209">
        <f>+'[5]3.SZ.TÁBL. SEGÍTŐ SZOLGÁLAT'!$D19</f>
        <v>0</v>
      </c>
      <c r="D19" s="207"/>
      <c r="E19" s="212">
        <f t="shared" si="15"/>
        <v>0</v>
      </c>
      <c r="F19" s="213">
        <f>+'[5]3.SZ.TÁBL. SEGÍTŐ SZOLGÁLAT'!$G19</f>
        <v>0</v>
      </c>
      <c r="G19" s="207"/>
      <c r="H19" s="214">
        <f t="shared" si="16"/>
        <v>0</v>
      </c>
      <c r="I19" s="213">
        <f>+'[5]3.SZ.TÁBL. SEGÍTŐ SZOLGÁLAT'!$J19</f>
        <v>0</v>
      </c>
      <c r="J19" s="207"/>
      <c r="K19" s="212">
        <f t="shared" si="17"/>
        <v>0</v>
      </c>
      <c r="L19" s="213">
        <f>+'[5]3.SZ.TÁBL. SEGÍTŐ SZOLGÁLAT'!$M19</f>
        <v>0</v>
      </c>
      <c r="M19" s="207"/>
      <c r="N19" s="214">
        <f t="shared" si="18"/>
        <v>0</v>
      </c>
      <c r="O19" s="213">
        <f>+'[3]3.SZ.TÁBL. SEGÍTŐ SZOLGÁLAT'!$Q19</f>
        <v>0</v>
      </c>
      <c r="P19" s="207"/>
      <c r="Q19" s="212">
        <f t="shared" si="19"/>
        <v>0</v>
      </c>
      <c r="R19" s="213">
        <f>+'[5]3.SZ.TÁBL. SEGÍTŐ SZOLGÁLAT'!$S19</f>
        <v>0</v>
      </c>
      <c r="S19" s="207"/>
      <c r="T19" s="214">
        <f t="shared" si="20"/>
        <v>0</v>
      </c>
      <c r="U19" s="213">
        <f>+'[5]3.SZ.TÁBL. SEGÍTŐ SZOLGÁLAT'!$V19</f>
        <v>0</v>
      </c>
      <c r="V19" s="207"/>
      <c r="W19" s="214">
        <f t="shared" si="21"/>
        <v>0</v>
      </c>
      <c r="X19" s="213">
        <f>+'[5]3.SZ.TÁBL. SEGÍTŐ SZOLGÁLAT'!$Y19</f>
        <v>0</v>
      </c>
      <c r="Y19" s="207"/>
      <c r="Z19" s="212">
        <f t="shared" si="22"/>
        <v>0</v>
      </c>
      <c r="AA19" s="215">
        <f t="shared" si="12"/>
        <v>0</v>
      </c>
      <c r="AB19" s="207">
        <f t="shared" si="13"/>
        <v>0</v>
      </c>
      <c r="AC19" s="208">
        <f t="shared" si="14"/>
        <v>0</v>
      </c>
    </row>
    <row r="20" spans="1:29" ht="13.5" customHeight="1">
      <c r="A20" s="168" t="s">
        <v>161</v>
      </c>
      <c r="B20" s="235" t="s">
        <v>122</v>
      </c>
      <c r="C20" s="209">
        <f>+'[5]3.SZ.TÁBL. SEGÍTŐ SZOLGÁLAT'!$D20</f>
        <v>0</v>
      </c>
      <c r="D20" s="227"/>
      <c r="E20" s="212">
        <f t="shared" si="15"/>
        <v>0</v>
      </c>
      <c r="F20" s="213">
        <f>+'[5]3.SZ.TÁBL. SEGÍTŐ SZOLGÁLAT'!$G20</f>
        <v>0</v>
      </c>
      <c r="G20" s="227"/>
      <c r="H20" s="230">
        <f t="shared" si="16"/>
        <v>0</v>
      </c>
      <c r="I20" s="213">
        <f>+'[5]3.SZ.TÁBL. SEGÍTŐ SZOLGÁLAT'!$J20</f>
        <v>0</v>
      </c>
      <c r="J20" s="227"/>
      <c r="K20" s="228">
        <f t="shared" si="17"/>
        <v>0</v>
      </c>
      <c r="L20" s="213">
        <f>+'[5]3.SZ.TÁBL. SEGÍTŐ SZOLGÁLAT'!$M20</f>
        <v>0</v>
      </c>
      <c r="M20" s="227"/>
      <c r="N20" s="230">
        <f t="shared" si="18"/>
        <v>0</v>
      </c>
      <c r="O20" s="213">
        <f>+'[3]3.SZ.TÁBL. SEGÍTŐ SZOLGÁLAT'!$Q20</f>
        <v>0</v>
      </c>
      <c r="P20" s="227"/>
      <c r="Q20" s="228">
        <f t="shared" si="19"/>
        <v>0</v>
      </c>
      <c r="R20" s="213">
        <f>+'[5]3.SZ.TÁBL. SEGÍTŐ SZOLGÁLAT'!$S20</f>
        <v>0</v>
      </c>
      <c r="S20" s="227"/>
      <c r="T20" s="230">
        <f t="shared" si="20"/>
        <v>0</v>
      </c>
      <c r="U20" s="213">
        <f>+'[5]3.SZ.TÁBL. SEGÍTŐ SZOLGÁLAT'!$V20</f>
        <v>0</v>
      </c>
      <c r="V20" s="227"/>
      <c r="W20" s="230">
        <f t="shared" si="21"/>
        <v>0</v>
      </c>
      <c r="X20" s="213">
        <f>+'[5]3.SZ.TÁBL. SEGÍTŐ SZOLGÁLAT'!$Y20</f>
        <v>0</v>
      </c>
      <c r="Y20" s="227"/>
      <c r="Z20" s="228">
        <f t="shared" si="22"/>
        <v>0</v>
      </c>
      <c r="AA20" s="231">
        <f t="shared" si="12"/>
        <v>0</v>
      </c>
      <c r="AB20" s="227">
        <f t="shared" si="13"/>
        <v>0</v>
      </c>
      <c r="AC20" s="232">
        <f t="shared" si="14"/>
        <v>0</v>
      </c>
    </row>
    <row r="21" spans="1:29" s="328" customFormat="1" ht="13.5" customHeight="1">
      <c r="A21" s="143" t="s">
        <v>162</v>
      </c>
      <c r="B21" s="233" t="s">
        <v>123</v>
      </c>
      <c r="C21" s="302">
        <f t="shared" ref="C21:AC21" si="23">SUM(C12:C20)</f>
        <v>200</v>
      </c>
      <c r="D21" s="300">
        <f t="shared" si="23"/>
        <v>0</v>
      </c>
      <c r="E21" s="303">
        <f t="shared" si="23"/>
        <v>200</v>
      </c>
      <c r="F21" s="326">
        <f t="shared" ref="F21" si="24">SUM(F12:F20)</f>
        <v>0</v>
      </c>
      <c r="G21" s="300">
        <f t="shared" si="23"/>
        <v>0</v>
      </c>
      <c r="H21" s="327">
        <f t="shared" si="23"/>
        <v>0</v>
      </c>
      <c r="I21" s="326">
        <f t="shared" si="23"/>
        <v>2072</v>
      </c>
      <c r="J21" s="300">
        <f t="shared" si="23"/>
        <v>0</v>
      </c>
      <c r="K21" s="303">
        <f t="shared" si="23"/>
        <v>2072</v>
      </c>
      <c r="L21" s="326">
        <f t="shared" ref="L21" si="25">SUM(L12:L20)</f>
        <v>0</v>
      </c>
      <c r="M21" s="300">
        <f t="shared" si="23"/>
        <v>289</v>
      </c>
      <c r="N21" s="327">
        <f t="shared" si="23"/>
        <v>289</v>
      </c>
      <c r="O21" s="326">
        <f t="shared" si="23"/>
        <v>1620</v>
      </c>
      <c r="P21" s="300">
        <f t="shared" si="23"/>
        <v>0</v>
      </c>
      <c r="Q21" s="303">
        <f t="shared" si="23"/>
        <v>1620</v>
      </c>
      <c r="R21" s="326">
        <f t="shared" ref="R21" si="26">SUM(R12:R20)</f>
        <v>500</v>
      </c>
      <c r="S21" s="300">
        <f t="shared" si="23"/>
        <v>0</v>
      </c>
      <c r="T21" s="327">
        <f t="shared" si="23"/>
        <v>500</v>
      </c>
      <c r="U21" s="326">
        <f t="shared" si="23"/>
        <v>5343</v>
      </c>
      <c r="V21" s="300">
        <f t="shared" si="23"/>
        <v>0</v>
      </c>
      <c r="W21" s="327">
        <f t="shared" si="23"/>
        <v>5343</v>
      </c>
      <c r="X21" s="326">
        <f t="shared" ref="X21" si="27">SUM(X12:X20)</f>
        <v>500</v>
      </c>
      <c r="Y21" s="300">
        <f t="shared" ref="Y21:Z21" si="28">SUM(Y12:Y20)</f>
        <v>0</v>
      </c>
      <c r="Z21" s="303">
        <f t="shared" si="28"/>
        <v>500</v>
      </c>
      <c r="AA21" s="295">
        <f t="shared" si="23"/>
        <v>10235</v>
      </c>
      <c r="AB21" s="300">
        <f t="shared" si="23"/>
        <v>289</v>
      </c>
      <c r="AC21" s="301">
        <f t="shared" si="23"/>
        <v>10524</v>
      </c>
    </row>
    <row r="22" spans="1:29" s="328" customFormat="1" ht="13.5" customHeight="1">
      <c r="A22" s="143" t="s">
        <v>163</v>
      </c>
      <c r="B22" s="233" t="s">
        <v>124</v>
      </c>
      <c r="C22" s="302"/>
      <c r="D22" s="300"/>
      <c r="E22" s="303"/>
      <c r="F22" s="326"/>
      <c r="G22" s="300"/>
      <c r="H22" s="327"/>
      <c r="I22" s="326"/>
      <c r="J22" s="300"/>
      <c r="K22" s="303"/>
      <c r="L22" s="326"/>
      <c r="M22" s="300"/>
      <c r="N22" s="327"/>
      <c r="O22" s="326"/>
      <c r="P22" s="300"/>
      <c r="Q22" s="303"/>
      <c r="R22" s="326"/>
      <c r="S22" s="300"/>
      <c r="T22" s="327"/>
      <c r="U22" s="326"/>
      <c r="V22" s="300"/>
      <c r="W22" s="327"/>
      <c r="X22" s="326"/>
      <c r="Y22" s="300"/>
      <c r="Z22" s="303"/>
      <c r="AA22" s="295"/>
      <c r="AB22" s="300"/>
      <c r="AC22" s="301"/>
    </row>
    <row r="23" spans="1:29" ht="13.5" customHeight="1">
      <c r="A23" s="170" t="s">
        <v>164</v>
      </c>
      <c r="B23" s="236" t="s">
        <v>125</v>
      </c>
      <c r="C23" s="237"/>
      <c r="D23" s="238"/>
      <c r="E23" s="239"/>
      <c r="F23" s="240"/>
      <c r="G23" s="238"/>
      <c r="H23" s="241"/>
      <c r="I23" s="240"/>
      <c r="J23" s="238"/>
      <c r="K23" s="239"/>
      <c r="L23" s="240"/>
      <c r="M23" s="238"/>
      <c r="N23" s="241"/>
      <c r="O23" s="240"/>
      <c r="P23" s="238"/>
      <c r="Q23" s="239"/>
      <c r="R23" s="240"/>
      <c r="S23" s="238"/>
      <c r="T23" s="241"/>
      <c r="U23" s="240"/>
      <c r="V23" s="238"/>
      <c r="W23" s="241"/>
      <c r="X23" s="240"/>
      <c r="Y23" s="238"/>
      <c r="Z23" s="239"/>
      <c r="AA23" s="242"/>
      <c r="AB23" s="238"/>
      <c r="AC23" s="243"/>
    </row>
    <row r="24" spans="1:29" s="328" customFormat="1" ht="13.5" customHeight="1">
      <c r="A24" s="143" t="s">
        <v>165</v>
      </c>
      <c r="B24" s="233" t="s">
        <v>285</v>
      </c>
      <c r="C24" s="302">
        <f t="shared" ref="C24:AC24" si="29">+C23</f>
        <v>0</v>
      </c>
      <c r="D24" s="300">
        <f t="shared" si="29"/>
        <v>0</v>
      </c>
      <c r="E24" s="303">
        <f t="shared" si="29"/>
        <v>0</v>
      </c>
      <c r="F24" s="326">
        <f t="shared" ref="F24" si="30">+F23</f>
        <v>0</v>
      </c>
      <c r="G24" s="300">
        <f t="shared" si="29"/>
        <v>0</v>
      </c>
      <c r="H24" s="327">
        <f t="shared" si="29"/>
        <v>0</v>
      </c>
      <c r="I24" s="326">
        <f t="shared" si="29"/>
        <v>0</v>
      </c>
      <c r="J24" s="300">
        <f t="shared" si="29"/>
        <v>0</v>
      </c>
      <c r="K24" s="303">
        <f t="shared" si="29"/>
        <v>0</v>
      </c>
      <c r="L24" s="326">
        <f t="shared" ref="L24" si="31">+L23</f>
        <v>0</v>
      </c>
      <c r="M24" s="300">
        <f t="shared" si="29"/>
        <v>0</v>
      </c>
      <c r="N24" s="327">
        <f t="shared" si="29"/>
        <v>0</v>
      </c>
      <c r="O24" s="326">
        <f t="shared" si="29"/>
        <v>0</v>
      </c>
      <c r="P24" s="300">
        <f t="shared" si="29"/>
        <v>0</v>
      </c>
      <c r="Q24" s="303">
        <f t="shared" si="29"/>
        <v>0</v>
      </c>
      <c r="R24" s="326">
        <f t="shared" ref="R24" si="32">+R23</f>
        <v>0</v>
      </c>
      <c r="S24" s="300">
        <f t="shared" si="29"/>
        <v>0</v>
      </c>
      <c r="T24" s="327">
        <f t="shared" si="29"/>
        <v>0</v>
      </c>
      <c r="U24" s="326">
        <f t="shared" si="29"/>
        <v>0</v>
      </c>
      <c r="V24" s="300">
        <f t="shared" si="29"/>
        <v>0</v>
      </c>
      <c r="W24" s="327">
        <f t="shared" si="29"/>
        <v>0</v>
      </c>
      <c r="X24" s="326">
        <f t="shared" ref="X24" si="33">+X23</f>
        <v>0</v>
      </c>
      <c r="Y24" s="300">
        <f t="shared" ref="Y24:Z24" si="34">+Y23</f>
        <v>0</v>
      </c>
      <c r="Z24" s="303">
        <f t="shared" si="34"/>
        <v>0</v>
      </c>
      <c r="AA24" s="295">
        <f t="shared" si="29"/>
        <v>0</v>
      </c>
      <c r="AB24" s="300">
        <f t="shared" si="29"/>
        <v>0</v>
      </c>
      <c r="AC24" s="301">
        <f t="shared" si="29"/>
        <v>0</v>
      </c>
    </row>
    <row r="25" spans="1:29" ht="13.5" customHeight="1">
      <c r="A25" s="170" t="s">
        <v>166</v>
      </c>
      <c r="B25" s="236" t="s">
        <v>126</v>
      </c>
      <c r="C25" s="237"/>
      <c r="D25" s="238"/>
      <c r="E25" s="239"/>
      <c r="F25" s="240"/>
      <c r="G25" s="238"/>
      <c r="H25" s="241"/>
      <c r="I25" s="240"/>
      <c r="J25" s="238"/>
      <c r="K25" s="239"/>
      <c r="L25" s="240"/>
      <c r="M25" s="238"/>
      <c r="N25" s="241"/>
      <c r="O25" s="240"/>
      <c r="P25" s="238"/>
      <c r="Q25" s="239"/>
      <c r="R25" s="240"/>
      <c r="S25" s="238"/>
      <c r="T25" s="241"/>
      <c r="U25" s="240"/>
      <c r="V25" s="238"/>
      <c r="W25" s="241"/>
      <c r="X25" s="240"/>
      <c r="Y25" s="238"/>
      <c r="Z25" s="239"/>
      <c r="AA25" s="242"/>
      <c r="AB25" s="238"/>
      <c r="AC25" s="243"/>
    </row>
    <row r="26" spans="1:29" s="328" customFormat="1" ht="13.5" customHeight="1">
      <c r="A26" s="143" t="s">
        <v>167</v>
      </c>
      <c r="B26" s="233" t="s">
        <v>286</v>
      </c>
      <c r="C26" s="302">
        <f t="shared" ref="C26:AC26" si="35">+C25</f>
        <v>0</v>
      </c>
      <c r="D26" s="300">
        <f t="shared" si="35"/>
        <v>0</v>
      </c>
      <c r="E26" s="303">
        <f t="shared" si="35"/>
        <v>0</v>
      </c>
      <c r="F26" s="326">
        <f t="shared" ref="F26" si="36">+F25</f>
        <v>0</v>
      </c>
      <c r="G26" s="300">
        <f t="shared" si="35"/>
        <v>0</v>
      </c>
      <c r="H26" s="327">
        <f t="shared" si="35"/>
        <v>0</v>
      </c>
      <c r="I26" s="326">
        <f t="shared" si="35"/>
        <v>0</v>
      </c>
      <c r="J26" s="300">
        <f t="shared" si="35"/>
        <v>0</v>
      </c>
      <c r="K26" s="303">
        <f t="shared" si="35"/>
        <v>0</v>
      </c>
      <c r="L26" s="326">
        <f t="shared" ref="L26" si="37">+L25</f>
        <v>0</v>
      </c>
      <c r="M26" s="300">
        <f t="shared" si="35"/>
        <v>0</v>
      </c>
      <c r="N26" s="327">
        <f t="shared" si="35"/>
        <v>0</v>
      </c>
      <c r="O26" s="326">
        <f t="shared" si="35"/>
        <v>0</v>
      </c>
      <c r="P26" s="300">
        <f t="shared" si="35"/>
        <v>0</v>
      </c>
      <c r="Q26" s="303">
        <f t="shared" si="35"/>
        <v>0</v>
      </c>
      <c r="R26" s="326">
        <f t="shared" ref="R26" si="38">+R25</f>
        <v>0</v>
      </c>
      <c r="S26" s="300">
        <f t="shared" si="35"/>
        <v>0</v>
      </c>
      <c r="T26" s="327">
        <f t="shared" si="35"/>
        <v>0</v>
      </c>
      <c r="U26" s="326">
        <f t="shared" si="35"/>
        <v>0</v>
      </c>
      <c r="V26" s="300">
        <f t="shared" si="35"/>
        <v>0</v>
      </c>
      <c r="W26" s="327">
        <f t="shared" si="35"/>
        <v>0</v>
      </c>
      <c r="X26" s="326">
        <f t="shared" ref="X26" si="39">+X25</f>
        <v>0</v>
      </c>
      <c r="Y26" s="300">
        <f t="shared" ref="Y26:Z26" si="40">+Y25</f>
        <v>0</v>
      </c>
      <c r="Z26" s="303">
        <f t="shared" si="40"/>
        <v>0</v>
      </c>
      <c r="AA26" s="295">
        <f t="shared" si="35"/>
        <v>0</v>
      </c>
      <c r="AB26" s="300">
        <f t="shared" si="35"/>
        <v>0</v>
      </c>
      <c r="AC26" s="301">
        <f t="shared" si="35"/>
        <v>0</v>
      </c>
    </row>
    <row r="27" spans="1:29" s="328" customFormat="1" ht="13.5" customHeight="1">
      <c r="A27" s="143" t="s">
        <v>168</v>
      </c>
      <c r="B27" s="233" t="s">
        <v>127</v>
      </c>
      <c r="C27" s="302">
        <f t="shared" ref="C27:AC27" si="41">+C7+C11+C21+C22+C24+C26</f>
        <v>200</v>
      </c>
      <c r="D27" s="300">
        <f t="shared" si="41"/>
        <v>0</v>
      </c>
      <c r="E27" s="303">
        <f t="shared" si="41"/>
        <v>200</v>
      </c>
      <c r="F27" s="326">
        <f t="shared" ref="F27" si="42">+F7+F11+F21+F22+F24+F26</f>
        <v>0</v>
      </c>
      <c r="G27" s="300">
        <f t="shared" si="41"/>
        <v>0</v>
      </c>
      <c r="H27" s="327">
        <f t="shared" si="41"/>
        <v>0</v>
      </c>
      <c r="I27" s="326">
        <f t="shared" si="41"/>
        <v>2072</v>
      </c>
      <c r="J27" s="300">
        <f t="shared" si="41"/>
        <v>0</v>
      </c>
      <c r="K27" s="303">
        <f t="shared" si="41"/>
        <v>2072</v>
      </c>
      <c r="L27" s="326">
        <f t="shared" ref="L27" si="43">+L7+L11+L21+L22+L24+L26</f>
        <v>0</v>
      </c>
      <c r="M27" s="300">
        <f t="shared" si="41"/>
        <v>289</v>
      </c>
      <c r="N27" s="327">
        <f t="shared" si="41"/>
        <v>289</v>
      </c>
      <c r="O27" s="326">
        <f t="shared" si="41"/>
        <v>1620</v>
      </c>
      <c r="P27" s="300">
        <f t="shared" si="41"/>
        <v>0</v>
      </c>
      <c r="Q27" s="303">
        <f t="shared" si="41"/>
        <v>1620</v>
      </c>
      <c r="R27" s="326">
        <f t="shared" ref="R27" si="44">+R7+R11+R21+R22+R24+R26</f>
        <v>500</v>
      </c>
      <c r="S27" s="300">
        <f t="shared" si="41"/>
        <v>0</v>
      </c>
      <c r="T27" s="327">
        <f t="shared" si="41"/>
        <v>500</v>
      </c>
      <c r="U27" s="326">
        <f t="shared" si="41"/>
        <v>5343</v>
      </c>
      <c r="V27" s="300">
        <f t="shared" si="41"/>
        <v>0</v>
      </c>
      <c r="W27" s="327">
        <f t="shared" si="41"/>
        <v>5343</v>
      </c>
      <c r="X27" s="326">
        <f t="shared" ref="X27" si="45">+X7+X11+X21+X22+X24+X26</f>
        <v>500</v>
      </c>
      <c r="Y27" s="300">
        <f t="shared" ref="Y27:Z27" si="46">+Y7+Y11+Y21+Y22+Y24+Y26</f>
        <v>0</v>
      </c>
      <c r="Z27" s="303">
        <f t="shared" si="46"/>
        <v>500</v>
      </c>
      <c r="AA27" s="295">
        <f t="shared" si="41"/>
        <v>10235</v>
      </c>
      <c r="AB27" s="300">
        <f t="shared" si="41"/>
        <v>289</v>
      </c>
      <c r="AC27" s="301">
        <f t="shared" si="41"/>
        <v>10524</v>
      </c>
    </row>
    <row r="28" spans="1:29" s="328" customFormat="1" ht="13.5" customHeight="1">
      <c r="A28" s="244" t="s">
        <v>169</v>
      </c>
      <c r="B28" s="233" t="s">
        <v>128</v>
      </c>
      <c r="C28" s="302"/>
      <c r="D28" s="300"/>
      <c r="E28" s="303">
        <f>SUM(C28:D28)</f>
        <v>0</v>
      </c>
      <c r="F28" s="326"/>
      <c r="G28" s="300"/>
      <c r="H28" s="327">
        <f>SUM(F28:G28)</f>
        <v>0</v>
      </c>
      <c r="I28" s="326"/>
      <c r="J28" s="300"/>
      <c r="K28" s="303">
        <f>SUM(I28:J28)</f>
        <v>0</v>
      </c>
      <c r="L28" s="326"/>
      <c r="M28" s="300"/>
      <c r="N28" s="327">
        <f>SUM(L28:M28)</f>
        <v>0</v>
      </c>
      <c r="O28" s="326"/>
      <c r="P28" s="300"/>
      <c r="Q28" s="303">
        <f>SUM(O28:P28)</f>
        <v>0</v>
      </c>
      <c r="R28" s="326"/>
      <c r="S28" s="300"/>
      <c r="T28" s="327">
        <f>SUM(R28:S28)</f>
        <v>0</v>
      </c>
      <c r="U28" s="326">
        <f>+'[3]3.SZ.TÁBL. SEGÍTŐ SZOLGÁLAT'!$W$28</f>
        <v>8</v>
      </c>
      <c r="V28" s="300"/>
      <c r="W28" s="327">
        <f>SUM(U28:V28)</f>
        <v>8</v>
      </c>
      <c r="X28" s="326"/>
      <c r="Y28" s="300"/>
      <c r="Z28" s="303">
        <f>SUM(X28:Y28)</f>
        <v>0</v>
      </c>
      <c r="AA28" s="295">
        <f>+C28+F28+I28+L28+O28+R28+U28+X28</f>
        <v>8</v>
      </c>
      <c r="AB28" s="300">
        <f>+D28+G28+J28+M28+P28+S28+V28+Y28</f>
        <v>0</v>
      </c>
      <c r="AC28" s="301">
        <f>+E28+H28+K28+N28+Q28+T28+W28+Z28</f>
        <v>8</v>
      </c>
    </row>
    <row r="29" spans="1:29" s="328" customFormat="1" ht="13.5" customHeight="1">
      <c r="A29" s="244" t="s">
        <v>283</v>
      </c>
      <c r="B29" s="233" t="s">
        <v>284</v>
      </c>
      <c r="C29" s="302">
        <f t="shared" ref="C29:AC29" si="47">+SUM(C30:C32)</f>
        <v>2307</v>
      </c>
      <c r="D29" s="300">
        <f t="shared" si="47"/>
        <v>-193</v>
      </c>
      <c r="E29" s="303">
        <f t="shared" si="47"/>
        <v>2114</v>
      </c>
      <c r="F29" s="326">
        <f t="shared" ref="F29" si="48">+SUM(F30:F32)</f>
        <v>21179</v>
      </c>
      <c r="G29" s="300">
        <f t="shared" si="47"/>
        <v>2237</v>
      </c>
      <c r="H29" s="327">
        <f t="shared" si="47"/>
        <v>23416</v>
      </c>
      <c r="I29" s="326">
        <f t="shared" si="47"/>
        <v>33156</v>
      </c>
      <c r="J29" s="300">
        <f t="shared" si="47"/>
        <v>1516</v>
      </c>
      <c r="K29" s="303">
        <f t="shared" si="47"/>
        <v>34672</v>
      </c>
      <c r="L29" s="326">
        <f t="shared" ref="L29" si="49">+SUM(L30:L32)</f>
        <v>23277</v>
      </c>
      <c r="M29" s="300">
        <f t="shared" si="47"/>
        <v>3197</v>
      </c>
      <c r="N29" s="327">
        <f t="shared" si="47"/>
        <v>26474</v>
      </c>
      <c r="O29" s="326">
        <f t="shared" si="47"/>
        <v>13684</v>
      </c>
      <c r="P29" s="300">
        <f t="shared" si="47"/>
        <v>1182</v>
      </c>
      <c r="Q29" s="303">
        <f t="shared" si="47"/>
        <v>14866</v>
      </c>
      <c r="R29" s="326">
        <f t="shared" ref="R29" si="50">+SUM(R30:R32)</f>
        <v>5954</v>
      </c>
      <c r="S29" s="300">
        <f t="shared" si="47"/>
        <v>223</v>
      </c>
      <c r="T29" s="327">
        <f t="shared" si="47"/>
        <v>6177</v>
      </c>
      <c r="U29" s="326">
        <f t="shared" si="47"/>
        <v>7935</v>
      </c>
      <c r="V29" s="300">
        <f t="shared" si="47"/>
        <v>-705</v>
      </c>
      <c r="W29" s="327">
        <f t="shared" si="47"/>
        <v>7230</v>
      </c>
      <c r="X29" s="326">
        <f t="shared" ref="X29" si="51">+SUM(X30:X32)</f>
        <v>1448</v>
      </c>
      <c r="Y29" s="300">
        <f t="shared" ref="Y29:Z29" si="52">+SUM(Y30:Y32)</f>
        <v>-111</v>
      </c>
      <c r="Z29" s="303">
        <f t="shared" si="52"/>
        <v>1337</v>
      </c>
      <c r="AA29" s="295">
        <f t="shared" si="47"/>
        <v>108940</v>
      </c>
      <c r="AB29" s="300">
        <f t="shared" si="47"/>
        <v>7346</v>
      </c>
      <c r="AC29" s="301">
        <f t="shared" si="47"/>
        <v>116286</v>
      </c>
    </row>
    <row r="30" spans="1:29" ht="13.5" customHeight="1">
      <c r="A30" s="275"/>
      <c r="B30" s="453" t="s">
        <v>293</v>
      </c>
      <c r="C30" s="267">
        <f>+'[3]3.SZ.TÁBL. SEGÍTŐ SZOLGÁLAT'!$E$30</f>
        <v>600</v>
      </c>
      <c r="D30" s="268">
        <f>+'6.SZ.TÁBL. SZOCIÁLIS NORMATÍVA'!G23+'6.SZ.TÁBL. SZOCIÁLIS NORMATÍVA'!G20+'6.SZ.TÁBL. SZOCIÁLIS NORMATÍVA'!G8+'6.SZ.TÁBL. SZOCIÁLIS NORMATÍVA'!G32</f>
        <v>-66</v>
      </c>
      <c r="E30" s="269">
        <f>SUM(C30:D30)</f>
        <v>534</v>
      </c>
      <c r="F30" s="270">
        <f>+'[3]3.SZ.TÁBL. SEGÍTŐ SZOLGÁLAT'!$H$30</f>
        <v>11504</v>
      </c>
      <c r="G30" s="268">
        <f>+'6.SZ.TÁBL. SZOCIÁLIS NORMATÍVA'!G15+'6.SZ.TÁBL. SZOCIÁLIS NORMATÍVA'!G25+'6.SZ.TÁBL. SZOCIÁLIS NORMATÍVA'!G34</f>
        <v>2746</v>
      </c>
      <c r="H30" s="271">
        <f>SUM(F30:G30)</f>
        <v>14250</v>
      </c>
      <c r="I30" s="270">
        <f>+'[3]3.SZ.TÁBL. SEGÍTŐ SZOLGÁLAT'!$K$30</f>
        <v>14452</v>
      </c>
      <c r="J30" s="268">
        <f>+'6.SZ.TÁBL. SZOCIÁLIS NORMATÍVA'!G16+'6.SZ.TÁBL. SZOCIÁLIS NORMATÍVA'!G26+'6.SZ.TÁBL. SZOCIÁLIS NORMATÍVA'!G6+'6.SZ.TÁBL. SZOCIÁLIS NORMATÍVA'!G7+'6.SZ.TÁBL. SZOCIÁLIS NORMATÍVA'!G35</f>
        <v>8605</v>
      </c>
      <c r="K30" s="269">
        <f>SUM(I30:J30)</f>
        <v>23057</v>
      </c>
      <c r="L30" s="270">
        <f>+'[3]3.SZ.TÁBL. SEGÍTŐ SZOLGÁLAT'!$N$30</f>
        <v>17258</v>
      </c>
      <c r="M30" s="268">
        <f>+'6.SZ.TÁBL. SZOCIÁLIS NORMATÍVA'!G17+'6.SZ.TÁBL. SZOCIÁLIS NORMATÍVA'!G27+'6.SZ.TÁBL. SZOCIÁLIS NORMATÍVA'!G36</f>
        <v>3451</v>
      </c>
      <c r="N30" s="271">
        <f>SUM(L30:M30)</f>
        <v>20709</v>
      </c>
      <c r="O30" s="270">
        <f>+'[3]3.SZ.TÁBL. SEGÍTŐ SZOLGÁLAT'!$Q$30</f>
        <v>9828</v>
      </c>
      <c r="P30" s="268">
        <f>+'6.SZ.TÁBL. SZOCIÁLIS NORMATÍVA'!G18+'6.SZ.TÁBL. SZOCIÁLIS NORMATÍVA'!G28+'6.SZ.TÁBL. SZOCIÁLIS NORMATÍVA'!G37</f>
        <v>1818</v>
      </c>
      <c r="Q30" s="269">
        <f>SUM(O30:P30)</f>
        <v>11646</v>
      </c>
      <c r="R30" s="270">
        <f>+'[3]3.SZ.TÁBL. SEGÍTŐ SZOLGÁLAT'!$T$30</f>
        <v>2688</v>
      </c>
      <c r="S30" s="268">
        <f>+'6.SZ.TÁBL. SZOCIÁLIS NORMATÍVA'!G19+'6.SZ.TÁBL. SZOCIÁLIS NORMATÍVA'!G29+'6.SZ.TÁBL. SZOCIÁLIS NORMATÍVA'!G38</f>
        <v>477</v>
      </c>
      <c r="T30" s="271">
        <f>SUM(R30:S30)</f>
        <v>3165</v>
      </c>
      <c r="U30" s="270">
        <f>+'[3]3.SZ.TÁBL. SEGÍTŐ SZOLGÁLAT'!$W$30</f>
        <v>6692</v>
      </c>
      <c r="V30" s="268">
        <f>+'6.SZ.TÁBL. SZOCIÁLIS NORMATÍVA'!G14+'6.SZ.TÁBL. SZOCIÁLIS NORMATÍVA'!G24+'6.SZ.TÁBL. SZOCIÁLIS NORMATÍVA'!G10+'6.SZ.TÁBL. SZOCIÁLIS NORMATÍVA'!G33</f>
        <v>-705</v>
      </c>
      <c r="W30" s="822">
        <f>SUM(U30:V30)</f>
        <v>5987</v>
      </c>
      <c r="X30" s="270">
        <f>+'[3]3.SZ.TÁBL. SEGÍTŐ SZOLGÁLAT'!$Z$30</f>
        <v>443</v>
      </c>
      <c r="Y30" s="268">
        <f>+'6.SZ.TÁBL. SZOCIÁLIS NORMATÍVA'!J14+'6.SZ.TÁBL. SZOCIÁLIS NORMATÍVA'!J24+'6.SZ.TÁBL. SZOCIÁLIS NORMATÍVA'!G5</f>
        <v>-111</v>
      </c>
      <c r="Z30" s="269">
        <f>SUM(X30:Y30)</f>
        <v>332</v>
      </c>
      <c r="AA30" s="272">
        <f t="shared" ref="AA30" si="53">+C30+F30+I30+L30+O30+R30+U30+X30</f>
        <v>63465</v>
      </c>
      <c r="AB30" s="268">
        <f t="shared" ref="AB30" si="54">+D30+G30+J30+M30+P30+S30+V30+Y30</f>
        <v>16215</v>
      </c>
      <c r="AC30" s="273">
        <f t="shared" ref="AC30" si="55">+E30+H30+K30+N30+Q30+T30+W30+Z30</f>
        <v>79680</v>
      </c>
    </row>
    <row r="31" spans="1:29" ht="13.5" customHeight="1">
      <c r="A31" s="750"/>
      <c r="B31" s="154" t="s">
        <v>416</v>
      </c>
      <c r="C31" s="217"/>
      <c r="D31" s="218"/>
      <c r="E31" s="219"/>
      <c r="F31" s="220">
        <f>+'[3]3.SZ.TÁBL. SEGÍTŐ SZOLGÁLAT'!$H$31</f>
        <v>13</v>
      </c>
      <c r="G31" s="218"/>
      <c r="H31" s="221">
        <f>+F31+G31</f>
        <v>13</v>
      </c>
      <c r="I31" s="220"/>
      <c r="J31" s="218"/>
      <c r="K31" s="219"/>
      <c r="L31" s="220"/>
      <c r="M31" s="218"/>
      <c r="N31" s="221"/>
      <c r="O31" s="220"/>
      <c r="P31" s="218"/>
      <c r="Q31" s="219"/>
      <c r="R31" s="220"/>
      <c r="S31" s="218"/>
      <c r="T31" s="221"/>
      <c r="U31" s="220">
        <f>+'[3]3.SZ.TÁBL. SEGÍTŐ SZOLGÁLAT'!$W$31</f>
        <v>1243</v>
      </c>
      <c r="V31" s="218"/>
      <c r="W31" s="214">
        <f>SUM(U31:V31)</f>
        <v>1243</v>
      </c>
      <c r="X31" s="220"/>
      <c r="Y31" s="218"/>
      <c r="Z31" s="219"/>
      <c r="AA31" s="222">
        <f t="shared" ref="AA31" si="56">+C31+F31+I31+L31+O31+R31+U31+X31</f>
        <v>1256</v>
      </c>
      <c r="AB31" s="218">
        <f t="shared" ref="AB31" si="57">+D31+G31+J31+M31+P31+S31+V31+Y31</f>
        <v>0</v>
      </c>
      <c r="AC31" s="223">
        <f t="shared" ref="AC31" si="58">+E31+H31+K31+N31+Q31+T31+W31+Z31</f>
        <v>1256</v>
      </c>
    </row>
    <row r="32" spans="1:29" ht="13.5" customHeight="1">
      <c r="A32" s="276"/>
      <c r="B32" s="154" t="s">
        <v>294</v>
      </c>
      <c r="C32" s="209">
        <f>+'[3]3.SZ.TÁBL. SEGÍTŐ SZOLGÁLAT'!$E$32</f>
        <v>1707</v>
      </c>
      <c r="D32" s="207">
        <f t="shared" ref="D32:AC32" si="59">+SUM(D33:D39)</f>
        <v>-127</v>
      </c>
      <c r="E32" s="212">
        <f t="shared" si="59"/>
        <v>1580</v>
      </c>
      <c r="F32" s="213">
        <f>+'[3]3.SZ.TÁBL. SEGÍTŐ SZOLGÁLAT'!$H$32</f>
        <v>9662</v>
      </c>
      <c r="G32" s="207">
        <f t="shared" si="59"/>
        <v>-509</v>
      </c>
      <c r="H32" s="214">
        <f t="shared" si="59"/>
        <v>9153</v>
      </c>
      <c r="I32" s="213">
        <f>+'[3]3.SZ.TÁBL. SEGÍTŐ SZOLGÁLAT'!$K$32</f>
        <v>18704</v>
      </c>
      <c r="J32" s="207">
        <f t="shared" si="59"/>
        <v>-7089</v>
      </c>
      <c r="K32" s="212">
        <f t="shared" si="59"/>
        <v>11615</v>
      </c>
      <c r="L32" s="213">
        <f>+'[3]3.SZ.TÁBL. SEGÍTŐ SZOLGÁLAT'!$N$32</f>
        <v>6019</v>
      </c>
      <c r="M32" s="207">
        <f t="shared" si="59"/>
        <v>-254</v>
      </c>
      <c r="N32" s="214">
        <f t="shared" si="59"/>
        <v>5765</v>
      </c>
      <c r="O32" s="213">
        <f>+'[3]3.SZ.TÁBL. SEGÍTŐ SZOLGÁLAT'!$Q$32</f>
        <v>3856</v>
      </c>
      <c r="P32" s="207">
        <f t="shared" si="59"/>
        <v>-636</v>
      </c>
      <c r="Q32" s="212">
        <f t="shared" si="59"/>
        <v>3220</v>
      </c>
      <c r="R32" s="213">
        <f>+'[3]3.SZ.TÁBL. SEGÍTŐ SZOLGÁLAT'!$T$32</f>
        <v>3266</v>
      </c>
      <c r="S32" s="207">
        <f t="shared" si="59"/>
        <v>-254</v>
      </c>
      <c r="T32" s="214">
        <f t="shared" si="59"/>
        <v>3012</v>
      </c>
      <c r="U32" s="213">
        <f>+'[5]3.SZ.TÁBL. SEGÍTŐ SZOLGÁLAT'!$V31</f>
        <v>0</v>
      </c>
      <c r="V32" s="207">
        <f t="shared" si="59"/>
        <v>0</v>
      </c>
      <c r="W32" s="214">
        <f t="shared" si="59"/>
        <v>0</v>
      </c>
      <c r="X32" s="213">
        <f>+'[3]3.SZ.TÁBL. SEGÍTŐ SZOLGÁLAT'!$Z$32</f>
        <v>1005</v>
      </c>
      <c r="Y32" s="207">
        <f t="shared" ref="Y32:Z32" si="60">+SUM(Y33:Y39)</f>
        <v>0</v>
      </c>
      <c r="Z32" s="212">
        <f t="shared" si="60"/>
        <v>1005</v>
      </c>
      <c r="AA32" s="215">
        <f t="shared" si="59"/>
        <v>44219</v>
      </c>
      <c r="AB32" s="207">
        <f t="shared" si="59"/>
        <v>-8869</v>
      </c>
      <c r="AC32" s="208">
        <f t="shared" si="59"/>
        <v>35350</v>
      </c>
    </row>
    <row r="33" spans="1:29" s="285" customFormat="1" ht="13.5" customHeight="1">
      <c r="A33" s="277"/>
      <c r="B33" s="451" t="s">
        <v>4</v>
      </c>
      <c r="C33" s="278">
        <f>+'[5]3.SZ.TÁBL. SEGÍTŐ SZOLGÁLAT'!$D32</f>
        <v>0</v>
      </c>
      <c r="D33" s="279"/>
      <c r="E33" s="280">
        <f>SUM(C33:D33)</f>
        <v>0</v>
      </c>
      <c r="F33" s="281">
        <f>+'[3]3.SZ.TÁBL. SEGÍTŐ SZOLGÁLAT'!$H33</f>
        <v>1424</v>
      </c>
      <c r="G33" s="207">
        <v>-75</v>
      </c>
      <c r="H33" s="282">
        <f>SUM(F33:G33)</f>
        <v>1349</v>
      </c>
      <c r="I33" s="281">
        <f>+'[3]3.SZ.TÁBL. SEGÍTŐ SZOLGÁLAT'!$K33</f>
        <v>2756</v>
      </c>
      <c r="J33" s="207">
        <v>-1044</v>
      </c>
      <c r="K33" s="280">
        <f>SUM(I33:J33)</f>
        <v>1712</v>
      </c>
      <c r="L33" s="281">
        <f>+'[3]3.SZ.TÁBL. SEGÍTŐ SZOLGÁLAT'!$N33</f>
        <v>887</v>
      </c>
      <c r="M33" s="207">
        <v>-37</v>
      </c>
      <c r="N33" s="282">
        <f>SUM(L33:M33)</f>
        <v>850</v>
      </c>
      <c r="O33" s="281">
        <f>+'[3]3.SZ.TÁBL. SEGÍTŐ SZOLGÁLAT'!$Q33</f>
        <v>657</v>
      </c>
      <c r="P33" s="207">
        <v>-108</v>
      </c>
      <c r="Q33" s="280">
        <f>SUM(O33:P33)</f>
        <v>549</v>
      </c>
      <c r="R33" s="281">
        <f>+'[3]3.SZ.TÁBL. SEGÍTŐ SZOLGÁLAT'!$T$33</f>
        <v>3266</v>
      </c>
      <c r="S33" s="279">
        <v>-254</v>
      </c>
      <c r="T33" s="282">
        <f>SUM(R33:S33)</f>
        <v>3012</v>
      </c>
      <c r="U33" s="281">
        <f>+'[5]3.SZ.TÁBL. SEGÍTŐ SZOLGÁLAT'!$V32</f>
        <v>0</v>
      </c>
      <c r="V33" s="279"/>
      <c r="W33" s="282">
        <f>SUM(U33:V33)</f>
        <v>0</v>
      </c>
      <c r="X33" s="281">
        <f>+'[5]3.SZ.TÁBL. SEGÍTŐ SZOLGÁLAT'!$Y32</f>
        <v>0</v>
      </c>
      <c r="Y33" s="279"/>
      <c r="Z33" s="280">
        <f>SUM(X33:Y33)</f>
        <v>0</v>
      </c>
      <c r="AA33" s="283">
        <f t="shared" ref="AA33:AA39" si="61">+C33+F33+I33+L33+O33+R33+U33+X33</f>
        <v>8990</v>
      </c>
      <c r="AB33" s="279">
        <f t="shared" ref="AB33:AB39" si="62">+D33+G33+J33+M33+P33+S33+V33+Y33</f>
        <v>-1518</v>
      </c>
      <c r="AC33" s="284">
        <f t="shared" ref="AC33:AC39" si="63">+E33+H33+K33+N33+Q33+T33+W33+Z33</f>
        <v>7472</v>
      </c>
    </row>
    <row r="34" spans="1:29" s="285" customFormat="1" ht="13.5" customHeight="1">
      <c r="A34" s="277"/>
      <c r="B34" s="451" t="s">
        <v>6</v>
      </c>
      <c r="C34" s="278">
        <f>+'[5]3.SZ.TÁBL. SEGÍTŐ SZOLGÁLAT'!$D33</f>
        <v>0</v>
      </c>
      <c r="D34" s="279"/>
      <c r="E34" s="280">
        <f t="shared" ref="E34:E39" si="64">SUM(C34:D34)</f>
        <v>0</v>
      </c>
      <c r="F34" s="281">
        <f>+'[3]3.SZ.TÁBL. SEGÍTŐ SZOLGÁLAT'!$H34</f>
        <v>648</v>
      </c>
      <c r="G34" s="207">
        <v>-34</v>
      </c>
      <c r="H34" s="282">
        <f t="shared" ref="H34:H39" si="65">SUM(F34:G34)</f>
        <v>614</v>
      </c>
      <c r="I34" s="281">
        <f>+'[3]3.SZ.TÁBL. SEGÍTŐ SZOLGÁLAT'!$K34</f>
        <v>1255</v>
      </c>
      <c r="J34" s="207">
        <v>-476</v>
      </c>
      <c r="K34" s="280">
        <f t="shared" ref="K34:K39" si="66">SUM(I34:J34)</f>
        <v>779</v>
      </c>
      <c r="L34" s="281">
        <f>+'[3]3.SZ.TÁBL. SEGÍTŐ SZOLGÁLAT'!$N34</f>
        <v>404</v>
      </c>
      <c r="M34" s="207">
        <v>-17</v>
      </c>
      <c r="N34" s="282">
        <f t="shared" ref="N34:N39" si="67">SUM(L34:M34)</f>
        <v>387</v>
      </c>
      <c r="O34" s="281">
        <f>+'[3]3.SZ.TÁBL. SEGÍTŐ SZOLGÁLAT'!$Q34</f>
        <v>299</v>
      </c>
      <c r="P34" s="207">
        <v>-49</v>
      </c>
      <c r="Q34" s="280">
        <f t="shared" ref="Q34:Q39" si="68">SUM(O34:P34)</f>
        <v>250</v>
      </c>
      <c r="R34" s="281">
        <f>+'[5]3.SZ.TÁBL. SEGÍTŐ SZOLGÁLAT'!$S33</f>
        <v>0</v>
      </c>
      <c r="S34" s="279"/>
      <c r="T34" s="282">
        <f t="shared" ref="T34:T39" si="69">SUM(R34:S34)</f>
        <v>0</v>
      </c>
      <c r="U34" s="281">
        <f>+'[5]3.SZ.TÁBL. SEGÍTŐ SZOLGÁLAT'!$V33</f>
        <v>0</v>
      </c>
      <c r="V34" s="279"/>
      <c r="W34" s="282">
        <f t="shared" ref="W34:W39" si="70">SUM(U34:V34)</f>
        <v>0</v>
      </c>
      <c r="X34" s="281">
        <f>+'[5]3.SZ.TÁBL. SEGÍTŐ SZOLGÁLAT'!$Y33</f>
        <v>0</v>
      </c>
      <c r="Y34" s="279"/>
      <c r="Z34" s="280">
        <f t="shared" ref="Z34:Z39" si="71">SUM(X34:Y34)</f>
        <v>0</v>
      </c>
      <c r="AA34" s="283">
        <f t="shared" si="61"/>
        <v>2606</v>
      </c>
      <c r="AB34" s="279">
        <f t="shared" si="62"/>
        <v>-576</v>
      </c>
      <c r="AC34" s="284">
        <f t="shared" si="63"/>
        <v>2030</v>
      </c>
    </row>
    <row r="35" spans="1:29" s="285" customFormat="1" ht="13.5" customHeight="1">
      <c r="A35" s="277"/>
      <c r="B35" s="451" t="s">
        <v>7</v>
      </c>
      <c r="C35" s="278">
        <f>+'[5]3.SZ.TÁBL. SEGÍTŐ SZOLGÁLAT'!$D34</f>
        <v>0</v>
      </c>
      <c r="D35" s="279"/>
      <c r="E35" s="280">
        <f t="shared" si="64"/>
        <v>0</v>
      </c>
      <c r="F35" s="281">
        <f>+'[3]3.SZ.TÁBL. SEGÍTŐ SZOLGÁLAT'!$H35</f>
        <v>560</v>
      </c>
      <c r="G35" s="207">
        <v>-30</v>
      </c>
      <c r="H35" s="282">
        <f t="shared" si="65"/>
        <v>530</v>
      </c>
      <c r="I35" s="281">
        <f>+'[3]3.SZ.TÁBL. SEGÍTŐ SZOLGÁLAT'!$K35</f>
        <v>1084</v>
      </c>
      <c r="J35" s="207">
        <v>-411</v>
      </c>
      <c r="K35" s="280">
        <f t="shared" si="66"/>
        <v>673</v>
      </c>
      <c r="L35" s="281">
        <f>+'[3]3.SZ.TÁBL. SEGÍTŐ SZOLGÁLAT'!$N35</f>
        <v>349</v>
      </c>
      <c r="M35" s="207">
        <v>-15</v>
      </c>
      <c r="N35" s="282">
        <f t="shared" si="67"/>
        <v>334</v>
      </c>
      <c r="O35" s="281">
        <f>+'[3]3.SZ.TÁBL. SEGÍTŐ SZOLGÁLAT'!$Q35</f>
        <v>259</v>
      </c>
      <c r="P35" s="207">
        <v>-43</v>
      </c>
      <c r="Q35" s="280">
        <f t="shared" si="68"/>
        <v>216</v>
      </c>
      <c r="R35" s="281">
        <f>+'[5]3.SZ.TÁBL. SEGÍTŐ SZOLGÁLAT'!$S34</f>
        <v>0</v>
      </c>
      <c r="S35" s="279"/>
      <c r="T35" s="282">
        <f t="shared" si="69"/>
        <v>0</v>
      </c>
      <c r="U35" s="281">
        <f>+'[5]3.SZ.TÁBL. SEGÍTŐ SZOLGÁLAT'!$V34</f>
        <v>0</v>
      </c>
      <c r="V35" s="279"/>
      <c r="W35" s="282">
        <f t="shared" si="70"/>
        <v>0</v>
      </c>
      <c r="X35" s="281">
        <f>+'[5]3.SZ.TÁBL. SEGÍTŐ SZOLGÁLAT'!$Y34</f>
        <v>0</v>
      </c>
      <c r="Y35" s="279"/>
      <c r="Z35" s="280">
        <f t="shared" si="71"/>
        <v>0</v>
      </c>
      <c r="AA35" s="283">
        <f t="shared" si="61"/>
        <v>2252</v>
      </c>
      <c r="AB35" s="279">
        <f t="shared" si="62"/>
        <v>-499</v>
      </c>
      <c r="AC35" s="284">
        <f t="shared" si="63"/>
        <v>1753</v>
      </c>
    </row>
    <row r="36" spans="1:29" s="285" customFormat="1" ht="13.5" customHeight="1">
      <c r="A36" s="277"/>
      <c r="B36" s="451" t="s">
        <v>8</v>
      </c>
      <c r="C36" s="278">
        <f>+'[3]3.SZ.TÁBL. SEGÍTŐ SZOLGÁLAT'!$E$36</f>
        <v>1707</v>
      </c>
      <c r="D36" s="279">
        <v>-127</v>
      </c>
      <c r="E36" s="280">
        <f t="shared" si="64"/>
        <v>1580</v>
      </c>
      <c r="F36" s="281">
        <f>+'[3]3.SZ.TÁBL. SEGÍTŐ SZOLGÁLAT'!$H36</f>
        <v>2928</v>
      </c>
      <c r="G36" s="207">
        <v>-154</v>
      </c>
      <c r="H36" s="282">
        <f t="shared" si="65"/>
        <v>2774</v>
      </c>
      <c r="I36" s="281">
        <f>+'[3]3.SZ.TÁBL. SEGÍTŐ SZOLGÁLAT'!$K36</f>
        <v>5667</v>
      </c>
      <c r="J36" s="207">
        <v>-2148</v>
      </c>
      <c r="K36" s="280">
        <f t="shared" si="66"/>
        <v>3519</v>
      </c>
      <c r="L36" s="281">
        <f>+'[3]3.SZ.TÁBL. SEGÍTŐ SZOLGÁLAT'!$N36</f>
        <v>1824</v>
      </c>
      <c r="M36" s="207">
        <v>-77</v>
      </c>
      <c r="N36" s="282">
        <f t="shared" si="67"/>
        <v>1747</v>
      </c>
      <c r="O36" s="281">
        <f>+'[3]3.SZ.TÁBL. SEGÍTŐ SZOLGÁLAT'!$Q36</f>
        <v>1351</v>
      </c>
      <c r="P36" s="207">
        <v>-223</v>
      </c>
      <c r="Q36" s="280">
        <f t="shared" si="68"/>
        <v>1128</v>
      </c>
      <c r="R36" s="281">
        <f>+'[5]3.SZ.TÁBL. SEGÍTŐ SZOLGÁLAT'!$S35</f>
        <v>0</v>
      </c>
      <c r="S36" s="279"/>
      <c r="T36" s="282">
        <f t="shared" si="69"/>
        <v>0</v>
      </c>
      <c r="U36" s="281">
        <f>+'[5]3.SZ.TÁBL. SEGÍTŐ SZOLGÁLAT'!$V35</f>
        <v>0</v>
      </c>
      <c r="V36" s="279"/>
      <c r="W36" s="282">
        <f t="shared" si="70"/>
        <v>0</v>
      </c>
      <c r="X36" s="281">
        <f>+'[3]3.SZ.TÁBL. SEGÍTŐ SZOLGÁLAT'!$Z$36</f>
        <v>1005</v>
      </c>
      <c r="Y36" s="279"/>
      <c r="Z36" s="280">
        <f t="shared" si="71"/>
        <v>1005</v>
      </c>
      <c r="AA36" s="283">
        <f t="shared" si="61"/>
        <v>14482</v>
      </c>
      <c r="AB36" s="279">
        <f t="shared" si="62"/>
        <v>-2729</v>
      </c>
      <c r="AC36" s="284">
        <f t="shared" si="63"/>
        <v>11753</v>
      </c>
    </row>
    <row r="37" spans="1:29" s="285" customFormat="1" ht="13.5" customHeight="1">
      <c r="A37" s="277"/>
      <c r="B37" s="451" t="s">
        <v>9</v>
      </c>
      <c r="C37" s="278">
        <f>+'[5]3.SZ.TÁBL. SEGÍTŐ SZOLGÁLAT'!$D36</f>
        <v>0</v>
      </c>
      <c r="D37" s="279"/>
      <c r="E37" s="280">
        <f t="shared" si="64"/>
        <v>0</v>
      </c>
      <c r="F37" s="281">
        <f>+'[3]3.SZ.TÁBL. SEGÍTŐ SZOLGÁLAT'!$H37</f>
        <v>1726</v>
      </c>
      <c r="G37" s="207">
        <v>-91</v>
      </c>
      <c r="H37" s="282">
        <f t="shared" si="65"/>
        <v>1635</v>
      </c>
      <c r="I37" s="281">
        <f>+'[3]3.SZ.TÁBL. SEGÍTŐ SZOLGÁLAT'!$K37</f>
        <v>3341</v>
      </c>
      <c r="J37" s="207">
        <v>-1266</v>
      </c>
      <c r="K37" s="280">
        <f t="shared" si="66"/>
        <v>2075</v>
      </c>
      <c r="L37" s="281">
        <f>+'[3]3.SZ.TÁBL. SEGÍTŐ SZOLGÁLAT'!$N37</f>
        <v>1075</v>
      </c>
      <c r="M37" s="207">
        <v>-45</v>
      </c>
      <c r="N37" s="282">
        <f t="shared" si="67"/>
        <v>1030</v>
      </c>
      <c r="O37" s="281">
        <f>+'[3]3.SZ.TÁBL. SEGÍTŐ SZOLGÁLAT'!$Q37</f>
        <v>797</v>
      </c>
      <c r="P37" s="207">
        <v>-132</v>
      </c>
      <c r="Q37" s="280">
        <f t="shared" si="68"/>
        <v>665</v>
      </c>
      <c r="R37" s="281">
        <f>+'[5]3.SZ.TÁBL. SEGÍTŐ SZOLGÁLAT'!$S36</f>
        <v>0</v>
      </c>
      <c r="S37" s="279"/>
      <c r="T37" s="282">
        <f t="shared" si="69"/>
        <v>0</v>
      </c>
      <c r="U37" s="281">
        <f>+'[5]3.SZ.TÁBL. SEGÍTŐ SZOLGÁLAT'!$V36</f>
        <v>0</v>
      </c>
      <c r="V37" s="279"/>
      <c r="W37" s="282">
        <f t="shared" si="70"/>
        <v>0</v>
      </c>
      <c r="X37" s="281">
        <f>+'[5]3.SZ.TÁBL. SEGÍTŐ SZOLGÁLAT'!$Y36</f>
        <v>0</v>
      </c>
      <c r="Y37" s="279"/>
      <c r="Z37" s="280">
        <f t="shared" si="71"/>
        <v>0</v>
      </c>
      <c r="AA37" s="283">
        <f t="shared" si="61"/>
        <v>6939</v>
      </c>
      <c r="AB37" s="279">
        <f t="shared" si="62"/>
        <v>-1534</v>
      </c>
      <c r="AC37" s="284">
        <f t="shared" si="63"/>
        <v>5405</v>
      </c>
    </row>
    <row r="38" spans="1:29" s="285" customFormat="1" ht="13.5" customHeight="1">
      <c r="A38" s="277"/>
      <c r="B38" s="451" t="s">
        <v>10</v>
      </c>
      <c r="C38" s="278">
        <f>+'[5]3.SZ.TÁBL. SEGÍTŐ SZOLGÁLAT'!$D37</f>
        <v>0</v>
      </c>
      <c r="D38" s="279"/>
      <c r="E38" s="280">
        <f t="shared" si="64"/>
        <v>0</v>
      </c>
      <c r="F38" s="281">
        <f>+'[3]3.SZ.TÁBL. SEGÍTŐ SZOLGÁLAT'!$H38</f>
        <v>1067</v>
      </c>
      <c r="G38" s="207">
        <v>-56</v>
      </c>
      <c r="H38" s="282">
        <f t="shared" si="65"/>
        <v>1011</v>
      </c>
      <c r="I38" s="281">
        <f>+'[3]3.SZ.TÁBL. SEGÍTŐ SZOLGÁLAT'!$K38</f>
        <v>2066</v>
      </c>
      <c r="J38" s="207">
        <v>-783</v>
      </c>
      <c r="K38" s="280">
        <f t="shared" si="66"/>
        <v>1283</v>
      </c>
      <c r="L38" s="281">
        <f>+'[3]3.SZ.TÁBL. SEGÍTŐ SZOLGÁLAT'!$N38</f>
        <v>665</v>
      </c>
      <c r="M38" s="207">
        <v>-28</v>
      </c>
      <c r="N38" s="282">
        <f t="shared" si="67"/>
        <v>637</v>
      </c>
      <c r="O38" s="281">
        <f>+'[3]3.SZ.TÁBL. SEGÍTŐ SZOLGÁLAT'!$Q38</f>
        <v>493</v>
      </c>
      <c r="P38" s="207">
        <v>-81</v>
      </c>
      <c r="Q38" s="280">
        <f t="shared" si="68"/>
        <v>412</v>
      </c>
      <c r="R38" s="281">
        <f>+'[5]3.SZ.TÁBL. SEGÍTŐ SZOLGÁLAT'!$S37</f>
        <v>0</v>
      </c>
      <c r="S38" s="279"/>
      <c r="T38" s="282">
        <f t="shared" si="69"/>
        <v>0</v>
      </c>
      <c r="U38" s="281">
        <f>+'[5]3.SZ.TÁBL. SEGÍTŐ SZOLGÁLAT'!$V37</f>
        <v>0</v>
      </c>
      <c r="V38" s="279"/>
      <c r="W38" s="282">
        <f t="shared" si="70"/>
        <v>0</v>
      </c>
      <c r="X38" s="281">
        <f>+'[5]3.SZ.TÁBL. SEGÍTŐ SZOLGÁLAT'!$Y37</f>
        <v>0</v>
      </c>
      <c r="Y38" s="279"/>
      <c r="Z38" s="280">
        <f t="shared" si="71"/>
        <v>0</v>
      </c>
      <c r="AA38" s="283">
        <f t="shared" si="61"/>
        <v>4291</v>
      </c>
      <c r="AB38" s="279">
        <f t="shared" si="62"/>
        <v>-948</v>
      </c>
      <c r="AC38" s="284">
        <f t="shared" si="63"/>
        <v>3343</v>
      </c>
    </row>
    <row r="39" spans="1:29" s="285" customFormat="1" ht="13.5" customHeight="1">
      <c r="A39" s="286"/>
      <c r="B39" s="452" t="s">
        <v>295</v>
      </c>
      <c r="C39" s="278">
        <f>+'[5]3.SZ.TÁBL. SEGÍTŐ SZOLGÁLAT'!$D38</f>
        <v>0</v>
      </c>
      <c r="D39" s="287"/>
      <c r="E39" s="299">
        <f t="shared" si="64"/>
        <v>0</v>
      </c>
      <c r="F39" s="281">
        <f>+'[3]3.SZ.TÁBL. SEGÍTŐ SZOLGÁLAT'!$H39</f>
        <v>1309</v>
      </c>
      <c r="G39" s="261">
        <v>-69</v>
      </c>
      <c r="H39" s="289">
        <f t="shared" si="65"/>
        <v>1240</v>
      </c>
      <c r="I39" s="281">
        <f>+'[3]3.SZ.TÁBL. SEGÍTŐ SZOLGÁLAT'!$K39</f>
        <v>2535</v>
      </c>
      <c r="J39" s="261">
        <v>-961</v>
      </c>
      <c r="K39" s="288">
        <f t="shared" si="66"/>
        <v>1574</v>
      </c>
      <c r="L39" s="281">
        <f>+'[3]3.SZ.TÁBL. SEGÍTŐ SZOLGÁLAT'!$N39</f>
        <v>815</v>
      </c>
      <c r="M39" s="261">
        <v>-35</v>
      </c>
      <c r="N39" s="289">
        <f t="shared" si="67"/>
        <v>780</v>
      </c>
      <c r="O39" s="281">
        <f>+'[3]3.SZ.TÁBL. SEGÍTŐ SZOLGÁLAT'!$Q39</f>
        <v>0</v>
      </c>
      <c r="P39" s="287"/>
      <c r="Q39" s="288">
        <f t="shared" si="68"/>
        <v>0</v>
      </c>
      <c r="R39" s="281">
        <f>+'[5]3.SZ.TÁBL. SEGÍTŐ SZOLGÁLAT'!$S38</f>
        <v>0</v>
      </c>
      <c r="S39" s="287"/>
      <c r="T39" s="289">
        <f t="shared" si="69"/>
        <v>0</v>
      </c>
      <c r="U39" s="281">
        <f>+'[5]3.SZ.TÁBL. SEGÍTŐ SZOLGÁLAT'!$V38</f>
        <v>0</v>
      </c>
      <c r="V39" s="287"/>
      <c r="W39" s="289">
        <f t="shared" si="70"/>
        <v>0</v>
      </c>
      <c r="X39" s="281">
        <f>+'[5]3.SZ.TÁBL. SEGÍTŐ SZOLGÁLAT'!$Y38</f>
        <v>0</v>
      </c>
      <c r="Y39" s="287"/>
      <c r="Z39" s="288">
        <f t="shared" si="71"/>
        <v>0</v>
      </c>
      <c r="AA39" s="290">
        <f t="shared" si="61"/>
        <v>4659</v>
      </c>
      <c r="AB39" s="287">
        <f t="shared" si="62"/>
        <v>-1065</v>
      </c>
      <c r="AC39" s="291">
        <f t="shared" si="63"/>
        <v>3594</v>
      </c>
    </row>
    <row r="40" spans="1:29" s="328" customFormat="1" ht="13.5" customHeight="1" thickBot="1">
      <c r="A40" s="245" t="s">
        <v>170</v>
      </c>
      <c r="B40" s="274" t="s">
        <v>129</v>
      </c>
      <c r="C40" s="340">
        <f t="shared" ref="C40:AC40" si="72">SUM(C28:C29)</f>
        <v>2307</v>
      </c>
      <c r="D40" s="318">
        <f t="shared" si="72"/>
        <v>-193</v>
      </c>
      <c r="E40" s="307">
        <f t="shared" si="72"/>
        <v>2114</v>
      </c>
      <c r="F40" s="340">
        <f t="shared" ref="F40" si="73">SUM(F28:F29)</f>
        <v>21179</v>
      </c>
      <c r="G40" s="318">
        <f t="shared" si="72"/>
        <v>2237</v>
      </c>
      <c r="H40" s="330">
        <f t="shared" si="72"/>
        <v>23416</v>
      </c>
      <c r="I40" s="340">
        <f t="shared" si="72"/>
        <v>33156</v>
      </c>
      <c r="J40" s="318">
        <f t="shared" si="72"/>
        <v>1516</v>
      </c>
      <c r="K40" s="321">
        <f t="shared" si="72"/>
        <v>34672</v>
      </c>
      <c r="L40" s="340">
        <f t="shared" ref="L40" si="74">SUM(L28:L29)</f>
        <v>23277</v>
      </c>
      <c r="M40" s="318">
        <f t="shared" si="72"/>
        <v>3197</v>
      </c>
      <c r="N40" s="330">
        <f t="shared" si="72"/>
        <v>26474</v>
      </c>
      <c r="O40" s="340">
        <f t="shared" si="72"/>
        <v>13684</v>
      </c>
      <c r="P40" s="318">
        <f t="shared" si="72"/>
        <v>1182</v>
      </c>
      <c r="Q40" s="321">
        <f t="shared" si="72"/>
        <v>14866</v>
      </c>
      <c r="R40" s="340">
        <f t="shared" ref="R40" si="75">SUM(R28:R29)</f>
        <v>5954</v>
      </c>
      <c r="S40" s="318">
        <f t="shared" si="72"/>
        <v>223</v>
      </c>
      <c r="T40" s="330">
        <f t="shared" si="72"/>
        <v>6177</v>
      </c>
      <c r="U40" s="340">
        <f t="shared" si="72"/>
        <v>7943</v>
      </c>
      <c r="V40" s="318">
        <f t="shared" si="72"/>
        <v>-705</v>
      </c>
      <c r="W40" s="330">
        <f t="shared" si="72"/>
        <v>7238</v>
      </c>
      <c r="X40" s="340">
        <f t="shared" ref="X40" si="76">SUM(X28:X29)</f>
        <v>1448</v>
      </c>
      <c r="Y40" s="318">
        <f t="shared" ref="Y40:Z40" si="77">SUM(Y28:Y29)</f>
        <v>-111</v>
      </c>
      <c r="Z40" s="321">
        <f t="shared" si="77"/>
        <v>1337</v>
      </c>
      <c r="AA40" s="317">
        <f t="shared" si="72"/>
        <v>108948</v>
      </c>
      <c r="AB40" s="318">
        <f t="shared" si="72"/>
        <v>7346</v>
      </c>
      <c r="AC40" s="319">
        <f t="shared" si="72"/>
        <v>116294</v>
      </c>
    </row>
    <row r="41" spans="1:29" s="328" customFormat="1" ht="13.5" customHeight="1" thickBot="1">
      <c r="A41" s="864" t="s">
        <v>0</v>
      </c>
      <c r="B41" s="865"/>
      <c r="C41" s="311">
        <f t="shared" ref="C41:AC41" si="78">+C27+C40</f>
        <v>2507</v>
      </c>
      <c r="D41" s="309">
        <f t="shared" si="78"/>
        <v>-193</v>
      </c>
      <c r="E41" s="312">
        <f t="shared" si="78"/>
        <v>2314</v>
      </c>
      <c r="F41" s="331">
        <f t="shared" ref="F41" si="79">+F27+F40</f>
        <v>21179</v>
      </c>
      <c r="G41" s="309">
        <f t="shared" si="78"/>
        <v>2237</v>
      </c>
      <c r="H41" s="332">
        <f t="shared" si="78"/>
        <v>23416</v>
      </c>
      <c r="I41" s="331">
        <f t="shared" si="78"/>
        <v>35228</v>
      </c>
      <c r="J41" s="309">
        <f t="shared" si="78"/>
        <v>1516</v>
      </c>
      <c r="K41" s="312">
        <f t="shared" si="78"/>
        <v>36744</v>
      </c>
      <c r="L41" s="331">
        <f t="shared" ref="L41" si="80">+L27+L40</f>
        <v>23277</v>
      </c>
      <c r="M41" s="309">
        <f t="shared" si="78"/>
        <v>3486</v>
      </c>
      <c r="N41" s="332">
        <f t="shared" si="78"/>
        <v>26763</v>
      </c>
      <c r="O41" s="331">
        <f t="shared" si="78"/>
        <v>15304</v>
      </c>
      <c r="P41" s="309">
        <f t="shared" si="78"/>
        <v>1182</v>
      </c>
      <c r="Q41" s="312">
        <f t="shared" si="78"/>
        <v>16486</v>
      </c>
      <c r="R41" s="331">
        <f t="shared" ref="R41" si="81">+R27+R40</f>
        <v>6454</v>
      </c>
      <c r="S41" s="309">
        <f t="shared" si="78"/>
        <v>223</v>
      </c>
      <c r="T41" s="332">
        <f t="shared" si="78"/>
        <v>6677</v>
      </c>
      <c r="U41" s="331">
        <f t="shared" si="78"/>
        <v>13286</v>
      </c>
      <c r="V41" s="309">
        <f t="shared" si="78"/>
        <v>-705</v>
      </c>
      <c r="W41" s="332">
        <f t="shared" si="78"/>
        <v>12581</v>
      </c>
      <c r="X41" s="331">
        <f t="shared" ref="X41" si="82">+X27+X40</f>
        <v>1948</v>
      </c>
      <c r="Y41" s="309">
        <f t="shared" ref="Y41:Z41" si="83">+Y27+Y40</f>
        <v>-111</v>
      </c>
      <c r="Z41" s="312">
        <f t="shared" si="83"/>
        <v>1837</v>
      </c>
      <c r="AA41" s="308">
        <f t="shared" si="78"/>
        <v>119183</v>
      </c>
      <c r="AB41" s="309">
        <f t="shared" si="78"/>
        <v>7635</v>
      </c>
      <c r="AC41" s="310">
        <f t="shared" si="78"/>
        <v>126818</v>
      </c>
    </row>
    <row r="42" spans="1:29" ht="13.5" customHeight="1">
      <c r="A42" s="650" t="s">
        <v>188</v>
      </c>
      <c r="B42" s="651" t="s">
        <v>189</v>
      </c>
      <c r="C42" s="804">
        <f>+'[3]3.SZ.TÁBL. SEGÍTŐ SZOLGÁLAT'!$E$42</f>
        <v>1066</v>
      </c>
      <c r="D42" s="652">
        <f>+[4]Seg.Szolgálat!$E$23+[4]Seg.Szolgálat!$E$76+[4]Seg.Szolgálat!$E$92+[4]Seg.Szolgálat!$E$153+[4]Seg.Szolgálat!$E$171+[4]Seg.Szolgálat!$E$221</f>
        <v>-162</v>
      </c>
      <c r="E42" s="653">
        <f>SUM(C42:D42)</f>
        <v>904</v>
      </c>
      <c r="F42" s="805">
        <f>+'[3]3.SZ.TÁBL. SEGÍTŐ SZOLGÁLAT'!$H$42</f>
        <v>12209</v>
      </c>
      <c r="G42" s="652">
        <f>+[4]Seg.Szolgálat!$E$21+[4]Seg.Szolgálat!$E$74+[4]Seg.Szolgálat!$E$151+[4]Seg.Szolgálat!$E$197+[4]Seg.Szolgálat!$E$219</f>
        <v>1726</v>
      </c>
      <c r="H42" s="654">
        <f>SUM(F42:G42)</f>
        <v>13935</v>
      </c>
      <c r="I42" s="826">
        <f>+'[3]3.SZ.TÁBL. SEGÍTŐ SZOLGÁLAT'!$K42</f>
        <v>23951</v>
      </c>
      <c r="J42" s="652">
        <f>+[4]Seg.Szolgálat!$E$24+[4]Seg.Szolgálat!$E$154+[4]Seg.Szolgálat!$E$154+[4]Seg.Szolgálat!$E$181+[4]Seg.Szolgálat!$E$222+[4]Seg.Szolgálat!$E$241</f>
        <v>1235</v>
      </c>
      <c r="K42" s="653">
        <f>SUM(I42:J42)</f>
        <v>25186</v>
      </c>
      <c r="L42" s="826">
        <f>+'[3]3.SZ.TÁBL. SEGÍTŐ SZOLGÁLAT'!$N42</f>
        <v>14167</v>
      </c>
      <c r="M42" s="652">
        <f>+[4]Seg.Szolgálat!$E$18+[4]Seg.Szolgálat!$E$71+[4]Seg.Szolgálat!$E$148+[4]Seg.Szolgálat!$E$216+[4]Seg.Szolgálat!$E$252</f>
        <v>2499</v>
      </c>
      <c r="N42" s="654">
        <f>SUM(L42:M42)</f>
        <v>16666</v>
      </c>
      <c r="O42" s="826">
        <f>+'[3]3.SZ.TÁBL. SEGÍTŐ SZOLGÁLAT'!$Q42</f>
        <v>7984</v>
      </c>
      <c r="P42" s="652">
        <f>+[4]Seg.Szolgálat!$E$20+[4]Seg.Szolgálat!$E$52+[4]Seg.Szolgálat!$E$73+[4]Seg.Szolgálat!$E$150+[4]Seg.Szolgálat!$E$166+[4]Seg.Szolgálat!$E$218+[4]Seg.Szolgálat!$E$245</f>
        <v>860</v>
      </c>
      <c r="Q42" s="653">
        <f>SUM(O42:P42)</f>
        <v>8844</v>
      </c>
      <c r="R42" s="826">
        <f>+'[3]3.SZ.TÁBL. SEGÍTŐ SZOLGÁLAT'!$T42</f>
        <v>2225</v>
      </c>
      <c r="S42" s="652">
        <f>+[4]Seg.Szolgálat!$E$19+[4]Seg.Szolgálat!$E$72+[4]Seg.Szolgálat!$E$149+[4]Seg.Szolgálat!$E$162+[4]Seg.Szolgálat!$E$217</f>
        <v>181</v>
      </c>
      <c r="T42" s="654">
        <f>SUM(R42:S42)</f>
        <v>2406</v>
      </c>
      <c r="U42" s="826">
        <f>+'[3]3.SZ.TÁBL. SEGÍTŐ SZOLGÁLAT'!$W42</f>
        <v>8389</v>
      </c>
      <c r="V42" s="652">
        <f>+[4]Seg.Szolgálat!$E$22+[4]Seg.Szolgálat!$E$75+[4]Seg.Szolgálat!$E$90+[4]Seg.Szolgálat!$E$131+[4]Seg.Szolgálat!$E$152+[4]Seg.Szolgálat!$E$220+[4]Seg.Szolgálat!$E$237</f>
        <v>-1024</v>
      </c>
      <c r="W42" s="654">
        <f>SUM(U42:V42)</f>
        <v>7365</v>
      </c>
      <c r="X42" s="805">
        <f>+'[5]3.SZ.TÁBL. SEGÍTŐ SZOLGÁLAT'!$Y41</f>
        <v>0</v>
      </c>
      <c r="Y42" s="652"/>
      <c r="Z42" s="653">
        <f>SUM(X42:Y42)</f>
        <v>0</v>
      </c>
      <c r="AA42" s="655">
        <f t="shared" ref="AA42:AA55" si="84">+C42+F42+I42+L42+O42+R42+U42+X42</f>
        <v>69991</v>
      </c>
      <c r="AB42" s="652">
        <f t="shared" ref="AB42:AB55" si="85">+D42+G42+J42+M42+P42+S42+V42+Y42</f>
        <v>5315</v>
      </c>
      <c r="AC42" s="656">
        <f t="shared" ref="AC42:AC55" si="86">+E42+H42+K42+N42+Q42+T42+W42+Z42</f>
        <v>75306</v>
      </c>
    </row>
    <row r="43" spans="1:29" ht="13.5" customHeight="1">
      <c r="A43" s="200" t="s">
        <v>190</v>
      </c>
      <c r="B43" s="210" t="s">
        <v>191</v>
      </c>
      <c r="C43" s="213">
        <f>+'[5]3.SZ.TÁBL. SEGÍTŐ SZOLGÁLAT'!$D42</f>
        <v>0</v>
      </c>
      <c r="D43" s="207"/>
      <c r="E43" s="212">
        <f>SUM(C43:D43)</f>
        <v>0</v>
      </c>
      <c r="F43" s="213">
        <f>+'[5]3.SZ.TÁBL. SEGÍTŐ SZOLGÁLAT'!$G42</f>
        <v>0</v>
      </c>
      <c r="G43" s="207"/>
      <c r="H43" s="214">
        <f>SUM(F43:G43)</f>
        <v>0</v>
      </c>
      <c r="I43" s="213">
        <f>+'[3]3.SZ.TÁBL. SEGÍTŐ SZOLGÁLAT'!$K43</f>
        <v>0</v>
      </c>
      <c r="J43" s="207"/>
      <c r="K43" s="212">
        <f>SUM(I43:J43)</f>
        <v>0</v>
      </c>
      <c r="L43" s="213">
        <f>+'[3]3.SZ.TÁBL. SEGÍTŐ SZOLGÁLAT'!$N43</f>
        <v>0</v>
      </c>
      <c r="M43" s="207"/>
      <c r="N43" s="214">
        <f>SUM(L43:M43)</f>
        <v>0</v>
      </c>
      <c r="O43" s="213">
        <f>+'[3]3.SZ.TÁBL. SEGÍTŐ SZOLGÁLAT'!$Q43</f>
        <v>0</v>
      </c>
      <c r="P43" s="207"/>
      <c r="Q43" s="212">
        <f>SUM(O43:P43)</f>
        <v>0</v>
      </c>
      <c r="R43" s="213">
        <f>+'[3]3.SZ.TÁBL. SEGÍTŐ SZOLGÁLAT'!$T43</f>
        <v>0</v>
      </c>
      <c r="S43" s="207"/>
      <c r="T43" s="214">
        <f>SUM(R43:S43)</f>
        <v>0</v>
      </c>
      <c r="U43" s="213">
        <f>+'[3]3.SZ.TÁBL. SEGÍTŐ SZOLGÁLAT'!$W43</f>
        <v>0</v>
      </c>
      <c r="V43" s="207"/>
      <c r="W43" s="214">
        <f>SUM(U43:V43)</f>
        <v>0</v>
      </c>
      <c r="X43" s="213">
        <f>+'[5]3.SZ.TÁBL. SEGÍTŐ SZOLGÁLAT'!$Y42</f>
        <v>0</v>
      </c>
      <c r="Y43" s="207"/>
      <c r="Z43" s="212">
        <f>SUM(X43:Y43)</f>
        <v>0</v>
      </c>
      <c r="AA43" s="215">
        <f t="shared" si="84"/>
        <v>0</v>
      </c>
      <c r="AB43" s="207">
        <f t="shared" si="85"/>
        <v>0</v>
      </c>
      <c r="AC43" s="208">
        <f t="shared" si="86"/>
        <v>0</v>
      </c>
    </row>
    <row r="44" spans="1:29" ht="13.5" customHeight="1">
      <c r="A44" s="200" t="s">
        <v>192</v>
      </c>
      <c r="B44" s="210" t="s">
        <v>193</v>
      </c>
      <c r="C44" s="213">
        <f>+'[5]3.SZ.TÁBL. SEGÍTŐ SZOLGÁLAT'!$D43</f>
        <v>0</v>
      </c>
      <c r="D44" s="207"/>
      <c r="E44" s="212">
        <f t="shared" ref="E44:E59" si="87">SUM(C44:D44)</f>
        <v>0</v>
      </c>
      <c r="F44" s="213">
        <f>+'[5]3.SZ.TÁBL. SEGÍTŐ SZOLGÁLAT'!$G43</f>
        <v>0</v>
      </c>
      <c r="G44" s="207"/>
      <c r="H44" s="214">
        <f t="shared" ref="H44:H59" si="88">SUM(F44:G44)</f>
        <v>0</v>
      </c>
      <c r="I44" s="213">
        <f>+'[3]3.SZ.TÁBL. SEGÍTŐ SZOLGÁLAT'!$K44</f>
        <v>0</v>
      </c>
      <c r="J44" s="207"/>
      <c r="K44" s="212">
        <f t="shared" ref="K44:K59" si="89">SUM(I44:J44)</f>
        <v>0</v>
      </c>
      <c r="L44" s="213">
        <f>+'[3]3.SZ.TÁBL. SEGÍTŐ SZOLGÁLAT'!$N44</f>
        <v>0</v>
      </c>
      <c r="M44" s="207"/>
      <c r="N44" s="214">
        <f t="shared" ref="N44:N59" si="90">SUM(L44:M44)</f>
        <v>0</v>
      </c>
      <c r="O44" s="213">
        <f>+'[3]3.SZ.TÁBL. SEGÍTŐ SZOLGÁLAT'!$Q44</f>
        <v>0</v>
      </c>
      <c r="P44" s="207"/>
      <c r="Q44" s="212">
        <f t="shared" ref="Q44:Q59" si="91">SUM(O44:P44)</f>
        <v>0</v>
      </c>
      <c r="R44" s="213">
        <f>+'[3]3.SZ.TÁBL. SEGÍTŐ SZOLGÁLAT'!$T44</f>
        <v>0</v>
      </c>
      <c r="S44" s="207"/>
      <c r="T44" s="214">
        <f t="shared" ref="T44:T59" si="92">SUM(R44:S44)</f>
        <v>0</v>
      </c>
      <c r="U44" s="213">
        <f>+'[3]3.SZ.TÁBL. SEGÍTŐ SZOLGÁLAT'!$W44</f>
        <v>0</v>
      </c>
      <c r="V44" s="207"/>
      <c r="W44" s="214">
        <f t="shared" ref="W44:W59" si="93">SUM(U44:V44)</f>
        <v>0</v>
      </c>
      <c r="X44" s="213">
        <f>+'[5]3.SZ.TÁBL. SEGÍTŐ SZOLGÁLAT'!$Y43</f>
        <v>0</v>
      </c>
      <c r="Y44" s="207"/>
      <c r="Z44" s="212">
        <f t="shared" ref="Z44:Z55" si="94">SUM(X44:Y44)</f>
        <v>0</v>
      </c>
      <c r="AA44" s="215">
        <f t="shared" si="84"/>
        <v>0</v>
      </c>
      <c r="AB44" s="207">
        <f t="shared" si="85"/>
        <v>0</v>
      </c>
      <c r="AC44" s="208">
        <f t="shared" si="86"/>
        <v>0</v>
      </c>
    </row>
    <row r="45" spans="1:29" ht="13.5" customHeight="1">
      <c r="A45" s="200" t="s">
        <v>194</v>
      </c>
      <c r="B45" s="210" t="s">
        <v>195</v>
      </c>
      <c r="C45" s="213">
        <f>+'[5]3.SZ.TÁBL. SEGÍTŐ SZOLGÁLAT'!$D44</f>
        <v>0</v>
      </c>
      <c r="D45" s="207"/>
      <c r="E45" s="212">
        <f t="shared" si="87"/>
        <v>0</v>
      </c>
      <c r="F45" s="213">
        <f>+'[3]3.SZ.TÁBL. SEGÍTŐ SZOLGÁLAT'!$H$45</f>
        <v>663</v>
      </c>
      <c r="G45" s="207">
        <f>+[4]Seg.Szolgálat!$E$233</f>
        <v>-30</v>
      </c>
      <c r="H45" s="214">
        <f t="shared" si="88"/>
        <v>633</v>
      </c>
      <c r="I45" s="213">
        <f>+'[3]3.SZ.TÁBL. SEGÍTŐ SZOLGÁLAT'!$K45</f>
        <v>100</v>
      </c>
      <c r="J45" s="207"/>
      <c r="K45" s="212">
        <f t="shared" si="89"/>
        <v>100</v>
      </c>
      <c r="L45" s="213">
        <f>+'[3]3.SZ.TÁBL. SEGÍTŐ SZOLGÁLAT'!$N45</f>
        <v>182</v>
      </c>
      <c r="M45" s="207">
        <f>+[4]Seg.Szolgálat!$E$187</f>
        <v>105</v>
      </c>
      <c r="N45" s="214">
        <f t="shared" si="90"/>
        <v>287</v>
      </c>
      <c r="O45" s="213">
        <f>+'[3]3.SZ.TÁBL. SEGÍTŐ SZOLGÁLAT'!$Q45</f>
        <v>100</v>
      </c>
      <c r="P45" s="207"/>
      <c r="Q45" s="212">
        <f t="shared" si="91"/>
        <v>100</v>
      </c>
      <c r="R45" s="213">
        <f>+'[3]3.SZ.TÁBL. SEGÍTŐ SZOLGÁLAT'!$T45</f>
        <v>0</v>
      </c>
      <c r="S45" s="207"/>
      <c r="T45" s="214">
        <f t="shared" si="92"/>
        <v>0</v>
      </c>
      <c r="U45" s="213">
        <f>+'[3]3.SZ.TÁBL. SEGÍTŐ SZOLGÁLAT'!$W45</f>
        <v>40</v>
      </c>
      <c r="V45" s="207"/>
      <c r="W45" s="214">
        <f t="shared" si="93"/>
        <v>40</v>
      </c>
      <c r="X45" s="213">
        <f>+'[5]3.SZ.TÁBL. SEGÍTŐ SZOLGÁLAT'!$Y44</f>
        <v>0</v>
      </c>
      <c r="Y45" s="207"/>
      <c r="Z45" s="212">
        <f t="shared" si="94"/>
        <v>0</v>
      </c>
      <c r="AA45" s="215">
        <f t="shared" si="84"/>
        <v>1085</v>
      </c>
      <c r="AB45" s="207">
        <f t="shared" si="85"/>
        <v>75</v>
      </c>
      <c r="AC45" s="208">
        <f t="shared" si="86"/>
        <v>1160</v>
      </c>
    </row>
    <row r="46" spans="1:29" ht="13.5" customHeight="1">
      <c r="A46" s="200" t="s">
        <v>196</v>
      </c>
      <c r="B46" s="210" t="s">
        <v>197</v>
      </c>
      <c r="C46" s="213">
        <f>+'[5]3.SZ.TÁBL. SEGÍTŐ SZOLGÁLAT'!$D45</f>
        <v>0</v>
      </c>
      <c r="D46" s="207"/>
      <c r="E46" s="212">
        <f t="shared" si="87"/>
        <v>0</v>
      </c>
      <c r="F46" s="213">
        <f>+'[5]3.SZ.TÁBL. SEGÍTŐ SZOLGÁLAT'!$G45</f>
        <v>0</v>
      </c>
      <c r="G46" s="207"/>
      <c r="H46" s="214">
        <f t="shared" si="88"/>
        <v>0</v>
      </c>
      <c r="I46" s="213">
        <f>+'[3]3.SZ.TÁBL. SEGÍTŐ SZOLGÁLAT'!$K46</f>
        <v>0</v>
      </c>
      <c r="J46" s="207"/>
      <c r="K46" s="212">
        <f t="shared" si="89"/>
        <v>0</v>
      </c>
      <c r="L46" s="213">
        <f>+'[3]3.SZ.TÁBL. SEGÍTŐ SZOLGÁLAT'!$N46</f>
        <v>0</v>
      </c>
      <c r="M46" s="207"/>
      <c r="N46" s="214">
        <f t="shared" si="90"/>
        <v>0</v>
      </c>
      <c r="O46" s="213">
        <f>+'[3]3.SZ.TÁBL. SEGÍTŐ SZOLGÁLAT'!$Q46</f>
        <v>0</v>
      </c>
      <c r="P46" s="207"/>
      <c r="Q46" s="212">
        <f t="shared" si="91"/>
        <v>0</v>
      </c>
      <c r="R46" s="213">
        <f>+'[3]3.SZ.TÁBL. SEGÍTŐ SZOLGÁLAT'!$T46</f>
        <v>0</v>
      </c>
      <c r="S46" s="207"/>
      <c r="T46" s="214">
        <f t="shared" si="92"/>
        <v>0</v>
      </c>
      <c r="U46" s="213">
        <f>+'[3]3.SZ.TÁBL. SEGÍTŐ SZOLGÁLAT'!$W46</f>
        <v>0</v>
      </c>
      <c r="V46" s="207"/>
      <c r="W46" s="214">
        <f t="shared" si="93"/>
        <v>0</v>
      </c>
      <c r="X46" s="213">
        <f>+'[5]3.SZ.TÁBL. SEGÍTŐ SZOLGÁLAT'!$Y45</f>
        <v>0</v>
      </c>
      <c r="Y46" s="207"/>
      <c r="Z46" s="212">
        <f t="shared" si="94"/>
        <v>0</v>
      </c>
      <c r="AA46" s="215">
        <f t="shared" si="84"/>
        <v>0</v>
      </c>
      <c r="AB46" s="207">
        <f t="shared" si="85"/>
        <v>0</v>
      </c>
      <c r="AC46" s="208">
        <f t="shared" si="86"/>
        <v>0</v>
      </c>
    </row>
    <row r="47" spans="1:29" ht="13.5" customHeight="1">
      <c r="A47" s="200" t="s">
        <v>198</v>
      </c>
      <c r="B47" s="210" t="s">
        <v>1</v>
      </c>
      <c r="C47" s="213">
        <f>+'[5]3.SZ.TÁBL. SEGÍTŐ SZOLGÁLAT'!$D46</f>
        <v>0</v>
      </c>
      <c r="D47" s="207"/>
      <c r="E47" s="212">
        <f t="shared" si="87"/>
        <v>0</v>
      </c>
      <c r="F47" s="213">
        <f>+'[5]3.SZ.TÁBL. SEGÍTŐ SZOLGÁLAT'!$G46</f>
        <v>0</v>
      </c>
      <c r="G47" s="207"/>
      <c r="H47" s="214">
        <f t="shared" si="88"/>
        <v>0</v>
      </c>
      <c r="I47" s="213">
        <f>+'[3]3.SZ.TÁBL. SEGÍTŐ SZOLGÁLAT'!$K47</f>
        <v>0</v>
      </c>
      <c r="J47" s="207"/>
      <c r="K47" s="212">
        <f t="shared" si="89"/>
        <v>0</v>
      </c>
      <c r="L47" s="213">
        <f>+'[3]3.SZ.TÁBL. SEGÍTŐ SZOLGÁLAT'!$N47</f>
        <v>313</v>
      </c>
      <c r="M47" s="207">
        <f>+[4]Seg.Szolgálat!$E$251</f>
        <v>1</v>
      </c>
      <c r="N47" s="214">
        <f t="shared" si="90"/>
        <v>314</v>
      </c>
      <c r="O47" s="213">
        <f>+'[3]3.SZ.TÁBL. SEGÍTŐ SZOLGÁLAT'!$Q47</f>
        <v>0</v>
      </c>
      <c r="P47" s="207"/>
      <c r="Q47" s="212">
        <f t="shared" si="91"/>
        <v>0</v>
      </c>
      <c r="R47" s="213">
        <f>+'[3]3.SZ.TÁBL. SEGÍTŐ SZOLGÁLAT'!$T47</f>
        <v>0</v>
      </c>
      <c r="S47" s="207"/>
      <c r="T47" s="214">
        <f t="shared" si="92"/>
        <v>0</v>
      </c>
      <c r="U47" s="213">
        <f>+'[3]3.SZ.TÁBL. SEGÍTŐ SZOLGÁLAT'!$W47</f>
        <v>313</v>
      </c>
      <c r="V47" s="207">
        <f>+[4]Seg.Szolgálat!$E$236</f>
        <v>1</v>
      </c>
      <c r="W47" s="214">
        <f t="shared" si="93"/>
        <v>314</v>
      </c>
      <c r="X47" s="213">
        <f>+'[5]3.SZ.TÁBL. SEGÍTŐ SZOLGÁLAT'!$Y46</f>
        <v>0</v>
      </c>
      <c r="Y47" s="207"/>
      <c r="Z47" s="212">
        <f t="shared" si="94"/>
        <v>0</v>
      </c>
      <c r="AA47" s="215">
        <f t="shared" si="84"/>
        <v>626</v>
      </c>
      <c r="AB47" s="207">
        <f t="shared" si="85"/>
        <v>2</v>
      </c>
      <c r="AC47" s="208">
        <f t="shared" si="86"/>
        <v>628</v>
      </c>
    </row>
    <row r="48" spans="1:29" ht="13.5" customHeight="1">
      <c r="A48" s="200" t="s">
        <v>199</v>
      </c>
      <c r="B48" s="210" t="s">
        <v>200</v>
      </c>
      <c r="C48" s="213">
        <f>+'[3]3.SZ.TÁBL. SEGÍTŐ SZOLGÁLAT'!$E$48</f>
        <v>35</v>
      </c>
      <c r="D48" s="207"/>
      <c r="E48" s="212">
        <f t="shared" si="87"/>
        <v>35</v>
      </c>
      <c r="F48" s="213">
        <f>+'[3]3.SZ.TÁBL. SEGÍTŐ SZOLGÁLAT'!$H$48</f>
        <v>240</v>
      </c>
      <c r="G48" s="207"/>
      <c r="H48" s="214">
        <f t="shared" si="88"/>
        <v>240</v>
      </c>
      <c r="I48" s="213">
        <f>+'[3]3.SZ.TÁBL. SEGÍTŐ SZOLGÁLAT'!$K48</f>
        <v>720</v>
      </c>
      <c r="J48" s="207"/>
      <c r="K48" s="212">
        <f t="shared" si="89"/>
        <v>720</v>
      </c>
      <c r="L48" s="213">
        <f>+'[3]3.SZ.TÁBL. SEGÍTŐ SZOLGÁLAT'!$N48</f>
        <v>330</v>
      </c>
      <c r="M48" s="207"/>
      <c r="N48" s="214">
        <f t="shared" si="90"/>
        <v>330</v>
      </c>
      <c r="O48" s="213">
        <f>+'[3]3.SZ.TÁBL. SEGÍTŐ SZOLGÁLAT'!$Q48</f>
        <v>210</v>
      </c>
      <c r="P48" s="207"/>
      <c r="Q48" s="212">
        <f t="shared" si="91"/>
        <v>210</v>
      </c>
      <c r="R48" s="213">
        <f>+'[3]3.SZ.TÁBL. SEGÍTŐ SZOLGÁLAT'!$T48</f>
        <v>60</v>
      </c>
      <c r="S48" s="207"/>
      <c r="T48" s="214">
        <f t="shared" si="92"/>
        <v>60</v>
      </c>
      <c r="U48" s="213">
        <f>+'[3]3.SZ.TÁBL. SEGÍTŐ SZOLGÁLAT'!$W48</f>
        <v>240</v>
      </c>
      <c r="V48" s="207"/>
      <c r="W48" s="214">
        <f t="shared" si="93"/>
        <v>240</v>
      </c>
      <c r="X48" s="213">
        <f>+'[5]3.SZ.TÁBL. SEGÍTŐ SZOLGÁLAT'!$Y47</f>
        <v>0</v>
      </c>
      <c r="Y48" s="207"/>
      <c r="Z48" s="212">
        <f t="shared" si="94"/>
        <v>0</v>
      </c>
      <c r="AA48" s="215">
        <f t="shared" si="84"/>
        <v>1835</v>
      </c>
      <c r="AB48" s="207">
        <f t="shared" si="85"/>
        <v>0</v>
      </c>
      <c r="AC48" s="208">
        <f t="shared" si="86"/>
        <v>1835</v>
      </c>
    </row>
    <row r="49" spans="1:29" ht="13.5" customHeight="1">
      <c r="A49" s="200" t="s">
        <v>201</v>
      </c>
      <c r="B49" s="210" t="s">
        <v>202</v>
      </c>
      <c r="C49" s="213">
        <f>+'[5]3.SZ.TÁBL. SEGÍTŐ SZOLGÁLAT'!$D48</f>
        <v>0</v>
      </c>
      <c r="D49" s="207"/>
      <c r="E49" s="212">
        <f t="shared" si="87"/>
        <v>0</v>
      </c>
      <c r="F49" s="213">
        <f>+'[5]3.SZ.TÁBL. SEGÍTŐ SZOLGÁLAT'!$G48</f>
        <v>0</v>
      </c>
      <c r="G49" s="207"/>
      <c r="H49" s="214">
        <f t="shared" si="88"/>
        <v>0</v>
      </c>
      <c r="I49" s="213">
        <f>+'[3]3.SZ.TÁBL. SEGÍTŐ SZOLGÁLAT'!$K49</f>
        <v>0</v>
      </c>
      <c r="J49" s="207"/>
      <c r="K49" s="212">
        <f t="shared" si="89"/>
        <v>0</v>
      </c>
      <c r="L49" s="213">
        <f>+'[3]3.SZ.TÁBL. SEGÍTŐ SZOLGÁLAT'!$N49</f>
        <v>0</v>
      </c>
      <c r="M49" s="207"/>
      <c r="N49" s="214">
        <f t="shared" si="90"/>
        <v>0</v>
      </c>
      <c r="O49" s="213">
        <f>+'[3]3.SZ.TÁBL. SEGÍTŐ SZOLGÁLAT'!$Q49</f>
        <v>0</v>
      </c>
      <c r="P49" s="207"/>
      <c r="Q49" s="212">
        <f t="shared" si="91"/>
        <v>0</v>
      </c>
      <c r="R49" s="213">
        <f>+'[3]3.SZ.TÁBL. SEGÍTŐ SZOLGÁLAT'!$T49</f>
        <v>0</v>
      </c>
      <c r="S49" s="207"/>
      <c r="T49" s="214">
        <f t="shared" si="92"/>
        <v>0</v>
      </c>
      <c r="U49" s="213">
        <f>+'[3]3.SZ.TÁBL. SEGÍTŐ SZOLGÁLAT'!$W49</f>
        <v>0</v>
      </c>
      <c r="V49" s="207"/>
      <c r="W49" s="214">
        <f t="shared" si="93"/>
        <v>0</v>
      </c>
      <c r="X49" s="213">
        <f>+'[5]3.SZ.TÁBL. SEGÍTŐ SZOLGÁLAT'!$Y48</f>
        <v>0</v>
      </c>
      <c r="Y49" s="207"/>
      <c r="Z49" s="212">
        <f t="shared" si="94"/>
        <v>0</v>
      </c>
      <c r="AA49" s="215">
        <f t="shared" si="84"/>
        <v>0</v>
      </c>
      <c r="AB49" s="207">
        <f t="shared" si="85"/>
        <v>0</v>
      </c>
      <c r="AC49" s="208">
        <f t="shared" si="86"/>
        <v>0</v>
      </c>
    </row>
    <row r="50" spans="1:29" ht="13.5" customHeight="1">
      <c r="A50" s="200" t="s">
        <v>203</v>
      </c>
      <c r="B50" s="210" t="s">
        <v>2</v>
      </c>
      <c r="C50" s="213">
        <f>+'[3]3.SZ.TÁBL. SEGÍTŐ SZOLGÁLAT'!$E$50</f>
        <v>30</v>
      </c>
      <c r="D50" s="207"/>
      <c r="E50" s="212">
        <f t="shared" si="87"/>
        <v>30</v>
      </c>
      <c r="F50" s="213">
        <f>+'[3]3.SZ.TÁBL. SEGÍTŐ SZOLGÁLAT'!$H$50</f>
        <v>98</v>
      </c>
      <c r="G50" s="207"/>
      <c r="H50" s="214">
        <f t="shared" si="88"/>
        <v>98</v>
      </c>
      <c r="I50" s="213">
        <f>+'[3]3.SZ.TÁBL. SEGÍTŐ SZOLGÁLAT'!$K50</f>
        <v>60</v>
      </c>
      <c r="J50" s="207"/>
      <c r="K50" s="212">
        <f t="shared" si="89"/>
        <v>60</v>
      </c>
      <c r="L50" s="213">
        <f>+'[3]3.SZ.TÁBL. SEGÍTŐ SZOLGÁLAT'!$N50</f>
        <v>168</v>
      </c>
      <c r="M50" s="207"/>
      <c r="N50" s="214">
        <f t="shared" si="90"/>
        <v>168</v>
      </c>
      <c r="O50" s="213">
        <f>+'[3]3.SZ.TÁBL. SEGÍTŐ SZOLGÁLAT'!$Q50</f>
        <v>243</v>
      </c>
      <c r="P50" s="207"/>
      <c r="Q50" s="212">
        <f t="shared" si="91"/>
        <v>243</v>
      </c>
      <c r="R50" s="213">
        <f>+'[3]3.SZ.TÁBL. SEGÍTŐ SZOLGÁLAT'!$T50</f>
        <v>0</v>
      </c>
      <c r="S50" s="207"/>
      <c r="T50" s="214">
        <f t="shared" si="92"/>
        <v>0</v>
      </c>
      <c r="U50" s="213">
        <f>+'[3]3.SZ.TÁBL. SEGÍTŐ SZOLGÁLAT'!$W50</f>
        <v>12</v>
      </c>
      <c r="V50" s="207"/>
      <c r="W50" s="214">
        <f t="shared" si="93"/>
        <v>12</v>
      </c>
      <c r="X50" s="213">
        <f>+'[5]3.SZ.TÁBL. SEGÍTŐ SZOLGÁLAT'!$Y49</f>
        <v>0</v>
      </c>
      <c r="Y50" s="207"/>
      <c r="Z50" s="212">
        <f t="shared" si="94"/>
        <v>0</v>
      </c>
      <c r="AA50" s="215">
        <f t="shared" si="84"/>
        <v>611</v>
      </c>
      <c r="AB50" s="207">
        <f t="shared" si="85"/>
        <v>0</v>
      </c>
      <c r="AC50" s="208">
        <f t="shared" si="86"/>
        <v>611</v>
      </c>
    </row>
    <row r="51" spans="1:29" ht="13.5" customHeight="1">
      <c r="A51" s="200" t="s">
        <v>204</v>
      </c>
      <c r="B51" s="210" t="s">
        <v>205</v>
      </c>
      <c r="C51" s="213">
        <f>+'[5]3.SZ.TÁBL. SEGÍTŐ SZOLGÁLAT'!$D50</f>
        <v>0</v>
      </c>
      <c r="D51" s="207"/>
      <c r="E51" s="212">
        <f t="shared" si="87"/>
        <v>0</v>
      </c>
      <c r="F51" s="213">
        <f>+'[5]3.SZ.TÁBL. SEGÍTŐ SZOLGÁLAT'!$G50</f>
        <v>0</v>
      </c>
      <c r="G51" s="207"/>
      <c r="H51" s="214">
        <f t="shared" si="88"/>
        <v>0</v>
      </c>
      <c r="I51" s="213">
        <f>+'[3]3.SZ.TÁBL. SEGÍTŐ SZOLGÁLAT'!$K51</f>
        <v>0</v>
      </c>
      <c r="J51" s="207"/>
      <c r="K51" s="212">
        <f t="shared" si="89"/>
        <v>0</v>
      </c>
      <c r="L51" s="213">
        <f>+'[3]3.SZ.TÁBL. SEGÍTŐ SZOLGÁLAT'!$N51</f>
        <v>0</v>
      </c>
      <c r="M51" s="207"/>
      <c r="N51" s="214">
        <f t="shared" si="90"/>
        <v>0</v>
      </c>
      <c r="O51" s="213">
        <f>+'[3]3.SZ.TÁBL. SEGÍTŐ SZOLGÁLAT'!$Q51</f>
        <v>0</v>
      </c>
      <c r="P51" s="207"/>
      <c r="Q51" s="212">
        <f t="shared" si="91"/>
        <v>0</v>
      </c>
      <c r="R51" s="213">
        <f>+'[3]3.SZ.TÁBL. SEGÍTŐ SZOLGÁLAT'!$T51</f>
        <v>0</v>
      </c>
      <c r="S51" s="207"/>
      <c r="T51" s="214">
        <f t="shared" si="92"/>
        <v>0</v>
      </c>
      <c r="U51" s="213">
        <f>+'[3]3.SZ.TÁBL. SEGÍTŐ SZOLGÁLAT'!$W51</f>
        <v>0</v>
      </c>
      <c r="V51" s="207"/>
      <c r="W51" s="214">
        <f t="shared" si="93"/>
        <v>0</v>
      </c>
      <c r="X51" s="213">
        <f>+'[5]3.SZ.TÁBL. SEGÍTŐ SZOLGÁLAT'!$Y50</f>
        <v>0</v>
      </c>
      <c r="Y51" s="207"/>
      <c r="Z51" s="212">
        <f t="shared" si="94"/>
        <v>0</v>
      </c>
      <c r="AA51" s="215">
        <f t="shared" si="84"/>
        <v>0</v>
      </c>
      <c r="AB51" s="207">
        <f t="shared" si="85"/>
        <v>0</v>
      </c>
      <c r="AC51" s="208">
        <f t="shared" si="86"/>
        <v>0</v>
      </c>
    </row>
    <row r="52" spans="1:29" ht="13.5" customHeight="1">
      <c r="A52" s="200" t="s">
        <v>206</v>
      </c>
      <c r="B52" s="210" t="s">
        <v>207</v>
      </c>
      <c r="C52" s="213">
        <f>+'[5]3.SZ.TÁBL. SEGÍTŐ SZOLGÁLAT'!$D51</f>
        <v>0</v>
      </c>
      <c r="D52" s="207"/>
      <c r="E52" s="212">
        <f t="shared" si="87"/>
        <v>0</v>
      </c>
      <c r="F52" s="213">
        <f>+'[5]3.SZ.TÁBL. SEGÍTŐ SZOLGÁLAT'!$G51</f>
        <v>0</v>
      </c>
      <c r="G52" s="207"/>
      <c r="H52" s="214">
        <f t="shared" si="88"/>
        <v>0</v>
      </c>
      <c r="I52" s="213">
        <f>+'[3]3.SZ.TÁBL. SEGÍTŐ SZOLGÁLAT'!$K52</f>
        <v>0</v>
      </c>
      <c r="J52" s="207"/>
      <c r="K52" s="212">
        <f t="shared" si="89"/>
        <v>0</v>
      </c>
      <c r="L52" s="213">
        <f>+'[3]3.SZ.TÁBL. SEGÍTŐ SZOLGÁLAT'!$N52</f>
        <v>0</v>
      </c>
      <c r="M52" s="207"/>
      <c r="N52" s="214">
        <f t="shared" si="90"/>
        <v>0</v>
      </c>
      <c r="O52" s="213">
        <f>+'[3]3.SZ.TÁBL. SEGÍTŐ SZOLGÁLAT'!$Q52</f>
        <v>0</v>
      </c>
      <c r="P52" s="207"/>
      <c r="Q52" s="212">
        <f t="shared" si="91"/>
        <v>0</v>
      </c>
      <c r="R52" s="213">
        <f>+'[3]3.SZ.TÁBL. SEGÍTŐ SZOLGÁLAT'!$T52</f>
        <v>0</v>
      </c>
      <c r="S52" s="207"/>
      <c r="T52" s="214">
        <f t="shared" si="92"/>
        <v>0</v>
      </c>
      <c r="U52" s="213">
        <f>+'[3]3.SZ.TÁBL. SEGÍTŐ SZOLGÁLAT'!$W52</f>
        <v>0</v>
      </c>
      <c r="V52" s="207"/>
      <c r="W52" s="214">
        <f t="shared" si="93"/>
        <v>0</v>
      </c>
      <c r="X52" s="213">
        <f>+'[5]3.SZ.TÁBL. SEGÍTŐ SZOLGÁLAT'!$Y51</f>
        <v>0</v>
      </c>
      <c r="Y52" s="207"/>
      <c r="Z52" s="212">
        <f t="shared" si="94"/>
        <v>0</v>
      </c>
      <c r="AA52" s="215">
        <f t="shared" si="84"/>
        <v>0</v>
      </c>
      <c r="AB52" s="207">
        <f t="shared" si="85"/>
        <v>0</v>
      </c>
      <c r="AC52" s="208">
        <f t="shared" si="86"/>
        <v>0</v>
      </c>
    </row>
    <row r="53" spans="1:29" ht="13.5" customHeight="1">
      <c r="A53" s="200" t="s">
        <v>208</v>
      </c>
      <c r="B53" s="210" t="s">
        <v>209</v>
      </c>
      <c r="C53" s="213">
        <f>+'[5]3.SZ.TÁBL. SEGÍTŐ SZOLGÁLAT'!$D52</f>
        <v>0</v>
      </c>
      <c r="D53" s="207"/>
      <c r="E53" s="212">
        <f t="shared" si="87"/>
        <v>0</v>
      </c>
      <c r="F53" s="213">
        <f>+'[5]3.SZ.TÁBL. SEGÍTŐ SZOLGÁLAT'!$G52</f>
        <v>0</v>
      </c>
      <c r="G53" s="207"/>
      <c r="H53" s="214">
        <f t="shared" si="88"/>
        <v>0</v>
      </c>
      <c r="I53" s="213">
        <f>+'[3]3.SZ.TÁBL. SEGÍTŐ SZOLGÁLAT'!$K53</f>
        <v>0</v>
      </c>
      <c r="J53" s="207"/>
      <c r="K53" s="212">
        <f t="shared" si="89"/>
        <v>0</v>
      </c>
      <c r="L53" s="213">
        <f>+'[3]3.SZ.TÁBL. SEGÍTŐ SZOLGÁLAT'!$N53</f>
        <v>0</v>
      </c>
      <c r="M53" s="207"/>
      <c r="N53" s="214">
        <f t="shared" si="90"/>
        <v>0</v>
      </c>
      <c r="O53" s="213">
        <f>+'[3]3.SZ.TÁBL. SEGÍTŐ SZOLGÁLAT'!$Q53</f>
        <v>0</v>
      </c>
      <c r="P53" s="207"/>
      <c r="Q53" s="212">
        <f t="shared" si="91"/>
        <v>0</v>
      </c>
      <c r="R53" s="213">
        <f>+'[3]3.SZ.TÁBL. SEGÍTŐ SZOLGÁLAT'!$T53</f>
        <v>0</v>
      </c>
      <c r="S53" s="207"/>
      <c r="T53" s="214">
        <f t="shared" si="92"/>
        <v>0</v>
      </c>
      <c r="U53" s="213">
        <f>+'[3]3.SZ.TÁBL. SEGÍTŐ SZOLGÁLAT'!$W53</f>
        <v>0</v>
      </c>
      <c r="V53" s="207"/>
      <c r="W53" s="214">
        <f t="shared" si="93"/>
        <v>0</v>
      </c>
      <c r="X53" s="213">
        <f>+'[5]3.SZ.TÁBL. SEGÍTŐ SZOLGÁLAT'!$Y52</f>
        <v>0</v>
      </c>
      <c r="Y53" s="207"/>
      <c r="Z53" s="212">
        <f t="shared" si="94"/>
        <v>0</v>
      </c>
      <c r="AA53" s="215">
        <f t="shared" si="84"/>
        <v>0</v>
      </c>
      <c r="AB53" s="207">
        <f t="shared" si="85"/>
        <v>0</v>
      </c>
      <c r="AC53" s="208">
        <f t="shared" si="86"/>
        <v>0</v>
      </c>
    </row>
    <row r="54" spans="1:29" ht="13.5" customHeight="1">
      <c r="A54" s="200" t="s">
        <v>210</v>
      </c>
      <c r="B54" s="210" t="s">
        <v>211</v>
      </c>
      <c r="C54" s="213">
        <f>+'[3]3.SZ.TÁBL. SEGÍTŐ SZOLGÁLAT'!$E$54</f>
        <v>39</v>
      </c>
      <c r="D54" s="207">
        <f>+[4]Seg.Szolgálat!$E$10+[4]Seg.Szolgálat!$E$63+[4]Seg.Szolgálat!$E$140+[4]Seg.Szolgálat!$E$172+[4]Seg.Szolgálat!$E$208</f>
        <v>4</v>
      </c>
      <c r="E54" s="212">
        <f t="shared" si="87"/>
        <v>43</v>
      </c>
      <c r="F54" s="213">
        <f>+'[3]3.SZ.TÁBL. SEGÍTŐ SZOLGÁLAT'!$H$54</f>
        <v>214</v>
      </c>
      <c r="G54" s="207">
        <f>+[4]Seg.Szolgálat!$E$7+[4]Seg.Szolgálat!$E$60+[4]Seg.Szolgálat!$E$115+[4]Seg.Szolgálat!$E$137+[4]Seg.Szolgálat!$E$196+[4]Seg.Szolgálat!$E$205</f>
        <v>17</v>
      </c>
      <c r="H54" s="214">
        <f t="shared" si="88"/>
        <v>231</v>
      </c>
      <c r="I54" s="213">
        <f>+'[3]3.SZ.TÁBL. SEGÍTŐ SZOLGÁLAT'!$K54</f>
        <v>522</v>
      </c>
      <c r="J54" s="207">
        <f>+[4]Seg.Szolgálat!$E$6+[4]Seg.Szolgálat!$E$59+[4]Seg.Szolgálat!$E$136+[4]Seg.Szolgálat!$E$182+[4]Seg.Szolgálat!$E$204+[4]Seg.Szolgálat!$E$240</f>
        <v>9</v>
      </c>
      <c r="K54" s="212">
        <f t="shared" si="89"/>
        <v>531</v>
      </c>
      <c r="L54" s="213">
        <f>+'[3]3.SZ.TÁBL. SEGÍTŐ SZOLGÁLAT'!$N54</f>
        <v>325</v>
      </c>
      <c r="M54" s="207">
        <f>+[4]Seg.Szolgálat!$E$5+[4]Seg.Szolgálat!$E$58+[4]Seg.Szolgálat!$E$135+[4]Seg.Szolgálat!$E$189+[4]Seg.Szolgálat!$E$203</f>
        <v>35</v>
      </c>
      <c r="N54" s="214">
        <f t="shared" si="90"/>
        <v>360</v>
      </c>
      <c r="O54" s="213">
        <f>+'[3]3.SZ.TÁBL. SEGÍTŐ SZOLGÁLAT'!$Q54</f>
        <v>315</v>
      </c>
      <c r="P54" s="207">
        <f>+[4]Seg.Szolgálat!$E$8+[4]Seg.Szolgálat!$E$61+[4]Seg.Szolgálat!$E$119+[4]Seg.Szolgálat!$E$138+[4]Seg.Szolgálat!$E$165+[4]Seg.Szolgálat!$E$206</f>
        <v>-9</v>
      </c>
      <c r="Q54" s="212">
        <f t="shared" si="91"/>
        <v>306</v>
      </c>
      <c r="R54" s="213">
        <f>+'[3]3.SZ.TÁBL. SEGÍTŐ SZOLGÁLAT'!$T54</f>
        <v>71</v>
      </c>
      <c r="S54" s="207">
        <f>+[4]Seg.Szolgálat!$E$9+[4]Seg.Szolgálat!$E$62+[4]Seg.Szolgálat!$E$139+[4]Seg.Szolgálat!$E$163+[4]Seg.Szolgálat!$E$207</f>
        <v>0</v>
      </c>
      <c r="T54" s="214">
        <f t="shared" si="92"/>
        <v>71</v>
      </c>
      <c r="U54" s="213">
        <f>+'[3]3.SZ.TÁBL. SEGÍTŐ SZOLGÁLAT'!$W54</f>
        <v>2</v>
      </c>
      <c r="V54" s="207">
        <f>+[4]Seg.Szolgálat!$E$130</f>
        <v>28</v>
      </c>
      <c r="W54" s="214">
        <f t="shared" si="93"/>
        <v>30</v>
      </c>
      <c r="X54" s="213">
        <f>+'[5]3.SZ.TÁBL. SEGÍTŐ SZOLGÁLAT'!$Y53</f>
        <v>0</v>
      </c>
      <c r="Y54" s="207"/>
      <c r="Z54" s="212">
        <f t="shared" si="94"/>
        <v>0</v>
      </c>
      <c r="AA54" s="215">
        <f t="shared" si="84"/>
        <v>1488</v>
      </c>
      <c r="AB54" s="207">
        <f t="shared" si="85"/>
        <v>84</v>
      </c>
      <c r="AC54" s="208">
        <f t="shared" si="86"/>
        <v>1572</v>
      </c>
    </row>
    <row r="55" spans="1:29" ht="13.5" customHeight="1">
      <c r="A55" s="201" t="s">
        <v>210</v>
      </c>
      <c r="B55" s="247" t="s">
        <v>212</v>
      </c>
      <c r="C55" s="213">
        <f>+'[5]3.SZ.TÁBL. SEGÍTŐ SZOLGÁLAT'!$D54</f>
        <v>0</v>
      </c>
      <c r="D55" s="227"/>
      <c r="E55" s="212">
        <f t="shared" si="87"/>
        <v>0</v>
      </c>
      <c r="F55" s="213">
        <f>+'[5]3.SZ.TÁBL. SEGÍTŐ SZOLGÁLAT'!$G54</f>
        <v>0</v>
      </c>
      <c r="G55" s="227"/>
      <c r="H55" s="230">
        <f t="shared" si="88"/>
        <v>0</v>
      </c>
      <c r="I55" s="213">
        <f>+'[5]3.SZ.TÁBL. SEGÍTŐ SZOLGÁLAT'!$J54</f>
        <v>0</v>
      </c>
      <c r="J55" s="227"/>
      <c r="K55" s="228">
        <f t="shared" si="89"/>
        <v>0</v>
      </c>
      <c r="L55" s="213">
        <f>+'[5]3.SZ.TÁBL. SEGÍTŐ SZOLGÁLAT'!$M54</f>
        <v>0</v>
      </c>
      <c r="M55" s="227"/>
      <c r="N55" s="230">
        <f t="shared" si="90"/>
        <v>0</v>
      </c>
      <c r="O55" s="213">
        <f>+'[5]3.SZ.TÁBL. SEGÍTŐ SZOLGÁLAT'!$P54</f>
        <v>0</v>
      </c>
      <c r="P55" s="227"/>
      <c r="Q55" s="228">
        <f t="shared" si="91"/>
        <v>0</v>
      </c>
      <c r="R55" s="213">
        <f>+'[5]3.SZ.TÁBL. SEGÍTŐ SZOLGÁLAT'!$S54</f>
        <v>0</v>
      </c>
      <c r="S55" s="227"/>
      <c r="T55" s="230">
        <f t="shared" si="92"/>
        <v>0</v>
      </c>
      <c r="U55" s="213">
        <f>+'[5]3.SZ.TÁBL. SEGÍTŐ SZOLGÁLAT'!$V54</f>
        <v>0</v>
      </c>
      <c r="V55" s="227"/>
      <c r="W55" s="230">
        <f t="shared" si="93"/>
        <v>0</v>
      </c>
      <c r="X55" s="213">
        <f>+'[5]3.SZ.TÁBL. SEGÍTŐ SZOLGÁLAT'!$Y54</f>
        <v>0</v>
      </c>
      <c r="Y55" s="227"/>
      <c r="Z55" s="228">
        <f t="shared" si="94"/>
        <v>0</v>
      </c>
      <c r="AA55" s="231">
        <f t="shared" si="84"/>
        <v>0</v>
      </c>
      <c r="AB55" s="227">
        <f t="shared" si="85"/>
        <v>0</v>
      </c>
      <c r="AC55" s="232">
        <f t="shared" si="86"/>
        <v>0</v>
      </c>
    </row>
    <row r="56" spans="1:29" s="328" customFormat="1" ht="13.5" customHeight="1">
      <c r="A56" s="202" t="s">
        <v>172</v>
      </c>
      <c r="B56" s="248" t="s">
        <v>130</v>
      </c>
      <c r="C56" s="300">
        <f t="shared" ref="C56:AC56" si="95">+SUM(C42:C54)</f>
        <v>1170</v>
      </c>
      <c r="D56" s="300">
        <f t="shared" si="95"/>
        <v>-158</v>
      </c>
      <c r="E56" s="303">
        <f t="shared" si="95"/>
        <v>1012</v>
      </c>
      <c r="F56" s="326">
        <f t="shared" ref="F56" si="96">+SUM(F42:F54)</f>
        <v>13424</v>
      </c>
      <c r="G56" s="300">
        <f t="shared" si="95"/>
        <v>1713</v>
      </c>
      <c r="H56" s="327">
        <f t="shared" si="95"/>
        <v>15137</v>
      </c>
      <c r="I56" s="326">
        <f t="shared" si="95"/>
        <v>25353</v>
      </c>
      <c r="J56" s="300">
        <f t="shared" si="95"/>
        <v>1244</v>
      </c>
      <c r="K56" s="303">
        <f t="shared" si="95"/>
        <v>26597</v>
      </c>
      <c r="L56" s="326">
        <f t="shared" ref="L56" si="97">+SUM(L42:L54)</f>
        <v>15485</v>
      </c>
      <c r="M56" s="300">
        <f t="shared" si="95"/>
        <v>2640</v>
      </c>
      <c r="N56" s="327">
        <f t="shared" si="95"/>
        <v>18125</v>
      </c>
      <c r="O56" s="326">
        <f t="shared" si="95"/>
        <v>8852</v>
      </c>
      <c r="P56" s="300">
        <f t="shared" si="95"/>
        <v>851</v>
      </c>
      <c r="Q56" s="303">
        <f t="shared" si="95"/>
        <v>9703</v>
      </c>
      <c r="R56" s="326">
        <f t="shared" ref="R56" si="98">+SUM(R42:R54)</f>
        <v>2356</v>
      </c>
      <c r="S56" s="300">
        <f t="shared" si="95"/>
        <v>181</v>
      </c>
      <c r="T56" s="327">
        <f t="shared" si="95"/>
        <v>2537</v>
      </c>
      <c r="U56" s="326">
        <f t="shared" si="95"/>
        <v>8996</v>
      </c>
      <c r="V56" s="300">
        <f t="shared" si="95"/>
        <v>-995</v>
      </c>
      <c r="W56" s="327">
        <f t="shared" si="95"/>
        <v>8001</v>
      </c>
      <c r="X56" s="326">
        <f t="shared" ref="X56" si="99">+SUM(X42:X54)</f>
        <v>0</v>
      </c>
      <c r="Y56" s="300">
        <f t="shared" ref="Y56:Z56" si="100">+SUM(Y42:Y54)</f>
        <v>0</v>
      </c>
      <c r="Z56" s="303">
        <f t="shared" si="100"/>
        <v>0</v>
      </c>
      <c r="AA56" s="295">
        <f t="shared" si="95"/>
        <v>75636</v>
      </c>
      <c r="AB56" s="300">
        <f t="shared" si="95"/>
        <v>5476</v>
      </c>
      <c r="AC56" s="301">
        <f t="shared" si="95"/>
        <v>81112</v>
      </c>
    </row>
    <row r="57" spans="1:29" ht="13.5" customHeight="1">
      <c r="A57" s="199" t="s">
        <v>213</v>
      </c>
      <c r="B57" s="246" t="s">
        <v>214</v>
      </c>
      <c r="C57" s="213">
        <f>+'[5]3.SZ.TÁBL. SEGÍTŐ SZOLGÁLAT'!$D56</f>
        <v>0</v>
      </c>
      <c r="D57" s="218"/>
      <c r="E57" s="212">
        <f t="shared" si="87"/>
        <v>0</v>
      </c>
      <c r="F57" s="213">
        <f>+'[5]3.SZ.TÁBL. SEGÍTŐ SZOLGÁLAT'!$G56</f>
        <v>0</v>
      </c>
      <c r="G57" s="218"/>
      <c r="H57" s="221">
        <f t="shared" si="88"/>
        <v>0</v>
      </c>
      <c r="I57" s="213">
        <f>+'[3]3.SZ.TÁBL. SEGÍTŐ SZOLGÁLAT'!$K$57</f>
        <v>0</v>
      </c>
      <c r="J57" s="218"/>
      <c r="K57" s="219">
        <f t="shared" si="89"/>
        <v>0</v>
      </c>
      <c r="L57" s="213">
        <f>+'[5]3.SZ.TÁBL. SEGÍTŐ SZOLGÁLAT'!$M56</f>
        <v>0</v>
      </c>
      <c r="M57" s="218"/>
      <c r="N57" s="221">
        <f t="shared" si="90"/>
        <v>0</v>
      </c>
      <c r="O57" s="213">
        <f>+'[5]3.SZ.TÁBL. SEGÍTŐ SZOLGÁLAT'!$P56</f>
        <v>0</v>
      </c>
      <c r="P57" s="218"/>
      <c r="Q57" s="219">
        <f t="shared" si="91"/>
        <v>0</v>
      </c>
      <c r="R57" s="213">
        <f>+'[5]3.SZ.TÁBL. SEGÍTŐ SZOLGÁLAT'!$S56</f>
        <v>0</v>
      </c>
      <c r="S57" s="218"/>
      <c r="T57" s="221">
        <f t="shared" si="92"/>
        <v>0</v>
      </c>
      <c r="U57" s="213">
        <f>+'[5]3.SZ.TÁBL. SEGÍTŐ SZOLGÁLAT'!$V56</f>
        <v>0</v>
      </c>
      <c r="V57" s="218"/>
      <c r="W57" s="221">
        <f t="shared" si="93"/>
        <v>0</v>
      </c>
      <c r="X57" s="213">
        <f>+'[5]3.SZ.TÁBL. SEGÍTŐ SZOLGÁLAT'!$Y56</f>
        <v>0</v>
      </c>
      <c r="Y57" s="218"/>
      <c r="Z57" s="219">
        <f t="shared" ref="Z57:Z59" si="101">SUM(X57:Y57)</f>
        <v>0</v>
      </c>
      <c r="AA57" s="222">
        <f t="shared" ref="AA57:AA59" si="102">+C57+F57+I57+L57+O57+R57+U57+X57</f>
        <v>0</v>
      </c>
      <c r="AB57" s="218">
        <f t="shared" ref="AB57:AB59" si="103">+D57+G57+J57+M57+P57+S57+V57+Y57</f>
        <v>0</v>
      </c>
      <c r="AC57" s="223">
        <f t="shared" ref="AC57:AC59" si="104">+E57+H57+K57+N57+Q57+T57+W57+Z57</f>
        <v>0</v>
      </c>
    </row>
    <row r="58" spans="1:29" ht="25.5" customHeight="1">
      <c r="A58" s="200" t="s">
        <v>215</v>
      </c>
      <c r="B58" s="210" t="s">
        <v>216</v>
      </c>
      <c r="C58" s="213">
        <f>+'[5]3.SZ.TÁBL. SEGÍTŐ SZOLGÁLAT'!$D57</f>
        <v>0</v>
      </c>
      <c r="D58" s="207"/>
      <c r="E58" s="212">
        <f t="shared" si="87"/>
        <v>0</v>
      </c>
      <c r="F58" s="213">
        <f>+'[3]3.SZ.TÁBL. SEGÍTŐ SZOLGÁLAT'!$H$58</f>
        <v>150</v>
      </c>
      <c r="G58" s="207">
        <f>+[4]Seg.Szolgálat!$E$114+[4]Seg.Szolgálat!$E$195+[4]Seg.Szolgálat!$E$232</f>
        <v>120</v>
      </c>
      <c r="H58" s="214">
        <f t="shared" si="88"/>
        <v>270</v>
      </c>
      <c r="I58" s="213">
        <f>+'[3]3.SZ.TÁBL. SEGÍTŐ SZOLGÁLAT'!$K$58</f>
        <v>100</v>
      </c>
      <c r="J58" s="207"/>
      <c r="K58" s="212">
        <f t="shared" si="89"/>
        <v>100</v>
      </c>
      <c r="L58" s="213">
        <f>+'[3]3.SZ.TÁBL. SEGÍTŐ SZOLGÁLAT'!$N$58</f>
        <v>150</v>
      </c>
      <c r="M58" s="207">
        <f>+[4]Seg.Szolgálat!$E$188</f>
        <v>-20</v>
      </c>
      <c r="N58" s="214">
        <f t="shared" si="90"/>
        <v>130</v>
      </c>
      <c r="O58" s="213">
        <f>+'[3]3.SZ.TÁBL. SEGÍTŐ SZOLGÁLAT'!$Q$58</f>
        <v>17</v>
      </c>
      <c r="P58" s="207">
        <f>+[4]Seg.Szolgálat!$E$51+[4]Seg.Szolgálat!$E$118+[4]Seg.Szolgálat!$E$164+[4]Seg.Szolgálat!$E$244</f>
        <v>120</v>
      </c>
      <c r="Q58" s="212">
        <f t="shared" si="91"/>
        <v>137</v>
      </c>
      <c r="R58" s="213">
        <f>+'[3]3.SZ.TÁBL. SEGÍTŐ SZOLGÁLAT'!$T$58</f>
        <v>150</v>
      </c>
      <c r="S58" s="207"/>
      <c r="T58" s="214">
        <f t="shared" si="92"/>
        <v>150</v>
      </c>
      <c r="U58" s="213">
        <f>+'[5]3.SZ.TÁBL. SEGÍTŐ SZOLGÁLAT'!$V57</f>
        <v>0</v>
      </c>
      <c r="V58" s="207"/>
      <c r="W58" s="214">
        <f t="shared" si="93"/>
        <v>0</v>
      </c>
      <c r="X58" s="213">
        <f>+'[5]3.SZ.TÁBL. SEGÍTŐ SZOLGÁLAT'!$Y57</f>
        <v>0</v>
      </c>
      <c r="Y58" s="207"/>
      <c r="Z58" s="212">
        <f t="shared" si="101"/>
        <v>0</v>
      </c>
      <c r="AA58" s="215">
        <f t="shared" si="102"/>
        <v>567</v>
      </c>
      <c r="AB58" s="207">
        <f t="shared" si="103"/>
        <v>220</v>
      </c>
      <c r="AC58" s="208">
        <f t="shared" si="104"/>
        <v>787</v>
      </c>
    </row>
    <row r="59" spans="1:29" ht="13.5" customHeight="1">
      <c r="A59" s="201" t="s">
        <v>217</v>
      </c>
      <c r="B59" s="247" t="s">
        <v>218</v>
      </c>
      <c r="C59" s="213">
        <f>+'[5]3.SZ.TÁBL. SEGÍTŐ SZOLGÁLAT'!$D58</f>
        <v>0</v>
      </c>
      <c r="D59" s="227"/>
      <c r="E59" s="212">
        <f t="shared" si="87"/>
        <v>0</v>
      </c>
      <c r="F59" s="213">
        <f>+'[3]3.SZ.TÁBL. SEGÍTŐ SZOLGÁLAT'!$H$59</f>
        <v>25</v>
      </c>
      <c r="G59" s="227"/>
      <c r="H59" s="230">
        <f t="shared" si="88"/>
        <v>25</v>
      </c>
      <c r="I59" s="213">
        <f>+'[3]3.SZ.TÁBL. SEGÍTŐ SZOLGÁLAT'!$K$59</f>
        <v>15</v>
      </c>
      <c r="J59" s="227"/>
      <c r="K59" s="228">
        <f t="shared" si="89"/>
        <v>15</v>
      </c>
      <c r="L59" s="213">
        <f>+'[3]3.SZ.TÁBL. SEGÍTŐ SZOLGÁLAT'!$N$59</f>
        <v>25</v>
      </c>
      <c r="M59" s="227"/>
      <c r="N59" s="230">
        <f t="shared" si="90"/>
        <v>25</v>
      </c>
      <c r="O59" s="213">
        <f>+'[3]3.SZ.TÁBL. SEGÍTŐ SZOLGÁLAT'!$Q$59</f>
        <v>10</v>
      </c>
      <c r="P59" s="227"/>
      <c r="Q59" s="228">
        <f t="shared" si="91"/>
        <v>10</v>
      </c>
      <c r="R59" s="213">
        <f>+'[5]3.SZ.TÁBL. SEGÍTŐ SZOLGÁLAT'!$S58</f>
        <v>0</v>
      </c>
      <c r="S59" s="227"/>
      <c r="T59" s="230">
        <f t="shared" si="92"/>
        <v>0</v>
      </c>
      <c r="U59" s="213">
        <f>+'[5]3.SZ.TÁBL. SEGÍTŐ SZOLGÁLAT'!$V58</f>
        <v>0</v>
      </c>
      <c r="V59" s="227"/>
      <c r="W59" s="230">
        <f t="shared" si="93"/>
        <v>0</v>
      </c>
      <c r="X59" s="213">
        <f>+'[5]3.SZ.TÁBL. SEGÍTŐ SZOLGÁLAT'!$Y58</f>
        <v>0</v>
      </c>
      <c r="Y59" s="227"/>
      <c r="Z59" s="228">
        <f t="shared" si="101"/>
        <v>0</v>
      </c>
      <c r="AA59" s="231">
        <f t="shared" si="102"/>
        <v>75</v>
      </c>
      <c r="AB59" s="227">
        <f t="shared" si="103"/>
        <v>0</v>
      </c>
      <c r="AC59" s="232">
        <f t="shared" si="104"/>
        <v>75</v>
      </c>
    </row>
    <row r="60" spans="1:29" s="328" customFormat="1" ht="13.5" customHeight="1">
      <c r="A60" s="202" t="s">
        <v>173</v>
      </c>
      <c r="B60" s="248" t="s">
        <v>131</v>
      </c>
      <c r="C60" s="302">
        <f t="shared" ref="C60:AC60" si="105">SUM(C57:C59)</f>
        <v>0</v>
      </c>
      <c r="D60" s="300">
        <f t="shared" si="105"/>
        <v>0</v>
      </c>
      <c r="E60" s="303">
        <f t="shared" si="105"/>
        <v>0</v>
      </c>
      <c r="F60" s="326">
        <f t="shared" ref="F60" si="106">SUM(F57:F59)</f>
        <v>175</v>
      </c>
      <c r="G60" s="300">
        <f t="shared" si="105"/>
        <v>120</v>
      </c>
      <c r="H60" s="327">
        <f t="shared" si="105"/>
        <v>295</v>
      </c>
      <c r="I60" s="326">
        <f t="shared" si="105"/>
        <v>115</v>
      </c>
      <c r="J60" s="300">
        <f t="shared" si="105"/>
        <v>0</v>
      </c>
      <c r="K60" s="303">
        <f t="shared" si="105"/>
        <v>115</v>
      </c>
      <c r="L60" s="326">
        <f t="shared" ref="L60" si="107">SUM(L57:L59)</f>
        <v>175</v>
      </c>
      <c r="M60" s="300">
        <f t="shared" si="105"/>
        <v>-20</v>
      </c>
      <c r="N60" s="327">
        <f t="shared" si="105"/>
        <v>155</v>
      </c>
      <c r="O60" s="326">
        <f t="shared" si="105"/>
        <v>27</v>
      </c>
      <c r="P60" s="300">
        <f t="shared" si="105"/>
        <v>120</v>
      </c>
      <c r="Q60" s="303">
        <f t="shared" si="105"/>
        <v>147</v>
      </c>
      <c r="R60" s="326">
        <f t="shared" ref="R60" si="108">SUM(R57:R59)</f>
        <v>150</v>
      </c>
      <c r="S60" s="300">
        <f t="shared" si="105"/>
        <v>0</v>
      </c>
      <c r="T60" s="327">
        <f t="shared" si="105"/>
        <v>150</v>
      </c>
      <c r="U60" s="326">
        <f t="shared" si="105"/>
        <v>0</v>
      </c>
      <c r="V60" s="300">
        <f t="shared" si="105"/>
        <v>0</v>
      </c>
      <c r="W60" s="327">
        <f t="shared" si="105"/>
        <v>0</v>
      </c>
      <c r="X60" s="326">
        <f t="shared" ref="X60" si="109">SUM(X57:X59)</f>
        <v>0</v>
      </c>
      <c r="Y60" s="300">
        <f t="shared" ref="Y60:Z60" si="110">SUM(Y57:Y59)</f>
        <v>0</v>
      </c>
      <c r="Z60" s="303">
        <f t="shared" si="110"/>
        <v>0</v>
      </c>
      <c r="AA60" s="295">
        <f t="shared" si="105"/>
        <v>642</v>
      </c>
      <c r="AB60" s="300">
        <f t="shared" si="105"/>
        <v>220</v>
      </c>
      <c r="AC60" s="301">
        <f t="shared" si="105"/>
        <v>862</v>
      </c>
    </row>
    <row r="61" spans="1:29" s="328" customFormat="1" ht="13.5" customHeight="1">
      <c r="A61" s="202" t="s">
        <v>174</v>
      </c>
      <c r="B61" s="248" t="s">
        <v>132</v>
      </c>
      <c r="C61" s="302">
        <f t="shared" ref="C61:AC61" si="111">+C56+C60</f>
        <v>1170</v>
      </c>
      <c r="D61" s="300">
        <f t="shared" si="111"/>
        <v>-158</v>
      </c>
      <c r="E61" s="303">
        <f t="shared" si="111"/>
        <v>1012</v>
      </c>
      <c r="F61" s="326">
        <f t="shared" ref="F61" si="112">+F56+F60</f>
        <v>13599</v>
      </c>
      <c r="G61" s="300">
        <f t="shared" si="111"/>
        <v>1833</v>
      </c>
      <c r="H61" s="327">
        <f t="shared" si="111"/>
        <v>15432</v>
      </c>
      <c r="I61" s="326">
        <f t="shared" si="111"/>
        <v>25468</v>
      </c>
      <c r="J61" s="300">
        <f t="shared" si="111"/>
        <v>1244</v>
      </c>
      <c r="K61" s="303">
        <f t="shared" si="111"/>
        <v>26712</v>
      </c>
      <c r="L61" s="326">
        <f t="shared" ref="L61" si="113">+L56+L60</f>
        <v>15660</v>
      </c>
      <c r="M61" s="300">
        <f t="shared" si="111"/>
        <v>2620</v>
      </c>
      <c r="N61" s="327">
        <f t="shared" si="111"/>
        <v>18280</v>
      </c>
      <c r="O61" s="326">
        <f t="shared" si="111"/>
        <v>8879</v>
      </c>
      <c r="P61" s="300">
        <f t="shared" si="111"/>
        <v>971</v>
      </c>
      <c r="Q61" s="303">
        <f t="shared" si="111"/>
        <v>9850</v>
      </c>
      <c r="R61" s="326">
        <f t="shared" ref="R61" si="114">+R56+R60</f>
        <v>2506</v>
      </c>
      <c r="S61" s="300">
        <f t="shared" si="111"/>
        <v>181</v>
      </c>
      <c r="T61" s="327">
        <f t="shared" si="111"/>
        <v>2687</v>
      </c>
      <c r="U61" s="326">
        <f t="shared" si="111"/>
        <v>8996</v>
      </c>
      <c r="V61" s="300">
        <f t="shared" si="111"/>
        <v>-995</v>
      </c>
      <c r="W61" s="327">
        <f t="shared" si="111"/>
        <v>8001</v>
      </c>
      <c r="X61" s="326">
        <f t="shared" ref="X61" si="115">+X56+X60</f>
        <v>0</v>
      </c>
      <c r="Y61" s="300">
        <f t="shared" ref="Y61:Z61" si="116">+Y56+Y60</f>
        <v>0</v>
      </c>
      <c r="Z61" s="303">
        <f t="shared" si="116"/>
        <v>0</v>
      </c>
      <c r="AA61" s="295">
        <f t="shared" si="111"/>
        <v>76278</v>
      </c>
      <c r="AB61" s="300">
        <f t="shared" si="111"/>
        <v>5696</v>
      </c>
      <c r="AC61" s="301">
        <f t="shared" si="111"/>
        <v>81974</v>
      </c>
    </row>
    <row r="62" spans="1:29" s="328" customFormat="1" ht="13.5" customHeight="1">
      <c r="A62" s="202" t="s">
        <v>175</v>
      </c>
      <c r="B62" s="248" t="s">
        <v>133</v>
      </c>
      <c r="C62" s="326">
        <f t="shared" ref="C62:AC62" si="117">+SUM(C63:C67)</f>
        <v>293</v>
      </c>
      <c r="D62" s="300">
        <f t="shared" si="117"/>
        <v>-35</v>
      </c>
      <c r="E62" s="303">
        <f t="shared" si="117"/>
        <v>258</v>
      </c>
      <c r="F62" s="326">
        <f t="shared" ref="F62" si="118">+SUM(F63:F67)</f>
        <v>3258</v>
      </c>
      <c r="G62" s="300">
        <f t="shared" si="117"/>
        <v>404</v>
      </c>
      <c r="H62" s="327">
        <f t="shared" si="117"/>
        <v>3662</v>
      </c>
      <c r="I62" s="326">
        <f t="shared" si="117"/>
        <v>6699</v>
      </c>
      <c r="J62" s="300">
        <f t="shared" si="117"/>
        <v>272</v>
      </c>
      <c r="K62" s="303">
        <f t="shared" si="117"/>
        <v>6971</v>
      </c>
      <c r="L62" s="326">
        <f t="shared" ref="L62" si="119">+SUM(L63:L67)</f>
        <v>3821</v>
      </c>
      <c r="M62" s="300">
        <f t="shared" si="117"/>
        <v>577</v>
      </c>
      <c r="N62" s="327">
        <f t="shared" si="117"/>
        <v>4398</v>
      </c>
      <c r="O62" s="326">
        <f t="shared" si="117"/>
        <v>2185</v>
      </c>
      <c r="P62" s="300">
        <f t="shared" si="117"/>
        <v>211</v>
      </c>
      <c r="Q62" s="303">
        <f t="shared" si="117"/>
        <v>2396</v>
      </c>
      <c r="R62" s="326">
        <f t="shared" ref="R62" si="120">+SUM(R63:R67)</f>
        <v>600</v>
      </c>
      <c r="S62" s="300">
        <f t="shared" si="117"/>
        <v>42</v>
      </c>
      <c r="T62" s="327">
        <f t="shared" si="117"/>
        <v>642</v>
      </c>
      <c r="U62" s="326">
        <f t="shared" si="117"/>
        <v>2140</v>
      </c>
      <c r="V62" s="300">
        <f t="shared" si="117"/>
        <v>-218</v>
      </c>
      <c r="W62" s="327">
        <f t="shared" si="117"/>
        <v>1922</v>
      </c>
      <c r="X62" s="326">
        <f t="shared" ref="X62" si="121">+SUM(X63:X67)</f>
        <v>0</v>
      </c>
      <c r="Y62" s="300">
        <f t="shared" ref="Y62:Z62" si="122">+SUM(Y63:Y67)</f>
        <v>0</v>
      </c>
      <c r="Z62" s="303">
        <f t="shared" si="122"/>
        <v>0</v>
      </c>
      <c r="AA62" s="295">
        <f t="shared" si="117"/>
        <v>18996</v>
      </c>
      <c r="AB62" s="300">
        <f t="shared" si="117"/>
        <v>1253</v>
      </c>
      <c r="AC62" s="301">
        <f t="shared" si="117"/>
        <v>20249</v>
      </c>
    </row>
    <row r="63" spans="1:29" ht="13.5" customHeight="1">
      <c r="A63" s="203" t="s">
        <v>175</v>
      </c>
      <c r="B63" s="249" t="s">
        <v>277</v>
      </c>
      <c r="C63" s="213">
        <f>+'[3]3.SZ.TÁBL. SEGÍTŐ SZOLGÁLAT'!$E$63</f>
        <v>244</v>
      </c>
      <c r="D63" s="218">
        <f>+[4]Seg.Szolgálat!$F$16+[4]Seg.Szolgálat!$F$30+[4]Seg.Szolgálat!$F$69+[4]Seg.Szolgálat!$F$83+[4]Seg.Szolgálat!$F$93+[4]Seg.Szolgálat!$F$146+[4]Seg.Szolgálat!$F$160+[4]Seg.Szolgálat!$F$214+[4]Seg.Szolgálat!$F$228</f>
        <v>-35</v>
      </c>
      <c r="E63" s="212">
        <f t="shared" ref="E63:E70" si="123">SUM(C63:D63)</f>
        <v>209</v>
      </c>
      <c r="F63" s="213">
        <f>+'[3]3.SZ.TÁBL. SEGÍTŐ SZOLGÁLAT'!$H63</f>
        <v>2885</v>
      </c>
      <c r="G63" s="218">
        <f>+[4]Seg.Szolgálat!$F$13+[4]Seg.Szolgálat!$F$28+[4]Seg.Szolgálat!$F$66+[4]Seg.Szolgálat!$F$81+[4]Seg.Szolgálat!$F$143+[4]Seg.Szolgálat!$F$158+[4]Seg.Szolgálat!$F$211+[4]Seg.Szolgálat!$F$226</f>
        <v>404</v>
      </c>
      <c r="H63" s="221">
        <f t="shared" ref="H63:H70" si="124">SUM(F63:G63)</f>
        <v>3289</v>
      </c>
      <c r="I63" s="213">
        <f>+'[3]3.SZ.TÁBL. SEGÍTŐ SZOLGÁLAT'!$K63</f>
        <v>5422</v>
      </c>
      <c r="J63" s="218">
        <f>+[4]Seg.Szolgálat!$F$12+[4]Seg.Szolgálat!$F$31+[4]Seg.Szolgálat!$F$65+[4]Seg.Szolgálat!$F$84+[4]Seg.Szolgálat!$F$142+[4]Seg.Szolgálat!$F$161+[4]Seg.Szolgálat!$F$210+[4]Seg.Szolgálat!$F$229</f>
        <v>272</v>
      </c>
      <c r="K63" s="219">
        <f t="shared" ref="K63:K70" si="125">SUM(I63:J63)</f>
        <v>5694</v>
      </c>
      <c r="L63" s="213">
        <f>+'[3]3.SZ.TÁBL. SEGÍTŐ SZOLGÁLAT'!$N63</f>
        <v>3308</v>
      </c>
      <c r="M63" s="218">
        <f>+[4]Seg.Szolgálat!$F$11+[4]Seg.Szolgálat!$F$25+[4]Seg.Szolgálat!$F$64+[4]Seg.Szolgálat!$F$78+[4]Seg.Szolgálat!$F$209+[4]Seg.Szolgálat!$F$223+[4]Seg.Szolgálat!$F$141+[4]Seg.Szolgálat!$F$155</f>
        <v>577</v>
      </c>
      <c r="N63" s="221">
        <f t="shared" ref="N63:N70" si="126">SUM(L63:M63)</f>
        <v>3885</v>
      </c>
      <c r="O63" s="213">
        <f>+'[3]3.SZ.TÁBL. SEGÍTŐ SZOLGÁLAT'!$Q63</f>
        <v>1859</v>
      </c>
      <c r="P63" s="218">
        <f>+[4]Seg.Szolgálat!$F$14+[4]Seg.Szolgálat!$F$27+[4]Seg.Szolgálat!$F$67+[4]Seg.Szolgálat!$F$80+[4]Seg.Szolgálat!$F$144+[4]Seg.Szolgálat!$F$157+[4]Seg.Szolgálat!$F$212+[4]Seg.Szolgálat!$F$225</f>
        <v>211</v>
      </c>
      <c r="Q63" s="219">
        <f t="shared" ref="Q63:Q70" si="127">SUM(O63:P63)</f>
        <v>2070</v>
      </c>
      <c r="R63" s="213">
        <f>+'[3]3.SZ.TÁBL. SEGÍTŐ SZOLGÁLAT'!$T63</f>
        <v>507</v>
      </c>
      <c r="S63" s="218">
        <f>+[4]Seg.Szolgálat!$F$15+[4]Seg.Szolgálat!$F$26+[4]Seg.Szolgálat!$F$68+[4]Seg.Szolgálat!$F$79+[4]Seg.Szolgálat!$F$145+[4]Seg.Szolgálat!$F$156+[4]Seg.Szolgálat!$F$213+[4]Seg.Szolgálat!$F$224</f>
        <v>42</v>
      </c>
      <c r="T63" s="221">
        <f t="shared" ref="T63:T70" si="128">SUM(R63:S63)</f>
        <v>549</v>
      </c>
      <c r="U63" s="213">
        <f>+'[3]3.SZ.TÁBL. SEGÍTŐ SZOLGÁLAT'!$W63</f>
        <v>1925</v>
      </c>
      <c r="V63" s="218">
        <f>+[4]Seg.Szolgálat!$F$29+[4]Seg.Szolgálat!$F$82+[4]Seg.Szolgálat!$F$91+[4]Seg.Szolgálat!$F$159+[4]Seg.Szolgálat!$F$227</f>
        <v>-218</v>
      </c>
      <c r="W63" s="221">
        <f t="shared" ref="W63:W70" si="129">SUM(U63:V63)</f>
        <v>1707</v>
      </c>
      <c r="X63" s="213">
        <f>+'[5]3.SZ.TÁBL. SEGÍTŐ SZOLGÁLAT'!$Y62</f>
        <v>0</v>
      </c>
      <c r="Y63" s="218"/>
      <c r="Z63" s="219">
        <f t="shared" ref="Z63:Z70" si="130">SUM(X63:Y63)</f>
        <v>0</v>
      </c>
      <c r="AA63" s="222">
        <f t="shared" ref="AA63:AA70" si="131">+C63+F63+I63+L63+O63+R63+U63+X63</f>
        <v>16150</v>
      </c>
      <c r="AB63" s="218">
        <f t="shared" ref="AB63:AB70" si="132">+D63+G63+J63+M63+P63+S63+V63+Y63</f>
        <v>1253</v>
      </c>
      <c r="AC63" s="223">
        <f t="shared" ref="AC63:AC70" si="133">+E63+H63+K63+N63+Q63+T63+W63+Z63</f>
        <v>17403</v>
      </c>
    </row>
    <row r="64" spans="1:29" ht="13.5" customHeight="1">
      <c r="A64" s="204" t="s">
        <v>175</v>
      </c>
      <c r="B64" s="211" t="s">
        <v>278</v>
      </c>
      <c r="C64" s="213">
        <f>+'[3]3.SZ.TÁBL. SEGÍTŐ SZOLGÁLAT'!$E$64</f>
        <v>32</v>
      </c>
      <c r="D64" s="207"/>
      <c r="E64" s="212">
        <f t="shared" si="123"/>
        <v>32</v>
      </c>
      <c r="F64" s="213">
        <f>+'[3]3.SZ.TÁBL. SEGÍTŐ SZOLGÁLAT'!$H64</f>
        <v>253</v>
      </c>
      <c r="G64" s="207"/>
      <c r="H64" s="214">
        <f t="shared" si="124"/>
        <v>253</v>
      </c>
      <c r="I64" s="213">
        <f>+'[3]3.SZ.TÁBL. SEGÍTŐ SZOLGÁLAT'!$K64</f>
        <v>917</v>
      </c>
      <c r="J64" s="207"/>
      <c r="K64" s="212">
        <f t="shared" si="125"/>
        <v>917</v>
      </c>
      <c r="L64" s="213">
        <f>+'[3]3.SZ.TÁBL. SEGÍTŐ SZOLGÁLAT'!$N64</f>
        <v>348</v>
      </c>
      <c r="M64" s="207"/>
      <c r="N64" s="214">
        <f t="shared" si="126"/>
        <v>348</v>
      </c>
      <c r="O64" s="213">
        <f>+'[3]3.SZ.TÁBL. SEGÍTŐ SZOLGÁLAT'!$Q64</f>
        <v>221</v>
      </c>
      <c r="P64" s="207"/>
      <c r="Q64" s="212">
        <f t="shared" si="127"/>
        <v>221</v>
      </c>
      <c r="R64" s="213">
        <f>+'[3]3.SZ.TÁBL. SEGÍTŐ SZOLGÁLAT'!$T64</f>
        <v>63</v>
      </c>
      <c r="S64" s="207"/>
      <c r="T64" s="214">
        <f t="shared" si="128"/>
        <v>63</v>
      </c>
      <c r="U64" s="213">
        <f>+'[3]3.SZ.TÁBL. SEGÍTŐ SZOLGÁLAT'!$W64</f>
        <v>95</v>
      </c>
      <c r="V64" s="207"/>
      <c r="W64" s="214">
        <f t="shared" si="129"/>
        <v>95</v>
      </c>
      <c r="X64" s="213">
        <f>+'[5]3.SZ.TÁBL. SEGÍTŐ SZOLGÁLAT'!$Y63</f>
        <v>0</v>
      </c>
      <c r="Y64" s="207"/>
      <c r="Z64" s="212">
        <f t="shared" si="130"/>
        <v>0</v>
      </c>
      <c r="AA64" s="215">
        <f t="shared" si="131"/>
        <v>1929</v>
      </c>
      <c r="AB64" s="207">
        <f t="shared" si="132"/>
        <v>0</v>
      </c>
      <c r="AC64" s="208">
        <f t="shared" si="133"/>
        <v>1929</v>
      </c>
    </row>
    <row r="65" spans="1:29" ht="13.5" customHeight="1">
      <c r="A65" s="204" t="s">
        <v>175</v>
      </c>
      <c r="B65" s="211" t="s">
        <v>279</v>
      </c>
      <c r="C65" s="213">
        <f>+'[3]3.SZ.TÁBL. SEGÍTŐ SZOLGÁLAT'!$E$65</f>
        <v>11</v>
      </c>
      <c r="D65" s="207"/>
      <c r="E65" s="212">
        <f t="shared" si="123"/>
        <v>11</v>
      </c>
      <c r="F65" s="213">
        <f>+'[3]3.SZ.TÁBL. SEGÍTŐ SZOLGÁLAT'!$H65</f>
        <v>77</v>
      </c>
      <c r="G65" s="207"/>
      <c r="H65" s="214">
        <f t="shared" si="124"/>
        <v>77</v>
      </c>
      <c r="I65" s="213">
        <f>+'[3]3.SZ.TÁBL. SEGÍTŐ SZOLGÁLAT'!$K65</f>
        <v>231</v>
      </c>
      <c r="J65" s="207"/>
      <c r="K65" s="212">
        <f t="shared" si="125"/>
        <v>231</v>
      </c>
      <c r="L65" s="213">
        <f>+'[3]3.SZ.TÁBL. SEGÍTŐ SZOLGÁLAT'!$N65</f>
        <v>106</v>
      </c>
      <c r="M65" s="207"/>
      <c r="N65" s="214">
        <f t="shared" si="126"/>
        <v>106</v>
      </c>
      <c r="O65" s="213">
        <f>+'[3]3.SZ.TÁBL. SEGÍTŐ SZOLGÁLAT'!$Q65</f>
        <v>67</v>
      </c>
      <c r="P65" s="207"/>
      <c r="Q65" s="212">
        <f t="shared" si="127"/>
        <v>67</v>
      </c>
      <c r="R65" s="213">
        <f>+'[3]3.SZ.TÁBL. SEGÍTŐ SZOLGÁLAT'!$T65</f>
        <v>19</v>
      </c>
      <c r="S65" s="207"/>
      <c r="T65" s="214">
        <f t="shared" si="128"/>
        <v>19</v>
      </c>
      <c r="U65" s="213">
        <f>+'[3]3.SZ.TÁBL. SEGÍTŐ SZOLGÁLAT'!$W65</f>
        <v>77</v>
      </c>
      <c r="V65" s="207"/>
      <c r="W65" s="214">
        <f t="shared" si="129"/>
        <v>77</v>
      </c>
      <c r="X65" s="213">
        <f>+'[5]3.SZ.TÁBL. SEGÍTŐ SZOLGÁLAT'!$Y64</f>
        <v>0</v>
      </c>
      <c r="Y65" s="207"/>
      <c r="Z65" s="212">
        <f t="shared" si="130"/>
        <v>0</v>
      </c>
      <c r="AA65" s="215">
        <f t="shared" si="131"/>
        <v>588</v>
      </c>
      <c r="AB65" s="207">
        <f t="shared" si="132"/>
        <v>0</v>
      </c>
      <c r="AC65" s="208">
        <f t="shared" si="133"/>
        <v>588</v>
      </c>
    </row>
    <row r="66" spans="1:29" ht="13.5" customHeight="1">
      <c r="A66" s="204" t="s">
        <v>175</v>
      </c>
      <c r="B66" s="211" t="s">
        <v>401</v>
      </c>
      <c r="C66" s="213">
        <f>+'[5]3.SZ.TÁBL. SEGÍTŐ SZOLGÁLAT'!$D65</f>
        <v>0</v>
      </c>
      <c r="D66" s="207"/>
      <c r="E66" s="212">
        <f t="shared" si="123"/>
        <v>0</v>
      </c>
      <c r="F66" s="213">
        <f>+'[3]3.SZ.TÁBL. SEGÍTŐ SZOLGÁLAT'!$H66</f>
        <v>0</v>
      </c>
      <c r="G66" s="207"/>
      <c r="H66" s="214">
        <f t="shared" si="124"/>
        <v>0</v>
      </c>
      <c r="I66" s="213">
        <f>+'[3]3.SZ.TÁBL. SEGÍTŐ SZOLGÁLAT'!$K66</f>
        <v>0</v>
      </c>
      <c r="J66" s="207"/>
      <c r="K66" s="212">
        <f t="shared" si="125"/>
        <v>0</v>
      </c>
      <c r="L66" s="213">
        <f>+'[3]3.SZ.TÁBL. SEGÍTŐ SZOLGÁLAT'!$N66</f>
        <v>0</v>
      </c>
      <c r="M66" s="207"/>
      <c r="N66" s="214">
        <f t="shared" si="126"/>
        <v>0</v>
      </c>
      <c r="O66" s="213">
        <f>+'[3]3.SZ.TÁBL. SEGÍTŐ SZOLGÁLAT'!$Q66</f>
        <v>0</v>
      </c>
      <c r="P66" s="207"/>
      <c r="Q66" s="212">
        <f t="shared" si="127"/>
        <v>0</v>
      </c>
      <c r="R66" s="213">
        <f>+'[3]3.SZ.TÁBL. SEGÍTŐ SZOLGÁLAT'!$T66</f>
        <v>0</v>
      </c>
      <c r="S66" s="207"/>
      <c r="T66" s="214">
        <f t="shared" si="128"/>
        <v>0</v>
      </c>
      <c r="U66" s="213">
        <f>+'[3]3.SZ.TÁBL. SEGÍTŐ SZOLGÁLAT'!$W66</f>
        <v>0</v>
      </c>
      <c r="V66" s="207"/>
      <c r="W66" s="214">
        <f t="shared" si="129"/>
        <v>0</v>
      </c>
      <c r="X66" s="213">
        <f>+'[5]3.SZ.TÁBL. SEGÍTŐ SZOLGÁLAT'!$Y65</f>
        <v>0</v>
      </c>
      <c r="Y66" s="207"/>
      <c r="Z66" s="212">
        <f t="shared" si="130"/>
        <v>0</v>
      </c>
      <c r="AA66" s="215">
        <f t="shared" si="131"/>
        <v>0</v>
      </c>
      <c r="AB66" s="207">
        <f t="shared" si="132"/>
        <v>0</v>
      </c>
      <c r="AC66" s="208">
        <f t="shared" si="133"/>
        <v>0</v>
      </c>
    </row>
    <row r="67" spans="1:29" ht="13.5" customHeight="1">
      <c r="A67" s="204" t="s">
        <v>175</v>
      </c>
      <c r="B67" s="211" t="s">
        <v>280</v>
      </c>
      <c r="C67" s="213">
        <f>+'[3]3.SZ.TÁBL. SEGÍTŐ SZOLGÁLAT'!$E$67</f>
        <v>6</v>
      </c>
      <c r="D67" s="207"/>
      <c r="E67" s="212">
        <f t="shared" si="123"/>
        <v>6</v>
      </c>
      <c r="F67" s="213">
        <f>+'[3]3.SZ.TÁBL. SEGÍTŐ SZOLGÁLAT'!$H67</f>
        <v>43</v>
      </c>
      <c r="G67" s="207"/>
      <c r="H67" s="214">
        <f t="shared" si="124"/>
        <v>43</v>
      </c>
      <c r="I67" s="213">
        <f>+'[3]3.SZ.TÁBL. SEGÍTŐ SZOLGÁLAT'!$K67</f>
        <v>129</v>
      </c>
      <c r="J67" s="207"/>
      <c r="K67" s="212">
        <f t="shared" si="125"/>
        <v>129</v>
      </c>
      <c r="L67" s="213">
        <f>+'[3]3.SZ.TÁBL. SEGÍTŐ SZOLGÁLAT'!$N67</f>
        <v>59</v>
      </c>
      <c r="M67" s="207"/>
      <c r="N67" s="214">
        <f t="shared" si="126"/>
        <v>59</v>
      </c>
      <c r="O67" s="213">
        <f>+'[3]3.SZ.TÁBL. SEGÍTŐ SZOLGÁLAT'!$Q67</f>
        <v>38</v>
      </c>
      <c r="P67" s="207"/>
      <c r="Q67" s="212">
        <f t="shared" si="127"/>
        <v>38</v>
      </c>
      <c r="R67" s="213">
        <f>+'[3]3.SZ.TÁBL. SEGÍTŐ SZOLGÁLAT'!$T67</f>
        <v>11</v>
      </c>
      <c r="S67" s="207"/>
      <c r="T67" s="214">
        <f t="shared" si="128"/>
        <v>11</v>
      </c>
      <c r="U67" s="213">
        <f>+'[3]3.SZ.TÁBL. SEGÍTŐ SZOLGÁLAT'!$W67</f>
        <v>43</v>
      </c>
      <c r="V67" s="207"/>
      <c r="W67" s="214">
        <f t="shared" si="129"/>
        <v>43</v>
      </c>
      <c r="X67" s="213">
        <f>+'[5]3.SZ.TÁBL. SEGÍTŐ SZOLGÁLAT'!$Y66</f>
        <v>0</v>
      </c>
      <c r="Y67" s="207"/>
      <c r="Z67" s="212">
        <f t="shared" si="130"/>
        <v>0</v>
      </c>
      <c r="AA67" s="215">
        <f t="shared" si="131"/>
        <v>329</v>
      </c>
      <c r="AB67" s="207">
        <f t="shared" si="132"/>
        <v>0</v>
      </c>
      <c r="AC67" s="208">
        <f t="shared" si="133"/>
        <v>329</v>
      </c>
    </row>
    <row r="68" spans="1:29" ht="13.5" customHeight="1">
      <c r="A68" s="199" t="s">
        <v>219</v>
      </c>
      <c r="B68" s="246" t="s">
        <v>220</v>
      </c>
      <c r="C68" s="213">
        <f>+'[3]3.SZ.TÁBL. SEGÍTŐ SZOLGÁLAT'!$E$68</f>
        <v>22</v>
      </c>
      <c r="D68" s="218">
        <f>+[4]Seg.Szolgálat!$G$106</f>
        <v>4</v>
      </c>
      <c r="E68" s="212">
        <f t="shared" si="123"/>
        <v>26</v>
      </c>
      <c r="F68" s="213">
        <f>+'[3]3.SZ.TÁBL. SEGÍTŐ SZOLGÁLAT'!$H$68</f>
        <v>25</v>
      </c>
      <c r="G68" s="218">
        <f>+[4]Seg.Szolgálat!$G$46</f>
        <v>8</v>
      </c>
      <c r="H68" s="221">
        <f t="shared" si="124"/>
        <v>33</v>
      </c>
      <c r="I68" s="213">
        <f>+'[3]3.SZ.TÁBL. SEGÍTŐ SZOLGÁLAT'!$K$68</f>
        <v>0</v>
      </c>
      <c r="J68" s="218"/>
      <c r="K68" s="219">
        <f t="shared" si="125"/>
        <v>0</v>
      </c>
      <c r="L68" s="213">
        <f>+'[3]3.SZ.TÁBL. SEGÍTŐ SZOLGÁLAT'!$N$68</f>
        <v>14</v>
      </c>
      <c r="M68" s="218">
        <f>+[4]Seg.Szolgálat!$G$42+[4]Seg.Szolgálat!$G$102+[4]Seg.Szolgálat!$G$254</f>
        <v>14</v>
      </c>
      <c r="N68" s="221">
        <f t="shared" si="126"/>
        <v>28</v>
      </c>
      <c r="O68" s="213">
        <f>+'[5]3.SZ.TÁBL. SEGÍTŐ SZOLGÁLAT'!$P67</f>
        <v>0</v>
      </c>
      <c r="P68" s="218"/>
      <c r="Q68" s="219">
        <f t="shared" si="127"/>
        <v>0</v>
      </c>
      <c r="R68" s="213">
        <f>+'[3]3.SZ.TÁBL. SEGÍTŐ SZOLGÁLAT'!$T$68</f>
        <v>0</v>
      </c>
      <c r="S68" s="218"/>
      <c r="T68" s="221">
        <f t="shared" si="128"/>
        <v>0</v>
      </c>
      <c r="U68" s="213">
        <f>+'[3]3.SZ.TÁBL. SEGÍTŐ SZOLGÁLAT'!$W$68</f>
        <v>31</v>
      </c>
      <c r="V68" s="218"/>
      <c r="W68" s="221">
        <f t="shared" si="129"/>
        <v>31</v>
      </c>
      <c r="X68" s="213">
        <f>+'[5]3.SZ.TÁBL. SEGÍTŐ SZOLGÁLAT'!$Y67</f>
        <v>0</v>
      </c>
      <c r="Y68" s="218"/>
      <c r="Z68" s="219">
        <f t="shared" si="130"/>
        <v>0</v>
      </c>
      <c r="AA68" s="222">
        <f t="shared" si="131"/>
        <v>92</v>
      </c>
      <c r="AB68" s="218">
        <f t="shared" si="132"/>
        <v>26</v>
      </c>
      <c r="AC68" s="223">
        <f t="shared" si="133"/>
        <v>118</v>
      </c>
    </row>
    <row r="69" spans="1:29" ht="15.75" customHeight="1">
      <c r="A69" s="200" t="s">
        <v>221</v>
      </c>
      <c r="B69" s="210" t="s">
        <v>381</v>
      </c>
      <c r="C69" s="213">
        <f>+'[3]3.SZ.TÁBL. SEGÍTŐ SZOLGÁLAT'!$E$69</f>
        <v>30</v>
      </c>
      <c r="D69" s="207">
        <f>+[4]Seg.Szolgálat!$G$173</f>
        <v>4</v>
      </c>
      <c r="E69" s="212">
        <f t="shared" si="123"/>
        <v>34</v>
      </c>
      <c r="F69" s="213">
        <f>+'[3]3.SZ.TÁBL. SEGÍTŐ SZOLGÁLAT'!$H$69</f>
        <v>300</v>
      </c>
      <c r="G69" s="207">
        <f>+[4]Seg.Szolgálat!$G$47</f>
        <v>-8</v>
      </c>
      <c r="H69" s="214">
        <f t="shared" si="124"/>
        <v>292</v>
      </c>
      <c r="I69" s="213">
        <f>+'[3]3.SZ.TÁBL. SEGÍTŐ SZOLGÁLAT'!$K$69</f>
        <v>525</v>
      </c>
      <c r="J69" s="207"/>
      <c r="K69" s="212">
        <f t="shared" si="125"/>
        <v>525</v>
      </c>
      <c r="L69" s="213">
        <f>+'[3]3.SZ.TÁBL. SEGÍTŐ SZOLGÁLAT'!$N$69</f>
        <v>74</v>
      </c>
      <c r="M69" s="207">
        <f>+[4]Seg.Szolgálat!$G$43+[4]Seg.Szolgálat!$G$190+[4]Seg.Szolgálat!$G$253</f>
        <v>15</v>
      </c>
      <c r="N69" s="214">
        <f t="shared" si="126"/>
        <v>89</v>
      </c>
      <c r="O69" s="213">
        <f>+'[3]3.SZ.TÁBL. SEGÍTŐ SZOLGÁLAT'!$Q$69</f>
        <v>1175</v>
      </c>
      <c r="P69" s="207">
        <f>+[4]Seg.Szolgálat!$G$99</f>
        <v>-183</v>
      </c>
      <c r="Q69" s="212">
        <f t="shared" si="127"/>
        <v>992</v>
      </c>
      <c r="R69" s="213">
        <f>+'[3]3.SZ.TÁBL. SEGÍTŐ SZOLGÁLAT'!$T$69</f>
        <v>1322</v>
      </c>
      <c r="S69" s="207"/>
      <c r="T69" s="214">
        <f t="shared" si="128"/>
        <v>1322</v>
      </c>
      <c r="U69" s="213">
        <f>+'[3]3.SZ.TÁBL. SEGÍTŐ SZOLGÁLAT'!$W$69</f>
        <v>89</v>
      </c>
      <c r="V69" s="207">
        <f>+[4]Seg.Szolgálat!$G$34+[4]Seg.Szolgálat!$G$177</f>
        <v>33</v>
      </c>
      <c r="W69" s="214">
        <f t="shared" si="129"/>
        <v>122</v>
      </c>
      <c r="X69" s="213">
        <f>+'[3]3.SZ.TÁBL. SEGÍTŐ SZOLGÁLAT'!$Z$69</f>
        <v>5</v>
      </c>
      <c r="Y69" s="207"/>
      <c r="Z69" s="212">
        <f t="shared" si="130"/>
        <v>5</v>
      </c>
      <c r="AA69" s="215">
        <f t="shared" si="131"/>
        <v>3520</v>
      </c>
      <c r="AB69" s="207">
        <f t="shared" si="132"/>
        <v>-139</v>
      </c>
      <c r="AC69" s="208">
        <f t="shared" si="133"/>
        <v>3381</v>
      </c>
    </row>
    <row r="70" spans="1:29" ht="13.5" customHeight="1">
      <c r="A70" s="201" t="s">
        <v>223</v>
      </c>
      <c r="B70" s="247" t="s">
        <v>224</v>
      </c>
      <c r="C70" s="213">
        <f>+'[5]3.SZ.TÁBL. SEGÍTŐ SZOLGÁLAT'!$D69</f>
        <v>0</v>
      </c>
      <c r="D70" s="227"/>
      <c r="E70" s="212">
        <f t="shared" si="123"/>
        <v>0</v>
      </c>
      <c r="F70" s="213">
        <f>+'[5]3.SZ.TÁBL. SEGÍTŐ SZOLGÁLAT'!$G69</f>
        <v>0</v>
      </c>
      <c r="G70" s="227"/>
      <c r="H70" s="230">
        <f t="shared" si="124"/>
        <v>0</v>
      </c>
      <c r="I70" s="213">
        <f>+'[5]3.SZ.TÁBL. SEGÍTŐ SZOLGÁLAT'!$J69</f>
        <v>0</v>
      </c>
      <c r="J70" s="227"/>
      <c r="K70" s="228">
        <f t="shared" si="125"/>
        <v>0</v>
      </c>
      <c r="L70" s="213">
        <f>+'[5]3.SZ.TÁBL. SEGÍTŐ SZOLGÁLAT'!$M69</f>
        <v>0</v>
      </c>
      <c r="M70" s="227"/>
      <c r="N70" s="230">
        <f t="shared" si="126"/>
        <v>0</v>
      </c>
      <c r="O70" s="213">
        <f>+'[5]3.SZ.TÁBL. SEGÍTŐ SZOLGÁLAT'!$P69</f>
        <v>0</v>
      </c>
      <c r="P70" s="227"/>
      <c r="Q70" s="228">
        <f t="shared" si="127"/>
        <v>0</v>
      </c>
      <c r="R70" s="213">
        <f>+'[5]3.SZ.TÁBL. SEGÍTŐ SZOLGÁLAT'!$S69</f>
        <v>0</v>
      </c>
      <c r="S70" s="227"/>
      <c r="T70" s="230">
        <f t="shared" si="128"/>
        <v>0</v>
      </c>
      <c r="U70" s="213">
        <f>+'[5]3.SZ.TÁBL. SEGÍTŐ SZOLGÁLAT'!$V69</f>
        <v>0</v>
      </c>
      <c r="V70" s="227"/>
      <c r="W70" s="230">
        <f t="shared" si="129"/>
        <v>0</v>
      </c>
      <c r="X70" s="213">
        <f>+'[5]3.SZ.TÁBL. SEGÍTŐ SZOLGÁLAT'!$Y69</f>
        <v>0</v>
      </c>
      <c r="Y70" s="227"/>
      <c r="Z70" s="228">
        <f t="shared" si="130"/>
        <v>0</v>
      </c>
      <c r="AA70" s="231">
        <f t="shared" si="131"/>
        <v>0</v>
      </c>
      <c r="AB70" s="227">
        <f t="shared" si="132"/>
        <v>0</v>
      </c>
      <c r="AC70" s="232">
        <f t="shared" si="133"/>
        <v>0</v>
      </c>
    </row>
    <row r="71" spans="1:29" s="328" customFormat="1" ht="13.5" customHeight="1">
      <c r="A71" s="202" t="s">
        <v>176</v>
      </c>
      <c r="B71" s="248" t="s">
        <v>134</v>
      </c>
      <c r="C71" s="302">
        <f t="shared" ref="C71:AC71" si="134">SUM(C68:C70)</f>
        <v>52</v>
      </c>
      <c r="D71" s="300">
        <f t="shared" si="134"/>
        <v>8</v>
      </c>
      <c r="E71" s="303">
        <f t="shared" si="134"/>
        <v>60</v>
      </c>
      <c r="F71" s="326">
        <f t="shared" ref="F71" si="135">SUM(F68:F70)</f>
        <v>325</v>
      </c>
      <c r="G71" s="300">
        <f t="shared" si="134"/>
        <v>0</v>
      </c>
      <c r="H71" s="327">
        <f t="shared" si="134"/>
        <v>325</v>
      </c>
      <c r="I71" s="326">
        <f t="shared" si="134"/>
        <v>525</v>
      </c>
      <c r="J71" s="300">
        <f t="shared" si="134"/>
        <v>0</v>
      </c>
      <c r="K71" s="303">
        <f t="shared" si="134"/>
        <v>525</v>
      </c>
      <c r="L71" s="326">
        <f t="shared" ref="L71" si="136">SUM(L68:L70)</f>
        <v>88</v>
      </c>
      <c r="M71" s="300">
        <f t="shared" si="134"/>
        <v>29</v>
      </c>
      <c r="N71" s="327">
        <f t="shared" si="134"/>
        <v>117</v>
      </c>
      <c r="O71" s="326">
        <f t="shared" si="134"/>
        <v>1175</v>
      </c>
      <c r="P71" s="300">
        <f t="shared" si="134"/>
        <v>-183</v>
      </c>
      <c r="Q71" s="303">
        <f t="shared" si="134"/>
        <v>992</v>
      </c>
      <c r="R71" s="326">
        <f t="shared" ref="R71" si="137">SUM(R68:R70)</f>
        <v>1322</v>
      </c>
      <c r="S71" s="300">
        <f t="shared" si="134"/>
        <v>0</v>
      </c>
      <c r="T71" s="327">
        <f t="shared" si="134"/>
        <v>1322</v>
      </c>
      <c r="U71" s="326">
        <f t="shared" si="134"/>
        <v>120</v>
      </c>
      <c r="V71" s="300">
        <f t="shared" si="134"/>
        <v>33</v>
      </c>
      <c r="W71" s="327">
        <f t="shared" si="134"/>
        <v>153</v>
      </c>
      <c r="X71" s="326">
        <f t="shared" ref="X71" si="138">SUM(X68:X70)</f>
        <v>5</v>
      </c>
      <c r="Y71" s="300">
        <f t="shared" ref="Y71:Z71" si="139">SUM(Y68:Y70)</f>
        <v>0</v>
      </c>
      <c r="Z71" s="303">
        <f t="shared" si="139"/>
        <v>5</v>
      </c>
      <c r="AA71" s="295">
        <f t="shared" si="134"/>
        <v>3612</v>
      </c>
      <c r="AB71" s="300">
        <f t="shared" si="134"/>
        <v>-113</v>
      </c>
      <c r="AC71" s="301">
        <f t="shared" si="134"/>
        <v>3499</v>
      </c>
    </row>
    <row r="72" spans="1:29" ht="13.5" customHeight="1">
      <c r="A72" s="199" t="s">
        <v>225</v>
      </c>
      <c r="B72" s="246" t="s">
        <v>226</v>
      </c>
      <c r="C72" s="213">
        <f>+'[3]3.SZ.TÁBL. SEGÍTŐ SZOLGÁLAT'!$E$72</f>
        <v>8</v>
      </c>
      <c r="D72" s="218">
        <f>+[4]Seg.Szolgálat!$H$40+[4]Seg.Szolgálat!$H$108+[4]Seg.Szolgálat!$H$175+[4]Seg.Szolgálat!$H$230</f>
        <v>8</v>
      </c>
      <c r="E72" s="212">
        <f t="shared" ref="E72:E73" si="140">SUM(C72:D72)</f>
        <v>16</v>
      </c>
      <c r="F72" s="213">
        <f>+'[3]3.SZ.TÁBL. SEGÍTŐ SZOLGÁLAT'!$H$72</f>
        <v>15</v>
      </c>
      <c r="G72" s="218">
        <f>+[4]Seg.Szolgálat!$H$48+[4]Seg.Szolgálat!$H$49+[4]Seg.Szolgálat!$H$116+[4]Seg.Szolgálat!$H$198+[4]Seg.Szolgálat!$H$234</f>
        <v>16</v>
      </c>
      <c r="H72" s="221">
        <f t="shared" ref="H72:H73" si="141">SUM(F72:G72)</f>
        <v>31</v>
      </c>
      <c r="I72" s="213">
        <f>+'[3]3.SZ.TÁBL. SEGÍTŐ SZOLGÁLAT'!$K$72</f>
        <v>6</v>
      </c>
      <c r="J72" s="218">
        <f>+[4]Seg.Szolgálat!$H$32+[4]Seg.Szolgálat!$H$112+[4]Seg.Szolgálat!$H$183+[4]Seg.Szolgálat!$H$242</f>
        <v>5</v>
      </c>
      <c r="K72" s="219">
        <f t="shared" ref="K72:K73" si="142">SUM(I72:J72)</f>
        <v>11</v>
      </c>
      <c r="L72" s="213">
        <f>+'[3]3.SZ.TÁBL. SEGÍTŐ SZOLGÁLAT'!$N$72</f>
        <v>310</v>
      </c>
      <c r="M72" s="218">
        <f>+[4]Seg.Szolgálat!$H$44+[4]Seg.Szolgálat!$H$124+[4]Seg.Szolgálat!$H$191+[4]Seg.Szolgálat!$H$255</f>
        <v>12</v>
      </c>
      <c r="N72" s="221">
        <f t="shared" ref="N72:N73" si="143">SUM(L72:M72)</f>
        <v>322</v>
      </c>
      <c r="O72" s="213">
        <f>+'[3]3.SZ.TÁBL. SEGÍTŐ SZOLGÁLAT'!$Q$72</f>
        <v>10</v>
      </c>
      <c r="P72" s="218">
        <f>+[4]Seg.Szolgálat!$H$53+[4]Seg.Szolgálat!$H$120+[4]Seg.Szolgálat!$H$167+[4]Seg.Szolgálat!$H$246</f>
        <v>12</v>
      </c>
      <c r="Q72" s="219">
        <f t="shared" ref="Q72:Q73" si="144">SUM(O72:P72)</f>
        <v>22</v>
      </c>
      <c r="R72" s="213">
        <f>+'[3]3.SZ.TÁBL. SEGÍTŐ SZOLGÁLAT'!$T$72</f>
        <v>0</v>
      </c>
      <c r="S72" s="218"/>
      <c r="T72" s="221">
        <f t="shared" ref="T72:T73" si="145">SUM(R72:S72)</f>
        <v>0</v>
      </c>
      <c r="U72" s="213">
        <f>+'[3]3.SZ.TÁBL. SEGÍTŐ SZOLGÁLAT'!$W$72</f>
        <v>8</v>
      </c>
      <c r="V72" s="218">
        <f>+[4]Seg.Szolgálat!$H$36+[4]Seg.Szolgálat!$H$132+[4]Seg.Szolgálat!$H$179+[4]Seg.Szolgálat!$H$238</f>
        <v>8</v>
      </c>
      <c r="W72" s="221">
        <f t="shared" ref="W72:W73" si="146">SUM(U72:V72)</f>
        <v>16</v>
      </c>
      <c r="X72" s="213">
        <f>+'[5]3.SZ.TÁBL. SEGÍTŐ SZOLGÁLAT'!$Y71</f>
        <v>0</v>
      </c>
      <c r="Y72" s="218"/>
      <c r="Z72" s="219">
        <f t="shared" ref="Z72:Z73" si="147">SUM(X72:Y72)</f>
        <v>0</v>
      </c>
      <c r="AA72" s="222">
        <f t="shared" ref="AA72:AA73" si="148">+C72+F72+I72+L72+O72+R72+U72+X72</f>
        <v>357</v>
      </c>
      <c r="AB72" s="218">
        <f t="shared" ref="AB72:AB73" si="149">+D72+G72+J72+M72+P72+S72+V72+Y72</f>
        <v>61</v>
      </c>
      <c r="AC72" s="223">
        <f t="shared" ref="AC72:AC73" si="150">+E72+H72+K72+N72+Q72+T72+W72+Z72</f>
        <v>418</v>
      </c>
    </row>
    <row r="73" spans="1:29" ht="13.5" customHeight="1">
      <c r="A73" s="201" t="s">
        <v>227</v>
      </c>
      <c r="B73" s="247" t="s">
        <v>228</v>
      </c>
      <c r="C73" s="213">
        <f>+'[3]3.SZ.TÁBL. SEGÍTŐ SZOLGÁLAT'!$E$73</f>
        <v>39</v>
      </c>
      <c r="D73" s="227">
        <f>+[4]Seg.Szolgálat!$H$41+[4]Seg.Szolgálat!$H$109+[4]Seg.Szolgálat!$H$176+[4]Seg.Szolgálat!$H$231</f>
        <v>-8</v>
      </c>
      <c r="E73" s="212">
        <f t="shared" si="140"/>
        <v>31</v>
      </c>
      <c r="F73" s="213">
        <f>+'[3]3.SZ.TÁBL. SEGÍTŐ SZOLGÁLAT'!$H$73</f>
        <v>185</v>
      </c>
      <c r="G73" s="227">
        <f>+[4]Seg.Szolgálat!$H$50+[4]Seg.Szolgálat!$H$117+[4]Seg.Szolgálat!$H$199+[4]Seg.Szolgálat!$H$235</f>
        <v>-16</v>
      </c>
      <c r="H73" s="230">
        <f t="shared" si="141"/>
        <v>169</v>
      </c>
      <c r="I73" s="213">
        <f>+'[3]3.SZ.TÁBL. SEGÍTŐ SZOLGÁLAT'!$K$73</f>
        <v>84</v>
      </c>
      <c r="J73" s="227">
        <f>+[4]Seg.Szolgálat!$H$33+[4]Seg.Szolgálat!$H$113+[4]Seg.Szolgálat!$H$184+[4]Seg.Szolgálat!$H$243</f>
        <v>-5</v>
      </c>
      <c r="K73" s="228">
        <f t="shared" si="142"/>
        <v>79</v>
      </c>
      <c r="L73" s="213">
        <f>+'[3]3.SZ.TÁBL. SEGÍTŐ SZOLGÁLAT'!$N$73</f>
        <v>180</v>
      </c>
      <c r="M73" s="227">
        <f>+[4]Seg.Szolgálat!$H$45+[4]Seg.Szolgálat!$H$125+[4]Seg.Szolgálat!$H$192+[4]Seg.Szolgálat!$H$256</f>
        <v>-40</v>
      </c>
      <c r="N73" s="230">
        <f t="shared" si="143"/>
        <v>140</v>
      </c>
      <c r="O73" s="213">
        <f>+'[3]3.SZ.TÁBL. SEGÍTŐ SZOLGÁLAT'!$Q$73</f>
        <v>80</v>
      </c>
      <c r="P73" s="227">
        <f>+[4]Seg.Szolgálat!$H$54+[4]Seg.Szolgálat!$H$121+[4]Seg.Szolgálat!$H$168+[4]Seg.Szolgálat!$H$247</f>
        <v>-12</v>
      </c>
      <c r="Q73" s="228">
        <f t="shared" si="144"/>
        <v>68</v>
      </c>
      <c r="R73" s="213">
        <f>+'[3]3.SZ.TÁBL. SEGÍTŐ SZOLGÁLAT'!$T$73</f>
        <v>12</v>
      </c>
      <c r="S73" s="227"/>
      <c r="T73" s="230">
        <f t="shared" si="145"/>
        <v>12</v>
      </c>
      <c r="U73" s="213">
        <f>+'[3]3.SZ.TÁBL. SEGÍTŐ SZOLGÁLAT'!$W$73</f>
        <v>142</v>
      </c>
      <c r="V73" s="227">
        <f>+[4]Seg.Szolgálat!$H$37+[4]Seg.Szolgálat!$H$133+[4]Seg.Szolgálat!$H$180+[4]Seg.Szolgálat!$H$239</f>
        <v>-8</v>
      </c>
      <c r="W73" s="230">
        <f t="shared" si="146"/>
        <v>134</v>
      </c>
      <c r="X73" s="213">
        <f>+'[3]3.SZ.TÁBL. SEGÍTŐ SZOLGÁLAT'!$Z$73</f>
        <v>29</v>
      </c>
      <c r="Y73" s="227"/>
      <c r="Z73" s="228">
        <f t="shared" si="147"/>
        <v>29</v>
      </c>
      <c r="AA73" s="231">
        <f t="shared" si="148"/>
        <v>751</v>
      </c>
      <c r="AB73" s="227">
        <f t="shared" si="149"/>
        <v>-89</v>
      </c>
      <c r="AC73" s="232">
        <f t="shared" si="150"/>
        <v>662</v>
      </c>
    </row>
    <row r="74" spans="1:29" s="328" customFormat="1" ht="13.5" customHeight="1">
      <c r="A74" s="202" t="s">
        <v>177</v>
      </c>
      <c r="B74" s="248" t="s">
        <v>135</v>
      </c>
      <c r="C74" s="302">
        <f t="shared" ref="C74:AC74" si="151">SUM(C72:C73)</f>
        <v>47</v>
      </c>
      <c r="D74" s="300">
        <f t="shared" si="151"/>
        <v>0</v>
      </c>
      <c r="E74" s="303">
        <f t="shared" si="151"/>
        <v>47</v>
      </c>
      <c r="F74" s="326">
        <f t="shared" ref="F74" si="152">SUM(F72:F73)</f>
        <v>200</v>
      </c>
      <c r="G74" s="300">
        <f t="shared" si="151"/>
        <v>0</v>
      </c>
      <c r="H74" s="327">
        <f t="shared" si="151"/>
        <v>200</v>
      </c>
      <c r="I74" s="326">
        <f t="shared" si="151"/>
        <v>90</v>
      </c>
      <c r="J74" s="300">
        <f t="shared" si="151"/>
        <v>0</v>
      </c>
      <c r="K74" s="303">
        <f t="shared" si="151"/>
        <v>90</v>
      </c>
      <c r="L74" s="326">
        <f t="shared" ref="L74" si="153">SUM(L72:L73)</f>
        <v>490</v>
      </c>
      <c r="M74" s="300">
        <f t="shared" si="151"/>
        <v>-28</v>
      </c>
      <c r="N74" s="327">
        <f t="shared" si="151"/>
        <v>462</v>
      </c>
      <c r="O74" s="326">
        <f t="shared" si="151"/>
        <v>90</v>
      </c>
      <c r="P74" s="300">
        <f t="shared" si="151"/>
        <v>0</v>
      </c>
      <c r="Q74" s="303">
        <f t="shared" si="151"/>
        <v>90</v>
      </c>
      <c r="R74" s="326">
        <f t="shared" ref="R74" si="154">SUM(R72:R73)</f>
        <v>12</v>
      </c>
      <c r="S74" s="300">
        <f t="shared" si="151"/>
        <v>0</v>
      </c>
      <c r="T74" s="327">
        <f t="shared" si="151"/>
        <v>12</v>
      </c>
      <c r="U74" s="326">
        <f t="shared" si="151"/>
        <v>150</v>
      </c>
      <c r="V74" s="300">
        <f t="shared" si="151"/>
        <v>0</v>
      </c>
      <c r="W74" s="327">
        <f t="shared" si="151"/>
        <v>150</v>
      </c>
      <c r="X74" s="326">
        <f t="shared" ref="X74" si="155">SUM(X72:X73)</f>
        <v>29</v>
      </c>
      <c r="Y74" s="300">
        <f t="shared" ref="Y74:Z74" si="156">SUM(Y72:Y73)</f>
        <v>0</v>
      </c>
      <c r="Z74" s="303">
        <f t="shared" si="156"/>
        <v>29</v>
      </c>
      <c r="AA74" s="295">
        <f t="shared" si="151"/>
        <v>1108</v>
      </c>
      <c r="AB74" s="300">
        <f t="shared" si="151"/>
        <v>-28</v>
      </c>
      <c r="AC74" s="301">
        <f t="shared" si="151"/>
        <v>1080</v>
      </c>
    </row>
    <row r="75" spans="1:29" ht="13.5" customHeight="1">
      <c r="A75" s="199" t="s">
        <v>229</v>
      </c>
      <c r="B75" s="246" t="s">
        <v>230</v>
      </c>
      <c r="C75" s="213">
        <f>+'[3]3.SZ.TÁBL. SEGÍTŐ SZOLGÁLAT'!$E$75</f>
        <v>273</v>
      </c>
      <c r="D75" s="218"/>
      <c r="E75" s="212">
        <f t="shared" ref="E75:E83" si="157">SUM(C75:D75)</f>
        <v>273</v>
      </c>
      <c r="F75" s="213">
        <f>+'[3]3.SZ.TÁBL. SEGÍTŐ SZOLGÁLAT'!$H$75</f>
        <v>444</v>
      </c>
      <c r="G75" s="218"/>
      <c r="H75" s="221">
        <f t="shared" ref="H75:H83" si="158">SUM(F75:G75)</f>
        <v>444</v>
      </c>
      <c r="I75" s="213">
        <f>+'[3]3.SZ.TÁBL. SEGÍTŐ SZOLGÁLAT'!$K75</f>
        <v>563</v>
      </c>
      <c r="J75" s="218"/>
      <c r="K75" s="219">
        <f t="shared" ref="K75:K83" si="159">SUM(I75:J75)</f>
        <v>563</v>
      </c>
      <c r="L75" s="213">
        <f>+'[3]3.SZ.TÁBL. SEGÍTŐ SZOLGÁLAT'!$N75</f>
        <v>434</v>
      </c>
      <c r="M75" s="218"/>
      <c r="N75" s="221">
        <f t="shared" ref="N75:N83" si="160">SUM(L75:M75)</f>
        <v>434</v>
      </c>
      <c r="O75" s="213">
        <f>+'[3]3.SZ.TÁBL. SEGÍTŐ SZOLGÁLAT'!$Q75</f>
        <v>563</v>
      </c>
      <c r="P75" s="218"/>
      <c r="Q75" s="219">
        <f t="shared" ref="Q75:Q83" si="161">SUM(O75:P75)</f>
        <v>563</v>
      </c>
      <c r="R75" s="213">
        <f>+'[3]3.SZ.TÁBL. SEGÍTŐ SZOLGÁLAT'!$T75</f>
        <v>0</v>
      </c>
      <c r="S75" s="218"/>
      <c r="T75" s="221">
        <f t="shared" ref="T75:T83" si="162">SUM(R75:S75)</f>
        <v>0</v>
      </c>
      <c r="U75" s="213">
        <f>+'[3]3.SZ.TÁBL. SEGÍTŐ SZOLGÁLAT'!$W75</f>
        <v>228</v>
      </c>
      <c r="V75" s="218"/>
      <c r="W75" s="221">
        <f t="shared" ref="W75:W83" si="163">SUM(U75:V75)</f>
        <v>228</v>
      </c>
      <c r="X75" s="213">
        <f>+'[5]3.SZ.TÁBL. SEGÍTŐ SZOLGÁLAT'!$Y74</f>
        <v>0</v>
      </c>
      <c r="Y75" s="218"/>
      <c r="Z75" s="219">
        <f t="shared" ref="Z75:Z83" si="164">SUM(X75:Y75)</f>
        <v>0</v>
      </c>
      <c r="AA75" s="222">
        <f t="shared" ref="AA75:AA78" si="165">+C75+F75+I75+L75+O75+R75+U75+X75</f>
        <v>2505</v>
      </c>
      <c r="AB75" s="218">
        <f t="shared" ref="AB75:AB78" si="166">+D75+G75+J75+M75+P75+S75+V75+Y75</f>
        <v>0</v>
      </c>
      <c r="AC75" s="223">
        <f t="shared" ref="AC75:AC78" si="167">+E75+H75+K75+N75+Q75+T75+W75+Z75</f>
        <v>2505</v>
      </c>
    </row>
    <row r="76" spans="1:29" ht="13.5" customHeight="1">
      <c r="A76" s="200" t="s">
        <v>231</v>
      </c>
      <c r="B76" s="210" t="s">
        <v>3</v>
      </c>
      <c r="C76" s="213">
        <f>+'[3]3.SZ.TÁBL. SEGÍTŐ SZOLGÁLAT'!$E$76</f>
        <v>60</v>
      </c>
      <c r="D76" s="207">
        <f>+[4]Seg.Szolgálat!$I$107+[4]Seg.Szolgálat!$I$174</f>
        <v>-8</v>
      </c>
      <c r="E76" s="212">
        <f t="shared" si="157"/>
        <v>52</v>
      </c>
      <c r="F76" s="213">
        <f>+'[5]3.SZ.TÁBL. SEGÍTŐ SZOLGÁLAT'!$G75</f>
        <v>0</v>
      </c>
      <c r="G76" s="207"/>
      <c r="H76" s="214">
        <f t="shared" si="158"/>
        <v>0</v>
      </c>
      <c r="I76" s="213">
        <f>+'[3]3.SZ.TÁBL. SEGÍTŐ SZOLGÁLAT'!$K76</f>
        <v>0</v>
      </c>
      <c r="J76" s="207"/>
      <c r="K76" s="212">
        <f t="shared" si="159"/>
        <v>0</v>
      </c>
      <c r="L76" s="213">
        <f>+'[3]3.SZ.TÁBL. SEGÍTŐ SZOLGÁLAT'!$N76</f>
        <v>0</v>
      </c>
      <c r="M76" s="207">
        <f>+[4]Seg.Szolgálat!$I$103+[4]Seg.Szolgálat!$I$126</f>
        <v>136</v>
      </c>
      <c r="N76" s="214">
        <f t="shared" si="160"/>
        <v>136</v>
      </c>
      <c r="O76" s="213">
        <f>+'[3]3.SZ.TÁBL. SEGÍTŐ SZOLGÁLAT'!$Q76</f>
        <v>0</v>
      </c>
      <c r="P76" s="207"/>
      <c r="Q76" s="212">
        <f t="shared" si="161"/>
        <v>0</v>
      </c>
      <c r="R76" s="213">
        <f>+'[3]3.SZ.TÁBL. SEGÍTŐ SZOLGÁLAT'!$T76</f>
        <v>0</v>
      </c>
      <c r="S76" s="207"/>
      <c r="T76" s="214">
        <f t="shared" si="162"/>
        <v>0</v>
      </c>
      <c r="U76" s="213">
        <f>+'[3]3.SZ.TÁBL. SEGÍTŐ SZOLGÁLAT'!$W76</f>
        <v>0</v>
      </c>
      <c r="V76" s="207"/>
      <c r="W76" s="214">
        <f t="shared" si="163"/>
        <v>0</v>
      </c>
      <c r="X76" s="213">
        <f>+'[3]3.SZ.TÁBL. SEGÍTŐ SZOLGÁLAT'!$Z$76</f>
        <v>1500</v>
      </c>
      <c r="Y76" s="207">
        <f>+[4]Seg.Szolgálat!$I$88</f>
        <v>-87</v>
      </c>
      <c r="Z76" s="212">
        <f t="shared" si="164"/>
        <v>1413</v>
      </c>
      <c r="AA76" s="215">
        <f t="shared" si="165"/>
        <v>1560</v>
      </c>
      <c r="AB76" s="207">
        <f t="shared" si="166"/>
        <v>41</v>
      </c>
      <c r="AC76" s="208">
        <f t="shared" si="167"/>
        <v>1601</v>
      </c>
    </row>
    <row r="77" spans="1:29" ht="13.5" customHeight="1">
      <c r="A77" s="200" t="s">
        <v>232</v>
      </c>
      <c r="B77" s="210" t="s">
        <v>233</v>
      </c>
      <c r="C77" s="213">
        <f>+'[5]3.SZ.TÁBL. SEGÍTŐ SZOLGÁLAT'!$D76</f>
        <v>0</v>
      </c>
      <c r="D77" s="207"/>
      <c r="E77" s="212">
        <f t="shared" si="157"/>
        <v>0</v>
      </c>
      <c r="F77" s="213">
        <f>+'[5]3.SZ.TÁBL. SEGÍTŐ SZOLGÁLAT'!$G76</f>
        <v>0</v>
      </c>
      <c r="G77" s="207"/>
      <c r="H77" s="214">
        <f t="shared" si="158"/>
        <v>0</v>
      </c>
      <c r="I77" s="213">
        <f>+'[3]3.SZ.TÁBL. SEGÍTŐ SZOLGÁLAT'!$K77</f>
        <v>0</v>
      </c>
      <c r="J77" s="207"/>
      <c r="K77" s="212">
        <f t="shared" si="159"/>
        <v>0</v>
      </c>
      <c r="L77" s="213">
        <f>+'[3]3.SZ.TÁBL. SEGÍTŐ SZOLGÁLAT'!$N77</f>
        <v>0</v>
      </c>
      <c r="M77" s="207"/>
      <c r="N77" s="214">
        <f t="shared" si="160"/>
        <v>0</v>
      </c>
      <c r="O77" s="213">
        <f>+'[3]3.SZ.TÁBL. SEGÍTŐ SZOLGÁLAT'!$Q77</f>
        <v>0</v>
      </c>
      <c r="P77" s="207"/>
      <c r="Q77" s="212">
        <f t="shared" si="161"/>
        <v>0</v>
      </c>
      <c r="R77" s="213">
        <f>+'[3]3.SZ.TÁBL. SEGÍTŐ SZOLGÁLAT'!$T77</f>
        <v>0</v>
      </c>
      <c r="S77" s="207"/>
      <c r="T77" s="214">
        <f t="shared" si="162"/>
        <v>0</v>
      </c>
      <c r="U77" s="213">
        <f>+'[3]3.SZ.TÁBL. SEGÍTŐ SZOLGÁLAT'!$W77</f>
        <v>0</v>
      </c>
      <c r="V77" s="207"/>
      <c r="W77" s="214">
        <f t="shared" si="163"/>
        <v>0</v>
      </c>
      <c r="X77" s="213">
        <f>+'[5]3.SZ.TÁBL. SEGÍTŐ SZOLGÁLAT'!$Y76</f>
        <v>0</v>
      </c>
      <c r="Y77" s="207"/>
      <c r="Z77" s="212">
        <f t="shared" si="164"/>
        <v>0</v>
      </c>
      <c r="AA77" s="215">
        <f t="shared" si="165"/>
        <v>0</v>
      </c>
      <c r="AB77" s="207">
        <f t="shared" si="166"/>
        <v>0</v>
      </c>
      <c r="AC77" s="208">
        <f t="shared" si="167"/>
        <v>0</v>
      </c>
    </row>
    <row r="78" spans="1:29" ht="13.5" customHeight="1">
      <c r="A78" s="200" t="s">
        <v>234</v>
      </c>
      <c r="B78" s="210" t="s">
        <v>235</v>
      </c>
      <c r="C78" s="213">
        <f>+'[3]3.SZ.TÁBL. SEGÍTŐ SZOLGÁLAT'!$E$78</f>
        <v>10</v>
      </c>
      <c r="D78" s="207"/>
      <c r="E78" s="212">
        <f t="shared" si="157"/>
        <v>10</v>
      </c>
      <c r="F78" s="213">
        <f>+'[3]3.SZ.TÁBL. SEGÍTŐ SZOLGÁLAT'!$H$78</f>
        <v>200</v>
      </c>
      <c r="G78" s="207"/>
      <c r="H78" s="214">
        <f t="shared" si="158"/>
        <v>200</v>
      </c>
      <c r="I78" s="213">
        <f>+'[3]3.SZ.TÁBL. SEGÍTŐ SZOLGÁLAT'!$K78</f>
        <v>350</v>
      </c>
      <c r="J78" s="207"/>
      <c r="K78" s="212">
        <f t="shared" si="159"/>
        <v>350</v>
      </c>
      <c r="L78" s="213">
        <f>+'[3]3.SZ.TÁBL. SEGÍTŐ SZOLGÁLAT'!$N78</f>
        <v>0</v>
      </c>
      <c r="M78" s="207"/>
      <c r="N78" s="214">
        <f t="shared" si="160"/>
        <v>0</v>
      </c>
      <c r="O78" s="213">
        <f>+'[3]3.SZ.TÁBL. SEGÍTŐ SZOLGÁLAT'!$Q78</f>
        <v>500</v>
      </c>
      <c r="P78" s="207"/>
      <c r="Q78" s="212">
        <f t="shared" si="161"/>
        <v>500</v>
      </c>
      <c r="R78" s="213">
        <f>+'[3]3.SZ.TÁBL. SEGÍTŐ SZOLGÁLAT'!$T78</f>
        <v>1000</v>
      </c>
      <c r="S78" s="207"/>
      <c r="T78" s="214">
        <f t="shared" si="162"/>
        <v>1000</v>
      </c>
      <c r="U78" s="213">
        <f>+'[3]3.SZ.TÁBL. SEGÍTŐ SZOLGÁLAT'!$W78</f>
        <v>0</v>
      </c>
      <c r="V78" s="207"/>
      <c r="W78" s="214">
        <f t="shared" si="163"/>
        <v>0</v>
      </c>
      <c r="X78" s="213">
        <f>+'[5]3.SZ.TÁBL. SEGÍTŐ SZOLGÁLAT'!$Y77</f>
        <v>0</v>
      </c>
      <c r="Y78" s="207"/>
      <c r="Z78" s="212">
        <f t="shared" si="164"/>
        <v>0</v>
      </c>
      <c r="AA78" s="215">
        <f t="shared" si="165"/>
        <v>2060</v>
      </c>
      <c r="AB78" s="207">
        <f t="shared" si="166"/>
        <v>0</v>
      </c>
      <c r="AC78" s="208">
        <f t="shared" si="167"/>
        <v>2060</v>
      </c>
    </row>
    <row r="79" spans="1:29" ht="13.5" customHeight="1">
      <c r="A79" s="200" t="s">
        <v>236</v>
      </c>
      <c r="B79" s="210" t="s">
        <v>237</v>
      </c>
      <c r="C79" s="213">
        <f>+'[5]3.SZ.TÁBL. SEGÍTŐ SZOLGÁLAT'!$D78</f>
        <v>0</v>
      </c>
      <c r="D79" s="207">
        <f>SUM(D80:D81)</f>
        <v>0</v>
      </c>
      <c r="E79" s="212">
        <f t="shared" si="157"/>
        <v>0</v>
      </c>
      <c r="F79" s="213">
        <f>+'[5]3.SZ.TÁBL. SEGÍTŐ SZOLGÁLAT'!$G78</f>
        <v>0</v>
      </c>
      <c r="G79" s="207">
        <f>SUM(G80:G81)</f>
        <v>0</v>
      </c>
      <c r="H79" s="214">
        <f>SUM(H80:H81)</f>
        <v>0</v>
      </c>
      <c r="I79" s="213">
        <f>+'[3]3.SZ.TÁBL. SEGÍTŐ SZOLGÁLAT'!$K79</f>
        <v>0</v>
      </c>
      <c r="J79" s="207">
        <f>SUM(J80:J81)</f>
        <v>0</v>
      </c>
      <c r="K79" s="212">
        <f>SUM(I79:J79)</f>
        <v>0</v>
      </c>
      <c r="L79" s="213">
        <f>+'[3]3.SZ.TÁBL. SEGÍTŐ SZOLGÁLAT'!$N79</f>
        <v>0</v>
      </c>
      <c r="M79" s="207">
        <f>SUM(M80:M81)</f>
        <v>0</v>
      </c>
      <c r="N79" s="214">
        <f t="shared" si="160"/>
        <v>0</v>
      </c>
      <c r="O79" s="213">
        <f>+'[3]3.SZ.TÁBL. SEGÍTŐ SZOLGÁLAT'!$Q79</f>
        <v>0</v>
      </c>
      <c r="P79" s="207">
        <f>SUM(P80:P81)</f>
        <v>0</v>
      </c>
      <c r="Q79" s="212">
        <f t="shared" si="161"/>
        <v>0</v>
      </c>
      <c r="R79" s="213">
        <f>+'[3]3.SZ.TÁBL. SEGÍTŐ SZOLGÁLAT'!$T79</f>
        <v>0</v>
      </c>
      <c r="S79" s="207">
        <f>SUM(S80:S81)</f>
        <v>0</v>
      </c>
      <c r="T79" s="214">
        <f t="shared" si="162"/>
        <v>0</v>
      </c>
      <c r="U79" s="213">
        <f>+'[3]3.SZ.TÁBL. SEGÍTŐ SZOLGÁLAT'!$W79</f>
        <v>0</v>
      </c>
      <c r="V79" s="207">
        <f>SUM(V80:V81)</f>
        <v>0</v>
      </c>
      <c r="W79" s="214">
        <f t="shared" si="163"/>
        <v>0</v>
      </c>
      <c r="X79" s="213">
        <f>+'[5]3.SZ.TÁBL. SEGÍTŐ SZOLGÁLAT'!$Y78</f>
        <v>0</v>
      </c>
      <c r="Y79" s="207">
        <f>SUM(Y80:Y81)</f>
        <v>0</v>
      </c>
      <c r="Z79" s="212">
        <f t="shared" si="164"/>
        <v>0</v>
      </c>
      <c r="AA79" s="215">
        <f>+SUM(AA80:AA81)</f>
        <v>0</v>
      </c>
      <c r="AB79" s="207">
        <f>+SUM(AB80:AB81)</f>
        <v>0</v>
      </c>
      <c r="AC79" s="208">
        <f>+SUM(AC80:AC81)</f>
        <v>0</v>
      </c>
    </row>
    <row r="80" spans="1:29" ht="13.5" customHeight="1">
      <c r="A80" s="204" t="s">
        <v>236</v>
      </c>
      <c r="B80" s="211" t="s">
        <v>281</v>
      </c>
      <c r="C80" s="213">
        <f>+'[5]3.SZ.TÁBL. SEGÍTŐ SZOLGÁLAT'!$D79</f>
        <v>0</v>
      </c>
      <c r="D80" s="207"/>
      <c r="E80" s="212">
        <f t="shared" si="157"/>
        <v>0</v>
      </c>
      <c r="F80" s="213">
        <f>+'[5]3.SZ.TÁBL. SEGÍTŐ SZOLGÁLAT'!$G79</f>
        <v>0</v>
      </c>
      <c r="G80" s="207"/>
      <c r="H80" s="214">
        <f t="shared" si="158"/>
        <v>0</v>
      </c>
      <c r="I80" s="213">
        <f>+'[5]3.SZ.TÁBL. SEGÍTŐ SZOLGÁLAT'!$J79</f>
        <v>0</v>
      </c>
      <c r="J80" s="207"/>
      <c r="K80" s="212">
        <f t="shared" si="159"/>
        <v>0</v>
      </c>
      <c r="L80" s="213">
        <f>+'[5]3.SZ.TÁBL. SEGÍTŐ SZOLGÁLAT'!$M79</f>
        <v>0</v>
      </c>
      <c r="M80" s="207"/>
      <c r="N80" s="214">
        <f t="shared" si="160"/>
        <v>0</v>
      </c>
      <c r="O80" s="213">
        <f>+'[5]3.SZ.TÁBL. SEGÍTŐ SZOLGÁLAT'!$P79</f>
        <v>0</v>
      </c>
      <c r="P80" s="207"/>
      <c r="Q80" s="212">
        <f t="shared" si="161"/>
        <v>0</v>
      </c>
      <c r="R80" s="213">
        <f>+'[5]3.SZ.TÁBL. SEGÍTŐ SZOLGÁLAT'!$S79</f>
        <v>0</v>
      </c>
      <c r="S80" s="207"/>
      <c r="T80" s="214">
        <f t="shared" si="162"/>
        <v>0</v>
      </c>
      <c r="U80" s="213">
        <f>+'[5]3.SZ.TÁBL. SEGÍTŐ SZOLGÁLAT'!$V79</f>
        <v>0</v>
      </c>
      <c r="V80" s="207"/>
      <c r="W80" s="214">
        <f t="shared" si="163"/>
        <v>0</v>
      </c>
      <c r="X80" s="213">
        <f>+'[5]3.SZ.TÁBL. SEGÍTŐ SZOLGÁLAT'!$Y79</f>
        <v>0</v>
      </c>
      <c r="Y80" s="207"/>
      <c r="Z80" s="212">
        <f t="shared" si="164"/>
        <v>0</v>
      </c>
      <c r="AA80" s="215">
        <f t="shared" ref="AA80:AA83" si="168">+C80+F80+I80+L80+O80+R80+U80+X80</f>
        <v>0</v>
      </c>
      <c r="AB80" s="207">
        <f t="shared" ref="AB80:AB83" si="169">+D80+G80+J80+M80+P80+S80+V80+Y80</f>
        <v>0</v>
      </c>
      <c r="AC80" s="208">
        <f t="shared" ref="AC80:AC83" si="170">+E80+H80+K80+N80+Q80+T80+W80+Z80</f>
        <v>0</v>
      </c>
    </row>
    <row r="81" spans="1:29" ht="13.5" customHeight="1">
      <c r="A81" s="204" t="s">
        <v>236</v>
      </c>
      <c r="B81" s="211" t="s">
        <v>282</v>
      </c>
      <c r="C81" s="213">
        <f>+'[5]3.SZ.TÁBL. SEGÍTŐ SZOLGÁLAT'!$D80</f>
        <v>0</v>
      </c>
      <c r="D81" s="207"/>
      <c r="E81" s="212">
        <f t="shared" si="157"/>
        <v>0</v>
      </c>
      <c r="F81" s="213">
        <f>+'[5]3.SZ.TÁBL. SEGÍTŐ SZOLGÁLAT'!$G80</f>
        <v>0</v>
      </c>
      <c r="G81" s="207"/>
      <c r="H81" s="214">
        <f t="shared" si="158"/>
        <v>0</v>
      </c>
      <c r="I81" s="213">
        <f>+'[5]3.SZ.TÁBL. SEGÍTŐ SZOLGÁLAT'!$J80</f>
        <v>0</v>
      </c>
      <c r="J81" s="207"/>
      <c r="K81" s="212">
        <f t="shared" si="159"/>
        <v>0</v>
      </c>
      <c r="L81" s="213">
        <f>+'[5]3.SZ.TÁBL. SEGÍTŐ SZOLGÁLAT'!$M80</f>
        <v>0</v>
      </c>
      <c r="M81" s="207"/>
      <c r="N81" s="214">
        <f t="shared" si="160"/>
        <v>0</v>
      </c>
      <c r="O81" s="213">
        <f>+'[5]3.SZ.TÁBL. SEGÍTŐ SZOLGÁLAT'!$P80</f>
        <v>0</v>
      </c>
      <c r="P81" s="207"/>
      <c r="Q81" s="212">
        <f t="shared" si="161"/>
        <v>0</v>
      </c>
      <c r="R81" s="213">
        <f>+'[5]3.SZ.TÁBL. SEGÍTŐ SZOLGÁLAT'!$S80</f>
        <v>0</v>
      </c>
      <c r="S81" s="207"/>
      <c r="T81" s="214">
        <f t="shared" si="162"/>
        <v>0</v>
      </c>
      <c r="U81" s="213">
        <f>+'[5]3.SZ.TÁBL. SEGÍTŐ SZOLGÁLAT'!$V80</f>
        <v>0</v>
      </c>
      <c r="V81" s="207"/>
      <c r="W81" s="214">
        <f t="shared" si="163"/>
        <v>0</v>
      </c>
      <c r="X81" s="213">
        <f>+'[5]3.SZ.TÁBL. SEGÍTŐ SZOLGÁLAT'!$Y80</f>
        <v>0</v>
      </c>
      <c r="Y81" s="207"/>
      <c r="Z81" s="212">
        <f t="shared" si="164"/>
        <v>0</v>
      </c>
      <c r="AA81" s="215">
        <f t="shared" si="168"/>
        <v>0</v>
      </c>
      <c r="AB81" s="207">
        <f t="shared" si="169"/>
        <v>0</v>
      </c>
      <c r="AC81" s="208">
        <f t="shared" si="170"/>
        <v>0</v>
      </c>
    </row>
    <row r="82" spans="1:29" ht="13.5" customHeight="1">
      <c r="A82" s="200" t="s">
        <v>238</v>
      </c>
      <c r="B82" s="210" t="s">
        <v>239</v>
      </c>
      <c r="C82" s="213">
        <f>+'[5]3.SZ.TÁBL. SEGÍTŐ SZOLGÁLAT'!$D81</f>
        <v>0</v>
      </c>
      <c r="D82" s="207"/>
      <c r="E82" s="212">
        <f t="shared" si="157"/>
        <v>0</v>
      </c>
      <c r="F82" s="213">
        <f>+'[3]3.SZ.TÁBL. SEGÍTŐ SZOLGÁLAT'!$H$82</f>
        <v>900</v>
      </c>
      <c r="G82" s="207"/>
      <c r="H82" s="214">
        <f t="shared" si="158"/>
        <v>900</v>
      </c>
      <c r="I82" s="213">
        <f>+'[3]3.SZ.TÁBL. SEGÍTŐ SZOLGÁLAT'!$K$82</f>
        <v>0</v>
      </c>
      <c r="J82" s="207"/>
      <c r="K82" s="212">
        <f t="shared" si="159"/>
        <v>0</v>
      </c>
      <c r="L82" s="213">
        <f>+'[3]3.SZ.TÁBL. SEGÍTŐ SZOLGÁLAT'!$N$82</f>
        <v>1100</v>
      </c>
      <c r="M82" s="207"/>
      <c r="N82" s="214">
        <f t="shared" si="160"/>
        <v>1100</v>
      </c>
      <c r="O82" s="213">
        <f>+'[3]3.SZ.TÁBL. SEGÍTŐ SZOLGÁLAT'!$Q$82</f>
        <v>65</v>
      </c>
      <c r="P82" s="207"/>
      <c r="Q82" s="212">
        <f t="shared" si="161"/>
        <v>65</v>
      </c>
      <c r="R82" s="213">
        <f>+'[3]3.SZ.TÁBL. SEGÍTŐ SZOLGÁLAT'!$T$82</f>
        <v>0</v>
      </c>
      <c r="S82" s="207"/>
      <c r="T82" s="214">
        <f t="shared" si="162"/>
        <v>0</v>
      </c>
      <c r="U82" s="213">
        <f>+'[3]3.SZ.TÁBL. SEGÍTŐ SZOLGÁLAT'!$W$82</f>
        <v>4</v>
      </c>
      <c r="V82" s="207"/>
      <c r="W82" s="214">
        <f t="shared" si="163"/>
        <v>4</v>
      </c>
      <c r="X82" s="213">
        <f>+'[5]3.SZ.TÁBL. SEGÍTŐ SZOLGÁLAT'!$Y81</f>
        <v>0</v>
      </c>
      <c r="Y82" s="207"/>
      <c r="Z82" s="212">
        <f t="shared" si="164"/>
        <v>0</v>
      </c>
      <c r="AA82" s="215">
        <f t="shared" si="168"/>
        <v>2069</v>
      </c>
      <c r="AB82" s="207">
        <f t="shared" si="169"/>
        <v>0</v>
      </c>
      <c r="AC82" s="208">
        <f t="shared" si="170"/>
        <v>2069</v>
      </c>
    </row>
    <row r="83" spans="1:29" ht="13.5" customHeight="1">
      <c r="A83" s="201" t="s">
        <v>240</v>
      </c>
      <c r="B83" s="247" t="s">
        <v>379</v>
      </c>
      <c r="C83" s="213">
        <f>+'[3]3.SZ.TÁBL. SEGÍTŐ SZOLGÁLAT'!$E$83</f>
        <v>380</v>
      </c>
      <c r="D83" s="227"/>
      <c r="E83" s="212">
        <f t="shared" si="157"/>
        <v>380</v>
      </c>
      <c r="F83" s="213">
        <f>+'[3]3.SZ.TÁBL. SEGÍTŐ SZOLGÁLAT'!$H$83</f>
        <v>1332</v>
      </c>
      <c r="G83" s="227">
        <f>+[4]Seg.Szolgálat!$I$200</f>
        <v>5</v>
      </c>
      <c r="H83" s="230">
        <f t="shared" si="158"/>
        <v>1337</v>
      </c>
      <c r="I83" s="213">
        <f>+'[3]3.SZ.TÁBL. SEGÍTŐ SZOLGÁLAT'!$K$83</f>
        <v>789</v>
      </c>
      <c r="J83" s="227">
        <f>+[4]Seg.Szolgálat!$I$185</f>
        <v>9</v>
      </c>
      <c r="K83" s="228">
        <f t="shared" si="159"/>
        <v>798</v>
      </c>
      <c r="L83" s="213">
        <f>+'[3]3.SZ.TÁBL. SEGÍTŐ SZOLGÁLAT'!$N$83</f>
        <v>645</v>
      </c>
      <c r="M83" s="227">
        <f>+[4]Seg.Szolgálat!$I$104+[4]Seg.Szolgálat!$I$127+[4]Seg.Szolgálat!$I$194</f>
        <v>77</v>
      </c>
      <c r="N83" s="230">
        <f t="shared" si="160"/>
        <v>722</v>
      </c>
      <c r="O83" s="213">
        <f>+'[3]3.SZ.TÁBL. SEGÍTŐ SZOLGÁLAT'!$Q$83</f>
        <v>732</v>
      </c>
      <c r="P83" s="227">
        <f>+[4]Seg.Szolgálat!$I$56+[4]Seg.Szolgálat!$I$248+[4]Seg.Szolgálat!$I$249</f>
        <v>18</v>
      </c>
      <c r="Q83" s="228">
        <f t="shared" si="161"/>
        <v>750</v>
      </c>
      <c r="R83" s="213">
        <f>+'[3]3.SZ.TÁBL. SEGÍTŐ SZOLGÁLAT'!$T$83</f>
        <v>269</v>
      </c>
      <c r="S83" s="227">
        <f>+[4]Seg.Szolgálat!$I$110</f>
        <v>30</v>
      </c>
      <c r="T83" s="230">
        <f t="shared" si="162"/>
        <v>299</v>
      </c>
      <c r="U83" s="213">
        <f>+'[3]3.SZ.TÁBL. SEGÍTŐ SZOLGÁLAT'!$W$83</f>
        <v>199</v>
      </c>
      <c r="V83" s="227">
        <f>+[4]Seg.Szolgálat!$I$39</f>
        <v>-7</v>
      </c>
      <c r="W83" s="230">
        <f t="shared" si="163"/>
        <v>192</v>
      </c>
      <c r="X83" s="213">
        <f>+'[5]3.SZ.TÁBL. SEGÍTŐ SZOLGÁLAT'!$Y82</f>
        <v>0</v>
      </c>
      <c r="Y83" s="227"/>
      <c r="Z83" s="228">
        <f t="shared" si="164"/>
        <v>0</v>
      </c>
      <c r="AA83" s="231">
        <f t="shared" si="168"/>
        <v>4346</v>
      </c>
      <c r="AB83" s="227">
        <f t="shared" si="169"/>
        <v>132</v>
      </c>
      <c r="AC83" s="232">
        <f t="shared" si="170"/>
        <v>4478</v>
      </c>
    </row>
    <row r="84" spans="1:29" s="328" customFormat="1" ht="13.5" customHeight="1">
      <c r="A84" s="202" t="s">
        <v>178</v>
      </c>
      <c r="B84" s="248" t="s">
        <v>136</v>
      </c>
      <c r="C84" s="302">
        <f t="shared" ref="C84:AC84" si="171">+SUM(C75:C79,C82:C83)</f>
        <v>723</v>
      </c>
      <c r="D84" s="300">
        <f t="shared" si="171"/>
        <v>-8</v>
      </c>
      <c r="E84" s="303">
        <f t="shared" si="171"/>
        <v>715</v>
      </c>
      <c r="F84" s="326">
        <f t="shared" ref="F84" si="172">+SUM(F75:F79,F82:F83)</f>
        <v>2876</v>
      </c>
      <c r="G84" s="300">
        <f t="shared" si="171"/>
        <v>5</v>
      </c>
      <c r="H84" s="327">
        <f t="shared" si="171"/>
        <v>2881</v>
      </c>
      <c r="I84" s="326">
        <f t="shared" si="171"/>
        <v>1702</v>
      </c>
      <c r="J84" s="300">
        <f t="shared" si="171"/>
        <v>9</v>
      </c>
      <c r="K84" s="303">
        <f t="shared" si="171"/>
        <v>1711</v>
      </c>
      <c r="L84" s="326">
        <f t="shared" ref="L84" si="173">+SUM(L75:L79,L82:L83)</f>
        <v>2179</v>
      </c>
      <c r="M84" s="300">
        <f t="shared" si="171"/>
        <v>213</v>
      </c>
      <c r="N84" s="327">
        <f t="shared" si="171"/>
        <v>2392</v>
      </c>
      <c r="O84" s="326">
        <f t="shared" si="171"/>
        <v>1860</v>
      </c>
      <c r="P84" s="300">
        <f t="shared" si="171"/>
        <v>18</v>
      </c>
      <c r="Q84" s="303">
        <f t="shared" si="171"/>
        <v>1878</v>
      </c>
      <c r="R84" s="326">
        <f t="shared" ref="R84" si="174">+SUM(R75:R79,R82:R83)</f>
        <v>1269</v>
      </c>
      <c r="S84" s="300">
        <f t="shared" si="171"/>
        <v>30</v>
      </c>
      <c r="T84" s="327">
        <f t="shared" si="171"/>
        <v>1299</v>
      </c>
      <c r="U84" s="326">
        <f t="shared" si="171"/>
        <v>431</v>
      </c>
      <c r="V84" s="300">
        <f t="shared" si="171"/>
        <v>-7</v>
      </c>
      <c r="W84" s="327">
        <f t="shared" si="171"/>
        <v>424</v>
      </c>
      <c r="X84" s="326">
        <f t="shared" ref="X84" si="175">+SUM(X75:X79,X82:X83)</f>
        <v>1500</v>
      </c>
      <c r="Y84" s="300">
        <f t="shared" ref="Y84:Z84" si="176">+SUM(Y75:Y79,Y82:Y83)</f>
        <v>-87</v>
      </c>
      <c r="Z84" s="303">
        <f t="shared" si="176"/>
        <v>1413</v>
      </c>
      <c r="AA84" s="295">
        <f t="shared" si="171"/>
        <v>12540</v>
      </c>
      <c r="AB84" s="300">
        <f t="shared" si="171"/>
        <v>173</v>
      </c>
      <c r="AC84" s="301">
        <f t="shared" si="171"/>
        <v>12713</v>
      </c>
    </row>
    <row r="85" spans="1:29" ht="13.5" customHeight="1">
      <c r="A85" s="199" t="s">
        <v>242</v>
      </c>
      <c r="B85" s="246" t="s">
        <v>243</v>
      </c>
      <c r="C85" s="213">
        <f>+'[5]3.SZ.TÁBL. SEGÍTŐ SZOLGÁLAT'!$D84</f>
        <v>0</v>
      </c>
      <c r="D85" s="218"/>
      <c r="E85" s="212">
        <f t="shared" ref="E85:E86" si="177">SUM(C85:D85)</f>
        <v>0</v>
      </c>
      <c r="F85" s="213">
        <f>+'[3]3.SZ.TÁBL. SEGÍTŐ SZOLGÁLAT'!$H$85</f>
        <v>150</v>
      </c>
      <c r="G85" s="218"/>
      <c r="H85" s="221">
        <f t="shared" ref="H85:H86" si="178">SUM(F85:G85)</f>
        <v>150</v>
      </c>
      <c r="I85" s="213">
        <f>+'[3]3.SZ.TÁBL. SEGÍTŐ SZOLGÁLAT'!$K$85</f>
        <v>60</v>
      </c>
      <c r="J85" s="218"/>
      <c r="K85" s="219">
        <f t="shared" ref="K85:K86" si="179">SUM(I85:J85)</f>
        <v>60</v>
      </c>
      <c r="L85" s="213">
        <f>+'[3]3.SZ.TÁBL. SEGÍTŐ SZOLGÁLAT'!$N$85</f>
        <v>295</v>
      </c>
      <c r="M85" s="218">
        <f>+[4]Seg.Szolgálat!$K$193</f>
        <v>11</v>
      </c>
      <c r="N85" s="221">
        <f t="shared" ref="N85:N86" si="180">SUM(L85:M85)</f>
        <v>306</v>
      </c>
      <c r="O85" s="213">
        <f>+'[3]3.SZ.TÁBL. SEGÍTŐ SZOLGÁLAT'!$Q$85</f>
        <v>76</v>
      </c>
      <c r="P85" s="218">
        <f>+[4]Seg.Szolgálat!$K$55+[4]Seg.Szolgálat!$K$122+[4]Seg.Szolgálat!$K$169</f>
        <v>38</v>
      </c>
      <c r="Q85" s="219">
        <f t="shared" ref="Q85:Q86" si="181">SUM(O85:P85)</f>
        <v>114</v>
      </c>
      <c r="R85" s="213">
        <f>+'[5]3.SZ.TÁBL. SEGÍTŐ SZOLGÁLAT'!$S84</f>
        <v>0</v>
      </c>
      <c r="S85" s="218"/>
      <c r="T85" s="221">
        <f t="shared" ref="T85:T86" si="182">SUM(R85:S85)</f>
        <v>0</v>
      </c>
      <c r="U85" s="213">
        <f>+'[3]3.SZ.TÁBL. SEGÍTŐ SZOLGÁLAT'!$W$85</f>
        <v>7</v>
      </c>
      <c r="V85" s="218">
        <f>+[4]Seg.Szolgálat!$K$38+[4]Seg.Szolgálat!$K$128</f>
        <v>14</v>
      </c>
      <c r="W85" s="221">
        <f t="shared" ref="W85:W86" si="183">SUM(U85:V85)</f>
        <v>21</v>
      </c>
      <c r="X85" s="213">
        <f>+'[5]3.SZ.TÁBL. SEGÍTŐ SZOLGÁLAT'!$Y84</f>
        <v>0</v>
      </c>
      <c r="Y85" s="218"/>
      <c r="Z85" s="219">
        <f t="shared" ref="Z85:Z86" si="184">SUM(X85:Y85)</f>
        <v>0</v>
      </c>
      <c r="AA85" s="222">
        <f t="shared" ref="AA85:AA86" si="185">+C85+F85+I85+L85+O85+R85+U85+X85</f>
        <v>588</v>
      </c>
      <c r="AB85" s="218">
        <f t="shared" ref="AB85:AB86" si="186">+D85+G85+J85+M85+P85+S85+V85+Y85</f>
        <v>63</v>
      </c>
      <c r="AC85" s="223">
        <f t="shared" ref="AC85:AC86" si="187">+E85+H85+K85+N85+Q85+T85+W85+Z85</f>
        <v>651</v>
      </c>
    </row>
    <row r="86" spans="1:29" ht="13.5" customHeight="1">
      <c r="A86" s="201" t="s">
        <v>244</v>
      </c>
      <c r="B86" s="247" t="s">
        <v>245</v>
      </c>
      <c r="C86" s="213">
        <f>+'[5]3.SZ.TÁBL. SEGÍTŐ SZOLGÁLAT'!$D85</f>
        <v>0</v>
      </c>
      <c r="D86" s="227"/>
      <c r="E86" s="212">
        <f t="shared" si="177"/>
        <v>0</v>
      </c>
      <c r="F86" s="213">
        <f>+'[5]3.SZ.TÁBL. SEGÍTŐ SZOLGÁLAT'!$G85</f>
        <v>0</v>
      </c>
      <c r="G86" s="227"/>
      <c r="H86" s="230">
        <f t="shared" si="178"/>
        <v>0</v>
      </c>
      <c r="I86" s="213">
        <f>+'[3]3.SZ.TÁBL. SEGÍTŐ SZOLGÁLAT'!$K$86</f>
        <v>0</v>
      </c>
      <c r="J86" s="227"/>
      <c r="K86" s="228">
        <f t="shared" si="179"/>
        <v>0</v>
      </c>
      <c r="L86" s="213">
        <f>+'[5]3.SZ.TÁBL. SEGÍTŐ SZOLGÁLAT'!$M85</f>
        <v>0</v>
      </c>
      <c r="M86" s="227"/>
      <c r="N86" s="230">
        <f t="shared" si="180"/>
        <v>0</v>
      </c>
      <c r="O86" s="213">
        <f>+'[5]3.SZ.TÁBL. SEGÍTŐ SZOLGÁLAT'!$P85</f>
        <v>0</v>
      </c>
      <c r="P86" s="227"/>
      <c r="Q86" s="228">
        <f t="shared" si="181"/>
        <v>0</v>
      </c>
      <c r="R86" s="213">
        <f>+'[5]3.SZ.TÁBL. SEGÍTŐ SZOLGÁLAT'!$S85</f>
        <v>0</v>
      </c>
      <c r="S86" s="227"/>
      <c r="T86" s="230">
        <f t="shared" si="182"/>
        <v>0</v>
      </c>
      <c r="U86" s="213">
        <f>+'[5]3.SZ.TÁBL. SEGÍTŐ SZOLGÁLAT'!$V85</f>
        <v>0</v>
      </c>
      <c r="V86" s="227"/>
      <c r="W86" s="230">
        <f t="shared" si="183"/>
        <v>0</v>
      </c>
      <c r="X86" s="213">
        <f>+'[5]3.SZ.TÁBL. SEGÍTŐ SZOLGÁLAT'!$Y85</f>
        <v>0</v>
      </c>
      <c r="Y86" s="227"/>
      <c r="Z86" s="228">
        <f t="shared" si="184"/>
        <v>0</v>
      </c>
      <c r="AA86" s="231">
        <f t="shared" si="185"/>
        <v>0</v>
      </c>
      <c r="AB86" s="227">
        <f t="shared" si="186"/>
        <v>0</v>
      </c>
      <c r="AC86" s="232">
        <f t="shared" si="187"/>
        <v>0</v>
      </c>
    </row>
    <row r="87" spans="1:29" s="328" customFormat="1" ht="13.5" customHeight="1">
      <c r="A87" s="202" t="s">
        <v>179</v>
      </c>
      <c r="B87" s="248" t="s">
        <v>137</v>
      </c>
      <c r="C87" s="302">
        <f t="shared" ref="C87:AC87" si="188">+SUM(C85:C86)</f>
        <v>0</v>
      </c>
      <c r="D87" s="300">
        <f t="shared" si="188"/>
        <v>0</v>
      </c>
      <c r="E87" s="303">
        <f t="shared" si="188"/>
        <v>0</v>
      </c>
      <c r="F87" s="326">
        <f t="shared" ref="F87" si="189">+SUM(F85:F86)</f>
        <v>150</v>
      </c>
      <c r="G87" s="300">
        <f t="shared" si="188"/>
        <v>0</v>
      </c>
      <c r="H87" s="327">
        <f t="shared" si="188"/>
        <v>150</v>
      </c>
      <c r="I87" s="326">
        <f t="shared" si="188"/>
        <v>60</v>
      </c>
      <c r="J87" s="300">
        <f t="shared" si="188"/>
        <v>0</v>
      </c>
      <c r="K87" s="303">
        <f t="shared" si="188"/>
        <v>60</v>
      </c>
      <c r="L87" s="326">
        <f t="shared" ref="L87" si="190">+SUM(L85:L86)</f>
        <v>295</v>
      </c>
      <c r="M87" s="300">
        <f t="shared" si="188"/>
        <v>11</v>
      </c>
      <c r="N87" s="327">
        <f t="shared" si="188"/>
        <v>306</v>
      </c>
      <c r="O87" s="326">
        <f t="shared" si="188"/>
        <v>76</v>
      </c>
      <c r="P87" s="300">
        <f t="shared" si="188"/>
        <v>38</v>
      </c>
      <c r="Q87" s="303">
        <f t="shared" si="188"/>
        <v>114</v>
      </c>
      <c r="R87" s="326">
        <f t="shared" ref="R87" si="191">+SUM(R85:R86)</f>
        <v>0</v>
      </c>
      <c r="S87" s="300">
        <f t="shared" si="188"/>
        <v>0</v>
      </c>
      <c r="T87" s="327">
        <f t="shared" si="188"/>
        <v>0</v>
      </c>
      <c r="U87" s="326">
        <f t="shared" si="188"/>
        <v>7</v>
      </c>
      <c r="V87" s="300">
        <f t="shared" si="188"/>
        <v>14</v>
      </c>
      <c r="W87" s="327">
        <f t="shared" si="188"/>
        <v>21</v>
      </c>
      <c r="X87" s="326">
        <f t="shared" ref="X87" si="192">+SUM(X85:X86)</f>
        <v>0</v>
      </c>
      <c r="Y87" s="300">
        <f t="shared" ref="Y87:Z87" si="193">+SUM(Y85:Y86)</f>
        <v>0</v>
      </c>
      <c r="Z87" s="303">
        <f t="shared" si="193"/>
        <v>0</v>
      </c>
      <c r="AA87" s="295">
        <f t="shared" si="188"/>
        <v>588</v>
      </c>
      <c r="AB87" s="300">
        <f t="shared" si="188"/>
        <v>63</v>
      </c>
      <c r="AC87" s="301">
        <f t="shared" si="188"/>
        <v>651</v>
      </c>
    </row>
    <row r="88" spans="1:29" ht="13.5" customHeight="1">
      <c r="A88" s="199" t="s">
        <v>246</v>
      </c>
      <c r="B88" s="246" t="s">
        <v>247</v>
      </c>
      <c r="C88" s="213">
        <f>+'[3]3.SZ.TÁBL. SEGÍTŐ SZOLGÁLAT'!$E$88</f>
        <v>222</v>
      </c>
      <c r="D88" s="218"/>
      <c r="E88" s="212">
        <f t="shared" ref="E88:E92" si="194">SUM(C88:D88)</f>
        <v>222</v>
      </c>
      <c r="F88" s="213">
        <f>+'[3]3.SZ.TÁBL. SEGÍTŐ SZOLGÁLAT'!$H$88</f>
        <v>753</v>
      </c>
      <c r="G88" s="218"/>
      <c r="H88" s="221">
        <f t="shared" ref="H88:H92" si="195">SUM(F88:G88)</f>
        <v>753</v>
      </c>
      <c r="I88" s="213">
        <f>+'[3]3.SZ.TÁBL. SEGÍTŐ SZOLGÁLAT'!$K$88</f>
        <v>623</v>
      </c>
      <c r="J88" s="218"/>
      <c r="K88" s="219">
        <f t="shared" ref="K88:K92" si="196">SUM(I88:J88)</f>
        <v>623</v>
      </c>
      <c r="L88" s="213">
        <f>+'[3]3.SZ.TÁBL. SEGÍTŐ SZOLGÁLAT'!$N$88</f>
        <v>744</v>
      </c>
      <c r="M88" s="218">
        <f>+[4]Seg.Szolgálat!$J$105</f>
        <v>64</v>
      </c>
      <c r="N88" s="221">
        <f t="shared" ref="N88:N92" si="197">SUM(L88:M88)</f>
        <v>808</v>
      </c>
      <c r="O88" s="213">
        <f>+'[3]3.SZ.TÁBL. SEGÍTŐ SZOLGÁLAT'!$Q88</f>
        <v>839</v>
      </c>
      <c r="P88" s="218">
        <f>+[4]Seg.Szolgálat!$J$100</f>
        <v>-49</v>
      </c>
      <c r="Q88" s="219">
        <f t="shared" ref="Q88:Q92" si="198">SUM(O88:P88)</f>
        <v>790</v>
      </c>
      <c r="R88" s="213">
        <f>+'[3]3.SZ.TÁBL. SEGÍTŐ SZOLGÁLAT'!$T88</f>
        <v>644</v>
      </c>
      <c r="S88" s="218"/>
      <c r="T88" s="221">
        <f t="shared" ref="T88:T92" si="199">SUM(R88:S88)</f>
        <v>644</v>
      </c>
      <c r="U88" s="213">
        <f>+'[3]3.SZ.TÁBL. SEGÍTŐ SZOLGÁLAT'!$W88</f>
        <v>191</v>
      </c>
      <c r="V88" s="218"/>
      <c r="W88" s="221">
        <f t="shared" ref="W88:W92" si="200">SUM(U88:V88)</f>
        <v>191</v>
      </c>
      <c r="X88" s="213">
        <f>+'[3]3.SZ.TÁBL. SEGÍTŐ SZOLGÁLAT'!$Z$88</f>
        <v>414</v>
      </c>
      <c r="Y88" s="218">
        <f>+[4]Seg.Szolgálat!$J$89</f>
        <v>-24</v>
      </c>
      <c r="Z88" s="219">
        <f t="shared" ref="Z88:Z92" si="201">SUM(X88:Y88)</f>
        <v>390</v>
      </c>
      <c r="AA88" s="222">
        <f t="shared" ref="AA88:AA92" si="202">+C88+F88+I88+L88+O88+R88+U88+X88</f>
        <v>4430</v>
      </c>
      <c r="AB88" s="218">
        <f t="shared" ref="AB88:AB92" si="203">+D88+G88+J88+M88+P88+S88+V88+Y88</f>
        <v>-9</v>
      </c>
      <c r="AC88" s="223">
        <f t="shared" ref="AC88:AC92" si="204">+E88+H88+K88+N88+Q88+T88+W88+Z88</f>
        <v>4421</v>
      </c>
    </row>
    <row r="89" spans="1:29" ht="13.5" customHeight="1">
      <c r="A89" s="200" t="s">
        <v>248</v>
      </c>
      <c r="B89" s="210" t="s">
        <v>249</v>
      </c>
      <c r="C89" s="213">
        <f>+'[5]3.SZ.TÁBL. SEGÍTŐ SZOLGÁLAT'!$D88</f>
        <v>0</v>
      </c>
      <c r="D89" s="207"/>
      <c r="E89" s="212">
        <f t="shared" si="194"/>
        <v>0</v>
      </c>
      <c r="F89" s="213">
        <f>+'[5]3.SZ.TÁBL. SEGÍTŐ SZOLGÁLAT'!$G88</f>
        <v>0</v>
      </c>
      <c r="G89" s="207"/>
      <c r="H89" s="214">
        <f t="shared" si="195"/>
        <v>0</v>
      </c>
      <c r="I89" s="213">
        <f>+'[5]3.SZ.TÁBL. SEGÍTŐ SZOLGÁLAT'!$J88</f>
        <v>0</v>
      </c>
      <c r="J89" s="207"/>
      <c r="K89" s="212">
        <f t="shared" si="196"/>
        <v>0</v>
      </c>
      <c r="L89" s="213">
        <f>+'[5]3.SZ.TÁBL. SEGÍTŐ SZOLGÁLAT'!$M88</f>
        <v>0</v>
      </c>
      <c r="M89" s="207"/>
      <c r="N89" s="214">
        <f t="shared" si="197"/>
        <v>0</v>
      </c>
      <c r="O89" s="213">
        <f>+'[3]3.SZ.TÁBL. SEGÍTŐ SZOLGÁLAT'!$Q89</f>
        <v>0</v>
      </c>
      <c r="P89" s="207"/>
      <c r="Q89" s="212">
        <f t="shared" si="198"/>
        <v>0</v>
      </c>
      <c r="R89" s="213">
        <f>+'[3]3.SZ.TÁBL. SEGÍTŐ SZOLGÁLAT'!$T89</f>
        <v>0</v>
      </c>
      <c r="S89" s="207"/>
      <c r="T89" s="214">
        <f t="shared" si="199"/>
        <v>0</v>
      </c>
      <c r="U89" s="213">
        <f>+'[3]3.SZ.TÁBL. SEGÍTŐ SZOLGÁLAT'!$W89</f>
        <v>0</v>
      </c>
      <c r="V89" s="207"/>
      <c r="W89" s="214">
        <f t="shared" si="200"/>
        <v>0</v>
      </c>
      <c r="X89" s="213">
        <f>+'[5]3.SZ.TÁBL. SEGÍTŐ SZOLGÁLAT'!$Y88</f>
        <v>0</v>
      </c>
      <c r="Y89" s="207"/>
      <c r="Z89" s="212">
        <f t="shared" si="201"/>
        <v>0</v>
      </c>
      <c r="AA89" s="215">
        <f t="shared" si="202"/>
        <v>0</v>
      </c>
      <c r="AB89" s="207">
        <f t="shared" si="203"/>
        <v>0</v>
      </c>
      <c r="AC89" s="208">
        <f t="shared" si="204"/>
        <v>0</v>
      </c>
    </row>
    <row r="90" spans="1:29" ht="13.5" customHeight="1">
      <c r="A90" s="200" t="s">
        <v>250</v>
      </c>
      <c r="B90" s="210" t="s">
        <v>251</v>
      </c>
      <c r="C90" s="213">
        <f>+'[5]3.SZ.TÁBL. SEGÍTŐ SZOLGÁLAT'!$D89</f>
        <v>0</v>
      </c>
      <c r="D90" s="207"/>
      <c r="E90" s="212">
        <f t="shared" si="194"/>
        <v>0</v>
      </c>
      <c r="F90" s="213">
        <f>+'[5]3.SZ.TÁBL. SEGÍTŐ SZOLGÁLAT'!$G89</f>
        <v>0</v>
      </c>
      <c r="G90" s="207"/>
      <c r="H90" s="214">
        <f t="shared" si="195"/>
        <v>0</v>
      </c>
      <c r="I90" s="213">
        <f>+'[5]3.SZ.TÁBL. SEGÍTŐ SZOLGÁLAT'!$J89</f>
        <v>0</v>
      </c>
      <c r="J90" s="207"/>
      <c r="K90" s="212">
        <f t="shared" si="196"/>
        <v>0</v>
      </c>
      <c r="L90" s="213">
        <f>+'[5]3.SZ.TÁBL. SEGÍTŐ SZOLGÁLAT'!$M89</f>
        <v>0</v>
      </c>
      <c r="M90" s="207"/>
      <c r="N90" s="214">
        <f t="shared" si="197"/>
        <v>0</v>
      </c>
      <c r="O90" s="213">
        <f>+'[3]3.SZ.TÁBL. SEGÍTŐ SZOLGÁLAT'!$Q90</f>
        <v>0</v>
      </c>
      <c r="P90" s="207"/>
      <c r="Q90" s="212">
        <f t="shared" si="198"/>
        <v>0</v>
      </c>
      <c r="R90" s="213">
        <f>+'[3]3.SZ.TÁBL. SEGÍTŐ SZOLGÁLAT'!$T90</f>
        <v>0</v>
      </c>
      <c r="S90" s="207"/>
      <c r="T90" s="214">
        <f t="shared" si="199"/>
        <v>0</v>
      </c>
      <c r="U90" s="213">
        <f>+'[3]3.SZ.TÁBL. SEGÍTŐ SZOLGÁLAT'!$W90</f>
        <v>0</v>
      </c>
      <c r="V90" s="207"/>
      <c r="W90" s="214">
        <f t="shared" si="200"/>
        <v>0</v>
      </c>
      <c r="X90" s="213">
        <f>+'[5]3.SZ.TÁBL. SEGÍTŐ SZOLGÁLAT'!$Y89</f>
        <v>0</v>
      </c>
      <c r="Y90" s="207"/>
      <c r="Z90" s="212">
        <f t="shared" si="201"/>
        <v>0</v>
      </c>
      <c r="AA90" s="215">
        <f t="shared" si="202"/>
        <v>0</v>
      </c>
      <c r="AB90" s="207">
        <f t="shared" si="203"/>
        <v>0</v>
      </c>
      <c r="AC90" s="208">
        <f t="shared" si="204"/>
        <v>0</v>
      </c>
    </row>
    <row r="91" spans="1:29" ht="13.5" customHeight="1">
      <c r="A91" s="200" t="s">
        <v>252</v>
      </c>
      <c r="B91" s="210" t="s">
        <v>253</v>
      </c>
      <c r="C91" s="213">
        <f>+'[5]3.SZ.TÁBL. SEGÍTŐ SZOLGÁLAT'!$D90</f>
        <v>0</v>
      </c>
      <c r="D91" s="207"/>
      <c r="E91" s="212">
        <f t="shared" si="194"/>
        <v>0</v>
      </c>
      <c r="F91" s="213">
        <f>+'[5]3.SZ.TÁBL. SEGÍTŐ SZOLGÁLAT'!$G90</f>
        <v>0</v>
      </c>
      <c r="G91" s="207"/>
      <c r="H91" s="214">
        <f t="shared" si="195"/>
        <v>0</v>
      </c>
      <c r="I91" s="213">
        <f>+'[5]3.SZ.TÁBL. SEGÍTŐ SZOLGÁLAT'!$J90</f>
        <v>0</v>
      </c>
      <c r="J91" s="207"/>
      <c r="K91" s="212">
        <f t="shared" si="196"/>
        <v>0</v>
      </c>
      <c r="L91" s="213">
        <f>+'[5]3.SZ.TÁBL. SEGÍTŐ SZOLGÁLAT'!$M90</f>
        <v>0</v>
      </c>
      <c r="M91" s="207"/>
      <c r="N91" s="214">
        <f t="shared" si="197"/>
        <v>0</v>
      </c>
      <c r="O91" s="213">
        <f>+'[3]3.SZ.TÁBL. SEGÍTŐ SZOLGÁLAT'!$Q91</f>
        <v>0</v>
      </c>
      <c r="P91" s="207"/>
      <c r="Q91" s="212">
        <f t="shared" si="198"/>
        <v>0</v>
      </c>
      <c r="R91" s="213">
        <f>+'[3]3.SZ.TÁBL. SEGÍTŐ SZOLGÁLAT'!$T91</f>
        <v>0</v>
      </c>
      <c r="S91" s="207"/>
      <c r="T91" s="214">
        <f t="shared" si="199"/>
        <v>0</v>
      </c>
      <c r="U91" s="213">
        <f>+'[3]3.SZ.TÁBL. SEGÍTŐ SZOLGÁLAT'!$W91</f>
        <v>0</v>
      </c>
      <c r="V91" s="207"/>
      <c r="W91" s="214">
        <f t="shared" si="200"/>
        <v>0</v>
      </c>
      <c r="X91" s="213">
        <f>+'[5]3.SZ.TÁBL. SEGÍTŐ SZOLGÁLAT'!$Y90</f>
        <v>0</v>
      </c>
      <c r="Y91" s="207"/>
      <c r="Z91" s="212">
        <f t="shared" si="201"/>
        <v>0</v>
      </c>
      <c r="AA91" s="215">
        <f t="shared" si="202"/>
        <v>0</v>
      </c>
      <c r="AB91" s="207">
        <f t="shared" si="203"/>
        <v>0</v>
      </c>
      <c r="AC91" s="208">
        <f t="shared" si="204"/>
        <v>0</v>
      </c>
    </row>
    <row r="92" spans="1:29" ht="13.5" customHeight="1">
      <c r="A92" s="201" t="s">
        <v>254</v>
      </c>
      <c r="B92" s="247" t="s">
        <v>380</v>
      </c>
      <c r="C92" s="213">
        <f>+'[5]3.SZ.TÁBL. SEGÍTŐ SZOLGÁLAT'!$D91</f>
        <v>0</v>
      </c>
      <c r="D92" s="227"/>
      <c r="E92" s="212">
        <f t="shared" si="194"/>
        <v>0</v>
      </c>
      <c r="F92" s="213">
        <f>+'[3]3.SZ.TÁBL. SEGÍTŐ SZOLGÁLAT'!$H$92</f>
        <v>18</v>
      </c>
      <c r="G92" s="227">
        <f>+[4]Seg.Szolgálat!$K$201</f>
        <v>-5</v>
      </c>
      <c r="H92" s="230">
        <f t="shared" si="195"/>
        <v>13</v>
      </c>
      <c r="I92" s="213">
        <f>+'[3]3.SZ.TÁBL. SEGÍTŐ SZOLGÁLAT'!$K$92</f>
        <v>61</v>
      </c>
      <c r="J92" s="227">
        <f>+[4]Seg.Szolgálat!$K$186</f>
        <v>-9</v>
      </c>
      <c r="K92" s="228">
        <f t="shared" si="196"/>
        <v>52</v>
      </c>
      <c r="L92" s="213">
        <f>+'[5]3.SZ.TÁBL. SEGÍTŐ SZOLGÁLAT'!$M91</f>
        <v>0</v>
      </c>
      <c r="M92" s="227"/>
      <c r="N92" s="230">
        <f t="shared" si="197"/>
        <v>0</v>
      </c>
      <c r="O92" s="213">
        <f>+'[3]3.SZ.TÁBL. SEGÍTŐ SZOLGÁLAT'!$Q92</f>
        <v>200</v>
      </c>
      <c r="P92" s="227">
        <f>+[4]Seg.Szolgálat!$K$123+[4]Seg.Szolgálat!$K$170+[4]Seg.Szolgálat!$K$250</f>
        <v>-56</v>
      </c>
      <c r="Q92" s="228">
        <f t="shared" si="198"/>
        <v>144</v>
      </c>
      <c r="R92" s="213">
        <f>+'[3]3.SZ.TÁBL. SEGÍTŐ SZOLGÁLAT'!$T92</f>
        <v>101</v>
      </c>
      <c r="S92" s="227">
        <f>+[4]Seg.Szolgálat!$K$111</f>
        <v>-30</v>
      </c>
      <c r="T92" s="230">
        <f t="shared" si="199"/>
        <v>71</v>
      </c>
      <c r="U92" s="213">
        <f>+'[3]3.SZ.TÁBL. SEGÍTŐ SZOLGÁLAT'!$W92</f>
        <v>0</v>
      </c>
      <c r="V92" s="227"/>
      <c r="W92" s="230">
        <f t="shared" si="200"/>
        <v>0</v>
      </c>
      <c r="X92" s="213">
        <f>+'[5]3.SZ.TÁBL. SEGÍTŐ SZOLGÁLAT'!$Y91</f>
        <v>0</v>
      </c>
      <c r="Y92" s="227"/>
      <c r="Z92" s="228">
        <f t="shared" si="201"/>
        <v>0</v>
      </c>
      <c r="AA92" s="231">
        <f t="shared" si="202"/>
        <v>380</v>
      </c>
      <c r="AB92" s="227">
        <f t="shared" si="203"/>
        <v>-100</v>
      </c>
      <c r="AC92" s="232">
        <f t="shared" si="204"/>
        <v>280</v>
      </c>
    </row>
    <row r="93" spans="1:29" s="328" customFormat="1" ht="13.5" customHeight="1">
      <c r="A93" s="202" t="s">
        <v>180</v>
      </c>
      <c r="B93" s="248" t="s">
        <v>138</v>
      </c>
      <c r="C93" s="302">
        <f t="shared" ref="C93:AC93" si="205">SUM(C88:C92)</f>
        <v>222</v>
      </c>
      <c r="D93" s="300">
        <f t="shared" si="205"/>
        <v>0</v>
      </c>
      <c r="E93" s="303">
        <f t="shared" si="205"/>
        <v>222</v>
      </c>
      <c r="F93" s="326">
        <f t="shared" ref="F93" si="206">SUM(F88:F92)</f>
        <v>771</v>
      </c>
      <c r="G93" s="300">
        <f t="shared" si="205"/>
        <v>-5</v>
      </c>
      <c r="H93" s="327">
        <f t="shared" si="205"/>
        <v>766</v>
      </c>
      <c r="I93" s="326">
        <f t="shared" si="205"/>
        <v>684</v>
      </c>
      <c r="J93" s="300">
        <f t="shared" si="205"/>
        <v>-9</v>
      </c>
      <c r="K93" s="303">
        <f t="shared" si="205"/>
        <v>675</v>
      </c>
      <c r="L93" s="326">
        <f t="shared" ref="L93" si="207">SUM(L88:L92)</f>
        <v>744</v>
      </c>
      <c r="M93" s="300">
        <f t="shared" si="205"/>
        <v>64</v>
      </c>
      <c r="N93" s="327">
        <f t="shared" si="205"/>
        <v>808</v>
      </c>
      <c r="O93" s="326">
        <f t="shared" si="205"/>
        <v>1039</v>
      </c>
      <c r="P93" s="300">
        <f t="shared" si="205"/>
        <v>-105</v>
      </c>
      <c r="Q93" s="303">
        <f t="shared" si="205"/>
        <v>934</v>
      </c>
      <c r="R93" s="326">
        <f t="shared" ref="R93" si="208">SUM(R88:R92)</f>
        <v>745</v>
      </c>
      <c r="S93" s="300">
        <f t="shared" si="205"/>
        <v>-30</v>
      </c>
      <c r="T93" s="327">
        <f t="shared" si="205"/>
        <v>715</v>
      </c>
      <c r="U93" s="326">
        <f t="shared" si="205"/>
        <v>191</v>
      </c>
      <c r="V93" s="300">
        <f t="shared" si="205"/>
        <v>0</v>
      </c>
      <c r="W93" s="327">
        <f t="shared" si="205"/>
        <v>191</v>
      </c>
      <c r="X93" s="326">
        <f t="shared" ref="X93" si="209">SUM(X88:X92)</f>
        <v>414</v>
      </c>
      <c r="Y93" s="300">
        <f t="shared" ref="Y93:Z93" si="210">SUM(Y88:Y92)</f>
        <v>-24</v>
      </c>
      <c r="Z93" s="303">
        <f t="shared" si="210"/>
        <v>390</v>
      </c>
      <c r="AA93" s="295">
        <f t="shared" si="205"/>
        <v>4810</v>
      </c>
      <c r="AB93" s="300">
        <f t="shared" si="205"/>
        <v>-109</v>
      </c>
      <c r="AC93" s="301">
        <f t="shared" si="205"/>
        <v>4701</v>
      </c>
    </row>
    <row r="94" spans="1:29" s="328" customFormat="1" ht="13.5" customHeight="1">
      <c r="A94" s="202" t="s">
        <v>181</v>
      </c>
      <c r="B94" s="248" t="s">
        <v>139</v>
      </c>
      <c r="C94" s="302">
        <f t="shared" ref="C94:AC94" si="211">+C71+C74+C84+C87+C93</f>
        <v>1044</v>
      </c>
      <c r="D94" s="300">
        <f t="shared" si="211"/>
        <v>0</v>
      </c>
      <c r="E94" s="303">
        <f t="shared" si="211"/>
        <v>1044</v>
      </c>
      <c r="F94" s="326">
        <f t="shared" ref="F94" si="212">+F71+F74+F84+F87+F93</f>
        <v>4322</v>
      </c>
      <c r="G94" s="300">
        <f t="shared" si="211"/>
        <v>0</v>
      </c>
      <c r="H94" s="327">
        <f t="shared" si="211"/>
        <v>4322</v>
      </c>
      <c r="I94" s="326">
        <f t="shared" si="211"/>
        <v>3061</v>
      </c>
      <c r="J94" s="300">
        <f t="shared" si="211"/>
        <v>0</v>
      </c>
      <c r="K94" s="303">
        <f t="shared" si="211"/>
        <v>3061</v>
      </c>
      <c r="L94" s="326">
        <f t="shared" ref="L94" si="213">+L71+L74+L84+L87+L93</f>
        <v>3796</v>
      </c>
      <c r="M94" s="300">
        <f t="shared" si="211"/>
        <v>289</v>
      </c>
      <c r="N94" s="327">
        <f t="shared" si="211"/>
        <v>4085</v>
      </c>
      <c r="O94" s="326">
        <f t="shared" si="211"/>
        <v>4240</v>
      </c>
      <c r="P94" s="300">
        <f t="shared" si="211"/>
        <v>-232</v>
      </c>
      <c r="Q94" s="303">
        <f t="shared" si="211"/>
        <v>4008</v>
      </c>
      <c r="R94" s="326">
        <f t="shared" ref="R94" si="214">+R71+R74+R84+R87+R93</f>
        <v>3348</v>
      </c>
      <c r="S94" s="300">
        <f t="shared" si="211"/>
        <v>0</v>
      </c>
      <c r="T94" s="327">
        <f t="shared" si="211"/>
        <v>3348</v>
      </c>
      <c r="U94" s="326">
        <f t="shared" si="211"/>
        <v>899</v>
      </c>
      <c r="V94" s="300">
        <f t="shared" si="211"/>
        <v>40</v>
      </c>
      <c r="W94" s="327">
        <f t="shared" si="211"/>
        <v>939</v>
      </c>
      <c r="X94" s="326">
        <f t="shared" ref="X94" si="215">+X71+X74+X84+X87+X93</f>
        <v>1948</v>
      </c>
      <c r="Y94" s="300">
        <f t="shared" ref="Y94:Z94" si="216">+Y71+Y74+Y84+Y87+Y93</f>
        <v>-111</v>
      </c>
      <c r="Z94" s="303">
        <f t="shared" si="216"/>
        <v>1837</v>
      </c>
      <c r="AA94" s="295">
        <f t="shared" si="211"/>
        <v>22658</v>
      </c>
      <c r="AB94" s="300">
        <f t="shared" si="211"/>
        <v>-14</v>
      </c>
      <c r="AC94" s="301">
        <f t="shared" si="211"/>
        <v>22644</v>
      </c>
    </row>
    <row r="95" spans="1:29" ht="13.5" customHeight="1">
      <c r="A95" s="199" t="s">
        <v>304</v>
      </c>
      <c r="B95" s="642" t="s">
        <v>305</v>
      </c>
      <c r="C95" s="217">
        <f t="shared" ref="C95:Z95" si="217">+C96</f>
        <v>0</v>
      </c>
      <c r="D95" s="218">
        <f t="shared" si="217"/>
        <v>0</v>
      </c>
      <c r="E95" s="219">
        <f t="shared" si="217"/>
        <v>0</v>
      </c>
      <c r="F95" s="220">
        <f t="shared" si="217"/>
        <v>0</v>
      </c>
      <c r="G95" s="218">
        <f t="shared" si="217"/>
        <v>0</v>
      </c>
      <c r="H95" s="221">
        <f t="shared" si="217"/>
        <v>0</v>
      </c>
      <c r="I95" s="220">
        <f t="shared" si="217"/>
        <v>0</v>
      </c>
      <c r="J95" s="218">
        <f t="shared" si="217"/>
        <v>0</v>
      </c>
      <c r="K95" s="219">
        <f t="shared" si="217"/>
        <v>0</v>
      </c>
      <c r="L95" s="220">
        <f t="shared" si="217"/>
        <v>0</v>
      </c>
      <c r="M95" s="218">
        <f t="shared" si="217"/>
        <v>0</v>
      </c>
      <c r="N95" s="221">
        <f t="shared" si="217"/>
        <v>0</v>
      </c>
      <c r="O95" s="220">
        <f t="shared" si="217"/>
        <v>0</v>
      </c>
      <c r="P95" s="218">
        <f t="shared" si="217"/>
        <v>0</v>
      </c>
      <c r="Q95" s="219">
        <f t="shared" si="217"/>
        <v>0</v>
      </c>
      <c r="R95" s="220">
        <f t="shared" si="217"/>
        <v>0</v>
      </c>
      <c r="S95" s="218">
        <f t="shared" si="217"/>
        <v>0</v>
      </c>
      <c r="T95" s="221">
        <f t="shared" si="217"/>
        <v>0</v>
      </c>
      <c r="U95" s="220">
        <f t="shared" si="217"/>
        <v>0</v>
      </c>
      <c r="V95" s="218">
        <f t="shared" si="217"/>
        <v>0</v>
      </c>
      <c r="W95" s="221">
        <f t="shared" si="217"/>
        <v>0</v>
      </c>
      <c r="X95" s="220">
        <f t="shared" si="217"/>
        <v>0</v>
      </c>
      <c r="Y95" s="218">
        <f t="shared" si="217"/>
        <v>0</v>
      </c>
      <c r="Z95" s="219">
        <f t="shared" si="217"/>
        <v>0</v>
      </c>
      <c r="AA95" s="222">
        <f t="shared" ref="AA95:AA97" si="218">+C95+F95+I95+L95+O95+R95+U95+X95</f>
        <v>0</v>
      </c>
      <c r="AB95" s="218">
        <f t="shared" ref="AB95:AB97" si="219">+D95+G95+J95+M95+P95+S95+V95+Y95</f>
        <v>0</v>
      </c>
      <c r="AC95" s="223">
        <f t="shared" ref="AC95:AC97" si="220">+E95+H95+K95+N95+Q95+T95+W95+Z95</f>
        <v>0</v>
      </c>
    </row>
    <row r="96" spans="1:29" ht="13.5" customHeight="1">
      <c r="A96" s="205" t="s">
        <v>304</v>
      </c>
      <c r="B96" s="250" t="s">
        <v>110</v>
      </c>
      <c r="C96" s="226"/>
      <c r="D96" s="227"/>
      <c r="E96" s="212">
        <f t="shared" ref="E96:E97" si="221">SUM(C96:D96)</f>
        <v>0</v>
      </c>
      <c r="F96" s="229"/>
      <c r="G96" s="227"/>
      <c r="H96" s="230">
        <f t="shared" ref="H96:H97" si="222">SUM(F96:G96)</f>
        <v>0</v>
      </c>
      <c r="I96" s="229"/>
      <c r="J96" s="227"/>
      <c r="K96" s="228">
        <f t="shared" ref="K96:K97" si="223">SUM(I96:J96)</f>
        <v>0</v>
      </c>
      <c r="L96" s="229"/>
      <c r="M96" s="227"/>
      <c r="N96" s="230">
        <f t="shared" ref="N96:N97" si="224">SUM(L96:M96)</f>
        <v>0</v>
      </c>
      <c r="O96" s="229"/>
      <c r="P96" s="227"/>
      <c r="Q96" s="228">
        <f t="shared" ref="Q96:Q97" si="225">SUM(O96:P96)</f>
        <v>0</v>
      </c>
      <c r="R96" s="229"/>
      <c r="S96" s="227"/>
      <c r="T96" s="230">
        <f t="shared" ref="T96:T97" si="226">SUM(R96:S96)</f>
        <v>0</v>
      </c>
      <c r="U96" s="229"/>
      <c r="V96" s="227"/>
      <c r="W96" s="230">
        <f t="shared" ref="W96:W97" si="227">SUM(U96:V96)</f>
        <v>0</v>
      </c>
      <c r="X96" s="229"/>
      <c r="Y96" s="227"/>
      <c r="Z96" s="228">
        <f t="shared" ref="Z96:Z97" si="228">SUM(X96:Y96)</f>
        <v>0</v>
      </c>
      <c r="AA96" s="231">
        <f t="shared" si="218"/>
        <v>0</v>
      </c>
      <c r="AB96" s="227">
        <f t="shared" si="219"/>
        <v>0</v>
      </c>
      <c r="AC96" s="232">
        <f t="shared" si="220"/>
        <v>0</v>
      </c>
    </row>
    <row r="97" spans="1:29" ht="13.5" customHeight="1">
      <c r="A97" s="323" t="s">
        <v>306</v>
      </c>
      <c r="B97" s="324" t="s">
        <v>307</v>
      </c>
      <c r="C97" s="263"/>
      <c r="D97" s="261"/>
      <c r="E97" s="212">
        <f t="shared" si="221"/>
        <v>0</v>
      </c>
      <c r="F97" s="265"/>
      <c r="G97" s="261"/>
      <c r="H97" s="266">
        <f t="shared" si="222"/>
        <v>0</v>
      </c>
      <c r="I97" s="265"/>
      <c r="J97" s="261"/>
      <c r="K97" s="264">
        <f t="shared" si="223"/>
        <v>0</v>
      </c>
      <c r="L97" s="265"/>
      <c r="M97" s="261"/>
      <c r="N97" s="266">
        <f t="shared" si="224"/>
        <v>0</v>
      </c>
      <c r="O97" s="265"/>
      <c r="P97" s="261"/>
      <c r="Q97" s="264">
        <f t="shared" si="225"/>
        <v>0</v>
      </c>
      <c r="R97" s="265"/>
      <c r="S97" s="261"/>
      <c r="T97" s="266">
        <f t="shared" si="226"/>
        <v>0</v>
      </c>
      <c r="U97" s="265"/>
      <c r="V97" s="261"/>
      <c r="W97" s="266">
        <f t="shared" si="227"/>
        <v>0</v>
      </c>
      <c r="X97" s="265"/>
      <c r="Y97" s="261"/>
      <c r="Z97" s="264">
        <f t="shared" si="228"/>
        <v>0</v>
      </c>
      <c r="AA97" s="260">
        <f t="shared" si="218"/>
        <v>0</v>
      </c>
      <c r="AB97" s="261">
        <f t="shared" si="219"/>
        <v>0</v>
      </c>
      <c r="AC97" s="262">
        <f t="shared" si="220"/>
        <v>0</v>
      </c>
    </row>
    <row r="98" spans="1:29" s="328" customFormat="1" ht="13.5" customHeight="1">
      <c r="A98" s="202" t="s">
        <v>182</v>
      </c>
      <c r="B98" s="248" t="s">
        <v>140</v>
      </c>
      <c r="C98" s="326">
        <f t="shared" ref="C98:AC98" si="229">+C95+C97</f>
        <v>0</v>
      </c>
      <c r="D98" s="300">
        <f t="shared" si="229"/>
        <v>0</v>
      </c>
      <c r="E98" s="303">
        <f t="shared" si="229"/>
        <v>0</v>
      </c>
      <c r="F98" s="326">
        <f t="shared" si="229"/>
        <v>0</v>
      </c>
      <c r="G98" s="300">
        <f t="shared" si="229"/>
        <v>0</v>
      </c>
      <c r="H98" s="303">
        <f t="shared" si="229"/>
        <v>0</v>
      </c>
      <c r="I98" s="326">
        <f t="shared" si="229"/>
        <v>0</v>
      </c>
      <c r="J98" s="300">
        <f t="shared" si="229"/>
        <v>0</v>
      </c>
      <c r="K98" s="303">
        <f t="shared" si="229"/>
        <v>0</v>
      </c>
      <c r="L98" s="326">
        <f t="shared" si="229"/>
        <v>0</v>
      </c>
      <c r="M98" s="300">
        <f t="shared" si="229"/>
        <v>0</v>
      </c>
      <c r="N98" s="303">
        <f t="shared" si="229"/>
        <v>0</v>
      </c>
      <c r="O98" s="326">
        <f t="shared" si="229"/>
        <v>0</v>
      </c>
      <c r="P98" s="300">
        <f t="shared" si="229"/>
        <v>0</v>
      </c>
      <c r="Q98" s="303">
        <f t="shared" si="229"/>
        <v>0</v>
      </c>
      <c r="R98" s="326">
        <f t="shared" si="229"/>
        <v>0</v>
      </c>
      <c r="S98" s="300">
        <f t="shared" si="229"/>
        <v>0</v>
      </c>
      <c r="T98" s="303">
        <f t="shared" si="229"/>
        <v>0</v>
      </c>
      <c r="U98" s="326">
        <f t="shared" si="229"/>
        <v>0</v>
      </c>
      <c r="V98" s="300">
        <f t="shared" si="229"/>
        <v>0</v>
      </c>
      <c r="W98" s="303">
        <f t="shared" si="229"/>
        <v>0</v>
      </c>
      <c r="X98" s="326">
        <f t="shared" si="229"/>
        <v>0</v>
      </c>
      <c r="Y98" s="300">
        <f t="shared" si="229"/>
        <v>0</v>
      </c>
      <c r="Z98" s="303">
        <f t="shared" si="229"/>
        <v>0</v>
      </c>
      <c r="AA98" s="295">
        <f t="shared" si="229"/>
        <v>0</v>
      </c>
      <c r="AB98" s="300">
        <f t="shared" si="229"/>
        <v>0</v>
      </c>
      <c r="AC98" s="301">
        <f t="shared" si="229"/>
        <v>0</v>
      </c>
    </row>
    <row r="99" spans="1:29" ht="13.5" customHeight="1">
      <c r="A99" s="199" t="s">
        <v>255</v>
      </c>
      <c r="B99" s="246" t="s">
        <v>256</v>
      </c>
      <c r="C99" s="217">
        <f>+'[5]3.SZ.TÁBL. SEGÍTŐ SZOLGÁLAT'!$D100</f>
        <v>0</v>
      </c>
      <c r="D99" s="218"/>
      <c r="E99" s="212">
        <f t="shared" ref="E99:E105" si="230">SUM(C99:D99)</f>
        <v>0</v>
      </c>
      <c r="F99" s="220">
        <f>+'[5]3.SZ.TÁBL. SEGÍTŐ SZOLGÁLAT'!$G100</f>
        <v>0</v>
      </c>
      <c r="G99" s="218"/>
      <c r="H99" s="221">
        <f t="shared" ref="H99:H105" si="231">SUM(F99:G99)</f>
        <v>0</v>
      </c>
      <c r="I99" s="220">
        <f>+'[5]3.SZ.TÁBL. SEGÍTŐ SZOLGÁLAT'!$J100</f>
        <v>0</v>
      </c>
      <c r="J99" s="218"/>
      <c r="K99" s="219">
        <f t="shared" ref="K99:K105" si="232">SUM(I99:J99)</f>
        <v>0</v>
      </c>
      <c r="L99" s="220">
        <f>+'[5]3.SZ.TÁBL. SEGÍTŐ SZOLGÁLAT'!$M100</f>
        <v>0</v>
      </c>
      <c r="M99" s="218"/>
      <c r="N99" s="221">
        <f t="shared" ref="N99:N105" si="233">SUM(L99:M99)</f>
        <v>0</v>
      </c>
      <c r="O99" s="220">
        <f>+'[5]3.SZ.TÁBL. SEGÍTŐ SZOLGÁLAT'!$P100</f>
        <v>0</v>
      </c>
      <c r="P99" s="218"/>
      <c r="Q99" s="219">
        <f t="shared" ref="Q99:Q105" si="234">SUM(O99:P99)</f>
        <v>0</v>
      </c>
      <c r="R99" s="220">
        <f>+'[5]3.SZ.TÁBL. SEGÍTŐ SZOLGÁLAT'!$S100</f>
        <v>0</v>
      </c>
      <c r="S99" s="218"/>
      <c r="T99" s="221">
        <f t="shared" ref="T99:T105" si="235">SUM(R99:S99)</f>
        <v>0</v>
      </c>
      <c r="U99" s="220">
        <f>+'[5]3.SZ.TÁBL. SEGÍTŐ SZOLGÁLAT'!$V100</f>
        <v>0</v>
      </c>
      <c r="V99" s="218"/>
      <c r="W99" s="221">
        <f t="shared" ref="W99:W105" si="236">SUM(U99:V99)</f>
        <v>0</v>
      </c>
      <c r="X99" s="220">
        <f>+'[5]3.SZ.TÁBL. SEGÍTŐ SZOLGÁLAT'!$Y100</f>
        <v>0</v>
      </c>
      <c r="Y99" s="218"/>
      <c r="Z99" s="219">
        <f t="shared" ref="Z99:Z105" si="237">SUM(X99:Y99)</f>
        <v>0</v>
      </c>
      <c r="AA99" s="222">
        <f t="shared" ref="AA99:AA105" si="238">+C99+F99+I99+L99+O99+R99+U99+X99</f>
        <v>0</v>
      </c>
      <c r="AB99" s="218">
        <f t="shared" ref="AB99:AB105" si="239">+D99+G99+J99+M99+P99+S99+V99+Y99</f>
        <v>0</v>
      </c>
      <c r="AC99" s="223">
        <f t="shared" ref="AC99:AC105" si="240">+E99+H99+K99+N99+Q99+T99+W99+Z99</f>
        <v>0</v>
      </c>
    </row>
    <row r="100" spans="1:29" ht="13.5" customHeight="1">
      <c r="A100" s="200" t="s">
        <v>257</v>
      </c>
      <c r="B100" s="210" t="s">
        <v>258</v>
      </c>
      <c r="C100" s="217">
        <f>+'[5]3.SZ.TÁBL. SEGÍTŐ SZOLGÁLAT'!$D101</f>
        <v>0</v>
      </c>
      <c r="D100" s="207"/>
      <c r="E100" s="212">
        <f t="shared" si="230"/>
        <v>0</v>
      </c>
      <c r="F100" s="220">
        <f>+'[5]3.SZ.TÁBL. SEGÍTŐ SZOLGÁLAT'!$G101</f>
        <v>0</v>
      </c>
      <c r="G100" s="207"/>
      <c r="H100" s="214">
        <f t="shared" si="231"/>
        <v>0</v>
      </c>
      <c r="I100" s="220">
        <f>+'[5]3.SZ.TÁBL. SEGÍTŐ SZOLGÁLAT'!$J101</f>
        <v>0</v>
      </c>
      <c r="J100" s="207"/>
      <c r="K100" s="212">
        <f t="shared" si="232"/>
        <v>0</v>
      </c>
      <c r="L100" s="220">
        <f>+'[5]3.SZ.TÁBL. SEGÍTŐ SZOLGÁLAT'!$M101</f>
        <v>0</v>
      </c>
      <c r="M100" s="207"/>
      <c r="N100" s="214">
        <f t="shared" si="233"/>
        <v>0</v>
      </c>
      <c r="O100" s="220">
        <f>+'[5]3.SZ.TÁBL. SEGÍTŐ SZOLGÁLAT'!$P101</f>
        <v>0</v>
      </c>
      <c r="P100" s="207"/>
      <c r="Q100" s="212">
        <f t="shared" si="234"/>
        <v>0</v>
      </c>
      <c r="R100" s="220">
        <f>+'[5]3.SZ.TÁBL. SEGÍTŐ SZOLGÁLAT'!$S101</f>
        <v>0</v>
      </c>
      <c r="S100" s="207"/>
      <c r="T100" s="214">
        <f t="shared" si="235"/>
        <v>0</v>
      </c>
      <c r="U100" s="220">
        <f>+'[5]3.SZ.TÁBL. SEGÍTŐ SZOLGÁLAT'!$V101</f>
        <v>0</v>
      </c>
      <c r="V100" s="207"/>
      <c r="W100" s="214">
        <f t="shared" si="236"/>
        <v>0</v>
      </c>
      <c r="X100" s="220">
        <f>+'[5]3.SZ.TÁBL. SEGÍTŐ SZOLGÁLAT'!$Y101</f>
        <v>0</v>
      </c>
      <c r="Y100" s="207"/>
      <c r="Z100" s="212">
        <f t="shared" si="237"/>
        <v>0</v>
      </c>
      <c r="AA100" s="215">
        <f t="shared" si="238"/>
        <v>0</v>
      </c>
      <c r="AB100" s="207">
        <f t="shared" si="239"/>
        <v>0</v>
      </c>
      <c r="AC100" s="208">
        <f t="shared" si="240"/>
        <v>0</v>
      </c>
    </row>
    <row r="101" spans="1:29" ht="13.5" customHeight="1">
      <c r="A101" s="200" t="s">
        <v>259</v>
      </c>
      <c r="B101" s="210" t="s">
        <v>260</v>
      </c>
      <c r="C101" s="217">
        <f>+'[5]3.SZ.TÁBL. SEGÍTŐ SZOLGÁLAT'!$D102</f>
        <v>0</v>
      </c>
      <c r="D101" s="207"/>
      <c r="E101" s="212">
        <f t="shared" si="230"/>
        <v>0</v>
      </c>
      <c r="F101" s="220">
        <f>+'[5]3.SZ.TÁBL. SEGÍTŐ SZOLGÁLAT'!$G102</f>
        <v>0</v>
      </c>
      <c r="G101" s="207"/>
      <c r="H101" s="214">
        <f t="shared" si="231"/>
        <v>0</v>
      </c>
      <c r="I101" s="220">
        <f>+'[5]3.SZ.TÁBL. SEGÍTŐ SZOLGÁLAT'!$J102</f>
        <v>0</v>
      </c>
      <c r="J101" s="207"/>
      <c r="K101" s="212">
        <f t="shared" si="232"/>
        <v>0</v>
      </c>
      <c r="L101" s="220">
        <f>+'[5]3.SZ.TÁBL. SEGÍTŐ SZOLGÁLAT'!$M102</f>
        <v>0</v>
      </c>
      <c r="M101" s="207"/>
      <c r="N101" s="214">
        <f t="shared" si="233"/>
        <v>0</v>
      </c>
      <c r="O101" s="220">
        <f>+'[5]3.SZ.TÁBL. SEGÍTŐ SZOLGÁLAT'!$P102</f>
        <v>0</v>
      </c>
      <c r="P101" s="207"/>
      <c r="Q101" s="212">
        <f t="shared" si="234"/>
        <v>0</v>
      </c>
      <c r="R101" s="220">
        <f>+'[5]3.SZ.TÁBL. SEGÍTŐ SZOLGÁLAT'!$S102</f>
        <v>0</v>
      </c>
      <c r="S101" s="207"/>
      <c r="T101" s="214">
        <f t="shared" si="235"/>
        <v>0</v>
      </c>
      <c r="U101" s="220">
        <f>+'[5]3.SZ.TÁBL. SEGÍTŐ SZOLGÁLAT'!$V102</f>
        <v>0</v>
      </c>
      <c r="V101" s="207"/>
      <c r="W101" s="214">
        <f t="shared" si="236"/>
        <v>0</v>
      </c>
      <c r="X101" s="220">
        <f>+'[5]3.SZ.TÁBL. SEGÍTŐ SZOLGÁLAT'!$Y102</f>
        <v>0</v>
      </c>
      <c r="Y101" s="207"/>
      <c r="Z101" s="212">
        <f t="shared" si="237"/>
        <v>0</v>
      </c>
      <c r="AA101" s="215">
        <f t="shared" si="238"/>
        <v>0</v>
      </c>
      <c r="AB101" s="207">
        <f t="shared" si="239"/>
        <v>0</v>
      </c>
      <c r="AC101" s="208">
        <f t="shared" si="240"/>
        <v>0</v>
      </c>
    </row>
    <row r="102" spans="1:29" ht="13.5" customHeight="1">
      <c r="A102" s="200" t="s">
        <v>261</v>
      </c>
      <c r="B102" s="210" t="s">
        <v>262</v>
      </c>
      <c r="C102" s="217">
        <f>+'[5]3.SZ.TÁBL. SEGÍTŐ SZOLGÁLAT'!$D103</f>
        <v>0</v>
      </c>
      <c r="D102" s="207"/>
      <c r="E102" s="212">
        <f t="shared" si="230"/>
        <v>0</v>
      </c>
      <c r="F102" s="220">
        <f>+'[5]3.SZ.TÁBL. SEGÍTŐ SZOLGÁLAT'!$G103</f>
        <v>0</v>
      </c>
      <c r="G102" s="207"/>
      <c r="H102" s="214">
        <f t="shared" si="231"/>
        <v>0</v>
      </c>
      <c r="I102" s="220">
        <f>+'[5]3.SZ.TÁBL. SEGÍTŐ SZOLGÁLAT'!$J103</f>
        <v>0</v>
      </c>
      <c r="J102" s="207"/>
      <c r="K102" s="212">
        <f t="shared" si="232"/>
        <v>0</v>
      </c>
      <c r="L102" s="220">
        <f>+'[5]3.SZ.TÁBL. SEGÍTŐ SZOLGÁLAT'!$M103</f>
        <v>0</v>
      </c>
      <c r="M102" s="207"/>
      <c r="N102" s="214">
        <f t="shared" si="233"/>
        <v>0</v>
      </c>
      <c r="O102" s="220">
        <f>+'[5]3.SZ.TÁBL. SEGÍTŐ SZOLGÁLAT'!$P103</f>
        <v>0</v>
      </c>
      <c r="P102" s="207">
        <f>+[4]Seg.Szolgálat!$Q$97</f>
        <v>183</v>
      </c>
      <c r="Q102" s="212">
        <f t="shared" si="234"/>
        <v>183</v>
      </c>
      <c r="R102" s="220">
        <f>+'[5]3.SZ.TÁBL. SEGÍTŐ SZOLGÁLAT'!$S103</f>
        <v>0</v>
      </c>
      <c r="S102" s="207"/>
      <c r="T102" s="214">
        <f t="shared" si="235"/>
        <v>0</v>
      </c>
      <c r="U102" s="220">
        <f>+'[3]3.SZ.TÁBL. SEGÍTŐ SZOLGÁLAT'!$W$102</f>
        <v>985</v>
      </c>
      <c r="V102" s="207">
        <f>+[4]Seg.Szolgálat!$Q$35+[4]Seg.Szolgálat!$Q$95+[4]Seg.Szolgálat!$Q$129+[4]Seg.Szolgálat!$Q$178</f>
        <v>360</v>
      </c>
      <c r="W102" s="214">
        <f t="shared" si="236"/>
        <v>1345</v>
      </c>
      <c r="X102" s="220">
        <f>+'[5]3.SZ.TÁBL. SEGÍTŐ SZOLGÁLAT'!$Y103</f>
        <v>0</v>
      </c>
      <c r="Y102" s="207"/>
      <c r="Z102" s="212">
        <f t="shared" si="237"/>
        <v>0</v>
      </c>
      <c r="AA102" s="215">
        <f t="shared" si="238"/>
        <v>985</v>
      </c>
      <c r="AB102" s="207">
        <f t="shared" si="239"/>
        <v>543</v>
      </c>
      <c r="AC102" s="208">
        <f t="shared" si="240"/>
        <v>1528</v>
      </c>
    </row>
    <row r="103" spans="1:29" ht="13.5" customHeight="1">
      <c r="A103" s="200" t="s">
        <v>263</v>
      </c>
      <c r="B103" s="210" t="s">
        <v>264</v>
      </c>
      <c r="C103" s="217">
        <f>+'[5]3.SZ.TÁBL. SEGÍTŐ SZOLGÁLAT'!$D104</f>
        <v>0</v>
      </c>
      <c r="D103" s="207"/>
      <c r="E103" s="212">
        <f t="shared" si="230"/>
        <v>0</v>
      </c>
      <c r="F103" s="220">
        <f>+'[5]3.SZ.TÁBL. SEGÍTŐ SZOLGÁLAT'!$G104</f>
        <v>0</v>
      </c>
      <c r="G103" s="207"/>
      <c r="H103" s="214">
        <f t="shared" si="231"/>
        <v>0</v>
      </c>
      <c r="I103" s="220">
        <f>+'[5]3.SZ.TÁBL. SEGÍTŐ SZOLGÁLAT'!$J104</f>
        <v>0</v>
      </c>
      <c r="J103" s="207"/>
      <c r="K103" s="212">
        <f t="shared" si="232"/>
        <v>0</v>
      </c>
      <c r="L103" s="220">
        <f>+'[5]3.SZ.TÁBL. SEGÍTŐ SZOLGÁLAT'!$M104</f>
        <v>0</v>
      </c>
      <c r="M103" s="207"/>
      <c r="N103" s="214">
        <f t="shared" si="233"/>
        <v>0</v>
      </c>
      <c r="O103" s="220">
        <f>+'[5]3.SZ.TÁBL. SEGÍTŐ SZOLGÁLAT'!$P104</f>
        <v>0</v>
      </c>
      <c r="P103" s="207"/>
      <c r="Q103" s="212">
        <f t="shared" si="234"/>
        <v>0</v>
      </c>
      <c r="R103" s="220">
        <f>+'[5]3.SZ.TÁBL. SEGÍTŐ SZOLGÁLAT'!$S104</f>
        <v>0</v>
      </c>
      <c r="S103" s="207"/>
      <c r="T103" s="214">
        <f t="shared" si="235"/>
        <v>0</v>
      </c>
      <c r="U103" s="220">
        <f>+'[5]3.SZ.TÁBL. SEGÍTŐ SZOLGÁLAT'!$V104</f>
        <v>0</v>
      </c>
      <c r="V103" s="207"/>
      <c r="W103" s="214">
        <f t="shared" si="236"/>
        <v>0</v>
      </c>
      <c r="X103" s="220">
        <f>+'[5]3.SZ.TÁBL. SEGÍTŐ SZOLGÁLAT'!$Y104</f>
        <v>0</v>
      </c>
      <c r="Y103" s="207"/>
      <c r="Z103" s="212">
        <f t="shared" si="237"/>
        <v>0</v>
      </c>
      <c r="AA103" s="215">
        <f t="shared" si="238"/>
        <v>0</v>
      </c>
      <c r="AB103" s="207">
        <f t="shared" si="239"/>
        <v>0</v>
      </c>
      <c r="AC103" s="208">
        <f t="shared" si="240"/>
        <v>0</v>
      </c>
    </row>
    <row r="104" spans="1:29" ht="13.5" customHeight="1">
      <c r="A104" s="200" t="s">
        <v>265</v>
      </c>
      <c r="B104" s="210" t="s">
        <v>266</v>
      </c>
      <c r="C104" s="217">
        <f>+'[5]3.SZ.TÁBL. SEGÍTŐ SZOLGÁLAT'!$D105</f>
        <v>0</v>
      </c>
      <c r="D104" s="207"/>
      <c r="E104" s="212">
        <f t="shared" si="230"/>
        <v>0</v>
      </c>
      <c r="F104" s="220">
        <f>+'[5]3.SZ.TÁBL. SEGÍTŐ SZOLGÁLAT'!$G105</f>
        <v>0</v>
      </c>
      <c r="G104" s="207"/>
      <c r="H104" s="214">
        <f t="shared" si="231"/>
        <v>0</v>
      </c>
      <c r="I104" s="220">
        <f>+'[5]3.SZ.TÁBL. SEGÍTŐ SZOLGÁLAT'!$J105</f>
        <v>0</v>
      </c>
      <c r="J104" s="207"/>
      <c r="K104" s="212">
        <f t="shared" si="232"/>
        <v>0</v>
      </c>
      <c r="L104" s="220">
        <f>+'[5]3.SZ.TÁBL. SEGÍTŐ SZOLGÁLAT'!$M105</f>
        <v>0</v>
      </c>
      <c r="M104" s="207"/>
      <c r="N104" s="214">
        <f t="shared" si="233"/>
        <v>0</v>
      </c>
      <c r="O104" s="220">
        <f>+'[5]3.SZ.TÁBL. SEGÍTŐ SZOLGÁLAT'!$P105</f>
        <v>0</v>
      </c>
      <c r="P104" s="207"/>
      <c r="Q104" s="212">
        <f t="shared" si="234"/>
        <v>0</v>
      </c>
      <c r="R104" s="220">
        <f>+'[5]3.SZ.TÁBL. SEGÍTŐ SZOLGÁLAT'!$S105</f>
        <v>0</v>
      </c>
      <c r="S104" s="207"/>
      <c r="T104" s="214">
        <f t="shared" si="235"/>
        <v>0</v>
      </c>
      <c r="U104" s="220">
        <f>+'[5]3.SZ.TÁBL. SEGÍTŐ SZOLGÁLAT'!$V105</f>
        <v>0</v>
      </c>
      <c r="V104" s="207"/>
      <c r="W104" s="214">
        <f t="shared" si="236"/>
        <v>0</v>
      </c>
      <c r="X104" s="220">
        <f>+'[5]3.SZ.TÁBL. SEGÍTŐ SZOLGÁLAT'!$Y105</f>
        <v>0</v>
      </c>
      <c r="Y104" s="207"/>
      <c r="Z104" s="212">
        <f t="shared" si="237"/>
        <v>0</v>
      </c>
      <c r="AA104" s="215">
        <f t="shared" si="238"/>
        <v>0</v>
      </c>
      <c r="AB104" s="207">
        <f t="shared" si="239"/>
        <v>0</v>
      </c>
      <c r="AC104" s="208">
        <f t="shared" si="240"/>
        <v>0</v>
      </c>
    </row>
    <row r="105" spans="1:29" ht="13.5" customHeight="1">
      <c r="A105" s="201" t="s">
        <v>267</v>
      </c>
      <c r="B105" s="247" t="s">
        <v>268</v>
      </c>
      <c r="C105" s="217">
        <f>+'[5]3.SZ.TÁBL. SEGÍTŐ SZOLGÁLAT'!$D106</f>
        <v>0</v>
      </c>
      <c r="D105" s="227"/>
      <c r="E105" s="212">
        <f t="shared" si="230"/>
        <v>0</v>
      </c>
      <c r="F105" s="220">
        <f>+'[5]3.SZ.TÁBL. SEGÍTŐ SZOLGÁLAT'!$G106</f>
        <v>0</v>
      </c>
      <c r="G105" s="227"/>
      <c r="H105" s="230">
        <f t="shared" si="231"/>
        <v>0</v>
      </c>
      <c r="I105" s="220">
        <f>+'[5]3.SZ.TÁBL. SEGÍTŐ SZOLGÁLAT'!$J106</f>
        <v>0</v>
      </c>
      <c r="J105" s="227"/>
      <c r="K105" s="228">
        <f t="shared" si="232"/>
        <v>0</v>
      </c>
      <c r="L105" s="220">
        <f>+'[5]3.SZ.TÁBL. SEGÍTŐ SZOLGÁLAT'!$M106</f>
        <v>0</v>
      </c>
      <c r="M105" s="227"/>
      <c r="N105" s="230">
        <f t="shared" si="233"/>
        <v>0</v>
      </c>
      <c r="O105" s="220">
        <f>+'[5]3.SZ.TÁBL. SEGÍTŐ SZOLGÁLAT'!$P106</f>
        <v>0</v>
      </c>
      <c r="P105" s="227">
        <f>+[4]Seg.Szolgálat!$Q$98</f>
        <v>49</v>
      </c>
      <c r="Q105" s="228">
        <f t="shared" si="234"/>
        <v>49</v>
      </c>
      <c r="R105" s="220">
        <f>+'[5]3.SZ.TÁBL. SEGÍTŐ SZOLGÁLAT'!$S106</f>
        <v>0</v>
      </c>
      <c r="S105" s="227"/>
      <c r="T105" s="230">
        <f t="shared" si="235"/>
        <v>0</v>
      </c>
      <c r="U105" s="220">
        <f>+'[3]3.SZ.TÁBL. SEGÍTŐ SZOLGÁLAT'!$W$105</f>
        <v>266</v>
      </c>
      <c r="V105" s="227">
        <f>+[4]Seg.Szolgálat!$Q$96</f>
        <v>108</v>
      </c>
      <c r="W105" s="230">
        <f t="shared" si="236"/>
        <v>374</v>
      </c>
      <c r="X105" s="220">
        <f>+'[5]3.SZ.TÁBL. SEGÍTŐ SZOLGÁLAT'!$Y106</f>
        <v>0</v>
      </c>
      <c r="Y105" s="227"/>
      <c r="Z105" s="228">
        <f t="shared" si="237"/>
        <v>0</v>
      </c>
      <c r="AA105" s="231">
        <f t="shared" si="238"/>
        <v>266</v>
      </c>
      <c r="AB105" s="227">
        <f t="shared" si="239"/>
        <v>157</v>
      </c>
      <c r="AC105" s="232">
        <f t="shared" si="240"/>
        <v>423</v>
      </c>
    </row>
    <row r="106" spans="1:29" s="328" customFormat="1" ht="13.5" customHeight="1">
      <c r="A106" s="202" t="s">
        <v>183</v>
      </c>
      <c r="B106" s="248" t="s">
        <v>96</v>
      </c>
      <c r="C106" s="302">
        <f t="shared" ref="C106:AC106" si="241">SUM(C99:C105)</f>
        <v>0</v>
      </c>
      <c r="D106" s="300">
        <f t="shared" si="241"/>
        <v>0</v>
      </c>
      <c r="E106" s="303">
        <f t="shared" si="241"/>
        <v>0</v>
      </c>
      <c r="F106" s="326">
        <f t="shared" ref="F106" si="242">SUM(F99:F105)</f>
        <v>0</v>
      </c>
      <c r="G106" s="300">
        <f t="shared" si="241"/>
        <v>0</v>
      </c>
      <c r="H106" s="327">
        <f t="shared" si="241"/>
        <v>0</v>
      </c>
      <c r="I106" s="326">
        <f t="shared" si="241"/>
        <v>0</v>
      </c>
      <c r="J106" s="300">
        <f t="shared" si="241"/>
        <v>0</v>
      </c>
      <c r="K106" s="303">
        <f t="shared" si="241"/>
        <v>0</v>
      </c>
      <c r="L106" s="326">
        <f t="shared" ref="L106" si="243">SUM(L99:L105)</f>
        <v>0</v>
      </c>
      <c r="M106" s="300">
        <f t="shared" si="241"/>
        <v>0</v>
      </c>
      <c r="N106" s="327">
        <f t="shared" si="241"/>
        <v>0</v>
      </c>
      <c r="O106" s="326">
        <f t="shared" si="241"/>
        <v>0</v>
      </c>
      <c r="P106" s="300">
        <f t="shared" si="241"/>
        <v>232</v>
      </c>
      <c r="Q106" s="303">
        <f t="shared" si="241"/>
        <v>232</v>
      </c>
      <c r="R106" s="326">
        <f t="shared" ref="R106" si="244">SUM(R99:R105)</f>
        <v>0</v>
      </c>
      <c r="S106" s="300">
        <f t="shared" si="241"/>
        <v>0</v>
      </c>
      <c r="T106" s="327">
        <f t="shared" si="241"/>
        <v>0</v>
      </c>
      <c r="U106" s="326">
        <f t="shared" si="241"/>
        <v>1251</v>
      </c>
      <c r="V106" s="300">
        <f t="shared" si="241"/>
        <v>468</v>
      </c>
      <c r="W106" s="327">
        <f t="shared" si="241"/>
        <v>1719</v>
      </c>
      <c r="X106" s="326">
        <f t="shared" ref="X106" si="245">SUM(X99:X105)</f>
        <v>0</v>
      </c>
      <c r="Y106" s="300">
        <f t="shared" ref="Y106:Z106" si="246">SUM(Y99:Y105)</f>
        <v>0</v>
      </c>
      <c r="Z106" s="303">
        <f t="shared" si="246"/>
        <v>0</v>
      </c>
      <c r="AA106" s="295">
        <f t="shared" si="241"/>
        <v>1251</v>
      </c>
      <c r="AB106" s="300">
        <f t="shared" si="241"/>
        <v>700</v>
      </c>
      <c r="AC106" s="301">
        <f t="shared" si="241"/>
        <v>1951</v>
      </c>
    </row>
    <row r="107" spans="1:29" ht="13.5" customHeight="1">
      <c r="A107" s="199" t="s">
        <v>269</v>
      </c>
      <c r="B107" s="246" t="s">
        <v>270</v>
      </c>
      <c r="C107" s="217">
        <f>+'[5]3.SZ.TÁBL. SEGÍTŐ SZOLGÁLAT'!$D108</f>
        <v>0</v>
      </c>
      <c r="D107" s="218"/>
      <c r="E107" s="212">
        <f t="shared" ref="E107:E110" si="247">SUM(C107:D107)</f>
        <v>0</v>
      </c>
      <c r="F107" s="220">
        <f>+'[5]3.SZ.TÁBL. SEGÍTŐ SZOLGÁLAT'!$G108</f>
        <v>0</v>
      </c>
      <c r="G107" s="218"/>
      <c r="H107" s="221">
        <f t="shared" ref="H107:H110" si="248">SUM(F107:G107)</f>
        <v>0</v>
      </c>
      <c r="I107" s="220">
        <f>+'[5]3.SZ.TÁBL. SEGÍTŐ SZOLGÁLAT'!$J108</f>
        <v>0</v>
      </c>
      <c r="J107" s="218"/>
      <c r="K107" s="219">
        <f t="shared" ref="K107:K110" si="249">SUM(I107:J107)</f>
        <v>0</v>
      </c>
      <c r="L107" s="220">
        <f>+'[5]3.SZ.TÁBL. SEGÍTŐ SZOLGÁLAT'!$M108</f>
        <v>0</v>
      </c>
      <c r="M107" s="218"/>
      <c r="N107" s="221">
        <f t="shared" ref="N107:N110" si="250">SUM(L107:M107)</f>
        <v>0</v>
      </c>
      <c r="O107" s="220">
        <f>+'[5]3.SZ.TÁBL. SEGÍTŐ SZOLGÁLAT'!$P108</f>
        <v>0</v>
      </c>
      <c r="P107" s="218"/>
      <c r="Q107" s="219">
        <f t="shared" ref="Q107:Q110" si="251">SUM(O107:P107)</f>
        <v>0</v>
      </c>
      <c r="R107" s="220">
        <f>+'[5]3.SZ.TÁBL. SEGÍTŐ SZOLGÁLAT'!$S108</f>
        <v>0</v>
      </c>
      <c r="S107" s="218"/>
      <c r="T107" s="221">
        <f t="shared" ref="T107:T110" si="252">SUM(R107:S107)</f>
        <v>0</v>
      </c>
      <c r="U107" s="220">
        <f>+'[5]3.SZ.TÁBL. SEGÍTŐ SZOLGÁLAT'!$V108</f>
        <v>0</v>
      </c>
      <c r="V107" s="218"/>
      <c r="W107" s="221">
        <f t="shared" ref="W107:W110" si="253">SUM(U107:V107)</f>
        <v>0</v>
      </c>
      <c r="X107" s="220">
        <f>+'[5]3.SZ.TÁBL. SEGÍTŐ SZOLGÁLAT'!$Y108</f>
        <v>0</v>
      </c>
      <c r="Y107" s="218"/>
      <c r="Z107" s="219">
        <f t="shared" ref="Z107:Z110" si="254">SUM(X107:Y107)</f>
        <v>0</v>
      </c>
      <c r="AA107" s="222">
        <f t="shared" ref="AA107:AA110" si="255">+C107+F107+I107+L107+O107+R107+U107+X107</f>
        <v>0</v>
      </c>
      <c r="AB107" s="218">
        <f t="shared" ref="AB107:AB110" si="256">+D107+G107+J107+M107+P107+S107+V107+Y107</f>
        <v>0</v>
      </c>
      <c r="AC107" s="223">
        <f t="shared" ref="AC107:AC110" si="257">+E107+H107+K107+N107+Q107+T107+W107+Z107</f>
        <v>0</v>
      </c>
    </row>
    <row r="108" spans="1:29" ht="13.5" customHeight="1">
      <c r="A108" s="200" t="s">
        <v>271</v>
      </c>
      <c r="B108" s="210" t="s">
        <v>272</v>
      </c>
      <c r="C108" s="217">
        <f>+'[5]3.SZ.TÁBL. SEGÍTŐ SZOLGÁLAT'!$D109</f>
        <v>0</v>
      </c>
      <c r="D108" s="207"/>
      <c r="E108" s="212">
        <f t="shared" si="247"/>
        <v>0</v>
      </c>
      <c r="F108" s="220">
        <f>+'[5]3.SZ.TÁBL. SEGÍTŐ SZOLGÁLAT'!$G109</f>
        <v>0</v>
      </c>
      <c r="G108" s="207"/>
      <c r="H108" s="214">
        <f t="shared" si="248"/>
        <v>0</v>
      </c>
      <c r="I108" s="220">
        <f>+'[5]3.SZ.TÁBL. SEGÍTŐ SZOLGÁLAT'!$J109</f>
        <v>0</v>
      </c>
      <c r="J108" s="207"/>
      <c r="K108" s="212">
        <f t="shared" si="249"/>
        <v>0</v>
      </c>
      <c r="L108" s="220">
        <f>+'[5]3.SZ.TÁBL. SEGÍTŐ SZOLGÁLAT'!$M109</f>
        <v>0</v>
      </c>
      <c r="M108" s="207"/>
      <c r="N108" s="214">
        <f t="shared" si="250"/>
        <v>0</v>
      </c>
      <c r="O108" s="220">
        <f>+'[5]3.SZ.TÁBL. SEGÍTŐ SZOLGÁLAT'!$P109</f>
        <v>0</v>
      </c>
      <c r="P108" s="207"/>
      <c r="Q108" s="212">
        <f t="shared" si="251"/>
        <v>0</v>
      </c>
      <c r="R108" s="220">
        <f>+'[5]3.SZ.TÁBL. SEGÍTŐ SZOLGÁLAT'!$S109</f>
        <v>0</v>
      </c>
      <c r="S108" s="207"/>
      <c r="T108" s="214">
        <f t="shared" si="252"/>
        <v>0</v>
      </c>
      <c r="U108" s="220">
        <f>+'[5]3.SZ.TÁBL. SEGÍTŐ SZOLGÁLAT'!$V109</f>
        <v>0</v>
      </c>
      <c r="V108" s="207"/>
      <c r="W108" s="214">
        <f t="shared" si="253"/>
        <v>0</v>
      </c>
      <c r="X108" s="220">
        <f>+'[5]3.SZ.TÁBL. SEGÍTŐ SZOLGÁLAT'!$Y109</f>
        <v>0</v>
      </c>
      <c r="Y108" s="207"/>
      <c r="Z108" s="212">
        <f t="shared" si="254"/>
        <v>0</v>
      </c>
      <c r="AA108" s="215">
        <f t="shared" si="255"/>
        <v>0</v>
      </c>
      <c r="AB108" s="207">
        <f t="shared" si="256"/>
        <v>0</v>
      </c>
      <c r="AC108" s="208">
        <f t="shared" si="257"/>
        <v>0</v>
      </c>
    </row>
    <row r="109" spans="1:29" ht="13.5" customHeight="1">
      <c r="A109" s="200" t="s">
        <v>273</v>
      </c>
      <c r="B109" s="210" t="s">
        <v>274</v>
      </c>
      <c r="C109" s="217">
        <f>+'[5]3.SZ.TÁBL. SEGÍTŐ SZOLGÁLAT'!$D110</f>
        <v>0</v>
      </c>
      <c r="D109" s="207"/>
      <c r="E109" s="212">
        <f t="shared" si="247"/>
        <v>0</v>
      </c>
      <c r="F109" s="220">
        <f>+'[5]3.SZ.TÁBL. SEGÍTŐ SZOLGÁLAT'!$G110</f>
        <v>0</v>
      </c>
      <c r="G109" s="207"/>
      <c r="H109" s="214">
        <f t="shared" si="248"/>
        <v>0</v>
      </c>
      <c r="I109" s="220">
        <f>+'[5]3.SZ.TÁBL. SEGÍTŐ SZOLGÁLAT'!$J110</f>
        <v>0</v>
      </c>
      <c r="J109" s="207"/>
      <c r="K109" s="212">
        <f t="shared" si="249"/>
        <v>0</v>
      </c>
      <c r="L109" s="220">
        <f>+'[5]3.SZ.TÁBL. SEGÍTŐ SZOLGÁLAT'!$M110</f>
        <v>0</v>
      </c>
      <c r="M109" s="207"/>
      <c r="N109" s="214">
        <f t="shared" si="250"/>
        <v>0</v>
      </c>
      <c r="O109" s="220">
        <f>+'[5]3.SZ.TÁBL. SEGÍTŐ SZOLGÁLAT'!$P110</f>
        <v>0</v>
      </c>
      <c r="P109" s="207"/>
      <c r="Q109" s="212">
        <f t="shared" si="251"/>
        <v>0</v>
      </c>
      <c r="R109" s="220">
        <f>+'[5]3.SZ.TÁBL. SEGÍTŐ SZOLGÁLAT'!$S110</f>
        <v>0</v>
      </c>
      <c r="S109" s="207"/>
      <c r="T109" s="214">
        <f t="shared" si="252"/>
        <v>0</v>
      </c>
      <c r="U109" s="220">
        <f>+'[5]3.SZ.TÁBL. SEGÍTŐ SZOLGÁLAT'!$V110</f>
        <v>0</v>
      </c>
      <c r="V109" s="207"/>
      <c r="W109" s="214">
        <f t="shared" si="253"/>
        <v>0</v>
      </c>
      <c r="X109" s="220">
        <f>+'[5]3.SZ.TÁBL. SEGÍTŐ SZOLGÁLAT'!$Y110</f>
        <v>0</v>
      </c>
      <c r="Y109" s="207"/>
      <c r="Z109" s="212">
        <f t="shared" si="254"/>
        <v>0</v>
      </c>
      <c r="AA109" s="215">
        <f t="shared" si="255"/>
        <v>0</v>
      </c>
      <c r="AB109" s="207">
        <f t="shared" si="256"/>
        <v>0</v>
      </c>
      <c r="AC109" s="208">
        <f t="shared" si="257"/>
        <v>0</v>
      </c>
    </row>
    <row r="110" spans="1:29" ht="13.5" customHeight="1">
      <c r="A110" s="201" t="s">
        <v>275</v>
      </c>
      <c r="B110" s="247" t="s">
        <v>276</v>
      </c>
      <c r="C110" s="217">
        <f>+'[5]3.SZ.TÁBL. SEGÍTŐ SZOLGÁLAT'!$D111</f>
        <v>0</v>
      </c>
      <c r="D110" s="227"/>
      <c r="E110" s="212">
        <f t="shared" si="247"/>
        <v>0</v>
      </c>
      <c r="F110" s="220">
        <f>+'[5]3.SZ.TÁBL. SEGÍTŐ SZOLGÁLAT'!$G111</f>
        <v>0</v>
      </c>
      <c r="G110" s="227"/>
      <c r="H110" s="230">
        <f t="shared" si="248"/>
        <v>0</v>
      </c>
      <c r="I110" s="220">
        <f>+'[5]3.SZ.TÁBL. SEGÍTŐ SZOLGÁLAT'!$J111</f>
        <v>0</v>
      </c>
      <c r="J110" s="227"/>
      <c r="K110" s="228">
        <f t="shared" si="249"/>
        <v>0</v>
      </c>
      <c r="L110" s="220">
        <f>+'[5]3.SZ.TÁBL. SEGÍTŐ SZOLGÁLAT'!$M111</f>
        <v>0</v>
      </c>
      <c r="M110" s="227"/>
      <c r="N110" s="230">
        <f t="shared" si="250"/>
        <v>0</v>
      </c>
      <c r="O110" s="220">
        <f>+'[5]3.SZ.TÁBL. SEGÍTŐ SZOLGÁLAT'!$P111</f>
        <v>0</v>
      </c>
      <c r="P110" s="227"/>
      <c r="Q110" s="228">
        <f t="shared" si="251"/>
        <v>0</v>
      </c>
      <c r="R110" s="220">
        <f>+'[5]3.SZ.TÁBL. SEGÍTŐ SZOLGÁLAT'!$S111</f>
        <v>0</v>
      </c>
      <c r="S110" s="227"/>
      <c r="T110" s="230">
        <f t="shared" si="252"/>
        <v>0</v>
      </c>
      <c r="U110" s="220">
        <f>+'[5]3.SZ.TÁBL. SEGÍTŐ SZOLGÁLAT'!$V111</f>
        <v>0</v>
      </c>
      <c r="V110" s="227"/>
      <c r="W110" s="230">
        <f t="shared" si="253"/>
        <v>0</v>
      </c>
      <c r="X110" s="220">
        <f>+'[5]3.SZ.TÁBL. SEGÍTŐ SZOLGÁLAT'!$Y111</f>
        <v>0</v>
      </c>
      <c r="Y110" s="227"/>
      <c r="Z110" s="228">
        <f t="shared" si="254"/>
        <v>0</v>
      </c>
      <c r="AA110" s="231">
        <f t="shared" si="255"/>
        <v>0</v>
      </c>
      <c r="AB110" s="227">
        <f t="shared" si="256"/>
        <v>0</v>
      </c>
      <c r="AC110" s="232">
        <f t="shared" si="257"/>
        <v>0</v>
      </c>
    </row>
    <row r="111" spans="1:29" s="328" customFormat="1" ht="13.5" customHeight="1">
      <c r="A111" s="202" t="s">
        <v>184</v>
      </c>
      <c r="B111" s="248" t="s">
        <v>141</v>
      </c>
      <c r="C111" s="302">
        <f t="shared" ref="C111:AC111" si="258">SUM(C107:C110)</f>
        <v>0</v>
      </c>
      <c r="D111" s="300">
        <f t="shared" si="258"/>
        <v>0</v>
      </c>
      <c r="E111" s="303">
        <f t="shared" si="258"/>
        <v>0</v>
      </c>
      <c r="F111" s="326">
        <f t="shared" ref="F111" si="259">SUM(F107:F110)</f>
        <v>0</v>
      </c>
      <c r="G111" s="300">
        <f t="shared" si="258"/>
        <v>0</v>
      </c>
      <c r="H111" s="327">
        <f t="shared" si="258"/>
        <v>0</v>
      </c>
      <c r="I111" s="326">
        <f t="shared" si="258"/>
        <v>0</v>
      </c>
      <c r="J111" s="300">
        <f t="shared" si="258"/>
        <v>0</v>
      </c>
      <c r="K111" s="303">
        <f t="shared" si="258"/>
        <v>0</v>
      </c>
      <c r="L111" s="326">
        <f t="shared" ref="L111" si="260">SUM(L107:L110)</f>
        <v>0</v>
      </c>
      <c r="M111" s="300">
        <f t="shared" si="258"/>
        <v>0</v>
      </c>
      <c r="N111" s="327">
        <f t="shared" si="258"/>
        <v>0</v>
      </c>
      <c r="O111" s="326">
        <f t="shared" si="258"/>
        <v>0</v>
      </c>
      <c r="P111" s="300">
        <f t="shared" si="258"/>
        <v>0</v>
      </c>
      <c r="Q111" s="303">
        <f t="shared" si="258"/>
        <v>0</v>
      </c>
      <c r="R111" s="326">
        <f t="shared" ref="R111" si="261">SUM(R107:R110)</f>
        <v>0</v>
      </c>
      <c r="S111" s="300">
        <f t="shared" si="258"/>
        <v>0</v>
      </c>
      <c r="T111" s="327">
        <f t="shared" si="258"/>
        <v>0</v>
      </c>
      <c r="U111" s="326">
        <f t="shared" si="258"/>
        <v>0</v>
      </c>
      <c r="V111" s="300">
        <f t="shared" si="258"/>
        <v>0</v>
      </c>
      <c r="W111" s="327">
        <f t="shared" si="258"/>
        <v>0</v>
      </c>
      <c r="X111" s="326">
        <f t="shared" ref="X111" si="262">SUM(X107:X110)</f>
        <v>0</v>
      </c>
      <c r="Y111" s="300">
        <f t="shared" ref="Y111:Z111" si="263">SUM(Y107:Y110)</f>
        <v>0</v>
      </c>
      <c r="Z111" s="303">
        <f t="shared" si="263"/>
        <v>0</v>
      </c>
      <c r="AA111" s="295">
        <f t="shared" si="258"/>
        <v>0</v>
      </c>
      <c r="AB111" s="300">
        <f t="shared" si="258"/>
        <v>0</v>
      </c>
      <c r="AC111" s="301">
        <f t="shared" si="258"/>
        <v>0</v>
      </c>
    </row>
    <row r="112" spans="1:29" s="328" customFormat="1" ht="13.5" customHeight="1">
      <c r="A112" s="202" t="s">
        <v>185</v>
      </c>
      <c r="B112" s="248" t="s">
        <v>142</v>
      </c>
      <c r="C112" s="302"/>
      <c r="D112" s="300"/>
      <c r="E112" s="303"/>
      <c r="F112" s="326"/>
      <c r="G112" s="300"/>
      <c r="H112" s="327"/>
      <c r="I112" s="326"/>
      <c r="J112" s="300"/>
      <c r="K112" s="303"/>
      <c r="L112" s="326"/>
      <c r="M112" s="300"/>
      <c r="N112" s="327"/>
      <c r="O112" s="326"/>
      <c r="P112" s="300"/>
      <c r="Q112" s="303"/>
      <c r="R112" s="326"/>
      <c r="S112" s="300"/>
      <c r="T112" s="327"/>
      <c r="U112" s="326"/>
      <c r="V112" s="300"/>
      <c r="W112" s="327"/>
      <c r="X112" s="326"/>
      <c r="Y112" s="300"/>
      <c r="Z112" s="303"/>
      <c r="AA112" s="295">
        <f t="shared" ref="AA112" si="264">+C112+F112+I112+L112+O112+R112+U112+X112</f>
        <v>0</v>
      </c>
      <c r="AB112" s="300">
        <f t="shared" ref="AB112" si="265">+D112+G112+J112+M112+P112+S112+V112+Y112</f>
        <v>0</v>
      </c>
      <c r="AC112" s="301">
        <f t="shared" ref="AC112" si="266">+E112+H112+K112+N112+Q112+T112+W112+Z112</f>
        <v>0</v>
      </c>
    </row>
    <row r="113" spans="1:29" s="328" customFormat="1" ht="13.5" customHeight="1">
      <c r="A113" s="206" t="s">
        <v>186</v>
      </c>
      <c r="B113" s="248" t="s">
        <v>143</v>
      </c>
      <c r="C113" s="302">
        <f t="shared" ref="C113:AC113" si="267">+C61+C62+C94+C98+C106+C111+C112</f>
        <v>2507</v>
      </c>
      <c r="D113" s="300">
        <f t="shared" si="267"/>
        <v>-193</v>
      </c>
      <c r="E113" s="303">
        <f t="shared" si="267"/>
        <v>2314</v>
      </c>
      <c r="F113" s="326">
        <f t="shared" si="267"/>
        <v>21179</v>
      </c>
      <c r="G113" s="300">
        <f t="shared" si="267"/>
        <v>2237</v>
      </c>
      <c r="H113" s="327">
        <f t="shared" si="267"/>
        <v>23416</v>
      </c>
      <c r="I113" s="326">
        <f t="shared" si="267"/>
        <v>35228</v>
      </c>
      <c r="J113" s="300">
        <f t="shared" si="267"/>
        <v>1516</v>
      </c>
      <c r="K113" s="303">
        <f t="shared" si="267"/>
        <v>36744</v>
      </c>
      <c r="L113" s="326">
        <f t="shared" si="267"/>
        <v>23277</v>
      </c>
      <c r="M113" s="300">
        <f t="shared" si="267"/>
        <v>3486</v>
      </c>
      <c r="N113" s="327">
        <f t="shared" si="267"/>
        <v>26763</v>
      </c>
      <c r="O113" s="326">
        <f t="shared" si="267"/>
        <v>15304</v>
      </c>
      <c r="P113" s="300">
        <f t="shared" si="267"/>
        <v>1182</v>
      </c>
      <c r="Q113" s="303">
        <f t="shared" si="267"/>
        <v>16486</v>
      </c>
      <c r="R113" s="326">
        <f t="shared" si="267"/>
        <v>6454</v>
      </c>
      <c r="S113" s="300">
        <f t="shared" si="267"/>
        <v>223</v>
      </c>
      <c r="T113" s="327">
        <f t="shared" si="267"/>
        <v>6677</v>
      </c>
      <c r="U113" s="326">
        <f t="shared" si="267"/>
        <v>13286</v>
      </c>
      <c r="V113" s="300">
        <f t="shared" si="267"/>
        <v>-705</v>
      </c>
      <c r="W113" s="327">
        <f t="shared" si="267"/>
        <v>12581</v>
      </c>
      <c r="X113" s="326">
        <f t="shared" si="267"/>
        <v>1948</v>
      </c>
      <c r="Y113" s="300">
        <f t="shared" si="267"/>
        <v>-111</v>
      </c>
      <c r="Z113" s="303">
        <f t="shared" si="267"/>
        <v>1837</v>
      </c>
      <c r="AA113" s="295">
        <f t="shared" si="267"/>
        <v>119183</v>
      </c>
      <c r="AB113" s="300">
        <f t="shared" si="267"/>
        <v>7635</v>
      </c>
      <c r="AC113" s="301">
        <f t="shared" si="267"/>
        <v>126818</v>
      </c>
    </row>
    <row r="114" spans="1:29" s="328" customFormat="1" ht="13.5" customHeight="1" thickBot="1">
      <c r="A114" s="251" t="s">
        <v>187</v>
      </c>
      <c r="B114" s="252" t="s">
        <v>144</v>
      </c>
      <c r="C114" s="320"/>
      <c r="D114" s="318"/>
      <c r="E114" s="321"/>
      <c r="F114" s="329"/>
      <c r="G114" s="318"/>
      <c r="H114" s="330"/>
      <c r="I114" s="329"/>
      <c r="J114" s="318"/>
      <c r="K114" s="321"/>
      <c r="L114" s="329"/>
      <c r="M114" s="318"/>
      <c r="N114" s="330"/>
      <c r="O114" s="329"/>
      <c r="P114" s="318"/>
      <c r="Q114" s="321"/>
      <c r="R114" s="329"/>
      <c r="S114" s="318"/>
      <c r="T114" s="330"/>
      <c r="U114" s="329"/>
      <c r="V114" s="318"/>
      <c r="W114" s="330"/>
      <c r="X114" s="329"/>
      <c r="Y114" s="318"/>
      <c r="Z114" s="321"/>
      <c r="AA114" s="317">
        <f t="shared" ref="AA114" si="268">+C114+F114+I114+L114+O114+R114+U114+X114</f>
        <v>0</v>
      </c>
      <c r="AB114" s="318">
        <f t="shared" ref="AB114" si="269">+D114+G114+J114+M114+P114+S114+V114+Y114</f>
        <v>0</v>
      </c>
      <c r="AC114" s="319">
        <f t="shared" ref="AC114" si="270">+E114+H114+K114+N114+Q114+T114+W114+Z114</f>
        <v>0</v>
      </c>
    </row>
    <row r="115" spans="1:29" s="328" customFormat="1" ht="13.5" customHeight="1" thickBot="1">
      <c r="A115" s="866" t="s">
        <v>289</v>
      </c>
      <c r="B115" s="893"/>
      <c r="C115" s="311">
        <f t="shared" ref="C115:AC115" si="271">+SUM(C113:C114)</f>
        <v>2507</v>
      </c>
      <c r="D115" s="309">
        <f t="shared" si="271"/>
        <v>-193</v>
      </c>
      <c r="E115" s="312">
        <f t="shared" si="271"/>
        <v>2314</v>
      </c>
      <c r="F115" s="331">
        <f t="shared" ref="F115" si="272">+SUM(F113:F114)</f>
        <v>21179</v>
      </c>
      <c r="G115" s="309">
        <f t="shared" si="271"/>
        <v>2237</v>
      </c>
      <c r="H115" s="332">
        <f t="shared" si="271"/>
        <v>23416</v>
      </c>
      <c r="I115" s="331">
        <f t="shared" si="271"/>
        <v>35228</v>
      </c>
      <c r="J115" s="309">
        <f t="shared" si="271"/>
        <v>1516</v>
      </c>
      <c r="K115" s="312">
        <f t="shared" si="271"/>
        <v>36744</v>
      </c>
      <c r="L115" s="331">
        <f t="shared" ref="L115" si="273">+SUM(L113:L114)</f>
        <v>23277</v>
      </c>
      <c r="M115" s="309">
        <f t="shared" si="271"/>
        <v>3486</v>
      </c>
      <c r="N115" s="332">
        <f t="shared" si="271"/>
        <v>26763</v>
      </c>
      <c r="O115" s="331">
        <f t="shared" si="271"/>
        <v>15304</v>
      </c>
      <c r="P115" s="309">
        <f t="shared" si="271"/>
        <v>1182</v>
      </c>
      <c r="Q115" s="312">
        <f t="shared" si="271"/>
        <v>16486</v>
      </c>
      <c r="R115" s="331">
        <f t="shared" ref="R115" si="274">+SUM(R113:R114)</f>
        <v>6454</v>
      </c>
      <c r="S115" s="309">
        <f t="shared" si="271"/>
        <v>223</v>
      </c>
      <c r="T115" s="332">
        <f t="shared" si="271"/>
        <v>6677</v>
      </c>
      <c r="U115" s="331">
        <f t="shared" si="271"/>
        <v>13286</v>
      </c>
      <c r="V115" s="309">
        <f t="shared" si="271"/>
        <v>-705</v>
      </c>
      <c r="W115" s="332">
        <f t="shared" si="271"/>
        <v>12581</v>
      </c>
      <c r="X115" s="331">
        <f t="shared" ref="X115" si="275">+SUM(X113:X114)</f>
        <v>1948</v>
      </c>
      <c r="Y115" s="309">
        <f t="shared" ref="Y115:Z115" si="276">+SUM(Y113:Y114)</f>
        <v>-111</v>
      </c>
      <c r="Z115" s="312">
        <f t="shared" si="276"/>
        <v>1837</v>
      </c>
      <c r="AA115" s="308">
        <f t="shared" si="271"/>
        <v>119183</v>
      </c>
      <c r="AB115" s="309">
        <f t="shared" si="271"/>
        <v>7635</v>
      </c>
      <c r="AC115" s="310">
        <f t="shared" si="271"/>
        <v>126818</v>
      </c>
    </row>
    <row r="116" spans="1:29" ht="13.5" customHeight="1" thickBot="1">
      <c r="N116" s="55"/>
      <c r="T116" s="55"/>
      <c r="W116" s="55"/>
      <c r="Z116" s="55"/>
    </row>
    <row r="117" spans="1:29" s="328" customFormat="1" ht="13.5" customHeight="1" thickBot="1">
      <c r="A117" s="864" t="s">
        <v>308</v>
      </c>
      <c r="B117" s="865"/>
      <c r="C117" s="331">
        <f t="shared" ref="C117:AC117" si="277">+C41-C115</f>
        <v>0</v>
      </c>
      <c r="D117" s="309">
        <f t="shared" si="277"/>
        <v>0</v>
      </c>
      <c r="E117" s="332">
        <f t="shared" si="277"/>
        <v>0</v>
      </c>
      <c r="F117" s="331">
        <f t="shared" si="277"/>
        <v>0</v>
      </c>
      <c r="G117" s="309">
        <f t="shared" si="277"/>
        <v>0</v>
      </c>
      <c r="H117" s="332">
        <f t="shared" si="277"/>
        <v>0</v>
      </c>
      <c r="I117" s="331">
        <f t="shared" si="277"/>
        <v>0</v>
      </c>
      <c r="J117" s="309">
        <f t="shared" si="277"/>
        <v>0</v>
      </c>
      <c r="K117" s="332">
        <f t="shared" si="277"/>
        <v>0</v>
      </c>
      <c r="L117" s="331">
        <f t="shared" si="277"/>
        <v>0</v>
      </c>
      <c r="M117" s="309">
        <f t="shared" si="277"/>
        <v>0</v>
      </c>
      <c r="N117" s="332">
        <f t="shared" si="277"/>
        <v>0</v>
      </c>
      <c r="O117" s="331">
        <f t="shared" si="277"/>
        <v>0</v>
      </c>
      <c r="P117" s="309">
        <f t="shared" si="277"/>
        <v>0</v>
      </c>
      <c r="Q117" s="332">
        <f t="shared" si="277"/>
        <v>0</v>
      </c>
      <c r="R117" s="331">
        <f t="shared" si="277"/>
        <v>0</v>
      </c>
      <c r="S117" s="309">
        <f t="shared" si="277"/>
        <v>0</v>
      </c>
      <c r="T117" s="332">
        <f t="shared" si="277"/>
        <v>0</v>
      </c>
      <c r="U117" s="331">
        <f t="shared" si="277"/>
        <v>0</v>
      </c>
      <c r="V117" s="309">
        <f t="shared" si="277"/>
        <v>0</v>
      </c>
      <c r="W117" s="332">
        <f t="shared" si="277"/>
        <v>0</v>
      </c>
      <c r="X117" s="331">
        <f t="shared" si="277"/>
        <v>0</v>
      </c>
      <c r="Y117" s="309">
        <f t="shared" si="277"/>
        <v>0</v>
      </c>
      <c r="Z117" s="332">
        <f t="shared" si="277"/>
        <v>0</v>
      </c>
      <c r="AA117" s="331">
        <f t="shared" si="277"/>
        <v>0</v>
      </c>
      <c r="AB117" s="309">
        <f t="shared" si="277"/>
        <v>0</v>
      </c>
      <c r="AC117" s="332">
        <f t="shared" si="277"/>
        <v>0</v>
      </c>
    </row>
    <row r="118" spans="1:29" ht="13.5" customHeight="1"/>
    <row r="119" spans="1:29" ht="13.5" customHeight="1"/>
    <row r="120" spans="1:29" ht="13.5" customHeight="1">
      <c r="B120" s="54" t="s">
        <v>302</v>
      </c>
      <c r="C120" s="336">
        <f>+(C71+C74+C84)*0.27</f>
        <v>221.94000000000003</v>
      </c>
      <c r="F120" s="336">
        <f>+(F71+F74+F84)*0.27</f>
        <v>918.2700000000001</v>
      </c>
      <c r="I120" s="336">
        <f>+(I71+I74+I84)*0.27</f>
        <v>625.59</v>
      </c>
      <c r="J120" s="56"/>
      <c r="K120" s="56"/>
      <c r="L120" s="336">
        <f>+(L71+L74+L84)*0.27</f>
        <v>744.3900000000001</v>
      </c>
      <c r="M120" s="56"/>
      <c r="O120" s="336">
        <f>+(O71+O74+O84)*0.27</f>
        <v>843.75</v>
      </c>
      <c r="R120" s="336">
        <f>+(R71+R74+R84)*0.27</f>
        <v>702.81000000000006</v>
      </c>
      <c r="S120" s="56"/>
      <c r="U120" s="336">
        <f>+(U71+U74+U84)*0.27</f>
        <v>189.27</v>
      </c>
      <c r="V120" s="9"/>
      <c r="W120" s="9"/>
      <c r="X120" s="336">
        <f>+(X71+X74+X84)*0.27</f>
        <v>414.18</v>
      </c>
      <c r="Y120" s="9"/>
      <c r="Z120" s="9"/>
      <c r="AA120" s="9"/>
      <c r="AB120" s="9"/>
      <c r="AC120" s="9"/>
    </row>
    <row r="121" spans="1:29" ht="13.5" customHeight="1">
      <c r="B121" s="54" t="s">
        <v>298</v>
      </c>
      <c r="C121" s="333">
        <v>543</v>
      </c>
      <c r="D121" s="333"/>
      <c r="E121" s="333"/>
      <c r="F121" s="333">
        <v>566</v>
      </c>
      <c r="G121" s="333"/>
      <c r="H121" s="333"/>
      <c r="I121" s="333">
        <v>436</v>
      </c>
      <c r="J121" s="333"/>
      <c r="K121" s="333"/>
      <c r="L121" s="333">
        <v>824</v>
      </c>
      <c r="M121" s="333"/>
      <c r="N121" s="333"/>
      <c r="O121" s="333">
        <v>678</v>
      </c>
      <c r="P121" s="333"/>
      <c r="Q121" s="333"/>
      <c r="R121" s="333">
        <v>476</v>
      </c>
      <c r="S121" s="333"/>
      <c r="T121" s="333"/>
      <c r="U121" s="454">
        <v>66</v>
      </c>
      <c r="V121" s="454"/>
      <c r="W121" s="454"/>
      <c r="X121" s="454">
        <v>66</v>
      </c>
      <c r="Y121" s="454"/>
      <c r="Z121" s="454"/>
      <c r="AA121" s="454"/>
      <c r="AB121" s="454"/>
      <c r="AC121" s="454"/>
    </row>
    <row r="122" spans="1:29" ht="15" customHeight="1">
      <c r="C122" s="333"/>
      <c r="D122" s="333"/>
      <c r="E122" s="333"/>
      <c r="F122" s="333"/>
      <c r="G122" s="333"/>
      <c r="H122" s="333"/>
      <c r="I122" s="333"/>
      <c r="J122" s="333"/>
      <c r="K122" s="333"/>
      <c r="L122" s="333"/>
      <c r="M122" s="333"/>
      <c r="N122" s="333"/>
      <c r="O122" s="333"/>
      <c r="P122" s="333"/>
      <c r="Q122" s="333"/>
      <c r="R122" s="333"/>
      <c r="S122" s="333"/>
      <c r="T122" s="333"/>
      <c r="U122" s="333"/>
      <c r="V122" s="333"/>
      <c r="W122" s="333"/>
      <c r="X122" s="333"/>
      <c r="Y122" s="333"/>
      <c r="Z122" s="333"/>
      <c r="AA122" s="333"/>
      <c r="AB122" s="333"/>
      <c r="AC122" s="333"/>
    </row>
    <row r="125" spans="1:29" ht="15" customHeight="1">
      <c r="B125" s="54" t="s">
        <v>358</v>
      </c>
      <c r="C125" s="55">
        <v>2602</v>
      </c>
      <c r="E125" s="334"/>
      <c r="W125" s="334"/>
      <c r="Z125" s="334"/>
    </row>
    <row r="126" spans="1:29" ht="15" customHeight="1">
      <c r="B126" s="54" t="s">
        <v>4</v>
      </c>
      <c r="C126" s="55">
        <v>1</v>
      </c>
      <c r="D126" s="335">
        <f>+C126/$C$133</f>
        <v>0.1</v>
      </c>
      <c r="E126" s="336">
        <f>+$C$125*$D126</f>
        <v>260.2</v>
      </c>
      <c r="F126" s="55">
        <v>260</v>
      </c>
      <c r="U126" s="55">
        <v>0</v>
      </c>
      <c r="V126" s="335">
        <f>+U126/$U$133</f>
        <v>0</v>
      </c>
      <c r="W126" s="336">
        <f>+$V$125*$V126</f>
        <v>0</v>
      </c>
      <c r="X126" s="55">
        <v>0</v>
      </c>
      <c r="Y126" s="335">
        <f>+X126/$U$133</f>
        <v>0</v>
      </c>
      <c r="Z126" s="336">
        <f>+$V$125*$V126</f>
        <v>0</v>
      </c>
    </row>
    <row r="127" spans="1:29" ht="15" customHeight="1">
      <c r="B127" s="54" t="s">
        <v>6</v>
      </c>
      <c r="C127" s="55">
        <v>0</v>
      </c>
      <c r="D127" s="335">
        <f t="shared" ref="D127:D131" si="278">+C127/$C$133</f>
        <v>0</v>
      </c>
      <c r="E127" s="336">
        <f t="shared" ref="E127:E131" si="279">+$C$125*$D127</f>
        <v>0</v>
      </c>
      <c r="U127" s="55">
        <v>0</v>
      </c>
      <c r="V127" s="335">
        <f t="shared" ref="V127:V132" si="280">+U127/$U$133</f>
        <v>0</v>
      </c>
      <c r="W127" s="336">
        <f t="shared" ref="W127:W132" si="281">+$V$125*$V127</f>
        <v>0</v>
      </c>
      <c r="X127" s="55">
        <v>0</v>
      </c>
      <c r="Y127" s="335">
        <f t="shared" ref="Y127:Y132" si="282">+X127/$U$133</f>
        <v>0</v>
      </c>
      <c r="Z127" s="336">
        <f t="shared" ref="Z127:Z132" si="283">+$V$125*$V127</f>
        <v>0</v>
      </c>
    </row>
    <row r="128" spans="1:29" ht="15" customHeight="1">
      <c r="B128" s="54" t="s">
        <v>7</v>
      </c>
      <c r="C128" s="55">
        <v>1</v>
      </c>
      <c r="D128" s="335">
        <f t="shared" si="278"/>
        <v>0.1</v>
      </c>
      <c r="E128" s="336">
        <f t="shared" si="279"/>
        <v>260.2</v>
      </c>
      <c r="F128" s="55">
        <v>260</v>
      </c>
      <c r="U128" s="55">
        <v>0</v>
      </c>
      <c r="V128" s="335">
        <f t="shared" si="280"/>
        <v>0</v>
      </c>
      <c r="W128" s="336">
        <f t="shared" si="281"/>
        <v>0</v>
      </c>
      <c r="X128" s="55">
        <v>0</v>
      </c>
      <c r="Y128" s="335">
        <f t="shared" si="282"/>
        <v>0</v>
      </c>
      <c r="Z128" s="336">
        <f t="shared" si="283"/>
        <v>0</v>
      </c>
    </row>
    <row r="129" spans="2:27" ht="15" customHeight="1">
      <c r="B129" s="54" t="s">
        <v>8</v>
      </c>
      <c r="C129" s="55">
        <v>7</v>
      </c>
      <c r="D129" s="335">
        <f t="shared" si="278"/>
        <v>0.7</v>
      </c>
      <c r="E129" s="336">
        <f t="shared" si="279"/>
        <v>1821.3999999999999</v>
      </c>
      <c r="F129" s="55">
        <v>1822</v>
      </c>
      <c r="U129" s="55">
        <v>3</v>
      </c>
      <c r="V129" s="335">
        <f t="shared" si="280"/>
        <v>0.42857142857142855</v>
      </c>
      <c r="W129" s="336">
        <f t="shared" si="281"/>
        <v>0</v>
      </c>
      <c r="X129" s="55">
        <v>3</v>
      </c>
      <c r="Y129" s="335">
        <f t="shared" si="282"/>
        <v>0.42857142857142855</v>
      </c>
      <c r="Z129" s="336">
        <f t="shared" si="283"/>
        <v>0</v>
      </c>
    </row>
    <row r="130" spans="2:27" ht="15" customHeight="1">
      <c r="B130" s="54" t="s">
        <v>9</v>
      </c>
      <c r="C130" s="55">
        <v>1</v>
      </c>
      <c r="D130" s="335">
        <f t="shared" si="278"/>
        <v>0.1</v>
      </c>
      <c r="E130" s="336">
        <f t="shared" si="279"/>
        <v>260.2</v>
      </c>
      <c r="F130" s="55">
        <v>260</v>
      </c>
      <c r="U130" s="55">
        <v>0</v>
      </c>
      <c r="V130" s="335">
        <f t="shared" si="280"/>
        <v>0</v>
      </c>
      <c r="W130" s="336">
        <f t="shared" si="281"/>
        <v>0</v>
      </c>
      <c r="X130" s="55">
        <v>0</v>
      </c>
      <c r="Y130" s="335">
        <f t="shared" si="282"/>
        <v>0</v>
      </c>
      <c r="Z130" s="336">
        <f t="shared" si="283"/>
        <v>0</v>
      </c>
    </row>
    <row r="131" spans="2:27" ht="15" customHeight="1">
      <c r="B131" s="54" t="s">
        <v>10</v>
      </c>
      <c r="C131" s="55">
        <v>0</v>
      </c>
      <c r="D131" s="335">
        <f t="shared" si="278"/>
        <v>0</v>
      </c>
      <c r="E131" s="336">
        <f t="shared" si="279"/>
        <v>0</v>
      </c>
      <c r="U131" s="55">
        <v>4</v>
      </c>
      <c r="V131" s="335">
        <f t="shared" si="280"/>
        <v>0.5714285714285714</v>
      </c>
      <c r="W131" s="336">
        <f t="shared" si="281"/>
        <v>0</v>
      </c>
      <c r="X131" s="55">
        <v>4</v>
      </c>
      <c r="Y131" s="335">
        <f t="shared" si="282"/>
        <v>0.5714285714285714</v>
      </c>
      <c r="Z131" s="336">
        <f t="shared" si="283"/>
        <v>0</v>
      </c>
    </row>
    <row r="132" spans="2:27" ht="15" customHeight="1">
      <c r="B132" s="54" t="s">
        <v>295</v>
      </c>
      <c r="D132" s="335"/>
      <c r="E132" s="336"/>
      <c r="U132" s="55">
        <v>0</v>
      </c>
      <c r="V132" s="335">
        <f t="shared" si="280"/>
        <v>0</v>
      </c>
      <c r="W132" s="336">
        <f t="shared" si="281"/>
        <v>0</v>
      </c>
      <c r="X132" s="55">
        <v>0</v>
      </c>
      <c r="Y132" s="335">
        <f t="shared" si="282"/>
        <v>0</v>
      </c>
      <c r="Z132" s="336">
        <f t="shared" si="283"/>
        <v>0</v>
      </c>
    </row>
    <row r="133" spans="2:27" ht="15" customHeight="1">
      <c r="C133" s="55">
        <f>SUM(C126:C132)</f>
        <v>10</v>
      </c>
      <c r="D133" s="339">
        <f>SUM(D126:D132)</f>
        <v>0.99999999999999989</v>
      </c>
      <c r="E133" s="336">
        <f>SUM(E126:E132)</f>
        <v>2601.9999999999995</v>
      </c>
      <c r="F133" s="336">
        <f>SUM(F126:F132)</f>
        <v>2602</v>
      </c>
      <c r="U133" s="55">
        <f t="shared" ref="U133:AA133" si="284">SUM(U126:U132)</f>
        <v>7</v>
      </c>
      <c r="V133" s="491">
        <f t="shared" si="284"/>
        <v>1</v>
      </c>
      <c r="W133" s="336">
        <f t="shared" si="284"/>
        <v>0</v>
      </c>
      <c r="X133" s="55">
        <f t="shared" si="284"/>
        <v>7</v>
      </c>
      <c r="Y133" s="491">
        <f t="shared" si="284"/>
        <v>1</v>
      </c>
      <c r="Z133" s="336">
        <f t="shared" si="284"/>
        <v>0</v>
      </c>
      <c r="AA133" s="336">
        <f t="shared" si="284"/>
        <v>0</v>
      </c>
    </row>
    <row r="134" spans="2:27" ht="15" customHeight="1">
      <c r="E134" s="337"/>
    </row>
    <row r="135" spans="2:27" ht="15" customHeight="1">
      <c r="B135" s="54" t="s">
        <v>310</v>
      </c>
      <c r="F135" s="55">
        <v>509</v>
      </c>
      <c r="I135" s="55">
        <v>7089</v>
      </c>
      <c r="L135" s="55">
        <v>254</v>
      </c>
      <c r="O135" s="55">
        <v>636</v>
      </c>
    </row>
    <row r="136" spans="2:27" ht="15" customHeight="1">
      <c r="B136" s="57" t="s">
        <v>4</v>
      </c>
      <c r="C136" s="338">
        <v>2771</v>
      </c>
      <c r="D136" s="335">
        <f>+C136/$C$143</f>
        <v>0.14732309001010155</v>
      </c>
      <c r="F136" s="336">
        <f>+$F$135*D136</f>
        <v>74.987452815141694</v>
      </c>
      <c r="G136" s="55">
        <v>75</v>
      </c>
      <c r="I136" s="336">
        <f>+$I$135*D136</f>
        <v>1044.37338508161</v>
      </c>
      <c r="J136" s="55">
        <v>1044</v>
      </c>
      <c r="L136" s="336">
        <f>+$L$135*D136</f>
        <v>37.420064862565795</v>
      </c>
      <c r="M136" s="55">
        <v>37</v>
      </c>
      <c r="O136" s="336">
        <f>+$O$135*D146</f>
        <v>108.38597785977859</v>
      </c>
      <c r="P136" s="55">
        <v>108</v>
      </c>
      <c r="R136" s="55">
        <v>1732</v>
      </c>
    </row>
    <row r="137" spans="2:27" ht="15" customHeight="1">
      <c r="B137" s="57" t="s">
        <v>6</v>
      </c>
      <c r="C137" s="338">
        <v>1262</v>
      </c>
      <c r="D137" s="335">
        <f t="shared" ref="D137:D142" si="285">+C137/$C$143</f>
        <v>6.7095539369450799E-2</v>
      </c>
      <c r="F137" s="336">
        <f t="shared" ref="F137:F142" si="286">+$F$135*D137</f>
        <v>34.151629539050454</v>
      </c>
      <c r="G137" s="55">
        <v>34</v>
      </c>
      <c r="I137" s="336">
        <f t="shared" ref="I137:I142" si="287">+$I$135*D137</f>
        <v>475.6402785900367</v>
      </c>
      <c r="J137" s="55">
        <v>476</v>
      </c>
      <c r="L137" s="336">
        <f t="shared" ref="L137:L142" si="288">+$L$135*D137</f>
        <v>17.042266999840503</v>
      </c>
      <c r="M137" s="55">
        <v>17</v>
      </c>
      <c r="O137" s="336">
        <f t="shared" ref="O137:O141" si="289">+$O$135*D147</f>
        <v>49.362361623616238</v>
      </c>
      <c r="P137" s="55">
        <v>49</v>
      </c>
    </row>
    <row r="138" spans="2:27" ht="15" customHeight="1">
      <c r="B138" s="57" t="s">
        <v>7</v>
      </c>
      <c r="C138" s="338">
        <v>1090</v>
      </c>
      <c r="D138" s="335">
        <f t="shared" si="285"/>
        <v>5.7950980913392527E-2</v>
      </c>
      <c r="F138" s="336">
        <f t="shared" si="286"/>
        <v>29.497049284916798</v>
      </c>
      <c r="G138" s="55">
        <v>30</v>
      </c>
      <c r="I138" s="336">
        <f t="shared" si="287"/>
        <v>410.8145036950396</v>
      </c>
      <c r="J138" s="55">
        <v>411</v>
      </c>
      <c r="L138" s="336">
        <f t="shared" si="288"/>
        <v>14.719549152001703</v>
      </c>
      <c r="M138" s="55">
        <v>15</v>
      </c>
      <c r="O138" s="336">
        <f t="shared" si="289"/>
        <v>42.634686346863468</v>
      </c>
      <c r="P138" s="55">
        <v>43</v>
      </c>
    </row>
    <row r="139" spans="2:27" ht="15" customHeight="1">
      <c r="B139" s="57" t="s">
        <v>8</v>
      </c>
      <c r="C139" s="338">
        <v>5699</v>
      </c>
      <c r="D139" s="335">
        <f t="shared" si="285"/>
        <v>0.30299324791323301</v>
      </c>
      <c r="F139" s="336">
        <f t="shared" si="286"/>
        <v>154.22356318783559</v>
      </c>
      <c r="G139" s="55">
        <v>154</v>
      </c>
      <c r="I139" s="336">
        <f t="shared" si="287"/>
        <v>2147.919134456909</v>
      </c>
      <c r="J139" s="55">
        <v>2148</v>
      </c>
      <c r="L139" s="336">
        <f t="shared" si="288"/>
        <v>76.96028496996118</v>
      </c>
      <c r="M139" s="55">
        <v>77</v>
      </c>
      <c r="O139" s="336">
        <f t="shared" si="289"/>
        <v>222.91291512915132</v>
      </c>
      <c r="P139" s="55">
        <v>223</v>
      </c>
    </row>
    <row r="140" spans="2:27" ht="15" customHeight="1">
      <c r="B140" s="57" t="s">
        <v>9</v>
      </c>
      <c r="C140" s="338">
        <v>3360</v>
      </c>
      <c r="D140" s="335">
        <f t="shared" si="285"/>
        <v>0.17863788611834761</v>
      </c>
      <c r="F140" s="336">
        <f t="shared" si="286"/>
        <v>90.926684034238932</v>
      </c>
      <c r="G140" s="55">
        <v>91</v>
      </c>
      <c r="I140" s="336">
        <f t="shared" si="287"/>
        <v>1266.3639746929662</v>
      </c>
      <c r="J140" s="55">
        <v>1266</v>
      </c>
      <c r="L140" s="336">
        <f t="shared" si="288"/>
        <v>45.37402307406029</v>
      </c>
      <c r="M140" s="55">
        <v>45</v>
      </c>
      <c r="O140" s="336">
        <f t="shared" si="289"/>
        <v>131.42435424354244</v>
      </c>
      <c r="P140" s="55">
        <v>132</v>
      </c>
    </row>
    <row r="141" spans="2:27" ht="15" customHeight="1">
      <c r="B141" s="57" t="s">
        <v>10</v>
      </c>
      <c r="C141" s="338">
        <v>2078</v>
      </c>
      <c r="D141" s="335">
        <f t="shared" si="285"/>
        <v>0.11047902599819236</v>
      </c>
      <c r="E141" s="9"/>
      <c r="F141" s="336">
        <f t="shared" si="286"/>
        <v>56.233824233079908</v>
      </c>
      <c r="G141" s="55">
        <v>56</v>
      </c>
      <c r="I141" s="336">
        <f t="shared" si="287"/>
        <v>783.18581530118558</v>
      </c>
      <c r="J141" s="55">
        <v>783</v>
      </c>
      <c r="L141" s="336">
        <f t="shared" si="288"/>
        <v>28.06167260354086</v>
      </c>
      <c r="M141" s="55">
        <v>28</v>
      </c>
      <c r="O141" s="336">
        <f t="shared" si="289"/>
        <v>81.27970479704797</v>
      </c>
      <c r="P141" s="55">
        <v>81</v>
      </c>
    </row>
    <row r="142" spans="2:27" ht="15" customHeight="1">
      <c r="B142" s="57" t="s">
        <v>295</v>
      </c>
      <c r="C142" s="338">
        <v>2549</v>
      </c>
      <c r="D142" s="335">
        <f t="shared" si="285"/>
        <v>0.13552022967728214</v>
      </c>
      <c r="E142" s="9"/>
      <c r="F142" s="336">
        <f t="shared" si="286"/>
        <v>68.979796905736606</v>
      </c>
      <c r="G142" s="55">
        <v>69</v>
      </c>
      <c r="I142" s="336">
        <f t="shared" si="287"/>
        <v>960.70290818225305</v>
      </c>
      <c r="J142" s="55">
        <v>961</v>
      </c>
      <c r="L142" s="336">
        <f t="shared" si="288"/>
        <v>34.422138338029661</v>
      </c>
      <c r="M142" s="55">
        <v>35</v>
      </c>
      <c r="O142" s="336"/>
    </row>
    <row r="143" spans="2:27" ht="15" customHeight="1">
      <c r="B143" s="57"/>
      <c r="C143" s="43">
        <f>SUM(C136:C142)</f>
        <v>18809</v>
      </c>
      <c r="D143" s="339">
        <f>SUM(D136:D142)</f>
        <v>1</v>
      </c>
      <c r="E143" s="9"/>
      <c r="F143" s="336">
        <f>SUM(F136:F142)</f>
        <v>509</v>
      </c>
      <c r="G143" s="336">
        <f>SUM(G136:G142)</f>
        <v>509</v>
      </c>
      <c r="I143" s="336">
        <f>SUM(I136:I142)</f>
        <v>7089</v>
      </c>
      <c r="J143" s="336">
        <f>SUM(J136:J142)</f>
        <v>7089</v>
      </c>
      <c r="L143" s="336">
        <f>SUM(L136:L142)</f>
        <v>254</v>
      </c>
      <c r="M143" s="336">
        <f>SUM(M136:M142)</f>
        <v>254</v>
      </c>
      <c r="O143" s="336">
        <f>SUM(O136:O142)</f>
        <v>636</v>
      </c>
      <c r="P143" s="336">
        <f>SUM(P136:P142)</f>
        <v>636</v>
      </c>
    </row>
    <row r="145" spans="2:7" ht="15" customHeight="1">
      <c r="B145" s="54" t="s">
        <v>310</v>
      </c>
    </row>
    <row r="146" spans="2:7" ht="15" customHeight="1">
      <c r="B146" s="57" t="s">
        <v>4</v>
      </c>
      <c r="C146" s="338">
        <v>2771</v>
      </c>
      <c r="D146" s="335">
        <f>+C146/$C$152</f>
        <v>0.17041820418204182</v>
      </c>
    </row>
    <row r="147" spans="2:7" ht="15" customHeight="1">
      <c r="B147" s="57" t="s">
        <v>6</v>
      </c>
      <c r="C147" s="338">
        <v>1262</v>
      </c>
      <c r="D147" s="335">
        <f t="shared" ref="D147:D151" si="290">+C147/$C$152</f>
        <v>7.7613776137761381E-2</v>
      </c>
      <c r="F147" s="455"/>
      <c r="G147" s="455"/>
    </row>
    <row r="148" spans="2:7" ht="15" customHeight="1">
      <c r="B148" s="57" t="s">
        <v>7</v>
      </c>
      <c r="C148" s="338">
        <v>1090</v>
      </c>
      <c r="D148" s="335">
        <f t="shared" si="290"/>
        <v>6.7035670356703561E-2</v>
      </c>
      <c r="F148" s="456"/>
      <c r="G148" s="456"/>
    </row>
    <row r="149" spans="2:7" ht="15" customHeight="1">
      <c r="B149" s="57" t="s">
        <v>8</v>
      </c>
      <c r="C149" s="338">
        <v>5699</v>
      </c>
      <c r="D149" s="335">
        <f t="shared" si="290"/>
        <v>0.35049200492004923</v>
      </c>
      <c r="F149" s="455"/>
      <c r="G149" s="455"/>
    </row>
    <row r="150" spans="2:7" ht="15" customHeight="1">
      <c r="B150" s="57" t="s">
        <v>9</v>
      </c>
      <c r="C150" s="338">
        <v>3360</v>
      </c>
      <c r="D150" s="335">
        <f t="shared" si="290"/>
        <v>0.20664206642066421</v>
      </c>
      <c r="F150" s="456"/>
      <c r="G150" s="456"/>
    </row>
    <row r="151" spans="2:7" ht="15" customHeight="1">
      <c r="B151" s="57" t="s">
        <v>10</v>
      </c>
      <c r="C151" s="338">
        <v>2078</v>
      </c>
      <c r="D151" s="335">
        <f t="shared" si="290"/>
        <v>0.12779827798277982</v>
      </c>
      <c r="F151" s="455"/>
      <c r="G151" s="455"/>
    </row>
    <row r="152" spans="2:7" ht="15" customHeight="1">
      <c r="B152" s="57"/>
      <c r="C152" s="43">
        <f>SUM(C146:C151)</f>
        <v>16260</v>
      </c>
      <c r="D152" s="339">
        <f>SUM(D146:D151)</f>
        <v>1</v>
      </c>
      <c r="F152" s="456"/>
      <c r="G152" s="456"/>
    </row>
    <row r="153" spans="2:7" ht="15" customHeight="1">
      <c r="F153" s="455"/>
      <c r="G153" s="455"/>
    </row>
    <row r="154" spans="2:7" ht="15" customHeight="1">
      <c r="F154" s="456"/>
      <c r="G154" s="456"/>
    </row>
    <row r="155" spans="2:7" ht="15" customHeight="1">
      <c r="F155" s="455"/>
      <c r="G155" s="455"/>
    </row>
    <row r="156" spans="2:7" ht="15" customHeight="1">
      <c r="F156" s="456"/>
      <c r="G156" s="456"/>
    </row>
    <row r="157" spans="2:7" ht="15" customHeight="1">
      <c r="F157" s="455"/>
      <c r="G157" s="455"/>
    </row>
    <row r="158" spans="2:7" ht="15" customHeight="1">
      <c r="F158" s="456"/>
      <c r="G158" s="456"/>
    </row>
    <row r="159" spans="2:7" ht="15" customHeight="1">
      <c r="F159" s="455"/>
      <c r="G159" s="455"/>
    </row>
    <row r="160" spans="2:7" ht="15" customHeight="1">
      <c r="F160" s="456"/>
      <c r="G160" s="456"/>
    </row>
    <row r="161" spans="6:7" ht="15" customHeight="1">
      <c r="F161" s="455"/>
      <c r="G161" s="455"/>
    </row>
  </sheetData>
  <mergeCells count="14">
    <mergeCell ref="A117:B117"/>
    <mergeCell ref="A115:B115"/>
    <mergeCell ref="O1:Q1"/>
    <mergeCell ref="I1:K1"/>
    <mergeCell ref="AA1:AC1"/>
    <mergeCell ref="R1:T1"/>
    <mergeCell ref="U1:W1"/>
    <mergeCell ref="L1:N1"/>
    <mergeCell ref="A1:A2"/>
    <mergeCell ref="B1:B2"/>
    <mergeCell ref="A41:B41"/>
    <mergeCell ref="F1:H1"/>
    <mergeCell ref="C1:E1"/>
    <mergeCell ref="X1:Z1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58" orientation="landscape" r:id="rId1"/>
  <headerFooter alignWithMargins="0">
    <oddHeader>&amp;L&amp;"Times New Roman,Félkövér"&amp;13Szent László Völgye TKT&amp;C&amp;"Times New Roman,Félkövér"&amp;16 2017. ÉVI II. KÖLTSÉGVETÉS MÓDOSÍTÁS&amp;R3. sz. táblázat
SEGÍTŐ SZOLGÁLAT
Adatok: eFt</oddHeader>
    <oddFooter>&amp;L&amp;F&amp;R&amp;P</oddFooter>
  </headerFooter>
  <rowBreaks count="1" manualBreakCount="1">
    <brk id="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1"/>
  </sheetPr>
  <dimension ref="A1:T127"/>
  <sheetViews>
    <sheetView zoomScaleSheetLayoutView="7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8.85546875" defaultRowHeight="12.75"/>
  <cols>
    <col min="1" max="1" width="6.28515625" style="9" customWidth="1"/>
    <col min="2" max="2" width="60.7109375" style="54" customWidth="1"/>
    <col min="3" max="3" width="11.140625" style="55" customWidth="1"/>
    <col min="4" max="5" width="10.7109375" style="55" customWidth="1"/>
    <col min="6" max="6" width="11.140625" style="55" customWidth="1"/>
    <col min="7" max="8" width="10.7109375" style="55" customWidth="1"/>
    <col min="9" max="9" width="11.140625" style="56" customWidth="1"/>
    <col min="10" max="11" width="10.7109375" style="56" customWidth="1"/>
    <col min="12" max="12" width="11.140625" style="56" customWidth="1"/>
    <col min="13" max="14" width="10.7109375" style="56" customWidth="1"/>
    <col min="15" max="15" width="11.140625" style="55" customWidth="1"/>
    <col min="16" max="17" width="10.7109375" style="55" customWidth="1"/>
    <col min="18" max="18" width="11.140625" style="56" customWidth="1"/>
    <col min="19" max="20" width="10.7109375" style="56" customWidth="1"/>
    <col min="21" max="21" width="8.85546875" style="9"/>
    <col min="22" max="22" width="40.7109375" style="9" customWidth="1"/>
    <col min="23" max="16384" width="8.85546875" style="9"/>
  </cols>
  <sheetData>
    <row r="1" spans="1:20" s="10" customFormat="1" ht="33" customHeight="1">
      <c r="A1" s="870" t="s">
        <v>146</v>
      </c>
      <c r="B1" s="872" t="s">
        <v>171</v>
      </c>
      <c r="C1" s="911" t="s">
        <v>290</v>
      </c>
      <c r="D1" s="912"/>
      <c r="E1" s="913"/>
      <c r="F1" s="911" t="s">
        <v>291</v>
      </c>
      <c r="G1" s="912"/>
      <c r="H1" s="913"/>
      <c r="I1" s="912" t="s">
        <v>15</v>
      </c>
      <c r="J1" s="912"/>
      <c r="K1" s="912"/>
      <c r="L1" s="911" t="s">
        <v>292</v>
      </c>
      <c r="M1" s="912"/>
      <c r="N1" s="913"/>
      <c r="O1" s="912" t="s">
        <v>16</v>
      </c>
      <c r="P1" s="912"/>
      <c r="Q1" s="912"/>
      <c r="R1" s="911" t="s">
        <v>297</v>
      </c>
      <c r="S1" s="912"/>
      <c r="T1" s="913"/>
    </row>
    <row r="2" spans="1:20" s="10" customFormat="1" ht="39.75" customHeight="1">
      <c r="A2" s="871"/>
      <c r="B2" s="873"/>
      <c r="C2" s="150" t="s">
        <v>437</v>
      </c>
      <c r="D2" s="151" t="s">
        <v>391</v>
      </c>
      <c r="E2" s="825" t="s">
        <v>440</v>
      </c>
      <c r="F2" s="150" t="s">
        <v>437</v>
      </c>
      <c r="G2" s="151" t="s">
        <v>391</v>
      </c>
      <c r="H2" s="825" t="s">
        <v>440</v>
      </c>
      <c r="I2" s="150" t="s">
        <v>437</v>
      </c>
      <c r="J2" s="151" t="s">
        <v>391</v>
      </c>
      <c r="K2" s="825" t="s">
        <v>440</v>
      </c>
      <c r="L2" s="150" t="s">
        <v>437</v>
      </c>
      <c r="M2" s="151" t="s">
        <v>391</v>
      </c>
      <c r="N2" s="825" t="s">
        <v>440</v>
      </c>
      <c r="O2" s="150" t="s">
        <v>437</v>
      </c>
      <c r="P2" s="151" t="s">
        <v>391</v>
      </c>
      <c r="Q2" s="825" t="s">
        <v>440</v>
      </c>
      <c r="R2" s="150" t="s">
        <v>437</v>
      </c>
      <c r="S2" s="151" t="s">
        <v>391</v>
      </c>
      <c r="T2" s="146" t="s">
        <v>440</v>
      </c>
    </row>
    <row r="3" spans="1:20" ht="13.5" customHeight="1">
      <c r="A3" s="166" t="s">
        <v>147</v>
      </c>
      <c r="B3" s="179" t="s">
        <v>107</v>
      </c>
      <c r="C3" s="222"/>
      <c r="D3" s="218"/>
      <c r="E3" s="223"/>
      <c r="F3" s="222"/>
      <c r="G3" s="218"/>
      <c r="H3" s="223"/>
      <c r="I3" s="222"/>
      <c r="J3" s="218"/>
      <c r="K3" s="219"/>
      <c r="L3" s="222"/>
      <c r="M3" s="218"/>
      <c r="N3" s="223"/>
      <c r="O3" s="222"/>
      <c r="P3" s="218"/>
      <c r="Q3" s="219"/>
      <c r="R3" s="222"/>
      <c r="S3" s="218"/>
      <c r="T3" s="223"/>
    </row>
    <row r="4" spans="1:20" ht="13.5" customHeight="1">
      <c r="A4" s="153" t="s">
        <v>148</v>
      </c>
      <c r="B4" s="177" t="s">
        <v>108</v>
      </c>
      <c r="C4" s="215"/>
      <c r="D4" s="207"/>
      <c r="E4" s="223"/>
      <c r="F4" s="215"/>
      <c r="G4" s="207"/>
      <c r="H4" s="208"/>
      <c r="I4" s="215"/>
      <c r="J4" s="207"/>
      <c r="K4" s="212"/>
      <c r="L4" s="215"/>
      <c r="M4" s="207"/>
      <c r="N4" s="208"/>
      <c r="O4" s="215"/>
      <c r="P4" s="207"/>
      <c r="Q4" s="212"/>
      <c r="R4" s="215"/>
      <c r="S4" s="207"/>
      <c r="T4" s="208"/>
    </row>
    <row r="5" spans="1:20" ht="13.5" customHeight="1">
      <c r="A5" s="155"/>
      <c r="B5" s="457" t="s">
        <v>109</v>
      </c>
      <c r="C5" s="215"/>
      <c r="D5" s="207"/>
      <c r="E5" s="223"/>
      <c r="F5" s="215"/>
      <c r="G5" s="207"/>
      <c r="H5" s="208"/>
      <c r="I5" s="215"/>
      <c r="J5" s="207"/>
      <c r="K5" s="212"/>
      <c r="L5" s="215"/>
      <c r="M5" s="207"/>
      <c r="N5" s="208"/>
      <c r="O5" s="215"/>
      <c r="P5" s="207"/>
      <c r="Q5" s="212"/>
      <c r="R5" s="215"/>
      <c r="S5" s="207"/>
      <c r="T5" s="208"/>
    </row>
    <row r="6" spans="1:20" ht="13.5" customHeight="1">
      <c r="A6" s="165"/>
      <c r="B6" s="458" t="s">
        <v>110</v>
      </c>
      <c r="C6" s="231"/>
      <c r="D6" s="227"/>
      <c r="E6" s="232"/>
      <c r="F6" s="231"/>
      <c r="G6" s="227"/>
      <c r="H6" s="232"/>
      <c r="I6" s="231"/>
      <c r="J6" s="227"/>
      <c r="K6" s="228"/>
      <c r="L6" s="231"/>
      <c r="M6" s="227"/>
      <c r="N6" s="232"/>
      <c r="O6" s="231"/>
      <c r="P6" s="227"/>
      <c r="Q6" s="228"/>
      <c r="R6" s="231"/>
      <c r="S6" s="227"/>
      <c r="T6" s="232"/>
    </row>
    <row r="7" spans="1:20" s="328" customFormat="1" ht="13.5" customHeight="1">
      <c r="A7" s="143" t="s">
        <v>149</v>
      </c>
      <c r="B7" s="138" t="s">
        <v>111</v>
      </c>
      <c r="C7" s="295">
        <f>SUM(C3:C4)</f>
        <v>0</v>
      </c>
      <c r="D7" s="300">
        <f t="shared" ref="D7:E7" si="0">SUM(D3:D4)</f>
        <v>0</v>
      </c>
      <c r="E7" s="301">
        <f t="shared" si="0"/>
        <v>0</v>
      </c>
      <c r="F7" s="295">
        <f>SUM(F3:F4)</f>
        <v>0</v>
      </c>
      <c r="G7" s="300">
        <f t="shared" ref="G7:H7" si="1">SUM(G3:G4)</f>
        <v>0</v>
      </c>
      <c r="H7" s="301">
        <f t="shared" si="1"/>
        <v>0</v>
      </c>
      <c r="I7" s="295">
        <f>SUM(I3:I4)</f>
        <v>0</v>
      </c>
      <c r="J7" s="300">
        <f t="shared" ref="J7:K7" si="2">SUM(J3:J4)</f>
        <v>0</v>
      </c>
      <c r="K7" s="303">
        <f t="shared" si="2"/>
        <v>0</v>
      </c>
      <c r="L7" s="295">
        <f>SUM(L3:L4)</f>
        <v>0</v>
      </c>
      <c r="M7" s="300">
        <f t="shared" ref="M7:N7" si="3">SUM(M3:M4)</f>
        <v>0</v>
      </c>
      <c r="N7" s="301">
        <f t="shared" si="3"/>
        <v>0</v>
      </c>
      <c r="O7" s="295">
        <f>SUM(O3:O4)</f>
        <v>0</v>
      </c>
      <c r="P7" s="300">
        <f t="shared" ref="P7:Q7" si="4">SUM(P3:P4)</f>
        <v>0</v>
      </c>
      <c r="Q7" s="303">
        <f t="shared" si="4"/>
        <v>0</v>
      </c>
      <c r="R7" s="295">
        <f>SUM(R3:R4)</f>
        <v>0</v>
      </c>
      <c r="S7" s="300">
        <f t="shared" ref="S7:T7" si="5">SUM(S3:S4)</f>
        <v>0</v>
      </c>
      <c r="T7" s="301">
        <f t="shared" si="5"/>
        <v>0</v>
      </c>
    </row>
    <row r="8" spans="1:20" ht="13.5" customHeight="1">
      <c r="A8" s="166" t="s">
        <v>150</v>
      </c>
      <c r="B8" s="179" t="s">
        <v>145</v>
      </c>
      <c r="C8" s="222"/>
      <c r="D8" s="218"/>
      <c r="E8" s="223"/>
      <c r="F8" s="222"/>
      <c r="G8" s="218"/>
      <c r="H8" s="223"/>
      <c r="I8" s="222"/>
      <c r="J8" s="218"/>
      <c r="K8" s="219"/>
      <c r="L8" s="222"/>
      <c r="M8" s="218"/>
      <c r="N8" s="223"/>
      <c r="O8" s="222"/>
      <c r="P8" s="218"/>
      <c r="Q8" s="219"/>
      <c r="R8" s="222"/>
      <c r="S8" s="218"/>
      <c r="T8" s="223"/>
    </row>
    <row r="9" spans="1:20" ht="13.5" customHeight="1">
      <c r="A9" s="153" t="s">
        <v>151</v>
      </c>
      <c r="B9" s="177" t="s">
        <v>112</v>
      </c>
      <c r="C9" s="215"/>
      <c r="D9" s="207"/>
      <c r="E9" s="208"/>
      <c r="F9" s="215"/>
      <c r="G9" s="207"/>
      <c r="H9" s="208"/>
      <c r="I9" s="215"/>
      <c r="J9" s="207"/>
      <c r="K9" s="212"/>
      <c r="L9" s="215"/>
      <c r="M9" s="207"/>
      <c r="N9" s="208"/>
      <c r="O9" s="215"/>
      <c r="P9" s="207"/>
      <c r="Q9" s="212"/>
      <c r="R9" s="215"/>
      <c r="S9" s="207"/>
      <c r="T9" s="208"/>
    </row>
    <row r="10" spans="1:20" s="285" customFormat="1" ht="13.5" customHeight="1">
      <c r="A10" s="165"/>
      <c r="B10" s="458" t="s">
        <v>110</v>
      </c>
      <c r="C10" s="296"/>
      <c r="D10" s="297"/>
      <c r="E10" s="298"/>
      <c r="F10" s="296"/>
      <c r="G10" s="297"/>
      <c r="H10" s="298"/>
      <c r="I10" s="296"/>
      <c r="J10" s="297"/>
      <c r="K10" s="299"/>
      <c r="L10" s="296"/>
      <c r="M10" s="297"/>
      <c r="N10" s="298"/>
      <c r="O10" s="296"/>
      <c r="P10" s="297"/>
      <c r="Q10" s="299"/>
      <c r="R10" s="296"/>
      <c r="S10" s="297"/>
      <c r="T10" s="298"/>
    </row>
    <row r="11" spans="1:20" s="328" customFormat="1" ht="13.5" customHeight="1">
      <c r="A11" s="143" t="s">
        <v>152</v>
      </c>
      <c r="B11" s="138" t="s">
        <v>113</v>
      </c>
      <c r="C11" s="295">
        <f>SUM(C8:C9)</f>
        <v>0</v>
      </c>
      <c r="D11" s="300">
        <f t="shared" ref="D11:E11" si="6">SUM(D8:D9)</f>
        <v>0</v>
      </c>
      <c r="E11" s="301">
        <f t="shared" si="6"/>
        <v>0</v>
      </c>
      <c r="F11" s="295">
        <f>SUM(F8:F9)</f>
        <v>0</v>
      </c>
      <c r="G11" s="300">
        <f t="shared" ref="G11:H11" si="7">SUM(G8:G9)</f>
        <v>0</v>
      </c>
      <c r="H11" s="301">
        <f t="shared" si="7"/>
        <v>0</v>
      </c>
      <c r="I11" s="295">
        <f>SUM(I8:I9)</f>
        <v>0</v>
      </c>
      <c r="J11" s="300">
        <f t="shared" ref="J11:K11" si="8">SUM(J8:J9)</f>
        <v>0</v>
      </c>
      <c r="K11" s="303">
        <f t="shared" si="8"/>
        <v>0</v>
      </c>
      <c r="L11" s="295">
        <f>SUM(L8:L9)</f>
        <v>0</v>
      </c>
      <c r="M11" s="300">
        <f t="shared" ref="M11:N11" si="9">SUM(M8:M9)</f>
        <v>0</v>
      </c>
      <c r="N11" s="301">
        <f t="shared" si="9"/>
        <v>0</v>
      </c>
      <c r="O11" s="295">
        <f>SUM(O8:O9)</f>
        <v>0</v>
      </c>
      <c r="P11" s="300">
        <f t="shared" ref="P11:Q11" si="10">SUM(P8:P9)</f>
        <v>0</v>
      </c>
      <c r="Q11" s="303">
        <f t="shared" si="10"/>
        <v>0</v>
      </c>
      <c r="R11" s="295">
        <f>SUM(R8:R9)</f>
        <v>0</v>
      </c>
      <c r="S11" s="300">
        <f t="shared" ref="S11:T11" si="11">SUM(S8:S9)</f>
        <v>0</v>
      </c>
      <c r="T11" s="301">
        <f t="shared" si="11"/>
        <v>0</v>
      </c>
    </row>
    <row r="12" spans="1:20" ht="13.5" customHeight="1">
      <c r="A12" s="166" t="s">
        <v>153</v>
      </c>
      <c r="B12" s="179" t="s">
        <v>114</v>
      </c>
      <c r="C12" s="222"/>
      <c r="D12" s="218"/>
      <c r="E12" s="223"/>
      <c r="F12" s="222"/>
      <c r="G12" s="218"/>
      <c r="H12" s="223"/>
      <c r="I12" s="222"/>
      <c r="J12" s="218"/>
      <c r="K12" s="219"/>
      <c r="L12" s="222"/>
      <c r="M12" s="218"/>
      <c r="N12" s="223"/>
      <c r="O12" s="222"/>
      <c r="P12" s="218"/>
      <c r="Q12" s="219"/>
      <c r="R12" s="222"/>
      <c r="S12" s="218"/>
      <c r="T12" s="223"/>
    </row>
    <row r="13" spans="1:20" ht="13.5" customHeight="1">
      <c r="A13" s="153" t="s">
        <v>154</v>
      </c>
      <c r="B13" s="177" t="s">
        <v>115</v>
      </c>
      <c r="C13" s="215"/>
      <c r="D13" s="207"/>
      <c r="E13" s="208"/>
      <c r="F13" s="215"/>
      <c r="G13" s="207"/>
      <c r="H13" s="208"/>
      <c r="I13" s="215"/>
      <c r="J13" s="207"/>
      <c r="K13" s="212"/>
      <c r="L13" s="215"/>
      <c r="M13" s="207"/>
      <c r="N13" s="208"/>
      <c r="O13" s="215"/>
      <c r="P13" s="207"/>
      <c r="Q13" s="212"/>
      <c r="R13" s="215"/>
      <c r="S13" s="207"/>
      <c r="T13" s="208"/>
    </row>
    <row r="14" spans="1:20" ht="13.5" customHeight="1">
      <c r="A14" s="153" t="s">
        <v>155</v>
      </c>
      <c r="B14" s="177" t="s">
        <v>116</v>
      </c>
      <c r="C14" s="215"/>
      <c r="D14" s="207"/>
      <c r="E14" s="208"/>
      <c r="F14" s="215"/>
      <c r="G14" s="207"/>
      <c r="H14" s="208"/>
      <c r="I14" s="215"/>
      <c r="J14" s="207"/>
      <c r="K14" s="212"/>
      <c r="L14" s="215"/>
      <c r="M14" s="207"/>
      <c r="N14" s="208"/>
      <c r="O14" s="215"/>
      <c r="P14" s="207"/>
      <c r="Q14" s="212"/>
      <c r="R14" s="215"/>
      <c r="S14" s="207"/>
      <c r="T14" s="208"/>
    </row>
    <row r="15" spans="1:20" ht="13.5" customHeight="1">
      <c r="A15" s="153" t="s">
        <v>156</v>
      </c>
      <c r="B15" s="177" t="s">
        <v>117</v>
      </c>
      <c r="C15" s="215"/>
      <c r="D15" s="207"/>
      <c r="E15" s="208"/>
      <c r="F15" s="215"/>
      <c r="G15" s="207"/>
      <c r="H15" s="208"/>
      <c r="I15" s="215"/>
      <c r="J15" s="207"/>
      <c r="K15" s="212"/>
      <c r="L15" s="215"/>
      <c r="M15" s="207"/>
      <c r="N15" s="208"/>
      <c r="O15" s="215"/>
      <c r="P15" s="207"/>
      <c r="Q15" s="212"/>
      <c r="R15" s="215"/>
      <c r="S15" s="207"/>
      <c r="T15" s="208"/>
    </row>
    <row r="16" spans="1:20" ht="13.5" customHeight="1">
      <c r="A16" s="153" t="s">
        <v>157</v>
      </c>
      <c r="B16" s="177" t="s">
        <v>118</v>
      </c>
      <c r="C16" s="215"/>
      <c r="D16" s="207">
        <f>+[4]MOVI!$W$24</f>
        <v>11</v>
      </c>
      <c r="E16" s="208">
        <f>SUM(C16:D16)</f>
        <v>11</v>
      </c>
      <c r="F16" s="215"/>
      <c r="G16" s="207"/>
      <c r="H16" s="208">
        <f>SUM(F16:G16)</f>
        <v>0</v>
      </c>
      <c r="I16" s="215"/>
      <c r="J16" s="207"/>
      <c r="K16" s="212">
        <f>SUM(I16:J16)</f>
        <v>0</v>
      </c>
      <c r="L16" s="215"/>
      <c r="M16" s="207"/>
      <c r="N16" s="208">
        <f>SUM(L16:M16)</f>
        <v>0</v>
      </c>
      <c r="O16" s="215"/>
      <c r="P16" s="207"/>
      <c r="Q16" s="212">
        <f>SUM(O16:P16)</f>
        <v>0</v>
      </c>
      <c r="R16" s="215">
        <f>+C16+F16+I16+L16+O16</f>
        <v>0</v>
      </c>
      <c r="S16" s="207">
        <f t="shared" ref="S16:T20" si="12">+D16+G16+J16+M16+P16</f>
        <v>11</v>
      </c>
      <c r="T16" s="208">
        <f t="shared" si="12"/>
        <v>11</v>
      </c>
    </row>
    <row r="17" spans="1:20" ht="13.5" customHeight="1">
      <c r="A17" s="153" t="s">
        <v>158</v>
      </c>
      <c r="B17" s="177" t="s">
        <v>119</v>
      </c>
      <c r="C17" s="215"/>
      <c r="D17" s="207"/>
      <c r="E17" s="208"/>
      <c r="F17" s="215"/>
      <c r="G17" s="207"/>
      <c r="H17" s="208"/>
      <c r="I17" s="215"/>
      <c r="J17" s="207"/>
      <c r="K17" s="212"/>
      <c r="L17" s="215"/>
      <c r="M17" s="207"/>
      <c r="N17" s="208"/>
      <c r="O17" s="215"/>
      <c r="P17" s="207"/>
      <c r="Q17" s="212">
        <f t="shared" ref="Q17:Q20" si="13">SUM(O17:P17)</f>
        <v>0</v>
      </c>
      <c r="R17" s="215"/>
      <c r="S17" s="207">
        <f t="shared" si="12"/>
        <v>0</v>
      </c>
      <c r="T17" s="208">
        <f t="shared" si="12"/>
        <v>0</v>
      </c>
    </row>
    <row r="18" spans="1:20" ht="13.5" customHeight="1">
      <c r="A18" s="153" t="s">
        <v>159</v>
      </c>
      <c r="B18" s="177" t="s">
        <v>120</v>
      </c>
      <c r="C18" s="215"/>
      <c r="D18" s="207"/>
      <c r="E18" s="208"/>
      <c r="F18" s="215"/>
      <c r="G18" s="207"/>
      <c r="H18" s="208"/>
      <c r="I18" s="215"/>
      <c r="J18" s="207"/>
      <c r="K18" s="212"/>
      <c r="L18" s="215"/>
      <c r="M18" s="207"/>
      <c r="N18" s="208"/>
      <c r="O18" s="215"/>
      <c r="P18" s="207"/>
      <c r="Q18" s="212">
        <f t="shared" si="13"/>
        <v>0</v>
      </c>
      <c r="R18" s="215"/>
      <c r="S18" s="207">
        <f t="shared" si="12"/>
        <v>0</v>
      </c>
      <c r="T18" s="208">
        <f t="shared" si="12"/>
        <v>0</v>
      </c>
    </row>
    <row r="19" spans="1:20" ht="13.5" customHeight="1">
      <c r="A19" s="153" t="s">
        <v>160</v>
      </c>
      <c r="B19" s="177" t="s">
        <v>121</v>
      </c>
      <c r="C19" s="215"/>
      <c r="D19" s="207"/>
      <c r="E19" s="208"/>
      <c r="F19" s="215"/>
      <c r="G19" s="207"/>
      <c r="H19" s="208"/>
      <c r="I19" s="215"/>
      <c r="J19" s="207"/>
      <c r="K19" s="212"/>
      <c r="L19" s="215"/>
      <c r="M19" s="207"/>
      <c r="N19" s="208"/>
      <c r="O19" s="215"/>
      <c r="P19" s="207"/>
      <c r="Q19" s="212">
        <f t="shared" si="13"/>
        <v>0</v>
      </c>
      <c r="R19" s="215"/>
      <c r="S19" s="207">
        <f t="shared" si="12"/>
        <v>0</v>
      </c>
      <c r="T19" s="208">
        <f t="shared" si="12"/>
        <v>0</v>
      </c>
    </row>
    <row r="20" spans="1:20" ht="13.5" customHeight="1">
      <c r="A20" s="168" t="s">
        <v>161</v>
      </c>
      <c r="B20" s="180" t="s">
        <v>122</v>
      </c>
      <c r="C20" s="231"/>
      <c r="D20" s="227"/>
      <c r="E20" s="232"/>
      <c r="F20" s="231"/>
      <c r="G20" s="227"/>
      <c r="H20" s="232"/>
      <c r="I20" s="231"/>
      <c r="J20" s="227"/>
      <c r="K20" s="228"/>
      <c r="L20" s="231"/>
      <c r="M20" s="227"/>
      <c r="N20" s="232"/>
      <c r="O20" s="231"/>
      <c r="P20" s="227">
        <f>+[4]KIK!$W$24</f>
        <v>1</v>
      </c>
      <c r="Q20" s="212">
        <f t="shared" si="13"/>
        <v>1</v>
      </c>
      <c r="R20" s="231"/>
      <c r="S20" s="207">
        <f t="shared" si="12"/>
        <v>1</v>
      </c>
      <c r="T20" s="208">
        <f t="shared" si="12"/>
        <v>1</v>
      </c>
    </row>
    <row r="21" spans="1:20" s="328" customFormat="1" ht="13.5" customHeight="1">
      <c r="A21" s="143" t="s">
        <v>162</v>
      </c>
      <c r="B21" s="138" t="s">
        <v>123</v>
      </c>
      <c r="C21" s="295">
        <f>SUM(C12:C20)</f>
        <v>0</v>
      </c>
      <c r="D21" s="300">
        <f t="shared" ref="D21:E21" si="14">SUM(D12:D20)</f>
        <v>11</v>
      </c>
      <c r="E21" s="301">
        <f t="shared" si="14"/>
        <v>11</v>
      </c>
      <c r="F21" s="295">
        <f>SUM(F12:F20)</f>
        <v>0</v>
      </c>
      <c r="G21" s="300">
        <f t="shared" ref="G21" si="15">SUM(G12:G20)</f>
        <v>0</v>
      </c>
      <c r="H21" s="301">
        <f t="shared" ref="H21" si="16">SUM(H12:H20)</f>
        <v>0</v>
      </c>
      <c r="I21" s="295">
        <f>SUM(I12:I20)</f>
        <v>0</v>
      </c>
      <c r="J21" s="300">
        <f t="shared" ref="J21" si="17">SUM(J12:J20)</f>
        <v>0</v>
      </c>
      <c r="K21" s="303">
        <f t="shared" ref="K21" si="18">SUM(K12:K20)</f>
        <v>0</v>
      </c>
      <c r="L21" s="295">
        <f>SUM(L12:L20)</f>
        <v>0</v>
      </c>
      <c r="M21" s="300">
        <f t="shared" ref="M21" si="19">SUM(M12:M20)</f>
        <v>0</v>
      </c>
      <c r="N21" s="301">
        <f t="shared" ref="N21" si="20">SUM(N12:N20)</f>
        <v>0</v>
      </c>
      <c r="O21" s="295">
        <f>SUM(O12:O20)</f>
        <v>0</v>
      </c>
      <c r="P21" s="300">
        <f t="shared" ref="P21" si="21">SUM(P12:P20)</f>
        <v>1</v>
      </c>
      <c r="Q21" s="303">
        <f t="shared" ref="Q21" si="22">SUM(Q12:Q20)</f>
        <v>1</v>
      </c>
      <c r="R21" s="295">
        <f>SUM(R12:R20)</f>
        <v>0</v>
      </c>
      <c r="S21" s="300">
        <f t="shared" ref="S21:T21" si="23">SUM(S12:S20)</f>
        <v>12</v>
      </c>
      <c r="T21" s="301">
        <f t="shared" si="23"/>
        <v>12</v>
      </c>
    </row>
    <row r="22" spans="1:20" s="328" customFormat="1" ht="13.5" customHeight="1">
      <c r="A22" s="143" t="s">
        <v>163</v>
      </c>
      <c r="B22" s="138" t="s">
        <v>124</v>
      </c>
      <c r="C22" s="295"/>
      <c r="D22" s="300"/>
      <c r="E22" s="301"/>
      <c r="F22" s="295"/>
      <c r="G22" s="300"/>
      <c r="H22" s="301"/>
      <c r="I22" s="295"/>
      <c r="J22" s="300"/>
      <c r="K22" s="303"/>
      <c r="L22" s="295"/>
      <c r="M22" s="300"/>
      <c r="N22" s="301"/>
      <c r="O22" s="295"/>
      <c r="P22" s="300"/>
      <c r="Q22" s="303"/>
      <c r="R22" s="295"/>
      <c r="S22" s="300"/>
      <c r="T22" s="301"/>
    </row>
    <row r="23" spans="1:20" ht="13.5" customHeight="1">
      <c r="A23" s="170" t="s">
        <v>164</v>
      </c>
      <c r="B23" s="181" t="s">
        <v>125</v>
      </c>
      <c r="C23" s="242"/>
      <c r="D23" s="238"/>
      <c r="E23" s="243"/>
      <c r="F23" s="242"/>
      <c r="G23" s="238"/>
      <c r="H23" s="243"/>
      <c r="I23" s="242"/>
      <c r="J23" s="238"/>
      <c r="K23" s="239"/>
      <c r="L23" s="242"/>
      <c r="M23" s="238"/>
      <c r="N23" s="243"/>
      <c r="O23" s="242"/>
      <c r="P23" s="238"/>
      <c r="Q23" s="239"/>
      <c r="R23" s="242"/>
      <c r="S23" s="238"/>
      <c r="T23" s="243"/>
    </row>
    <row r="24" spans="1:20" s="328" customFormat="1" ht="13.5" customHeight="1">
      <c r="A24" s="143" t="s">
        <v>165</v>
      </c>
      <c r="B24" s="138" t="s">
        <v>285</v>
      </c>
      <c r="C24" s="295">
        <f>+C23</f>
        <v>0</v>
      </c>
      <c r="D24" s="300">
        <f t="shared" ref="D24:E24" si="24">+D23</f>
        <v>0</v>
      </c>
      <c r="E24" s="301">
        <f t="shared" si="24"/>
        <v>0</v>
      </c>
      <c r="F24" s="295">
        <f>+F23</f>
        <v>0</v>
      </c>
      <c r="G24" s="300">
        <f t="shared" ref="G24" si="25">+G23</f>
        <v>0</v>
      </c>
      <c r="H24" s="301">
        <f t="shared" ref="H24" si="26">+H23</f>
        <v>0</v>
      </c>
      <c r="I24" s="295">
        <f>+I23</f>
        <v>0</v>
      </c>
      <c r="J24" s="300">
        <f t="shared" ref="J24" si="27">+J23</f>
        <v>0</v>
      </c>
      <c r="K24" s="303">
        <f t="shared" ref="K24" si="28">+K23</f>
        <v>0</v>
      </c>
      <c r="L24" s="295">
        <f>+L23</f>
        <v>0</v>
      </c>
      <c r="M24" s="300">
        <f t="shared" ref="M24" si="29">+M23</f>
        <v>0</v>
      </c>
      <c r="N24" s="301">
        <f t="shared" ref="N24" si="30">+N23</f>
        <v>0</v>
      </c>
      <c r="O24" s="295">
        <f>+O23</f>
        <v>0</v>
      </c>
      <c r="P24" s="300">
        <f t="shared" ref="P24" si="31">+P23</f>
        <v>0</v>
      </c>
      <c r="Q24" s="303">
        <f t="shared" ref="Q24" si="32">+Q23</f>
        <v>0</v>
      </c>
      <c r="R24" s="295">
        <f>+R23</f>
        <v>0</v>
      </c>
      <c r="S24" s="300">
        <f t="shared" ref="S24:T24" si="33">+S23</f>
        <v>0</v>
      </c>
      <c r="T24" s="301">
        <f t="shared" si="33"/>
        <v>0</v>
      </c>
    </row>
    <row r="25" spans="1:20" ht="13.5" customHeight="1">
      <c r="A25" s="170" t="s">
        <v>166</v>
      </c>
      <c r="B25" s="181" t="s">
        <v>126</v>
      </c>
      <c r="C25" s="242"/>
      <c r="D25" s="238"/>
      <c r="E25" s="243"/>
      <c r="F25" s="242"/>
      <c r="G25" s="238"/>
      <c r="H25" s="243"/>
      <c r="I25" s="242"/>
      <c r="J25" s="238"/>
      <c r="K25" s="239"/>
      <c r="L25" s="242"/>
      <c r="M25" s="238"/>
      <c r="N25" s="243"/>
      <c r="O25" s="242"/>
      <c r="P25" s="238"/>
      <c r="Q25" s="239"/>
      <c r="R25" s="242"/>
      <c r="S25" s="238"/>
      <c r="T25" s="243"/>
    </row>
    <row r="26" spans="1:20" s="328" customFormat="1" ht="13.5" customHeight="1">
      <c r="A26" s="143" t="s">
        <v>167</v>
      </c>
      <c r="B26" s="138" t="s">
        <v>286</v>
      </c>
      <c r="C26" s="295">
        <f>+C25</f>
        <v>0</v>
      </c>
      <c r="D26" s="300">
        <f t="shared" ref="D26:E26" si="34">+D25</f>
        <v>0</v>
      </c>
      <c r="E26" s="301">
        <f t="shared" si="34"/>
        <v>0</v>
      </c>
      <c r="F26" s="295">
        <f>+F25</f>
        <v>0</v>
      </c>
      <c r="G26" s="300">
        <f t="shared" ref="G26" si="35">+G25</f>
        <v>0</v>
      </c>
      <c r="H26" s="301">
        <f t="shared" ref="H26" si="36">+H25</f>
        <v>0</v>
      </c>
      <c r="I26" s="295">
        <f>+I25</f>
        <v>0</v>
      </c>
      <c r="J26" s="300">
        <f t="shared" ref="J26" si="37">+J25</f>
        <v>0</v>
      </c>
      <c r="K26" s="303">
        <f t="shared" ref="K26" si="38">+K25</f>
        <v>0</v>
      </c>
      <c r="L26" s="295">
        <f>+L25</f>
        <v>0</v>
      </c>
      <c r="M26" s="300">
        <f t="shared" ref="M26" si="39">+M25</f>
        <v>0</v>
      </c>
      <c r="N26" s="301">
        <f t="shared" ref="N26" si="40">+N25</f>
        <v>0</v>
      </c>
      <c r="O26" s="295">
        <f>+O25</f>
        <v>0</v>
      </c>
      <c r="P26" s="300">
        <f t="shared" ref="P26" si="41">+P25</f>
        <v>0</v>
      </c>
      <c r="Q26" s="303">
        <f t="shared" ref="Q26" si="42">+Q25</f>
        <v>0</v>
      </c>
      <c r="R26" s="295">
        <f>+R25</f>
        <v>0</v>
      </c>
      <c r="S26" s="300">
        <f t="shared" ref="S26:T26" si="43">+S25</f>
        <v>0</v>
      </c>
      <c r="T26" s="301">
        <f t="shared" si="43"/>
        <v>0</v>
      </c>
    </row>
    <row r="27" spans="1:20" s="328" customFormat="1" ht="13.5" customHeight="1">
      <c r="A27" s="143" t="s">
        <v>168</v>
      </c>
      <c r="B27" s="138" t="s">
        <v>127</v>
      </c>
      <c r="C27" s="295">
        <f>+C7+C11+C21+C22+C24+C26</f>
        <v>0</v>
      </c>
      <c r="D27" s="300">
        <f t="shared" ref="D27:E27" si="44">+D7+D11+D21+D22+D24+D26</f>
        <v>11</v>
      </c>
      <c r="E27" s="301">
        <f t="shared" si="44"/>
        <v>11</v>
      </c>
      <c r="F27" s="295">
        <f>+F7+F11+F21+F22+F24+F26</f>
        <v>0</v>
      </c>
      <c r="G27" s="300">
        <f t="shared" ref="G27" si="45">+G7+G11+G21+G22+G24+G26</f>
        <v>0</v>
      </c>
      <c r="H27" s="301">
        <f t="shared" ref="H27" si="46">+H7+H11+H21+H22+H24+H26</f>
        <v>0</v>
      </c>
      <c r="I27" s="295">
        <f>+I7+I11+I21+I22+I24+I26</f>
        <v>0</v>
      </c>
      <c r="J27" s="300">
        <f t="shared" ref="J27" si="47">+J7+J11+J21+J22+J24+J26</f>
        <v>0</v>
      </c>
      <c r="K27" s="303">
        <f t="shared" ref="K27" si="48">+K7+K11+K21+K22+K24+K26</f>
        <v>0</v>
      </c>
      <c r="L27" s="295">
        <f>+L7+L11+L21+L22+L24+L26</f>
        <v>0</v>
      </c>
      <c r="M27" s="300">
        <f t="shared" ref="M27" si="49">+M7+M11+M21+M22+M24+M26</f>
        <v>0</v>
      </c>
      <c r="N27" s="301">
        <f t="shared" ref="N27" si="50">+N7+N11+N21+N22+N24+N26</f>
        <v>0</v>
      </c>
      <c r="O27" s="295">
        <f>+O7+O11+O21+O22+O24+O26</f>
        <v>0</v>
      </c>
      <c r="P27" s="300">
        <f t="shared" ref="P27" si="51">+P7+P11+P21+P22+P24+P26</f>
        <v>1</v>
      </c>
      <c r="Q27" s="303">
        <f t="shared" ref="Q27" si="52">+Q7+Q11+Q21+Q22+Q24+Q26</f>
        <v>1</v>
      </c>
      <c r="R27" s="295">
        <f>+R7+R11+R21+R22+R24+R26</f>
        <v>0</v>
      </c>
      <c r="S27" s="300">
        <f t="shared" ref="S27:T27" si="53">+S7+S11+S21+S22+S24+S26</f>
        <v>12</v>
      </c>
      <c r="T27" s="301">
        <f t="shared" si="53"/>
        <v>12</v>
      </c>
    </row>
    <row r="28" spans="1:20" s="328" customFormat="1" ht="13.5" customHeight="1">
      <c r="A28" s="244" t="s">
        <v>169</v>
      </c>
      <c r="B28" s="138" t="s">
        <v>128</v>
      </c>
      <c r="C28" s="295"/>
      <c r="D28" s="300"/>
      <c r="E28" s="301">
        <f>SUM(C28:D28)</f>
        <v>0</v>
      </c>
      <c r="F28" s="295">
        <f>+'[3]4.SZ.TÁBL. ÓVODA'!$H$28</f>
        <v>87</v>
      </c>
      <c r="G28" s="300"/>
      <c r="H28" s="301">
        <f>SUM(F28:G28)</f>
        <v>87</v>
      </c>
      <c r="I28" s="295"/>
      <c r="J28" s="300"/>
      <c r="K28" s="301">
        <f>SUM(I28:J28)</f>
        <v>0</v>
      </c>
      <c r="L28" s="295"/>
      <c r="M28" s="300"/>
      <c r="N28" s="301">
        <f>SUM(L28:M28)</f>
        <v>0</v>
      </c>
      <c r="O28" s="295"/>
      <c r="P28" s="300"/>
      <c r="Q28" s="301">
        <f>SUM(O28:P28)</f>
        <v>0</v>
      </c>
      <c r="R28" s="639">
        <f>+C28+F28+I28+L28+O28</f>
        <v>87</v>
      </c>
      <c r="S28" s="300">
        <f t="shared" ref="S28:T28" si="54">+D28+G28+J28+M28+P28</f>
        <v>0</v>
      </c>
      <c r="T28" s="301">
        <f t="shared" si="54"/>
        <v>87</v>
      </c>
    </row>
    <row r="29" spans="1:20" s="328" customFormat="1" ht="13.5" customHeight="1">
      <c r="A29" s="244" t="s">
        <v>283</v>
      </c>
      <c r="B29" s="138" t="s">
        <v>284</v>
      </c>
      <c r="C29" s="295">
        <f>+SUM(C30:C32)</f>
        <v>30880</v>
      </c>
      <c r="D29" s="300">
        <f t="shared" ref="D29:E29" si="55">+SUM(D30:D32)</f>
        <v>-9770</v>
      </c>
      <c r="E29" s="301">
        <f t="shared" si="55"/>
        <v>21110</v>
      </c>
      <c r="F29" s="295">
        <f>+SUM(F30:F32)</f>
        <v>59524</v>
      </c>
      <c r="G29" s="300">
        <f t="shared" ref="G29" si="56">+SUM(G30:G32)</f>
        <v>-19338</v>
      </c>
      <c r="H29" s="301">
        <f t="shared" ref="H29" si="57">+SUM(H30:H32)</f>
        <v>40186</v>
      </c>
      <c r="I29" s="295">
        <f>+SUM(I30:I32)</f>
        <v>25816</v>
      </c>
      <c r="J29" s="300">
        <f t="shared" ref="J29" si="58">+SUM(J30:J32)</f>
        <v>-6999</v>
      </c>
      <c r="K29" s="303">
        <f t="shared" ref="K29" si="59">+SUM(K30:K32)</f>
        <v>18817</v>
      </c>
      <c r="L29" s="295">
        <f>+SUM(L30:L32)</f>
        <v>49685</v>
      </c>
      <c r="M29" s="300">
        <f t="shared" ref="M29" si="60">+SUM(M30:M32)</f>
        <v>-16062</v>
      </c>
      <c r="N29" s="301">
        <f t="shared" ref="N29" si="61">+SUM(N30:N32)</f>
        <v>33623</v>
      </c>
      <c r="O29" s="295">
        <f>+SUM(O30:O32)</f>
        <v>12609</v>
      </c>
      <c r="P29" s="300">
        <f t="shared" ref="P29" si="62">+SUM(P30:P32)</f>
        <v>-3926</v>
      </c>
      <c r="Q29" s="303">
        <f t="shared" ref="Q29" si="63">+SUM(Q30:Q32)</f>
        <v>8683</v>
      </c>
      <c r="R29" s="295">
        <f>+SUM(R30:R32)</f>
        <v>178514</v>
      </c>
      <c r="S29" s="300">
        <f t="shared" ref="S29:T29" si="64">+SUM(S30:S32)</f>
        <v>-56095</v>
      </c>
      <c r="T29" s="301">
        <f t="shared" si="64"/>
        <v>122419</v>
      </c>
    </row>
    <row r="30" spans="1:20" ht="13.5" customHeight="1">
      <c r="A30" s="275"/>
      <c r="B30" s="176" t="s">
        <v>293</v>
      </c>
      <c r="C30" s="272">
        <f>+'[3]4.SZ.TÁBL. ÓVODA'!$E$30</f>
        <v>27308</v>
      </c>
      <c r="D30" s="268">
        <f>+'5.SZ.TÁBL. ÓVODAI NORMATÍVA'!C18+'5.SZ.TÁBL. ÓVODAI NORMATÍVA'!C19+'5.SZ.TÁBL. ÓVODAI NORMATÍVA'!C20</f>
        <v>-8828</v>
      </c>
      <c r="E30" s="273">
        <f>SUM(C30:D30)</f>
        <v>18480</v>
      </c>
      <c r="F30" s="272">
        <f>+'[3]4.SZ.TÁBL. ÓVODA'!$H$30</f>
        <v>49141</v>
      </c>
      <c r="G30" s="268">
        <f>+'5.SZ.TÁBL. ÓVODAI NORMATÍVA'!F18+'5.SZ.TÁBL. ÓVODAI NORMATÍVA'!F19+'5.SZ.TÁBL. ÓVODAI NORMATÍVA'!F20</f>
        <v>-14363</v>
      </c>
      <c r="H30" s="273">
        <f>SUM(F30:G30)</f>
        <v>34778</v>
      </c>
      <c r="I30" s="272">
        <f>+'[3]4.SZ.TÁBL. ÓVODA'!$K$30</f>
        <v>23601</v>
      </c>
      <c r="J30" s="268">
        <f>+'5.SZ.TÁBL. ÓVODAI NORMATÍVA'!I18+'5.SZ.TÁBL. ÓVODAI NORMATÍVA'!I20</f>
        <v>-7989</v>
      </c>
      <c r="K30" s="269">
        <f>SUM(I30:J30)</f>
        <v>15612</v>
      </c>
      <c r="L30" s="272">
        <f>+'[3]4.SZ.TÁBL. ÓVODA'!$N$30</f>
        <v>50889</v>
      </c>
      <c r="M30" s="268">
        <f>+'5.SZ.TÁBL. ÓVODAI NORMATÍVA'!L18+'5.SZ.TÁBL. ÓVODAI NORMATÍVA'!L19+'5.SZ.TÁBL. ÓVODAI NORMATÍVA'!L20</f>
        <v>-16163</v>
      </c>
      <c r="N30" s="273">
        <f>SUM(L30:M30)</f>
        <v>34726</v>
      </c>
      <c r="O30" s="272">
        <f>+'[3]4.SZ.TÁBL. ÓVODA'!$Q$30</f>
        <v>5504</v>
      </c>
      <c r="P30" s="268">
        <f>+'5.SZ.TÁBL. ÓVODAI NORMATÍVA'!O18+'5.SZ.TÁBL. ÓVODAI NORMATÍVA'!O19+'5.SZ.TÁBL. ÓVODAI NORMATÍVA'!O20</f>
        <v>-1603</v>
      </c>
      <c r="Q30" s="269">
        <f>SUM(O30:P30)</f>
        <v>3901</v>
      </c>
      <c r="R30" s="272">
        <f t="shared" ref="R30:R35" si="65">+C30+F30+I30+L30+O30</f>
        <v>156443</v>
      </c>
      <c r="S30" s="268">
        <f t="shared" ref="S30:S35" si="66">+D30+G30+J30+M30+P30</f>
        <v>-48946</v>
      </c>
      <c r="T30" s="273">
        <f t="shared" ref="T30:T35" si="67">+E30+H30+K30+N30+Q30</f>
        <v>107497</v>
      </c>
    </row>
    <row r="31" spans="1:20" ht="13.5" customHeight="1">
      <c r="A31" s="750"/>
      <c r="B31" s="154" t="s">
        <v>416</v>
      </c>
      <c r="C31" s="222">
        <f>+'[3]4.SZ.TÁBL. ÓVODA'!$E$31</f>
        <v>288</v>
      </c>
      <c r="D31" s="218"/>
      <c r="E31" s="223">
        <f>SUM(C31:D31)</f>
        <v>288</v>
      </c>
      <c r="F31" s="222">
        <f>+'[3]4.SZ.TÁBL. ÓVODA'!$H$31</f>
        <v>1634</v>
      </c>
      <c r="G31" s="218"/>
      <c r="H31" s="223">
        <f>+F31+G31</f>
        <v>1634</v>
      </c>
      <c r="I31" s="222"/>
      <c r="J31" s="218"/>
      <c r="K31" s="219"/>
      <c r="L31" s="222"/>
      <c r="M31" s="218"/>
      <c r="N31" s="223"/>
      <c r="O31" s="222"/>
      <c r="P31" s="218"/>
      <c r="Q31" s="219"/>
      <c r="R31" s="215">
        <f t="shared" ref="R31" si="68">+C31+F31+I31+L31+O31</f>
        <v>1922</v>
      </c>
      <c r="S31" s="207">
        <f t="shared" ref="S31" si="69">+D31+G31+J31+M31+P31</f>
        <v>0</v>
      </c>
      <c r="T31" s="208">
        <f t="shared" ref="T31" si="70">+E31+H31+K31+N31+Q31</f>
        <v>1922</v>
      </c>
    </row>
    <row r="32" spans="1:20" ht="13.5" customHeight="1">
      <c r="A32" s="276"/>
      <c r="B32" s="177" t="s">
        <v>294</v>
      </c>
      <c r="C32" s="215">
        <f>+'[3]4.SZ.TÁBL. ÓVODA'!$E$32</f>
        <v>3284</v>
      </c>
      <c r="D32" s="207">
        <f t="shared" ref="D32:E32" si="71">+SUM(D33:D35)</f>
        <v>-942</v>
      </c>
      <c r="E32" s="208">
        <f t="shared" si="71"/>
        <v>2342</v>
      </c>
      <c r="F32" s="215">
        <f>+'[3]4.SZ.TÁBL. ÓVODA'!$H$32</f>
        <v>8749</v>
      </c>
      <c r="G32" s="207">
        <f t="shared" ref="G32" si="72">+SUM(G33:G35)</f>
        <v>-4975</v>
      </c>
      <c r="H32" s="208">
        <f t="shared" ref="H32" si="73">+SUM(H33:H35)</f>
        <v>3774</v>
      </c>
      <c r="I32" s="215">
        <f>+'[3]4.SZ.TÁBL. ÓVODA'!$K$32</f>
        <v>2215</v>
      </c>
      <c r="J32" s="207">
        <f t="shared" ref="J32" si="74">+SUM(J33:J35)</f>
        <v>990</v>
      </c>
      <c r="K32" s="212">
        <f t="shared" ref="K32" si="75">+SUM(K33:K35)</f>
        <v>3205</v>
      </c>
      <c r="L32" s="215">
        <f>+'[3]4.SZ.TÁBL. ÓVODA'!$N$32</f>
        <v>-1204</v>
      </c>
      <c r="M32" s="207">
        <f t="shared" ref="M32" si="76">+SUM(M33:M35)</f>
        <v>101</v>
      </c>
      <c r="N32" s="208">
        <f t="shared" ref="N32" si="77">+SUM(N33:N35)</f>
        <v>-1103</v>
      </c>
      <c r="O32" s="215">
        <f>+'[3]4.SZ.TÁBL. ÓVODA'!$Q$32</f>
        <v>7105</v>
      </c>
      <c r="P32" s="207">
        <f t="shared" ref="P32" si="78">+SUM(P33:P35)</f>
        <v>-2323</v>
      </c>
      <c r="Q32" s="212">
        <f t="shared" ref="Q32" si="79">+SUM(Q33:Q35)</f>
        <v>4782</v>
      </c>
      <c r="R32" s="215">
        <f t="shared" si="65"/>
        <v>20149</v>
      </c>
      <c r="S32" s="207">
        <f t="shared" si="66"/>
        <v>-7149</v>
      </c>
      <c r="T32" s="208">
        <f t="shared" si="67"/>
        <v>13000</v>
      </c>
    </row>
    <row r="33" spans="1:20" s="285" customFormat="1" ht="13.5" customHeight="1">
      <c r="A33" s="277"/>
      <c r="B33" s="457" t="s">
        <v>4</v>
      </c>
      <c r="C33" s="283">
        <f>+'[3]4.SZ.TÁBL. ÓVODA'!$E33</f>
        <v>1314</v>
      </c>
      <c r="D33" s="279">
        <v>-377</v>
      </c>
      <c r="E33" s="284">
        <f>SUM(C33:D33)</f>
        <v>937</v>
      </c>
      <c r="F33" s="283">
        <f>+'[3]4.SZ.TÁBL. ÓVODA'!$H$33</f>
        <v>8749</v>
      </c>
      <c r="G33" s="279">
        <v>-4975</v>
      </c>
      <c r="H33" s="284">
        <f>SUM(F33:G33)</f>
        <v>3774</v>
      </c>
      <c r="I33" s="283">
        <f>+'[5]4.SZ.TÁBL. ÓVODA'!$J32</f>
        <v>0</v>
      </c>
      <c r="J33" s="279"/>
      <c r="K33" s="280">
        <f>SUM(I33:J33)</f>
        <v>0</v>
      </c>
      <c r="L33" s="283">
        <f>+'[5]4.SZ.TÁBL. ÓVODA'!$M32</f>
        <v>0</v>
      </c>
      <c r="M33" s="279"/>
      <c r="N33" s="284">
        <f>SUM(L33:M33)</f>
        <v>0</v>
      </c>
      <c r="O33" s="283">
        <f>+'[3]4.SZ.TÁBL. ÓVODA'!$Q33</f>
        <v>2842</v>
      </c>
      <c r="P33" s="279">
        <v>-929</v>
      </c>
      <c r="Q33" s="280">
        <f>SUM(O33:P33)</f>
        <v>1913</v>
      </c>
      <c r="R33" s="283">
        <f t="shared" si="65"/>
        <v>12905</v>
      </c>
      <c r="S33" s="279">
        <f t="shared" si="66"/>
        <v>-6281</v>
      </c>
      <c r="T33" s="284">
        <f t="shared" si="67"/>
        <v>6624</v>
      </c>
    </row>
    <row r="34" spans="1:20" s="285" customFormat="1" ht="13.5" customHeight="1">
      <c r="A34" s="277"/>
      <c r="B34" s="457" t="s">
        <v>6</v>
      </c>
      <c r="C34" s="283">
        <f>+'[3]4.SZ.TÁBL. ÓVODA'!$E34</f>
        <v>656</v>
      </c>
      <c r="D34" s="279">
        <v>-188</v>
      </c>
      <c r="E34" s="284">
        <f t="shared" ref="E34:E35" si="80">SUM(C34:D34)</f>
        <v>468</v>
      </c>
      <c r="F34" s="283">
        <f>+'[5]4.SZ.TÁBL. ÓVODA'!$G33</f>
        <v>0</v>
      </c>
      <c r="G34" s="279"/>
      <c r="H34" s="284">
        <f t="shared" ref="H34:H35" si="81">SUM(F34:G34)</f>
        <v>0</v>
      </c>
      <c r="I34" s="283">
        <f>+'[3]4.SZ.TÁBL. ÓVODA'!$K$34</f>
        <v>2215</v>
      </c>
      <c r="J34" s="279">
        <v>990</v>
      </c>
      <c r="K34" s="280">
        <f t="shared" ref="K34:K35" si="82">SUM(I34:J34)</f>
        <v>3205</v>
      </c>
      <c r="L34" s="283">
        <f>+'[5]4.SZ.TÁBL. ÓVODA'!$M33</f>
        <v>0</v>
      </c>
      <c r="M34" s="279"/>
      <c r="N34" s="284">
        <f t="shared" ref="N34:N35" si="83">SUM(L34:M34)</f>
        <v>0</v>
      </c>
      <c r="O34" s="283">
        <f>+'[3]4.SZ.TÁBL. ÓVODA'!$Q34</f>
        <v>1422</v>
      </c>
      <c r="P34" s="279">
        <v>-465</v>
      </c>
      <c r="Q34" s="280">
        <f t="shared" ref="Q34:Q35" si="84">SUM(O34:P34)</f>
        <v>957</v>
      </c>
      <c r="R34" s="283">
        <f t="shared" si="65"/>
        <v>4293</v>
      </c>
      <c r="S34" s="279">
        <f t="shared" si="66"/>
        <v>337</v>
      </c>
      <c r="T34" s="284">
        <f t="shared" si="67"/>
        <v>4630</v>
      </c>
    </row>
    <row r="35" spans="1:20" s="285" customFormat="1" ht="13.5" customHeight="1">
      <c r="A35" s="286"/>
      <c r="B35" s="459" t="s">
        <v>10</v>
      </c>
      <c r="C35" s="283">
        <f>+'[3]4.SZ.TÁBL. ÓVODA'!$E35</f>
        <v>1314</v>
      </c>
      <c r="D35" s="287">
        <v>-377</v>
      </c>
      <c r="E35" s="284">
        <f t="shared" si="80"/>
        <v>937</v>
      </c>
      <c r="F35" s="283">
        <f>+'[5]4.SZ.TÁBL. ÓVODA'!$G34</f>
        <v>0</v>
      </c>
      <c r="G35" s="287"/>
      <c r="H35" s="291">
        <f t="shared" si="81"/>
        <v>0</v>
      </c>
      <c r="I35" s="283">
        <f>+'[5]4.SZ.TÁBL. ÓVODA'!$J34</f>
        <v>0</v>
      </c>
      <c r="J35" s="287"/>
      <c r="K35" s="288">
        <f t="shared" si="82"/>
        <v>0</v>
      </c>
      <c r="L35" s="283">
        <f>+'[3]4.SZ.TÁBL. ÓVODA'!$N$35</f>
        <v>-1204</v>
      </c>
      <c r="M35" s="287">
        <v>101</v>
      </c>
      <c r="N35" s="291">
        <f t="shared" si="83"/>
        <v>-1103</v>
      </c>
      <c r="O35" s="283">
        <f>+'[3]4.SZ.TÁBL. ÓVODA'!$Q35</f>
        <v>2841</v>
      </c>
      <c r="P35" s="287">
        <v>-929</v>
      </c>
      <c r="Q35" s="288">
        <f t="shared" si="84"/>
        <v>1912</v>
      </c>
      <c r="R35" s="290">
        <f t="shared" si="65"/>
        <v>2951</v>
      </c>
      <c r="S35" s="287">
        <f t="shared" si="66"/>
        <v>-1205</v>
      </c>
      <c r="T35" s="291">
        <f t="shared" si="67"/>
        <v>1746</v>
      </c>
    </row>
    <row r="36" spans="1:20" s="328" customFormat="1" ht="13.5" customHeight="1" thickBot="1">
      <c r="A36" s="292" t="s">
        <v>170</v>
      </c>
      <c r="B36" s="293" t="s">
        <v>129</v>
      </c>
      <c r="C36" s="304">
        <f>SUM(C28:C29)</f>
        <v>30880</v>
      </c>
      <c r="D36" s="305">
        <f t="shared" ref="D36:E36" si="85">SUM(D28:D29)</f>
        <v>-9770</v>
      </c>
      <c r="E36" s="306">
        <f t="shared" si="85"/>
        <v>21110</v>
      </c>
      <c r="F36" s="304">
        <f>SUM(F28:F29)</f>
        <v>59611</v>
      </c>
      <c r="G36" s="305">
        <f t="shared" ref="G36:H36" si="86">SUM(G28:G29)</f>
        <v>-19338</v>
      </c>
      <c r="H36" s="306">
        <f t="shared" si="86"/>
        <v>40273</v>
      </c>
      <c r="I36" s="304">
        <f>SUM(I28:I29)</f>
        <v>25816</v>
      </c>
      <c r="J36" s="305">
        <f t="shared" ref="J36:K36" si="87">SUM(J28:J29)</f>
        <v>-6999</v>
      </c>
      <c r="K36" s="307">
        <f t="shared" si="87"/>
        <v>18817</v>
      </c>
      <c r="L36" s="304">
        <f>SUM(L28:L29)</f>
        <v>49685</v>
      </c>
      <c r="M36" s="305">
        <f t="shared" ref="M36:N36" si="88">SUM(M28:M29)</f>
        <v>-16062</v>
      </c>
      <c r="N36" s="306">
        <f t="shared" si="88"/>
        <v>33623</v>
      </c>
      <c r="O36" s="304">
        <f>SUM(O28:O29)</f>
        <v>12609</v>
      </c>
      <c r="P36" s="305">
        <f t="shared" ref="P36:Q36" si="89">SUM(P28:P29)</f>
        <v>-3926</v>
      </c>
      <c r="Q36" s="307">
        <f t="shared" si="89"/>
        <v>8683</v>
      </c>
      <c r="R36" s="304">
        <f>SUM(R28:R29)</f>
        <v>178601</v>
      </c>
      <c r="S36" s="305">
        <f t="shared" ref="S36:T36" si="90">SUM(S28:S29)</f>
        <v>-56095</v>
      </c>
      <c r="T36" s="306">
        <f t="shared" si="90"/>
        <v>122506</v>
      </c>
    </row>
    <row r="37" spans="1:20" s="328" customFormat="1" ht="13.5" customHeight="1" thickBot="1">
      <c r="A37" s="864" t="s">
        <v>0</v>
      </c>
      <c r="B37" s="914"/>
      <c r="C37" s="308">
        <f>+C27+C36</f>
        <v>30880</v>
      </c>
      <c r="D37" s="309">
        <f t="shared" ref="D37:E37" si="91">+D27+D36</f>
        <v>-9759</v>
      </c>
      <c r="E37" s="310">
        <f t="shared" si="91"/>
        <v>21121</v>
      </c>
      <c r="F37" s="308">
        <f>+F27+F36</f>
        <v>59611</v>
      </c>
      <c r="G37" s="309">
        <f t="shared" ref="G37" si="92">+G27+G36</f>
        <v>-19338</v>
      </c>
      <c r="H37" s="310">
        <f t="shared" ref="H37" si="93">+H27+H36</f>
        <v>40273</v>
      </c>
      <c r="I37" s="308">
        <f>+I27+I36</f>
        <v>25816</v>
      </c>
      <c r="J37" s="309">
        <f t="shared" ref="J37" si="94">+J27+J36</f>
        <v>-6999</v>
      </c>
      <c r="K37" s="312">
        <f t="shared" ref="K37" si="95">+K27+K36</f>
        <v>18817</v>
      </c>
      <c r="L37" s="308">
        <f>+L27+L36</f>
        <v>49685</v>
      </c>
      <c r="M37" s="309">
        <f t="shared" ref="M37" si="96">+M27+M36</f>
        <v>-16062</v>
      </c>
      <c r="N37" s="310">
        <f t="shared" ref="N37" si="97">+N27+N36</f>
        <v>33623</v>
      </c>
      <c r="O37" s="308">
        <f>+O27+O36</f>
        <v>12609</v>
      </c>
      <c r="P37" s="309">
        <f t="shared" ref="P37" si="98">+P27+P36</f>
        <v>-3925</v>
      </c>
      <c r="Q37" s="312">
        <f t="shared" ref="Q37" si="99">+Q27+Q36</f>
        <v>8684</v>
      </c>
      <c r="R37" s="308">
        <f>+R27+R36</f>
        <v>178601</v>
      </c>
      <c r="S37" s="309">
        <f t="shared" ref="S37:T37" si="100">+S27+S36</f>
        <v>-56083</v>
      </c>
      <c r="T37" s="310">
        <f t="shared" si="100"/>
        <v>122518</v>
      </c>
    </row>
    <row r="38" spans="1:20" ht="13.5" customHeight="1">
      <c r="A38" s="199" t="s">
        <v>188</v>
      </c>
      <c r="B38" s="253" t="s">
        <v>189</v>
      </c>
      <c r="C38" s="222">
        <f>+'[3]4.SZ.TÁBL. ÓVODA'!$E38</f>
        <v>17578</v>
      </c>
      <c r="D38" s="218">
        <f>+[4]MOVI!$E$13+[4]MOVI!$E$27</f>
        <v>-4675</v>
      </c>
      <c r="E38" s="223">
        <f>SUM(C38:D38)</f>
        <v>12903</v>
      </c>
      <c r="F38" s="222">
        <f>+'[3]4.SZ.TÁBL. ÓVODA'!$H38</f>
        <v>36969</v>
      </c>
      <c r="G38" s="218">
        <f>+[4]BOVI!$E$9+[4]BOVI!$E$17+[4]BOVI!$E$34</f>
        <v>-12970</v>
      </c>
      <c r="H38" s="223">
        <f>SUM(F38:G38)</f>
        <v>23999</v>
      </c>
      <c r="I38" s="222">
        <f>+'[3]4.SZ.TÁBL. ÓVODA'!$K38</f>
        <v>19187</v>
      </c>
      <c r="J38" s="218">
        <f>+[4]GYOVI!$E$12+[4]GYOVI!$E$16</f>
        <v>-5528</v>
      </c>
      <c r="K38" s="219">
        <f>SUM(I38:J38)</f>
        <v>13659</v>
      </c>
      <c r="L38" s="222">
        <f>+'[3]4.SZ.TÁBL. ÓVODA'!$N38</f>
        <v>34319</v>
      </c>
      <c r="M38" s="218">
        <f>+[4]TOVI!$E$20</f>
        <v>-11044</v>
      </c>
      <c r="N38" s="223">
        <f>SUM(L38:M38)</f>
        <v>23275</v>
      </c>
      <c r="O38" s="222">
        <f>+'[3]4.SZ.TÁBL. ÓVODA'!$Q38</f>
        <v>6498</v>
      </c>
      <c r="P38" s="218">
        <f>+[4]KIK!$E$25</f>
        <v>-1649</v>
      </c>
      <c r="Q38" s="219">
        <f>SUM(O38:P38)</f>
        <v>4849</v>
      </c>
      <c r="R38" s="222">
        <f>+C38+F38+I38+L38+O38</f>
        <v>114551</v>
      </c>
      <c r="S38" s="218">
        <f t="shared" ref="S38:T51" si="101">+D38+G38+J38+M38+P38</f>
        <v>-35866</v>
      </c>
      <c r="T38" s="223">
        <f t="shared" si="101"/>
        <v>78685</v>
      </c>
    </row>
    <row r="39" spans="1:20" ht="13.5" customHeight="1">
      <c r="A39" s="200" t="s">
        <v>190</v>
      </c>
      <c r="B39" s="254" t="s">
        <v>191</v>
      </c>
      <c r="C39" s="222">
        <f>+'[3]4.SZ.TÁBL. ÓVODA'!$E39</f>
        <v>0</v>
      </c>
      <c r="D39" s="207"/>
      <c r="E39" s="208">
        <f>SUM(C39:D39)</f>
        <v>0</v>
      </c>
      <c r="F39" s="222">
        <f>+'[3]4.SZ.TÁBL. ÓVODA'!$H39</f>
        <v>0</v>
      </c>
      <c r="G39" s="207"/>
      <c r="H39" s="208">
        <f>SUM(F39:G39)</f>
        <v>0</v>
      </c>
      <c r="I39" s="222">
        <f>+'[3]4.SZ.TÁBL. ÓVODA'!$K39</f>
        <v>0</v>
      </c>
      <c r="J39" s="207"/>
      <c r="K39" s="212">
        <f>SUM(I39:J39)</f>
        <v>0</v>
      </c>
      <c r="L39" s="222">
        <f>+'[3]4.SZ.TÁBL. ÓVODA'!$N39</f>
        <v>0</v>
      </c>
      <c r="M39" s="207"/>
      <c r="N39" s="208">
        <f>SUM(L39:M39)</f>
        <v>0</v>
      </c>
      <c r="O39" s="222">
        <f>+'[3]4.SZ.TÁBL. ÓVODA'!$Q39</f>
        <v>0</v>
      </c>
      <c r="P39" s="207"/>
      <c r="Q39" s="212">
        <f>SUM(O39:P39)</f>
        <v>0</v>
      </c>
      <c r="R39" s="222">
        <f t="shared" ref="R39:R55" si="102">+C39+F39+I39+L39+O39</f>
        <v>0</v>
      </c>
      <c r="S39" s="207">
        <f t="shared" si="101"/>
        <v>0</v>
      </c>
      <c r="T39" s="208">
        <f t="shared" si="101"/>
        <v>0</v>
      </c>
    </row>
    <row r="40" spans="1:20" ht="13.5" customHeight="1">
      <c r="A40" s="200" t="s">
        <v>192</v>
      </c>
      <c r="B40" s="254" t="s">
        <v>193</v>
      </c>
      <c r="C40" s="222">
        <f>+'[3]4.SZ.TÁBL. ÓVODA'!$E40</f>
        <v>0</v>
      </c>
      <c r="D40" s="207"/>
      <c r="E40" s="208">
        <f t="shared" ref="E40:E51" si="103">SUM(C40:D40)</f>
        <v>0</v>
      </c>
      <c r="F40" s="222">
        <f>+'[3]4.SZ.TÁBL. ÓVODA'!$H40</f>
        <v>0</v>
      </c>
      <c r="G40" s="207"/>
      <c r="H40" s="208">
        <f t="shared" ref="H40:H51" si="104">SUM(F40:G40)</f>
        <v>0</v>
      </c>
      <c r="I40" s="222">
        <f>+'[3]4.SZ.TÁBL. ÓVODA'!$K40</f>
        <v>0</v>
      </c>
      <c r="J40" s="207"/>
      <c r="K40" s="212">
        <f t="shared" ref="K40:K51" si="105">SUM(I40:J40)</f>
        <v>0</v>
      </c>
      <c r="L40" s="222">
        <f>+'[3]4.SZ.TÁBL. ÓVODA'!$N40</f>
        <v>0</v>
      </c>
      <c r="M40" s="207"/>
      <c r="N40" s="208">
        <f t="shared" ref="N40:N51" si="106">SUM(L40:M40)</f>
        <v>0</v>
      </c>
      <c r="O40" s="222">
        <f>+'[3]4.SZ.TÁBL. ÓVODA'!$Q40</f>
        <v>0</v>
      </c>
      <c r="P40" s="207"/>
      <c r="Q40" s="212">
        <f t="shared" ref="Q40:Q51" si="107">SUM(O40:P40)</f>
        <v>0</v>
      </c>
      <c r="R40" s="222">
        <f t="shared" si="102"/>
        <v>0</v>
      </c>
      <c r="S40" s="207">
        <f t="shared" si="101"/>
        <v>0</v>
      </c>
      <c r="T40" s="208">
        <f t="shared" si="101"/>
        <v>0</v>
      </c>
    </row>
    <row r="41" spans="1:20" ht="13.5" customHeight="1">
      <c r="A41" s="200" t="s">
        <v>194</v>
      </c>
      <c r="B41" s="254" t="s">
        <v>195</v>
      </c>
      <c r="C41" s="222">
        <f>+'[3]4.SZ.TÁBL. ÓVODA'!$E41</f>
        <v>307</v>
      </c>
      <c r="D41" s="207">
        <f>+[4]MOVI!$E$28</f>
        <v>-294</v>
      </c>
      <c r="E41" s="208">
        <f t="shared" si="103"/>
        <v>13</v>
      </c>
      <c r="F41" s="222">
        <f>+'[3]4.SZ.TÁBL. ÓVODA'!$H41</f>
        <v>678</v>
      </c>
      <c r="G41" s="207">
        <f>+[4]BOVI!$E$7+[4]BOVI!$E$15</f>
        <v>272</v>
      </c>
      <c r="H41" s="208">
        <f t="shared" si="104"/>
        <v>950</v>
      </c>
      <c r="I41" s="222">
        <f>+'[3]4.SZ.TÁBL. ÓVODA'!$K41</f>
        <v>385</v>
      </c>
      <c r="J41" s="207">
        <f>+[4]GYOVI!$E$4</f>
        <v>66</v>
      </c>
      <c r="K41" s="212">
        <f t="shared" si="105"/>
        <v>451</v>
      </c>
      <c r="L41" s="222">
        <f>+'[3]4.SZ.TÁBL. ÓVODA'!$N41</f>
        <v>617</v>
      </c>
      <c r="M41" s="207">
        <f>+[4]TOVI!$E$21</f>
        <v>-200</v>
      </c>
      <c r="N41" s="208">
        <f t="shared" si="106"/>
        <v>417</v>
      </c>
      <c r="O41" s="222">
        <f>+'[3]4.SZ.TÁBL. ÓVODA'!$Q41</f>
        <v>91</v>
      </c>
      <c r="P41" s="207">
        <f>+[4]KIK!$E$26</f>
        <v>-34</v>
      </c>
      <c r="Q41" s="212">
        <f t="shared" si="107"/>
        <v>57</v>
      </c>
      <c r="R41" s="222">
        <f t="shared" si="102"/>
        <v>2078</v>
      </c>
      <c r="S41" s="207">
        <f t="shared" si="101"/>
        <v>-190</v>
      </c>
      <c r="T41" s="208">
        <f t="shared" si="101"/>
        <v>1888</v>
      </c>
    </row>
    <row r="42" spans="1:20" ht="13.5" customHeight="1">
      <c r="A42" s="200" t="s">
        <v>196</v>
      </c>
      <c r="B42" s="254" t="s">
        <v>197</v>
      </c>
      <c r="C42" s="222">
        <f>+'[3]4.SZ.TÁBL. ÓVODA'!$E42</f>
        <v>0</v>
      </c>
      <c r="D42" s="207"/>
      <c r="E42" s="208">
        <f t="shared" si="103"/>
        <v>0</v>
      </c>
      <c r="F42" s="222">
        <f>+'[3]4.SZ.TÁBL. ÓVODA'!$H42</f>
        <v>0</v>
      </c>
      <c r="G42" s="207"/>
      <c r="H42" s="208">
        <f t="shared" si="104"/>
        <v>0</v>
      </c>
      <c r="I42" s="222">
        <f>+'[3]4.SZ.TÁBL. ÓVODA'!$K42</f>
        <v>0</v>
      </c>
      <c r="J42" s="207"/>
      <c r="K42" s="212">
        <f t="shared" si="105"/>
        <v>0</v>
      </c>
      <c r="L42" s="222">
        <f>+'[3]4.SZ.TÁBL. ÓVODA'!$N42</f>
        <v>0</v>
      </c>
      <c r="M42" s="207"/>
      <c r="N42" s="208">
        <f t="shared" si="106"/>
        <v>0</v>
      </c>
      <c r="O42" s="222">
        <f>+'[3]4.SZ.TÁBL. ÓVODA'!$Q42</f>
        <v>0</v>
      </c>
      <c r="P42" s="207"/>
      <c r="Q42" s="212">
        <f t="shared" si="107"/>
        <v>0</v>
      </c>
      <c r="R42" s="222">
        <f t="shared" si="102"/>
        <v>0</v>
      </c>
      <c r="S42" s="207">
        <f t="shared" si="101"/>
        <v>0</v>
      </c>
      <c r="T42" s="208">
        <f t="shared" si="101"/>
        <v>0</v>
      </c>
    </row>
    <row r="43" spans="1:20" ht="13.5" customHeight="1">
      <c r="A43" s="200" t="s">
        <v>198</v>
      </c>
      <c r="B43" s="254" t="s">
        <v>1</v>
      </c>
      <c r="C43" s="222">
        <f>+'[3]4.SZ.TÁBL. ÓVODA'!$E43</f>
        <v>0</v>
      </c>
      <c r="D43" s="207"/>
      <c r="E43" s="208">
        <f t="shared" si="103"/>
        <v>0</v>
      </c>
      <c r="F43" s="222">
        <f>+'[3]4.SZ.TÁBL. ÓVODA'!$H43</f>
        <v>903</v>
      </c>
      <c r="G43" s="207"/>
      <c r="H43" s="208">
        <f t="shared" si="104"/>
        <v>903</v>
      </c>
      <c r="I43" s="222">
        <f>+'[3]4.SZ.TÁBL. ÓVODA'!$K43</f>
        <v>0</v>
      </c>
      <c r="J43" s="207"/>
      <c r="K43" s="212">
        <f t="shared" si="105"/>
        <v>0</v>
      </c>
      <c r="L43" s="222">
        <f>+'[3]4.SZ.TÁBL. ÓVODA'!$N43</f>
        <v>0</v>
      </c>
      <c r="M43" s="207"/>
      <c r="N43" s="208">
        <f t="shared" si="106"/>
        <v>0</v>
      </c>
      <c r="O43" s="222">
        <f>+'[3]4.SZ.TÁBL. ÓVODA'!$Q43</f>
        <v>983</v>
      </c>
      <c r="P43" s="207"/>
      <c r="Q43" s="212">
        <f t="shared" si="107"/>
        <v>983</v>
      </c>
      <c r="R43" s="222">
        <f t="shared" si="102"/>
        <v>1886</v>
      </c>
      <c r="S43" s="207">
        <f t="shared" si="101"/>
        <v>0</v>
      </c>
      <c r="T43" s="208">
        <f t="shared" si="101"/>
        <v>1886</v>
      </c>
    </row>
    <row r="44" spans="1:20" ht="13.5" customHeight="1">
      <c r="A44" s="200" t="s">
        <v>199</v>
      </c>
      <c r="B44" s="254" t="s">
        <v>200</v>
      </c>
      <c r="C44" s="222">
        <f>+'[3]4.SZ.TÁBL. ÓVODA'!$E44</f>
        <v>395</v>
      </c>
      <c r="D44" s="207">
        <f>+[4]MOVI!$E$29</f>
        <v>-115</v>
      </c>
      <c r="E44" s="208">
        <f t="shared" si="103"/>
        <v>280</v>
      </c>
      <c r="F44" s="222">
        <f>+'[3]4.SZ.TÁBL. ÓVODA'!$H44</f>
        <v>807</v>
      </c>
      <c r="G44" s="207">
        <f>+[4]BOVI!$E$35</f>
        <v>-319</v>
      </c>
      <c r="H44" s="208">
        <f t="shared" si="104"/>
        <v>488</v>
      </c>
      <c r="I44" s="222">
        <f>+'[3]4.SZ.TÁBL. ÓVODA'!$K44</f>
        <v>390</v>
      </c>
      <c r="J44" s="207">
        <f>+[4]GYOVI!$E$17</f>
        <v>-135</v>
      </c>
      <c r="K44" s="212">
        <f t="shared" si="105"/>
        <v>255</v>
      </c>
      <c r="L44" s="222">
        <f>+'[3]4.SZ.TÁBL. ÓVODA'!$N44</f>
        <v>735</v>
      </c>
      <c r="M44" s="207">
        <f>+[4]TOVI!$E$22</f>
        <v>-260</v>
      </c>
      <c r="N44" s="208">
        <f t="shared" si="106"/>
        <v>475</v>
      </c>
      <c r="O44" s="222">
        <f>+'[3]4.SZ.TÁBL. ÓVODA'!$Q44</f>
        <v>108</v>
      </c>
      <c r="P44" s="207">
        <f>+[4]KIK!$E$27</f>
        <v>-36</v>
      </c>
      <c r="Q44" s="212">
        <f t="shared" si="107"/>
        <v>72</v>
      </c>
      <c r="R44" s="222">
        <f t="shared" si="102"/>
        <v>2435</v>
      </c>
      <c r="S44" s="207">
        <f t="shared" si="101"/>
        <v>-865</v>
      </c>
      <c r="T44" s="208">
        <f t="shared" si="101"/>
        <v>1570</v>
      </c>
    </row>
    <row r="45" spans="1:20" ht="13.5" customHeight="1">
      <c r="A45" s="200" t="s">
        <v>201</v>
      </c>
      <c r="B45" s="254" t="s">
        <v>202</v>
      </c>
      <c r="C45" s="222">
        <f>+'[3]4.SZ.TÁBL. ÓVODA'!$E45</f>
        <v>0</v>
      </c>
      <c r="D45" s="207"/>
      <c r="E45" s="208">
        <f t="shared" si="103"/>
        <v>0</v>
      </c>
      <c r="F45" s="222">
        <f>+'[3]4.SZ.TÁBL. ÓVODA'!$H45</f>
        <v>0</v>
      </c>
      <c r="G45" s="207"/>
      <c r="H45" s="208">
        <f t="shared" si="104"/>
        <v>0</v>
      </c>
      <c r="I45" s="222">
        <f>+'[3]4.SZ.TÁBL. ÓVODA'!$K45</f>
        <v>0</v>
      </c>
      <c r="J45" s="207"/>
      <c r="K45" s="212">
        <f t="shared" si="105"/>
        <v>0</v>
      </c>
      <c r="L45" s="222">
        <f>+'[3]4.SZ.TÁBL. ÓVODA'!$N45</f>
        <v>0</v>
      </c>
      <c r="M45" s="207"/>
      <c r="N45" s="208">
        <f t="shared" si="106"/>
        <v>0</v>
      </c>
      <c r="O45" s="222">
        <f>+'[3]4.SZ.TÁBL. ÓVODA'!$Q45</f>
        <v>0</v>
      </c>
      <c r="P45" s="207"/>
      <c r="Q45" s="212">
        <f t="shared" si="107"/>
        <v>0</v>
      </c>
      <c r="R45" s="222">
        <f t="shared" si="102"/>
        <v>0</v>
      </c>
      <c r="S45" s="207">
        <f t="shared" si="101"/>
        <v>0</v>
      </c>
      <c r="T45" s="208">
        <f t="shared" si="101"/>
        <v>0</v>
      </c>
    </row>
    <row r="46" spans="1:20" ht="13.5" customHeight="1">
      <c r="A46" s="200" t="s">
        <v>203</v>
      </c>
      <c r="B46" s="254" t="s">
        <v>2</v>
      </c>
      <c r="C46" s="222">
        <f>+'[3]4.SZ.TÁBL. ÓVODA'!$E46</f>
        <v>197</v>
      </c>
      <c r="D46" s="207">
        <f>+[4]MOVI!$E$30</f>
        <v>-149</v>
      </c>
      <c r="E46" s="208">
        <f t="shared" si="103"/>
        <v>48</v>
      </c>
      <c r="F46" s="222">
        <f>+'[3]4.SZ.TÁBL. ÓVODA'!$H46</f>
        <v>314</v>
      </c>
      <c r="G46" s="207">
        <f>+[4]BOVI!$E$36</f>
        <v>-221</v>
      </c>
      <c r="H46" s="208">
        <f t="shared" si="104"/>
        <v>93</v>
      </c>
      <c r="I46" s="222">
        <f>+'[3]4.SZ.TÁBL. ÓVODA'!$K46</f>
        <v>211</v>
      </c>
      <c r="J46" s="207">
        <f>+[4]GYOVI!$E$18</f>
        <v>-5</v>
      </c>
      <c r="K46" s="212">
        <f t="shared" si="105"/>
        <v>206</v>
      </c>
      <c r="L46" s="222">
        <f>+'[3]4.SZ.TÁBL. ÓVODA'!$N46</f>
        <v>351</v>
      </c>
      <c r="M46" s="207">
        <f>+[4]TOVI!$E$23</f>
        <v>-213</v>
      </c>
      <c r="N46" s="208">
        <f t="shared" si="106"/>
        <v>138</v>
      </c>
      <c r="O46" s="222">
        <f>+'[3]4.SZ.TÁBL. ÓVODA'!$Q46</f>
        <v>53</v>
      </c>
      <c r="P46" s="207">
        <f>+[4]KIK!$E$28</f>
        <v>-53</v>
      </c>
      <c r="Q46" s="212">
        <f t="shared" si="107"/>
        <v>0</v>
      </c>
      <c r="R46" s="222">
        <f t="shared" si="102"/>
        <v>1126</v>
      </c>
      <c r="S46" s="207">
        <f t="shared" si="101"/>
        <v>-641</v>
      </c>
      <c r="T46" s="208">
        <f t="shared" si="101"/>
        <v>485</v>
      </c>
    </row>
    <row r="47" spans="1:20" ht="13.5" customHeight="1">
      <c r="A47" s="200" t="s">
        <v>204</v>
      </c>
      <c r="B47" s="254" t="s">
        <v>205</v>
      </c>
      <c r="C47" s="222">
        <f>+'[3]4.SZ.TÁBL. ÓVODA'!$E47</f>
        <v>0</v>
      </c>
      <c r="D47" s="207"/>
      <c r="E47" s="208">
        <f t="shared" si="103"/>
        <v>0</v>
      </c>
      <c r="F47" s="222">
        <f>+'[3]4.SZ.TÁBL. ÓVODA'!$H47</f>
        <v>0</v>
      </c>
      <c r="G47" s="207"/>
      <c r="H47" s="208">
        <f t="shared" si="104"/>
        <v>0</v>
      </c>
      <c r="I47" s="222">
        <f>+'[3]4.SZ.TÁBL. ÓVODA'!$K47</f>
        <v>0</v>
      </c>
      <c r="J47" s="207"/>
      <c r="K47" s="212">
        <f t="shared" si="105"/>
        <v>0</v>
      </c>
      <c r="L47" s="222">
        <f>+'[3]4.SZ.TÁBL. ÓVODA'!$N47</f>
        <v>0</v>
      </c>
      <c r="M47" s="207"/>
      <c r="N47" s="208">
        <f t="shared" si="106"/>
        <v>0</v>
      </c>
      <c r="O47" s="222">
        <f>+'[3]4.SZ.TÁBL. ÓVODA'!$Q47</f>
        <v>0</v>
      </c>
      <c r="P47" s="207"/>
      <c r="Q47" s="212">
        <f t="shared" si="107"/>
        <v>0</v>
      </c>
      <c r="R47" s="222">
        <f t="shared" si="102"/>
        <v>0</v>
      </c>
      <c r="S47" s="207">
        <f t="shared" si="101"/>
        <v>0</v>
      </c>
      <c r="T47" s="208">
        <f t="shared" si="101"/>
        <v>0</v>
      </c>
    </row>
    <row r="48" spans="1:20" ht="13.5" customHeight="1">
      <c r="A48" s="200" t="s">
        <v>206</v>
      </c>
      <c r="B48" s="254" t="s">
        <v>207</v>
      </c>
      <c r="C48" s="222">
        <f>+'[3]4.SZ.TÁBL. ÓVODA'!$E48</f>
        <v>0</v>
      </c>
      <c r="D48" s="207"/>
      <c r="E48" s="208">
        <f t="shared" si="103"/>
        <v>0</v>
      </c>
      <c r="F48" s="222">
        <f>+'[3]4.SZ.TÁBL. ÓVODA'!$H48</f>
        <v>0</v>
      </c>
      <c r="G48" s="207"/>
      <c r="H48" s="208">
        <f t="shared" si="104"/>
        <v>0</v>
      </c>
      <c r="I48" s="222">
        <f>+'[3]4.SZ.TÁBL. ÓVODA'!$K48</f>
        <v>0</v>
      </c>
      <c r="J48" s="207"/>
      <c r="K48" s="212">
        <f t="shared" si="105"/>
        <v>0</v>
      </c>
      <c r="L48" s="222">
        <f>+'[3]4.SZ.TÁBL. ÓVODA'!$N48</f>
        <v>0</v>
      </c>
      <c r="M48" s="207"/>
      <c r="N48" s="208">
        <f t="shared" si="106"/>
        <v>0</v>
      </c>
      <c r="O48" s="222">
        <f>+'[3]4.SZ.TÁBL. ÓVODA'!$Q48</f>
        <v>0</v>
      </c>
      <c r="P48" s="207"/>
      <c r="Q48" s="212">
        <f t="shared" si="107"/>
        <v>0</v>
      </c>
      <c r="R48" s="222">
        <f t="shared" si="102"/>
        <v>0</v>
      </c>
      <c r="S48" s="207">
        <f t="shared" si="101"/>
        <v>0</v>
      </c>
      <c r="T48" s="208">
        <f t="shared" si="101"/>
        <v>0</v>
      </c>
    </row>
    <row r="49" spans="1:20" ht="13.5" customHeight="1">
      <c r="A49" s="200" t="s">
        <v>208</v>
      </c>
      <c r="B49" s="254" t="s">
        <v>209</v>
      </c>
      <c r="C49" s="222">
        <f>+'[3]4.SZ.TÁBL. ÓVODA'!$E49</f>
        <v>0</v>
      </c>
      <c r="D49" s="207"/>
      <c r="E49" s="208">
        <f t="shared" si="103"/>
        <v>0</v>
      </c>
      <c r="F49" s="222">
        <f>+'[3]4.SZ.TÁBL. ÓVODA'!$H49</f>
        <v>0</v>
      </c>
      <c r="G49" s="207"/>
      <c r="H49" s="208">
        <f t="shared" si="104"/>
        <v>0</v>
      </c>
      <c r="I49" s="222">
        <f>+'[3]4.SZ.TÁBL. ÓVODA'!$K49</f>
        <v>0</v>
      </c>
      <c r="J49" s="207"/>
      <c r="K49" s="212">
        <f t="shared" si="105"/>
        <v>0</v>
      </c>
      <c r="L49" s="222">
        <f>+'[3]4.SZ.TÁBL. ÓVODA'!$N49</f>
        <v>0</v>
      </c>
      <c r="M49" s="207"/>
      <c r="N49" s="208">
        <f t="shared" si="106"/>
        <v>0</v>
      </c>
      <c r="O49" s="222">
        <f>+'[3]4.SZ.TÁBL. ÓVODA'!$Q49</f>
        <v>0</v>
      </c>
      <c r="P49" s="207"/>
      <c r="Q49" s="212">
        <f t="shared" si="107"/>
        <v>0</v>
      </c>
      <c r="R49" s="222">
        <f t="shared" si="102"/>
        <v>0</v>
      </c>
      <c r="S49" s="207">
        <f t="shared" si="101"/>
        <v>0</v>
      </c>
      <c r="T49" s="208">
        <f t="shared" si="101"/>
        <v>0</v>
      </c>
    </row>
    <row r="50" spans="1:20" ht="13.5" customHeight="1">
      <c r="A50" s="200" t="s">
        <v>210</v>
      </c>
      <c r="B50" s="254" t="s">
        <v>211</v>
      </c>
      <c r="C50" s="222">
        <f>+'[3]4.SZ.TÁBL. ÓVODA'!$E50</f>
        <v>97</v>
      </c>
      <c r="D50" s="207">
        <f>+[4]MOVI!$E$5+[4]MOVI!$E$10+[4]MOVI!$E$12+[4]MOVI!$E$17+[4]MOVI!$E$22+[4]MOVI!$E$31</f>
        <v>37</v>
      </c>
      <c r="E50" s="208">
        <f t="shared" si="103"/>
        <v>134</v>
      </c>
      <c r="F50" s="222">
        <f>+'[3]4.SZ.TÁBL. ÓVODA'!$H50</f>
        <v>263</v>
      </c>
      <c r="G50" s="207">
        <f>+[4]BOVI!$E$5+[4]BOVI!$E$8+[4]BOVI!$E$13+[4]BOVI!$E$16+[4]BOVI!$E$25+[4]BOVI!$E$32</f>
        <v>56</v>
      </c>
      <c r="H50" s="208">
        <f t="shared" si="104"/>
        <v>319</v>
      </c>
      <c r="I50" s="222">
        <f>+'[3]4.SZ.TÁBL. ÓVODA'!$K50</f>
        <v>159</v>
      </c>
      <c r="J50" s="207">
        <f>+[4]GYOVI!$E$13</f>
        <v>-12</v>
      </c>
      <c r="K50" s="212">
        <f t="shared" si="105"/>
        <v>147</v>
      </c>
      <c r="L50" s="222">
        <f>+'[3]4.SZ.TÁBL. ÓVODA'!$N50</f>
        <v>235</v>
      </c>
      <c r="M50" s="207">
        <f>+[4]TOVI!$E$13+[4]TOVI!$E$18</f>
        <v>2</v>
      </c>
      <c r="N50" s="208">
        <f t="shared" si="106"/>
        <v>237</v>
      </c>
      <c r="O50" s="222">
        <f>+'[3]4.SZ.TÁBL. ÓVODA'!$Q50</f>
        <v>82</v>
      </c>
      <c r="P50" s="207">
        <f>+[4]KIK!$E$10+[4]KIK!$E$17+[4]KIK!$E$22+[4]KIK!$E$22</f>
        <v>24</v>
      </c>
      <c r="Q50" s="212">
        <f t="shared" si="107"/>
        <v>106</v>
      </c>
      <c r="R50" s="222">
        <f t="shared" si="102"/>
        <v>836</v>
      </c>
      <c r="S50" s="207">
        <f t="shared" si="101"/>
        <v>107</v>
      </c>
      <c r="T50" s="208">
        <f t="shared" si="101"/>
        <v>943</v>
      </c>
    </row>
    <row r="51" spans="1:20" ht="13.5" customHeight="1">
      <c r="A51" s="201" t="s">
        <v>210</v>
      </c>
      <c r="B51" s="255" t="s">
        <v>212</v>
      </c>
      <c r="C51" s="222">
        <f>+'[5]4.SZ.TÁBL. ÓVODA'!$D50</f>
        <v>0</v>
      </c>
      <c r="D51" s="227"/>
      <c r="E51" s="208">
        <f t="shared" si="103"/>
        <v>0</v>
      </c>
      <c r="F51" s="222">
        <f>+'[5]4.SZ.TÁBL. ÓVODA'!$G50</f>
        <v>0</v>
      </c>
      <c r="G51" s="227"/>
      <c r="H51" s="232">
        <f t="shared" si="104"/>
        <v>0</v>
      </c>
      <c r="I51" s="222">
        <f>+'[5]4.SZ.TÁBL. ÓVODA'!$J50</f>
        <v>0</v>
      </c>
      <c r="J51" s="227"/>
      <c r="K51" s="228">
        <f t="shared" si="105"/>
        <v>0</v>
      </c>
      <c r="L51" s="222">
        <f>+'[5]4.SZ.TÁBL. ÓVODA'!$M50</f>
        <v>0</v>
      </c>
      <c r="M51" s="227"/>
      <c r="N51" s="232">
        <f t="shared" si="106"/>
        <v>0</v>
      </c>
      <c r="O51" s="222">
        <f>+'[5]4.SZ.TÁBL. ÓVODA'!$P50</f>
        <v>0</v>
      </c>
      <c r="P51" s="227"/>
      <c r="Q51" s="228">
        <f t="shared" si="107"/>
        <v>0</v>
      </c>
      <c r="R51" s="222">
        <f t="shared" si="102"/>
        <v>0</v>
      </c>
      <c r="S51" s="227">
        <f t="shared" si="101"/>
        <v>0</v>
      </c>
      <c r="T51" s="232">
        <f t="shared" si="101"/>
        <v>0</v>
      </c>
    </row>
    <row r="52" spans="1:20" s="328" customFormat="1" ht="13.5" customHeight="1">
      <c r="A52" s="202" t="s">
        <v>172</v>
      </c>
      <c r="B52" s="256" t="s">
        <v>130</v>
      </c>
      <c r="C52" s="295">
        <f>SUM(C38:C51)</f>
        <v>18574</v>
      </c>
      <c r="D52" s="300">
        <f t="shared" ref="D52:E52" si="108">SUM(D38:D51)</f>
        <v>-5196</v>
      </c>
      <c r="E52" s="301">
        <f t="shared" si="108"/>
        <v>13378</v>
      </c>
      <c r="F52" s="295">
        <f>SUM(F38:F51)</f>
        <v>39934</v>
      </c>
      <c r="G52" s="300">
        <f t="shared" ref="G52" si="109">SUM(G38:G51)</f>
        <v>-13182</v>
      </c>
      <c r="H52" s="301">
        <f t="shared" ref="H52" si="110">SUM(H38:H51)</f>
        <v>26752</v>
      </c>
      <c r="I52" s="295">
        <f>SUM(I38:I51)</f>
        <v>20332</v>
      </c>
      <c r="J52" s="300">
        <f t="shared" ref="J52" si="111">SUM(J38:J51)</f>
        <v>-5614</v>
      </c>
      <c r="K52" s="303">
        <f t="shared" ref="K52" si="112">SUM(K38:K51)</f>
        <v>14718</v>
      </c>
      <c r="L52" s="295">
        <f>SUM(L38:L51)</f>
        <v>36257</v>
      </c>
      <c r="M52" s="300">
        <f t="shared" ref="M52" si="113">SUM(M38:M51)</f>
        <v>-11715</v>
      </c>
      <c r="N52" s="301">
        <f t="shared" ref="N52" si="114">SUM(N38:N51)</f>
        <v>24542</v>
      </c>
      <c r="O52" s="295">
        <f>SUM(O38:O51)</f>
        <v>7815</v>
      </c>
      <c r="P52" s="300">
        <f t="shared" ref="P52" si="115">SUM(P38:P51)</f>
        <v>-1748</v>
      </c>
      <c r="Q52" s="303">
        <f t="shared" ref="Q52" si="116">SUM(Q38:Q51)</f>
        <v>6067</v>
      </c>
      <c r="R52" s="295">
        <f>SUM(R38:R51)</f>
        <v>122912</v>
      </c>
      <c r="S52" s="300">
        <f t="shared" ref="S52:T52" si="117">SUM(S38:S51)</f>
        <v>-37455</v>
      </c>
      <c r="T52" s="301">
        <f t="shared" si="117"/>
        <v>85457</v>
      </c>
    </row>
    <row r="53" spans="1:20" ht="13.5" customHeight="1">
      <c r="A53" s="199" t="s">
        <v>213</v>
      </c>
      <c r="B53" s="253" t="s">
        <v>214</v>
      </c>
      <c r="C53" s="222">
        <f>+'[5]4.SZ.TÁBL. ÓVODA'!$D52</f>
        <v>0</v>
      </c>
      <c r="D53" s="218"/>
      <c r="E53" s="208">
        <f t="shared" ref="E53:E55" si="118">SUM(C53:D53)</f>
        <v>0</v>
      </c>
      <c r="F53" s="222">
        <f>+'[5]4.SZ.TÁBL. ÓVODA'!$G52</f>
        <v>0</v>
      </c>
      <c r="G53" s="218"/>
      <c r="H53" s="223">
        <f t="shared" ref="H53:H55" si="119">SUM(F53:G53)</f>
        <v>0</v>
      </c>
      <c r="I53" s="222">
        <f>+'[5]4.SZ.TÁBL. ÓVODA'!$J52</f>
        <v>0</v>
      </c>
      <c r="J53" s="218"/>
      <c r="K53" s="219">
        <f t="shared" ref="K53:K55" si="120">SUM(I53:J53)</f>
        <v>0</v>
      </c>
      <c r="L53" s="222">
        <f>+'[5]4.SZ.TÁBL. ÓVODA'!$M52</f>
        <v>0</v>
      </c>
      <c r="M53" s="218"/>
      <c r="N53" s="223">
        <f t="shared" ref="N53:N55" si="121">SUM(L53:M53)</f>
        <v>0</v>
      </c>
      <c r="O53" s="222">
        <f>+'[5]4.SZ.TÁBL. ÓVODA'!$P52</f>
        <v>0</v>
      </c>
      <c r="P53" s="218"/>
      <c r="Q53" s="219">
        <f t="shared" ref="Q53:Q55" si="122">SUM(O53:P53)</f>
        <v>0</v>
      </c>
      <c r="R53" s="222">
        <f t="shared" si="102"/>
        <v>0</v>
      </c>
      <c r="S53" s="218">
        <f t="shared" ref="S53:S55" si="123">+D53+G53+J53+M53+P53</f>
        <v>0</v>
      </c>
      <c r="T53" s="223">
        <f t="shared" ref="T53:T55" si="124">+E53+H53+K53+N53+Q53</f>
        <v>0</v>
      </c>
    </row>
    <row r="54" spans="1:20" ht="21" customHeight="1">
      <c r="A54" s="200" t="s">
        <v>215</v>
      </c>
      <c r="B54" s="254" t="s">
        <v>216</v>
      </c>
      <c r="C54" s="222">
        <f>+'[5]4.SZ.TÁBL. ÓVODA'!$D53</f>
        <v>0</v>
      </c>
      <c r="D54" s="207"/>
      <c r="E54" s="208">
        <f t="shared" si="118"/>
        <v>0</v>
      </c>
      <c r="F54" s="222">
        <f>+'[3]4.SZ.TÁBL. ÓVODA'!$H$54</f>
        <v>5</v>
      </c>
      <c r="G54" s="207"/>
      <c r="H54" s="208">
        <f t="shared" si="119"/>
        <v>5</v>
      </c>
      <c r="I54" s="222">
        <f>+'[5]4.SZ.TÁBL. ÓVODA'!$J53</f>
        <v>0</v>
      </c>
      <c r="J54" s="207"/>
      <c r="K54" s="212">
        <f t="shared" si="120"/>
        <v>0</v>
      </c>
      <c r="L54" s="222">
        <f>+'[3]4.SZ.TÁBL. ÓVODA'!$N$54</f>
        <v>90</v>
      </c>
      <c r="M54" s="207">
        <f>+[4]TOVI!$E$4+[4]TOVI!$E$8</f>
        <v>38</v>
      </c>
      <c r="N54" s="208">
        <f t="shared" si="121"/>
        <v>128</v>
      </c>
      <c r="O54" s="222">
        <f>+'[5]4.SZ.TÁBL. ÓVODA'!$P53</f>
        <v>0</v>
      </c>
      <c r="P54" s="207"/>
      <c r="Q54" s="212">
        <f t="shared" si="122"/>
        <v>0</v>
      </c>
      <c r="R54" s="222">
        <f t="shared" si="102"/>
        <v>95</v>
      </c>
      <c r="S54" s="207">
        <f t="shared" si="123"/>
        <v>38</v>
      </c>
      <c r="T54" s="208">
        <f t="shared" si="124"/>
        <v>133</v>
      </c>
    </row>
    <row r="55" spans="1:20" ht="13.5" customHeight="1">
      <c r="A55" s="201" t="s">
        <v>217</v>
      </c>
      <c r="B55" s="255" t="s">
        <v>218</v>
      </c>
      <c r="C55" s="222">
        <f>+'[3]4.SZ.TÁBL. ÓVODA'!$E$55</f>
        <v>10</v>
      </c>
      <c r="D55" s="227">
        <f>+[4]MOVI!$E$32</f>
        <v>-10</v>
      </c>
      <c r="E55" s="208">
        <f t="shared" si="118"/>
        <v>0</v>
      </c>
      <c r="F55" s="222">
        <f>+'[3]4.SZ.TÁBL. ÓVODA'!$H$55</f>
        <v>30</v>
      </c>
      <c r="G55" s="227">
        <f>+[4]BOVI!$E$37</f>
        <v>-26</v>
      </c>
      <c r="H55" s="232">
        <f t="shared" si="119"/>
        <v>4</v>
      </c>
      <c r="I55" s="222">
        <f>+'[5]4.SZ.TÁBL. ÓVODA'!$J54</f>
        <v>0</v>
      </c>
      <c r="J55" s="227"/>
      <c r="K55" s="228">
        <f t="shared" si="120"/>
        <v>0</v>
      </c>
      <c r="L55" s="222">
        <f>+'[5]4.SZ.TÁBL. ÓVODA'!$M54</f>
        <v>0</v>
      </c>
      <c r="M55" s="227"/>
      <c r="N55" s="232">
        <f t="shared" si="121"/>
        <v>0</v>
      </c>
      <c r="O55" s="222">
        <f>+'[3]4.SZ.TÁBL. ÓVODA'!$Q$55</f>
        <v>20</v>
      </c>
      <c r="P55" s="227">
        <f>+[4]KIK!$E$29</f>
        <v>-14</v>
      </c>
      <c r="Q55" s="228">
        <f t="shared" si="122"/>
        <v>6</v>
      </c>
      <c r="R55" s="222">
        <f t="shared" si="102"/>
        <v>60</v>
      </c>
      <c r="S55" s="227">
        <f t="shared" si="123"/>
        <v>-50</v>
      </c>
      <c r="T55" s="232">
        <f t="shared" si="124"/>
        <v>10</v>
      </c>
    </row>
    <row r="56" spans="1:20" s="328" customFormat="1" ht="13.5" customHeight="1">
      <c r="A56" s="202" t="s">
        <v>173</v>
      </c>
      <c r="B56" s="256" t="s">
        <v>131</v>
      </c>
      <c r="C56" s="295">
        <f>SUM(C53:C55)</f>
        <v>10</v>
      </c>
      <c r="D56" s="300">
        <f t="shared" ref="D56:E56" si="125">SUM(D53:D55)</f>
        <v>-10</v>
      </c>
      <c r="E56" s="301">
        <f t="shared" si="125"/>
        <v>0</v>
      </c>
      <c r="F56" s="295">
        <f>SUM(F53:F55)</f>
        <v>35</v>
      </c>
      <c r="G56" s="300">
        <f t="shared" ref="G56" si="126">SUM(G53:G55)</f>
        <v>-26</v>
      </c>
      <c r="H56" s="301">
        <f t="shared" ref="H56" si="127">SUM(H53:H55)</f>
        <v>9</v>
      </c>
      <c r="I56" s="295">
        <f>SUM(I53:I55)</f>
        <v>0</v>
      </c>
      <c r="J56" s="300">
        <f t="shared" ref="J56" si="128">SUM(J53:J55)</f>
        <v>0</v>
      </c>
      <c r="K56" s="303">
        <f t="shared" ref="K56" si="129">SUM(K53:K55)</f>
        <v>0</v>
      </c>
      <c r="L56" s="295">
        <f>SUM(L53:L55)</f>
        <v>90</v>
      </c>
      <c r="M56" s="300">
        <f t="shared" ref="M56" si="130">SUM(M53:M55)</f>
        <v>38</v>
      </c>
      <c r="N56" s="301">
        <f t="shared" ref="N56" si="131">SUM(N53:N55)</f>
        <v>128</v>
      </c>
      <c r="O56" s="295">
        <f>SUM(O53:O55)</f>
        <v>20</v>
      </c>
      <c r="P56" s="300">
        <f t="shared" ref="P56" si="132">SUM(P53:P55)</f>
        <v>-14</v>
      </c>
      <c r="Q56" s="303">
        <f t="shared" ref="Q56" si="133">SUM(Q53:Q55)</f>
        <v>6</v>
      </c>
      <c r="R56" s="295">
        <f>SUM(R53:R55)</f>
        <v>155</v>
      </c>
      <c r="S56" s="300">
        <f t="shared" ref="S56:T56" si="134">SUM(S53:S55)</f>
        <v>-12</v>
      </c>
      <c r="T56" s="301">
        <f t="shared" si="134"/>
        <v>143</v>
      </c>
    </row>
    <row r="57" spans="1:20" s="328" customFormat="1" ht="13.5" customHeight="1">
      <c r="A57" s="202" t="s">
        <v>174</v>
      </c>
      <c r="B57" s="256" t="s">
        <v>132</v>
      </c>
      <c r="C57" s="295">
        <f>+C52+C56</f>
        <v>18584</v>
      </c>
      <c r="D57" s="300">
        <f t="shared" ref="D57:E57" si="135">+D52+D56</f>
        <v>-5206</v>
      </c>
      <c r="E57" s="301">
        <f t="shared" si="135"/>
        <v>13378</v>
      </c>
      <c r="F57" s="295">
        <f>+F52+F56</f>
        <v>39969</v>
      </c>
      <c r="G57" s="300">
        <f t="shared" ref="G57" si="136">+G52+G56</f>
        <v>-13208</v>
      </c>
      <c r="H57" s="301">
        <f t="shared" ref="H57" si="137">+H52+H56</f>
        <v>26761</v>
      </c>
      <c r="I57" s="295">
        <f>+I52+I56</f>
        <v>20332</v>
      </c>
      <c r="J57" s="300">
        <f t="shared" ref="J57" si="138">+J52+J56</f>
        <v>-5614</v>
      </c>
      <c r="K57" s="303">
        <f t="shared" ref="K57" si="139">+K52+K56</f>
        <v>14718</v>
      </c>
      <c r="L57" s="295">
        <f>+L52+L56</f>
        <v>36347</v>
      </c>
      <c r="M57" s="300">
        <f t="shared" ref="M57" si="140">+M52+M56</f>
        <v>-11677</v>
      </c>
      <c r="N57" s="301">
        <f t="shared" ref="N57" si="141">+N52+N56</f>
        <v>24670</v>
      </c>
      <c r="O57" s="295">
        <f>+O52+O56</f>
        <v>7835</v>
      </c>
      <c r="P57" s="300">
        <f t="shared" ref="P57" si="142">+P52+P56</f>
        <v>-1762</v>
      </c>
      <c r="Q57" s="303">
        <f t="shared" ref="Q57" si="143">+Q52+Q56</f>
        <v>6073</v>
      </c>
      <c r="R57" s="295">
        <f>+R52+R56</f>
        <v>123067</v>
      </c>
      <c r="S57" s="300">
        <f t="shared" ref="S57:T57" si="144">+S52+S56</f>
        <v>-37467</v>
      </c>
      <c r="T57" s="301">
        <f t="shared" si="144"/>
        <v>85600</v>
      </c>
    </row>
    <row r="58" spans="1:20" s="328" customFormat="1" ht="13.5" customHeight="1">
      <c r="A58" s="202" t="s">
        <v>175</v>
      </c>
      <c r="B58" s="256" t="s">
        <v>133</v>
      </c>
      <c r="C58" s="295">
        <f>SUM(C59:C63)</f>
        <v>4471</v>
      </c>
      <c r="D58" s="300">
        <f t="shared" ref="D58:E58" si="145">SUM(D59:D63)</f>
        <v>-828</v>
      </c>
      <c r="E58" s="301">
        <f t="shared" si="145"/>
        <v>3643</v>
      </c>
      <c r="F58" s="295">
        <f>SUM(F59:F63)</f>
        <v>9605</v>
      </c>
      <c r="G58" s="300">
        <f t="shared" ref="G58" si="146">SUM(G59:G63)</f>
        <v>-2713</v>
      </c>
      <c r="H58" s="301">
        <f t="shared" ref="H58" si="147">SUM(H59:H63)</f>
        <v>6892</v>
      </c>
      <c r="I58" s="295">
        <f>SUM(I59:I63)</f>
        <v>4749</v>
      </c>
      <c r="J58" s="300">
        <f t="shared" ref="J58" si="148">SUM(J59:J63)</f>
        <v>-910</v>
      </c>
      <c r="K58" s="303">
        <f t="shared" ref="K58" si="149">SUM(K59:K63)</f>
        <v>3839</v>
      </c>
      <c r="L58" s="295">
        <f>SUM(L59:L63)</f>
        <v>8691</v>
      </c>
      <c r="M58" s="300">
        <f t="shared" ref="M58" si="150">SUM(M59:M63)</f>
        <v>-2083</v>
      </c>
      <c r="N58" s="301">
        <f t="shared" ref="N58" si="151">SUM(N59:N63)</f>
        <v>6608</v>
      </c>
      <c r="O58" s="295">
        <f>SUM(O59:O63)</f>
        <v>1836</v>
      </c>
      <c r="P58" s="300">
        <f t="shared" ref="P58" si="152">SUM(P59:P63)</f>
        <v>-338</v>
      </c>
      <c r="Q58" s="303">
        <f t="shared" ref="Q58" si="153">SUM(Q59:Q63)</f>
        <v>1498</v>
      </c>
      <c r="R58" s="295">
        <f>SUM(R59:R63)</f>
        <v>29352</v>
      </c>
      <c r="S58" s="300">
        <f t="shared" ref="S58:T58" si="154">SUM(S59:S63)</f>
        <v>-6872</v>
      </c>
      <c r="T58" s="301">
        <f t="shared" si="154"/>
        <v>22480</v>
      </c>
    </row>
    <row r="59" spans="1:20" s="285" customFormat="1" ht="13.5" customHeight="1">
      <c r="A59" s="203" t="s">
        <v>175</v>
      </c>
      <c r="B59" s="257" t="s">
        <v>277</v>
      </c>
      <c r="C59" s="222">
        <f>+'[3]4.SZ.TÁBL. ÓVODA'!$E59</f>
        <v>3956</v>
      </c>
      <c r="D59" s="218">
        <f>+[4]MOVI!$F$6+[4]MOVI!$F$11+[4]MOVI!$F$18+[4]MOVI!$F$23+[4]MOVI!$F$33</f>
        <v>-726</v>
      </c>
      <c r="E59" s="208">
        <f t="shared" ref="E59:E66" si="155">SUM(C59:D59)</f>
        <v>3230</v>
      </c>
      <c r="F59" s="222">
        <f>+'[3]4.SZ.TÁBL. ÓVODA'!$H59</f>
        <v>8529</v>
      </c>
      <c r="G59" s="314">
        <f>+[4]BOVI!$F$26+[4]BOVI!$F$33+[4]BOVI!$F$38</f>
        <v>-2500</v>
      </c>
      <c r="H59" s="315">
        <f t="shared" ref="H59:H66" si="156">SUM(F59:G59)</f>
        <v>6029</v>
      </c>
      <c r="I59" s="222">
        <f>+'[3]4.SZ.TÁBL. ÓVODA'!$K59</f>
        <v>4261</v>
      </c>
      <c r="J59" s="314">
        <f>+[4]GYOVI!$F$19</f>
        <v>-802</v>
      </c>
      <c r="K59" s="316">
        <f t="shared" ref="K59:K66" si="157">SUM(I59:J59)</f>
        <v>3459</v>
      </c>
      <c r="L59" s="222">
        <f>+'[3]4.SZ.TÁBL. ÓVODA'!$N59</f>
        <v>7735</v>
      </c>
      <c r="M59" s="314">
        <f>+[4]TOVI!$F$14+[4]TOVI!$F$19+[4]TOVI!$F$24</f>
        <v>-1878</v>
      </c>
      <c r="N59" s="315">
        <f t="shared" ref="N59:N66" si="158">SUM(L59:M59)</f>
        <v>5857</v>
      </c>
      <c r="O59" s="222">
        <f>+'[3]4.SZ.TÁBL. ÓVODA'!$Q59</f>
        <v>1684</v>
      </c>
      <c r="P59" s="314">
        <f>+[4]KIK!$F$11+[4]KIK!$F$11+[4]KIK!$F$18+[4]KIK!$F$23+[4]KIK!$F$30</f>
        <v>-274</v>
      </c>
      <c r="Q59" s="316">
        <f t="shared" ref="Q59:Q66" si="159">SUM(O59:P59)</f>
        <v>1410</v>
      </c>
      <c r="R59" s="313">
        <f t="shared" ref="R59:R88" si="160">+C59+F59+I59+L59+O59</f>
        <v>26165</v>
      </c>
      <c r="S59" s="314">
        <f t="shared" ref="S59:S66" si="161">+D59+G59+J59+M59+P59</f>
        <v>-6180</v>
      </c>
      <c r="T59" s="315">
        <f t="shared" ref="T59:T66" si="162">+E59+H59+K59+N59+Q59</f>
        <v>19985</v>
      </c>
    </row>
    <row r="60" spans="1:20" s="285" customFormat="1" ht="13.5" customHeight="1">
      <c r="A60" s="204" t="s">
        <v>175</v>
      </c>
      <c r="B60" s="258" t="s">
        <v>278</v>
      </c>
      <c r="C60" s="222">
        <f>+'[3]4.SZ.TÁBL. ÓVODA'!$E60</f>
        <v>317</v>
      </c>
      <c r="D60" s="279"/>
      <c r="E60" s="208">
        <f t="shared" si="155"/>
        <v>317</v>
      </c>
      <c r="F60" s="222">
        <f>+'[3]4.SZ.TÁBL. ÓVODA'!$H60</f>
        <v>645</v>
      </c>
      <c r="G60" s="279"/>
      <c r="H60" s="284">
        <f t="shared" si="156"/>
        <v>645</v>
      </c>
      <c r="I60" s="222">
        <f>+'[3]4.SZ.TÁBL. ÓVODA'!$K60</f>
        <v>293</v>
      </c>
      <c r="J60" s="279"/>
      <c r="K60" s="280">
        <f t="shared" si="157"/>
        <v>293</v>
      </c>
      <c r="L60" s="222">
        <f>+'[3]4.SZ.TÁBL. ÓVODA'!$N60</f>
        <v>586</v>
      </c>
      <c r="M60" s="279"/>
      <c r="N60" s="284">
        <f t="shared" si="158"/>
        <v>586</v>
      </c>
      <c r="O60" s="222">
        <f>+'[3]4.SZ.TÁBL. ÓVODA'!$Q60</f>
        <v>88</v>
      </c>
      <c r="P60" s="279"/>
      <c r="Q60" s="280">
        <f t="shared" si="159"/>
        <v>88</v>
      </c>
      <c r="R60" s="313">
        <f t="shared" si="160"/>
        <v>1929</v>
      </c>
      <c r="S60" s="279">
        <f t="shared" si="161"/>
        <v>0</v>
      </c>
      <c r="T60" s="284">
        <f t="shared" si="162"/>
        <v>1929</v>
      </c>
    </row>
    <row r="61" spans="1:20" s="285" customFormat="1" ht="13.5" customHeight="1">
      <c r="A61" s="204" t="s">
        <v>175</v>
      </c>
      <c r="B61" s="258" t="s">
        <v>279</v>
      </c>
      <c r="C61" s="222">
        <f>+'[3]4.SZ.TÁBL. ÓVODA'!$E61</f>
        <v>127</v>
      </c>
      <c r="D61" s="279">
        <f>+[4]MOVI!$F$34</f>
        <v>-81</v>
      </c>
      <c r="E61" s="208">
        <f t="shared" si="155"/>
        <v>46</v>
      </c>
      <c r="F61" s="222">
        <f>+'[3]4.SZ.TÁBL. ÓVODA'!$H61</f>
        <v>269</v>
      </c>
      <c r="G61" s="279">
        <f>+[4]BOVI!$F$39</f>
        <v>-174</v>
      </c>
      <c r="H61" s="284">
        <f t="shared" si="156"/>
        <v>95</v>
      </c>
      <c r="I61" s="222">
        <f>+'[3]4.SZ.TÁBL. ÓVODA'!$K61</f>
        <v>125</v>
      </c>
      <c r="J61" s="279">
        <f>+[4]GYOVI!$F$20</f>
        <v>-83</v>
      </c>
      <c r="K61" s="280">
        <f t="shared" si="157"/>
        <v>42</v>
      </c>
      <c r="L61" s="222">
        <f>+'[3]4.SZ.TÁBL. ÓVODA'!$N61</f>
        <v>236</v>
      </c>
      <c r="M61" s="279">
        <f>+[4]TOVI!$F$25</f>
        <v>-158</v>
      </c>
      <c r="N61" s="284">
        <f t="shared" si="158"/>
        <v>78</v>
      </c>
      <c r="O61" s="222">
        <f>+'[3]4.SZ.TÁBL. ÓVODA'!$Q61</f>
        <v>41</v>
      </c>
      <c r="P61" s="279">
        <f>+[4]KIK!$F$31</f>
        <v>-41</v>
      </c>
      <c r="Q61" s="280">
        <f t="shared" si="159"/>
        <v>0</v>
      </c>
      <c r="R61" s="313">
        <f t="shared" si="160"/>
        <v>798</v>
      </c>
      <c r="S61" s="279">
        <f t="shared" si="161"/>
        <v>-537</v>
      </c>
      <c r="T61" s="284">
        <f t="shared" si="162"/>
        <v>261</v>
      </c>
    </row>
    <row r="62" spans="1:20" s="285" customFormat="1" ht="13.5" customHeight="1">
      <c r="A62" s="204" t="s">
        <v>175</v>
      </c>
      <c r="B62" s="258" t="s">
        <v>401</v>
      </c>
      <c r="C62" s="222">
        <f>+'[3]4.SZ.TÁBL. ÓVODA'!$E62</f>
        <v>0</v>
      </c>
      <c r="D62" s="207"/>
      <c r="E62" s="208">
        <f t="shared" si="155"/>
        <v>0</v>
      </c>
      <c r="F62" s="222">
        <f>+'[3]4.SZ.TÁBL. ÓVODA'!$H62</f>
        <v>12</v>
      </c>
      <c r="G62" s="279">
        <f>+[4]BOVI!$F$40</f>
        <v>10</v>
      </c>
      <c r="H62" s="284">
        <f t="shared" si="156"/>
        <v>22</v>
      </c>
      <c r="I62" s="222">
        <f>+'[3]4.SZ.TÁBL. ÓVODA'!$K62</f>
        <v>0</v>
      </c>
      <c r="J62" s="279"/>
      <c r="K62" s="280">
        <f t="shared" si="157"/>
        <v>0</v>
      </c>
      <c r="L62" s="222">
        <f>+'[3]4.SZ.TÁBL. ÓVODA'!$N62</f>
        <v>3</v>
      </c>
      <c r="M62" s="279"/>
      <c r="N62" s="284">
        <f t="shared" si="158"/>
        <v>3</v>
      </c>
      <c r="O62" s="222">
        <f>+'[3]4.SZ.TÁBL. ÓVODA'!$Q62</f>
        <v>0</v>
      </c>
      <c r="P62" s="279"/>
      <c r="Q62" s="280">
        <f t="shared" si="159"/>
        <v>0</v>
      </c>
      <c r="R62" s="313">
        <f t="shared" si="160"/>
        <v>15</v>
      </c>
      <c r="S62" s="279">
        <f t="shared" si="161"/>
        <v>10</v>
      </c>
      <c r="T62" s="284">
        <f t="shared" si="162"/>
        <v>25</v>
      </c>
    </row>
    <row r="63" spans="1:20" s="285" customFormat="1" ht="13.5" customHeight="1">
      <c r="A63" s="204" t="s">
        <v>175</v>
      </c>
      <c r="B63" s="258" t="s">
        <v>280</v>
      </c>
      <c r="C63" s="222">
        <f>+'[3]4.SZ.TÁBL. ÓVODA'!$E63</f>
        <v>71</v>
      </c>
      <c r="D63" s="279">
        <f>+[4]MOVI!$F$35</f>
        <v>-21</v>
      </c>
      <c r="E63" s="208">
        <f t="shared" si="155"/>
        <v>50</v>
      </c>
      <c r="F63" s="222">
        <f>+'[3]4.SZ.TÁBL. ÓVODA'!$H63</f>
        <v>150</v>
      </c>
      <c r="G63" s="279">
        <f>+[4]BOVI!$F$41</f>
        <v>-49</v>
      </c>
      <c r="H63" s="284">
        <f t="shared" si="156"/>
        <v>101</v>
      </c>
      <c r="I63" s="222">
        <f>+'[3]4.SZ.TÁBL. ÓVODA'!$K63</f>
        <v>70</v>
      </c>
      <c r="J63" s="279">
        <f>+[4]GYOVI!$F$21</f>
        <v>-25</v>
      </c>
      <c r="K63" s="280">
        <f t="shared" si="157"/>
        <v>45</v>
      </c>
      <c r="L63" s="222">
        <f>+'[3]4.SZ.TÁBL. ÓVODA'!$N63</f>
        <v>131</v>
      </c>
      <c r="M63" s="279">
        <f>+[4]TOVI!$F$26</f>
        <v>-47</v>
      </c>
      <c r="N63" s="284">
        <f t="shared" si="158"/>
        <v>84</v>
      </c>
      <c r="O63" s="222">
        <f>+'[3]4.SZ.TÁBL. ÓVODA'!$Q63</f>
        <v>23</v>
      </c>
      <c r="P63" s="279">
        <f>+[4]KIK!$F$32</f>
        <v>-23</v>
      </c>
      <c r="Q63" s="280">
        <f t="shared" si="159"/>
        <v>0</v>
      </c>
      <c r="R63" s="313">
        <f t="shared" si="160"/>
        <v>445</v>
      </c>
      <c r="S63" s="279">
        <f t="shared" si="161"/>
        <v>-165</v>
      </c>
      <c r="T63" s="284">
        <f t="shared" si="162"/>
        <v>280</v>
      </c>
    </row>
    <row r="64" spans="1:20" ht="13.5" customHeight="1">
      <c r="A64" s="199" t="s">
        <v>219</v>
      </c>
      <c r="B64" s="253" t="s">
        <v>220</v>
      </c>
      <c r="C64" s="222">
        <f>+'[3]4.SZ.TÁBL. ÓVODA'!$E$64</f>
        <v>160</v>
      </c>
      <c r="D64" s="218">
        <f>+[4]MOVI!$G$36+[4]MOVI!$G$37+[4]MOVI!$G$38</f>
        <v>-92</v>
      </c>
      <c r="E64" s="208">
        <f t="shared" si="155"/>
        <v>68</v>
      </c>
      <c r="F64" s="222">
        <f>+'[3]4.SZ.TÁBL. ÓVODA'!$H$64</f>
        <v>531</v>
      </c>
      <c r="G64" s="218">
        <f>+[4]BOVI!$G$28+[4]BOVI!$G$42+[4]BOVI!$G$43+[4]BOVI!$G$44</f>
        <v>-317</v>
      </c>
      <c r="H64" s="223">
        <f t="shared" si="156"/>
        <v>214</v>
      </c>
      <c r="I64" s="222">
        <f>+'[5]4.SZ.TÁBL. ÓVODA'!$J63</f>
        <v>0</v>
      </c>
      <c r="J64" s="218"/>
      <c r="K64" s="219">
        <f t="shared" si="157"/>
        <v>0</v>
      </c>
      <c r="L64" s="222">
        <f>+'[5]4.SZ.TÁBL. ÓVODA'!$M63</f>
        <v>0</v>
      </c>
      <c r="M64" s="218"/>
      <c r="N64" s="223">
        <f t="shared" si="158"/>
        <v>0</v>
      </c>
      <c r="O64" s="222">
        <f>+'[3]4.SZ.TÁBL. ÓVODA'!$Q$64</f>
        <v>92</v>
      </c>
      <c r="P64" s="218">
        <f>+[4]KIK!$G$12+[4]KIK!$G$33</f>
        <v>14</v>
      </c>
      <c r="Q64" s="219">
        <f t="shared" si="159"/>
        <v>106</v>
      </c>
      <c r="R64" s="222">
        <f t="shared" si="160"/>
        <v>783</v>
      </c>
      <c r="S64" s="218">
        <f t="shared" si="161"/>
        <v>-395</v>
      </c>
      <c r="T64" s="223">
        <f t="shared" si="162"/>
        <v>388</v>
      </c>
    </row>
    <row r="65" spans="1:20" ht="13.5" customHeight="1">
      <c r="A65" s="200" t="s">
        <v>221</v>
      </c>
      <c r="B65" s="254" t="s">
        <v>222</v>
      </c>
      <c r="C65" s="222">
        <f>+'[3]4.SZ.TÁBL. ÓVODA'!$E$65</f>
        <v>275</v>
      </c>
      <c r="D65" s="207">
        <f>+[4]MOVI!$G$41+[4]MOVI!$G$42+[4]MOVI!$G$43</f>
        <v>-121</v>
      </c>
      <c r="E65" s="208">
        <f t="shared" si="155"/>
        <v>154</v>
      </c>
      <c r="F65" s="222">
        <f>+'[3]4.SZ.TÁBL. ÓVODA'!$H$65</f>
        <v>430</v>
      </c>
      <c r="G65" s="207">
        <f>+[4]BOVI!$G$27+[4]BOVI!$G$48+[4]BOVI!$G$49</f>
        <v>-47</v>
      </c>
      <c r="H65" s="208">
        <f t="shared" si="156"/>
        <v>383</v>
      </c>
      <c r="I65" s="222">
        <f>+'[5]4.SZ.TÁBL. ÓVODA'!$J64</f>
        <v>0</v>
      </c>
      <c r="J65" s="207"/>
      <c r="K65" s="212">
        <f t="shared" si="157"/>
        <v>0</v>
      </c>
      <c r="L65" s="222">
        <f>+'[5]4.SZ.TÁBL. ÓVODA'!$M64</f>
        <v>0</v>
      </c>
      <c r="M65" s="207"/>
      <c r="N65" s="208">
        <f t="shared" si="158"/>
        <v>0</v>
      </c>
      <c r="O65" s="222">
        <f>+'[3]4.SZ.TÁBL. ÓVODA'!$Q$65</f>
        <v>240</v>
      </c>
      <c r="P65" s="207">
        <f>+[4]KIK!$G$38+[4]KIK!$G$39+[4]KIK!$G$40</f>
        <v>-130</v>
      </c>
      <c r="Q65" s="212">
        <f t="shared" si="159"/>
        <v>110</v>
      </c>
      <c r="R65" s="215">
        <f t="shared" si="160"/>
        <v>945</v>
      </c>
      <c r="S65" s="207">
        <f t="shared" si="161"/>
        <v>-298</v>
      </c>
      <c r="T65" s="208">
        <f t="shared" si="162"/>
        <v>647</v>
      </c>
    </row>
    <row r="66" spans="1:20" ht="13.5" customHeight="1">
      <c r="A66" s="201" t="s">
        <v>223</v>
      </c>
      <c r="B66" s="255" t="s">
        <v>224</v>
      </c>
      <c r="C66" s="222">
        <f>+'[5]4.SZ.TÁBL. ÓVODA'!$D65</f>
        <v>0</v>
      </c>
      <c r="D66" s="227"/>
      <c r="E66" s="208">
        <f t="shared" si="155"/>
        <v>0</v>
      </c>
      <c r="F66" s="222">
        <f>+'[5]4.SZ.TÁBL. ÓVODA'!$G65</f>
        <v>0</v>
      </c>
      <c r="G66" s="227"/>
      <c r="H66" s="232">
        <f t="shared" si="156"/>
        <v>0</v>
      </c>
      <c r="I66" s="222">
        <f>+'[5]4.SZ.TÁBL. ÓVODA'!$J65</f>
        <v>0</v>
      </c>
      <c r="J66" s="227"/>
      <c r="K66" s="228">
        <f t="shared" si="157"/>
        <v>0</v>
      </c>
      <c r="L66" s="222">
        <f>+'[5]4.SZ.TÁBL. ÓVODA'!$M65</f>
        <v>0</v>
      </c>
      <c r="M66" s="227"/>
      <c r="N66" s="232">
        <f t="shared" si="158"/>
        <v>0</v>
      </c>
      <c r="O66" s="222">
        <f>+'[5]4.SZ.TÁBL. ÓVODA'!$P65</f>
        <v>0</v>
      </c>
      <c r="P66" s="227"/>
      <c r="Q66" s="228">
        <f t="shared" si="159"/>
        <v>0</v>
      </c>
      <c r="R66" s="231">
        <f t="shared" si="160"/>
        <v>0</v>
      </c>
      <c r="S66" s="227">
        <f t="shared" si="161"/>
        <v>0</v>
      </c>
      <c r="T66" s="232">
        <f t="shared" si="162"/>
        <v>0</v>
      </c>
    </row>
    <row r="67" spans="1:20" s="328" customFormat="1" ht="13.5" customHeight="1">
      <c r="A67" s="202" t="s">
        <v>176</v>
      </c>
      <c r="B67" s="256" t="s">
        <v>134</v>
      </c>
      <c r="C67" s="295">
        <f>SUM(C64:C66)</f>
        <v>435</v>
      </c>
      <c r="D67" s="300">
        <f t="shared" ref="D67:E67" si="163">SUM(D64:D66)</f>
        <v>-213</v>
      </c>
      <c r="E67" s="301">
        <f t="shared" si="163"/>
        <v>222</v>
      </c>
      <c r="F67" s="295">
        <f>SUM(F64:F66)</f>
        <v>961</v>
      </c>
      <c r="G67" s="300">
        <f t="shared" ref="G67" si="164">SUM(G64:G66)</f>
        <v>-364</v>
      </c>
      <c r="H67" s="301">
        <f t="shared" ref="H67" si="165">SUM(H64:H66)</f>
        <v>597</v>
      </c>
      <c r="I67" s="295">
        <f>SUM(I64:I66)</f>
        <v>0</v>
      </c>
      <c r="J67" s="300">
        <f t="shared" ref="J67" si="166">SUM(J64:J66)</f>
        <v>0</v>
      </c>
      <c r="K67" s="303">
        <f t="shared" ref="K67" si="167">SUM(K64:K66)</f>
        <v>0</v>
      </c>
      <c r="L67" s="295">
        <f>SUM(L64:L66)</f>
        <v>0</v>
      </c>
      <c r="M67" s="300">
        <f t="shared" ref="M67" si="168">SUM(M64:M66)</f>
        <v>0</v>
      </c>
      <c r="N67" s="301">
        <f t="shared" ref="N67" si="169">SUM(N64:N66)</f>
        <v>0</v>
      </c>
      <c r="O67" s="295">
        <f>SUM(O64:O66)</f>
        <v>332</v>
      </c>
      <c r="P67" s="300">
        <f t="shared" ref="P67" si="170">SUM(P64:P66)</f>
        <v>-116</v>
      </c>
      <c r="Q67" s="303">
        <f t="shared" ref="Q67" si="171">SUM(Q64:Q66)</f>
        <v>216</v>
      </c>
      <c r="R67" s="295">
        <f>SUM(R64:R66)</f>
        <v>1728</v>
      </c>
      <c r="S67" s="300">
        <f t="shared" ref="S67:T67" si="172">SUM(S64:S66)</f>
        <v>-693</v>
      </c>
      <c r="T67" s="301">
        <f t="shared" si="172"/>
        <v>1035</v>
      </c>
    </row>
    <row r="68" spans="1:20" ht="13.5" customHeight="1">
      <c r="A68" s="199" t="s">
        <v>225</v>
      </c>
      <c r="B68" s="253" t="s">
        <v>226</v>
      </c>
      <c r="C68" s="222">
        <f>+'[3]4.SZ.TÁBL. ÓVODA'!$E$68</f>
        <v>38</v>
      </c>
      <c r="D68" s="218">
        <f>+[4]MOVI!$H$7+[4]MOVI!$H$14+[4]MOVI!$H$19+[4]MOVI!$H$44</f>
        <v>32</v>
      </c>
      <c r="E68" s="208">
        <f t="shared" ref="E68:E69" si="173">SUM(C68:D68)</f>
        <v>70</v>
      </c>
      <c r="F68" s="222">
        <f>+'[3]4.SZ.TÁBL. ÓVODA'!$H$68</f>
        <v>8</v>
      </c>
      <c r="G68" s="218">
        <f>+[4]BOVI!$H$18+[4]BOVI!$H$18+[4]BOVI!$H$29+[4]BOVI!$H$50</f>
        <v>8</v>
      </c>
      <c r="H68" s="223">
        <f t="shared" ref="H68:H69" si="174">SUM(F68:G68)</f>
        <v>16</v>
      </c>
      <c r="I68" s="222">
        <f>+'[3]4.SZ.TÁBL. ÓVODA'!$K$68</f>
        <v>6</v>
      </c>
      <c r="J68" s="218">
        <f>+[4]GYOVI!$H$6+[4]GYOVI!$H$10+[4]GYOVI!$H$14+[4]GYOVI!$H$24</f>
        <v>4</v>
      </c>
      <c r="K68" s="219">
        <f t="shared" ref="K68:K69" si="175">SUM(I68:J68)</f>
        <v>10</v>
      </c>
      <c r="L68" s="222">
        <f>+'[3]4.SZ.TÁBL. ÓVODA'!$N$68</f>
        <v>6</v>
      </c>
      <c r="M68" s="218">
        <f>+[4]TOVI!$H$6+[4]TOVI!$H$10+[4]TOVI!$H$15+[4]TOVI!$H$30</f>
        <v>4</v>
      </c>
      <c r="N68" s="223">
        <f t="shared" ref="N68:N69" si="176">SUM(L68:M68)</f>
        <v>10</v>
      </c>
      <c r="O68" s="222">
        <f>+'[3]4.SZ.TÁBL. ÓVODA'!$Q$68</f>
        <v>188</v>
      </c>
      <c r="P68" s="218">
        <f>+[4]KIK!$H$7+[4]KIK!$H$14+[4]KIK!$H$19+[4]KIK!$H$41+[4]KIK!$H$42</f>
        <v>-52</v>
      </c>
      <c r="Q68" s="219">
        <f t="shared" ref="Q68:Q69" si="177">SUM(O68:P68)</f>
        <v>136</v>
      </c>
      <c r="R68" s="222">
        <f t="shared" si="160"/>
        <v>246</v>
      </c>
      <c r="S68" s="218">
        <f t="shared" ref="S68:S69" si="178">+D68+G68+J68+M68+P68</f>
        <v>-4</v>
      </c>
      <c r="T68" s="223">
        <f t="shared" ref="T68:T69" si="179">+E68+H68+K68+N68+Q68</f>
        <v>242</v>
      </c>
    </row>
    <row r="69" spans="1:20" ht="13.5" customHeight="1">
      <c r="A69" s="201" t="s">
        <v>227</v>
      </c>
      <c r="B69" s="255" t="s">
        <v>228</v>
      </c>
      <c r="C69" s="222">
        <f>+'[3]4.SZ.TÁBL. ÓVODA'!$E$69</f>
        <v>162</v>
      </c>
      <c r="D69" s="227">
        <f>+[4]MOVI!$H$8+[4]MOVI!$H$15+[4]MOVI!$H$20+[4]MOVI!$H$45</f>
        <v>-87</v>
      </c>
      <c r="E69" s="208">
        <f t="shared" si="173"/>
        <v>75</v>
      </c>
      <c r="F69" s="222">
        <f>+'[3]4.SZ.TÁBL. ÓVODA'!$H$69</f>
        <v>142</v>
      </c>
      <c r="G69" s="227">
        <f>+[4]BOVI!$H$11+[4]BOVI!$H$19+[4]BOVI!$H$30+[4]BOVI!$H$51</f>
        <v>-49</v>
      </c>
      <c r="H69" s="232">
        <f t="shared" si="174"/>
        <v>93</v>
      </c>
      <c r="I69" s="222">
        <f>+'[3]4.SZ.TÁBL. ÓVODA'!$K$69</f>
        <v>34</v>
      </c>
      <c r="J69" s="227">
        <f>+[4]GYOVI!$H$7+[4]GYOVI!$H$11+[4]GYOVI!$H$15+[4]GYOVI!$H$25</f>
        <v>-22</v>
      </c>
      <c r="K69" s="228">
        <f t="shared" si="175"/>
        <v>12</v>
      </c>
      <c r="L69" s="222">
        <f>+'[3]4.SZ.TÁBL. ÓVODA'!$N$69</f>
        <v>34</v>
      </c>
      <c r="M69" s="227">
        <f>+[4]TOVI!$H$7+[4]TOVI!$H$11+[4]TOVI!$H$16+[4]TOVI!$H$31</f>
        <v>-19</v>
      </c>
      <c r="N69" s="232">
        <f t="shared" si="176"/>
        <v>15</v>
      </c>
      <c r="O69" s="222">
        <f>+'[3]4.SZ.TÁBL. ÓVODA'!$Q$69</f>
        <v>97</v>
      </c>
      <c r="P69" s="227">
        <f>+[4]KIK!$H$8+[4]KIK!$H$15+[4]KIK!$H$20+[4]KIK!$H$43</f>
        <v>-69</v>
      </c>
      <c r="Q69" s="228">
        <f t="shared" si="177"/>
        <v>28</v>
      </c>
      <c r="R69" s="231">
        <f t="shared" si="160"/>
        <v>469</v>
      </c>
      <c r="S69" s="227">
        <f t="shared" si="178"/>
        <v>-246</v>
      </c>
      <c r="T69" s="232">
        <f t="shared" si="179"/>
        <v>223</v>
      </c>
    </row>
    <row r="70" spans="1:20" s="328" customFormat="1" ht="13.5" customHeight="1">
      <c r="A70" s="202" t="s">
        <v>177</v>
      </c>
      <c r="B70" s="256" t="s">
        <v>135</v>
      </c>
      <c r="C70" s="295">
        <f>SUM(C68:C69)</f>
        <v>200</v>
      </c>
      <c r="D70" s="300">
        <f t="shared" ref="D70:E70" si="180">SUM(D68:D69)</f>
        <v>-55</v>
      </c>
      <c r="E70" s="301">
        <f t="shared" si="180"/>
        <v>145</v>
      </c>
      <c r="F70" s="295">
        <f>SUM(F68:F69)</f>
        <v>150</v>
      </c>
      <c r="G70" s="300">
        <f t="shared" ref="G70" si="181">SUM(G68:G69)</f>
        <v>-41</v>
      </c>
      <c r="H70" s="301">
        <f t="shared" ref="H70" si="182">SUM(H68:H69)</f>
        <v>109</v>
      </c>
      <c r="I70" s="295">
        <f>SUM(I68:I69)</f>
        <v>40</v>
      </c>
      <c r="J70" s="300">
        <f t="shared" ref="J70" si="183">SUM(J68:J69)</f>
        <v>-18</v>
      </c>
      <c r="K70" s="303">
        <f t="shared" ref="K70" si="184">SUM(K68:K69)</f>
        <v>22</v>
      </c>
      <c r="L70" s="295">
        <f>SUM(L68:L69)</f>
        <v>40</v>
      </c>
      <c r="M70" s="300">
        <f t="shared" ref="M70" si="185">SUM(M68:M69)</f>
        <v>-15</v>
      </c>
      <c r="N70" s="301">
        <f t="shared" ref="N70" si="186">SUM(N68:N69)</f>
        <v>25</v>
      </c>
      <c r="O70" s="295">
        <f>SUM(O68:O69)</f>
        <v>285</v>
      </c>
      <c r="P70" s="300">
        <f t="shared" ref="P70" si="187">SUM(P68:P69)</f>
        <v>-121</v>
      </c>
      <c r="Q70" s="303">
        <f t="shared" ref="Q70" si="188">SUM(Q68:Q69)</f>
        <v>164</v>
      </c>
      <c r="R70" s="295">
        <f>SUM(R68:R69)</f>
        <v>715</v>
      </c>
      <c r="S70" s="300">
        <f t="shared" ref="S70:T70" si="189">SUM(S68:S69)</f>
        <v>-250</v>
      </c>
      <c r="T70" s="301">
        <f t="shared" si="189"/>
        <v>465</v>
      </c>
    </row>
    <row r="71" spans="1:20" ht="13.5" customHeight="1">
      <c r="A71" s="199" t="s">
        <v>229</v>
      </c>
      <c r="B71" s="253" t="s">
        <v>230</v>
      </c>
      <c r="C71" s="222">
        <f>+'[3]4.SZ.TÁBL. ÓVODA'!$E71</f>
        <v>865</v>
      </c>
      <c r="D71" s="218">
        <f>+[4]MOVI!$I$46+[4]MOVI!$I$47+[4]MOVI!$I$48</f>
        <v>-316</v>
      </c>
      <c r="E71" s="208">
        <f t="shared" ref="E71:E79" si="190">SUM(C71:D71)</f>
        <v>549</v>
      </c>
      <c r="F71" s="222">
        <f>+'[3]4.SZ.TÁBL. ÓVODA'!$H71</f>
        <v>2300</v>
      </c>
      <c r="G71" s="218">
        <f>+[4]BOVI!$I$52+[4]BOVI!$I$53+[4]BOVI!$I$54</f>
        <v>-745</v>
      </c>
      <c r="H71" s="223">
        <f t="shared" ref="H71:H79" si="191">SUM(F71:G71)</f>
        <v>1555</v>
      </c>
      <c r="I71" s="222">
        <f>+'[5]4.SZ.TÁBL. ÓVODA'!$J70</f>
        <v>0</v>
      </c>
      <c r="J71" s="218"/>
      <c r="K71" s="219">
        <f t="shared" ref="K71:K79" si="192">SUM(I71:J71)</f>
        <v>0</v>
      </c>
      <c r="L71" s="222">
        <f>+'[5]4.SZ.TÁBL. ÓVODA'!$M70</f>
        <v>0</v>
      </c>
      <c r="M71" s="218"/>
      <c r="N71" s="223">
        <f t="shared" ref="N71:N79" si="193">SUM(L71:M71)</f>
        <v>0</v>
      </c>
      <c r="O71" s="222">
        <f>+'[3]4.SZ.TÁBL. ÓVODA'!$Q71</f>
        <v>0</v>
      </c>
      <c r="P71" s="218"/>
      <c r="Q71" s="219">
        <f t="shared" ref="Q71:Q79" si="194">SUM(O71:P71)</f>
        <v>0</v>
      </c>
      <c r="R71" s="222">
        <f t="shared" si="160"/>
        <v>3165</v>
      </c>
      <c r="S71" s="218">
        <f t="shared" ref="S71:S74" si="195">+D71+G71+J71+M71+P71</f>
        <v>-1061</v>
      </c>
      <c r="T71" s="223">
        <f t="shared" ref="T71:T74" si="196">+E71+H71+K71+N71+Q71</f>
        <v>2104</v>
      </c>
    </row>
    <row r="72" spans="1:20" ht="13.5" customHeight="1">
      <c r="A72" s="200" t="s">
        <v>231</v>
      </c>
      <c r="B72" s="254" t="s">
        <v>3</v>
      </c>
      <c r="C72" s="222">
        <f>+'[3]4.SZ.TÁBL. ÓVODA'!$E72</f>
        <v>3083</v>
      </c>
      <c r="D72" s="207">
        <f>+[4]MOVI!$I$25</f>
        <v>-1248</v>
      </c>
      <c r="E72" s="208">
        <f t="shared" si="190"/>
        <v>1835</v>
      </c>
      <c r="F72" s="222">
        <f>+'[3]4.SZ.TÁBL. ÓVODA'!$H72</f>
        <v>0</v>
      </c>
      <c r="G72" s="207"/>
      <c r="H72" s="208">
        <f t="shared" si="191"/>
        <v>0</v>
      </c>
      <c r="I72" s="222">
        <f>+'[5]4.SZ.TÁBL. ÓVODA'!$J71</f>
        <v>0</v>
      </c>
      <c r="J72" s="207"/>
      <c r="K72" s="212">
        <f t="shared" si="192"/>
        <v>0</v>
      </c>
      <c r="L72" s="222">
        <f>+'[5]4.SZ.TÁBL. ÓVODA'!$M71</f>
        <v>0</v>
      </c>
      <c r="M72" s="207"/>
      <c r="N72" s="208">
        <f t="shared" si="193"/>
        <v>0</v>
      </c>
      <c r="O72" s="222">
        <f>+'[3]4.SZ.TÁBL. ÓVODA'!$Q72</f>
        <v>0</v>
      </c>
      <c r="P72" s="207"/>
      <c r="Q72" s="212">
        <f t="shared" si="194"/>
        <v>0</v>
      </c>
      <c r="R72" s="215">
        <f t="shared" si="160"/>
        <v>3083</v>
      </c>
      <c r="S72" s="207">
        <f t="shared" si="195"/>
        <v>-1248</v>
      </c>
      <c r="T72" s="208">
        <f t="shared" si="196"/>
        <v>1835</v>
      </c>
    </row>
    <row r="73" spans="1:20" ht="13.5" customHeight="1">
      <c r="A73" s="200" t="s">
        <v>232</v>
      </c>
      <c r="B73" s="254" t="s">
        <v>233</v>
      </c>
      <c r="C73" s="222">
        <f>+'[3]4.SZ.TÁBL. ÓVODA'!$E73</f>
        <v>0</v>
      </c>
      <c r="D73" s="207"/>
      <c r="E73" s="208">
        <f t="shared" si="190"/>
        <v>0</v>
      </c>
      <c r="F73" s="222">
        <f>+'[3]4.SZ.TÁBL. ÓVODA'!$H73</f>
        <v>0</v>
      </c>
      <c r="G73" s="207"/>
      <c r="H73" s="208">
        <f t="shared" si="191"/>
        <v>0</v>
      </c>
      <c r="I73" s="222">
        <f>+'[5]4.SZ.TÁBL. ÓVODA'!$J72</f>
        <v>0</v>
      </c>
      <c r="J73" s="207"/>
      <c r="K73" s="212">
        <f t="shared" si="192"/>
        <v>0</v>
      </c>
      <c r="L73" s="222">
        <f>+'[5]4.SZ.TÁBL. ÓVODA'!$M72</f>
        <v>0</v>
      </c>
      <c r="M73" s="207"/>
      <c r="N73" s="208">
        <f t="shared" si="193"/>
        <v>0</v>
      </c>
      <c r="O73" s="222">
        <f>+'[3]4.SZ.TÁBL. ÓVODA'!$Q73</f>
        <v>0</v>
      </c>
      <c r="P73" s="207"/>
      <c r="Q73" s="212">
        <f t="shared" si="194"/>
        <v>0</v>
      </c>
      <c r="R73" s="215">
        <f t="shared" si="160"/>
        <v>0</v>
      </c>
      <c r="S73" s="207">
        <f t="shared" si="195"/>
        <v>0</v>
      </c>
      <c r="T73" s="208">
        <f t="shared" si="196"/>
        <v>0</v>
      </c>
    </row>
    <row r="74" spans="1:20" ht="13.5" customHeight="1">
      <c r="A74" s="200" t="s">
        <v>234</v>
      </c>
      <c r="B74" s="254" t="s">
        <v>235</v>
      </c>
      <c r="C74" s="222">
        <f>+'[3]4.SZ.TÁBL. ÓVODA'!$E$74</f>
        <v>200</v>
      </c>
      <c r="D74" s="207">
        <f>+[4]MOVI!$I$49</f>
        <v>-142</v>
      </c>
      <c r="E74" s="208">
        <f t="shared" si="190"/>
        <v>58</v>
      </c>
      <c r="F74" s="222">
        <f>+'[3]4.SZ.TÁBL. ÓVODA'!$H74</f>
        <v>800</v>
      </c>
      <c r="G74" s="207">
        <f>+[4]BOVI!$I$22+[4]BOVI!$I$55</f>
        <v>-756</v>
      </c>
      <c r="H74" s="208">
        <f t="shared" si="191"/>
        <v>44</v>
      </c>
      <c r="I74" s="222">
        <f>+'[5]4.SZ.TÁBL. ÓVODA'!$J73</f>
        <v>0</v>
      </c>
      <c r="J74" s="207">
        <f>+[4]GYOVI!$I$8</f>
        <v>4</v>
      </c>
      <c r="K74" s="212">
        <f t="shared" si="192"/>
        <v>4</v>
      </c>
      <c r="L74" s="222">
        <f>+'[5]4.SZ.TÁBL. ÓVODA'!$M73</f>
        <v>0</v>
      </c>
      <c r="M74" s="207"/>
      <c r="N74" s="208">
        <f t="shared" si="193"/>
        <v>0</v>
      </c>
      <c r="O74" s="222">
        <f>+'[3]4.SZ.TÁBL. ÓVODA'!$Q74</f>
        <v>100</v>
      </c>
      <c r="P74" s="207">
        <f>+[4]KIK!$I$44</f>
        <v>-100</v>
      </c>
      <c r="Q74" s="212">
        <f t="shared" si="194"/>
        <v>0</v>
      </c>
      <c r="R74" s="215">
        <f t="shared" si="160"/>
        <v>1100</v>
      </c>
      <c r="S74" s="207">
        <f t="shared" si="195"/>
        <v>-994</v>
      </c>
      <c r="T74" s="208">
        <f t="shared" si="196"/>
        <v>106</v>
      </c>
    </row>
    <row r="75" spans="1:20" ht="13.5" customHeight="1">
      <c r="A75" s="200" t="s">
        <v>236</v>
      </c>
      <c r="B75" s="254" t="s">
        <v>237</v>
      </c>
      <c r="C75" s="222">
        <f>+'[3]4.SZ.TÁBL. ÓVODA'!$E75</f>
        <v>0</v>
      </c>
      <c r="D75" s="207"/>
      <c r="E75" s="208">
        <f t="shared" si="190"/>
        <v>0</v>
      </c>
      <c r="F75" s="222">
        <f>+'[3]4.SZ.TÁBL. ÓVODA'!$H75</f>
        <v>0</v>
      </c>
      <c r="G75" s="207"/>
      <c r="H75" s="208">
        <f t="shared" si="191"/>
        <v>0</v>
      </c>
      <c r="I75" s="222">
        <f>+'[5]4.SZ.TÁBL. ÓVODA'!$J74</f>
        <v>0</v>
      </c>
      <c r="J75" s="207"/>
      <c r="K75" s="212">
        <f t="shared" si="192"/>
        <v>0</v>
      </c>
      <c r="L75" s="222">
        <f>+'[5]4.SZ.TÁBL. ÓVODA'!$M74</f>
        <v>0</v>
      </c>
      <c r="M75" s="207"/>
      <c r="N75" s="208">
        <f t="shared" si="193"/>
        <v>0</v>
      </c>
      <c r="O75" s="222">
        <f>+'[3]4.SZ.TÁBL. ÓVODA'!$Q75</f>
        <v>0</v>
      </c>
      <c r="P75" s="207"/>
      <c r="Q75" s="212">
        <f t="shared" si="194"/>
        <v>0</v>
      </c>
      <c r="R75" s="215">
        <f>SUM(R76:R77)</f>
        <v>0</v>
      </c>
      <c r="S75" s="207">
        <f t="shared" ref="S75:T75" si="197">SUM(S76:S77)</f>
        <v>0</v>
      </c>
      <c r="T75" s="208">
        <f t="shared" si="197"/>
        <v>0</v>
      </c>
    </row>
    <row r="76" spans="1:20" s="285" customFormat="1" ht="13.5" customHeight="1">
      <c r="A76" s="204" t="s">
        <v>236</v>
      </c>
      <c r="B76" s="258" t="s">
        <v>281</v>
      </c>
      <c r="C76" s="222">
        <f>+'[5]4.SZ.TÁBL. ÓVODA'!$D75</f>
        <v>0</v>
      </c>
      <c r="D76" s="279"/>
      <c r="E76" s="208">
        <f t="shared" si="190"/>
        <v>0</v>
      </c>
      <c r="F76" s="222">
        <f>+'[5]4.SZ.TÁBL. ÓVODA'!$G75</f>
        <v>0</v>
      </c>
      <c r="G76" s="279"/>
      <c r="H76" s="284">
        <f t="shared" si="191"/>
        <v>0</v>
      </c>
      <c r="I76" s="222">
        <f>+'[5]4.SZ.TÁBL. ÓVODA'!$J75</f>
        <v>0</v>
      </c>
      <c r="J76" s="279"/>
      <c r="K76" s="280">
        <f t="shared" si="192"/>
        <v>0</v>
      </c>
      <c r="L76" s="222">
        <f>+'[5]4.SZ.TÁBL. ÓVODA'!$M75</f>
        <v>0</v>
      </c>
      <c r="M76" s="279"/>
      <c r="N76" s="284">
        <f t="shared" si="193"/>
        <v>0</v>
      </c>
      <c r="O76" s="222">
        <f>+'[5]4.SZ.TÁBL. ÓVODA'!$P75</f>
        <v>0</v>
      </c>
      <c r="P76" s="279"/>
      <c r="Q76" s="280">
        <f t="shared" si="194"/>
        <v>0</v>
      </c>
      <c r="R76" s="215">
        <f t="shared" si="160"/>
        <v>0</v>
      </c>
      <c r="S76" s="279">
        <f t="shared" ref="S76:S79" si="198">+D76+G76+J76+M76+P76</f>
        <v>0</v>
      </c>
      <c r="T76" s="284">
        <f t="shared" ref="T76:T79" si="199">+E76+H76+K76+N76+Q76</f>
        <v>0</v>
      </c>
    </row>
    <row r="77" spans="1:20" s="285" customFormat="1" ht="13.5" customHeight="1">
      <c r="A77" s="204" t="s">
        <v>236</v>
      </c>
      <c r="B77" s="258" t="s">
        <v>282</v>
      </c>
      <c r="C77" s="222">
        <f>+'[5]4.SZ.TÁBL. ÓVODA'!$D76</f>
        <v>0</v>
      </c>
      <c r="D77" s="279"/>
      <c r="E77" s="208">
        <f t="shared" si="190"/>
        <v>0</v>
      </c>
      <c r="F77" s="222">
        <f>+'[5]4.SZ.TÁBL. ÓVODA'!$G76</f>
        <v>0</v>
      </c>
      <c r="G77" s="279"/>
      <c r="H77" s="284">
        <f t="shared" si="191"/>
        <v>0</v>
      </c>
      <c r="I77" s="222">
        <f>+'[5]4.SZ.TÁBL. ÓVODA'!$J76</f>
        <v>0</v>
      </c>
      <c r="J77" s="279"/>
      <c r="K77" s="280">
        <f t="shared" si="192"/>
        <v>0</v>
      </c>
      <c r="L77" s="222">
        <f>+'[5]4.SZ.TÁBL. ÓVODA'!$M76</f>
        <v>0</v>
      </c>
      <c r="M77" s="279"/>
      <c r="N77" s="284">
        <f t="shared" si="193"/>
        <v>0</v>
      </c>
      <c r="O77" s="222">
        <f>+'[5]4.SZ.TÁBL. ÓVODA'!$P76</f>
        <v>0</v>
      </c>
      <c r="P77" s="279"/>
      <c r="Q77" s="280">
        <f t="shared" si="194"/>
        <v>0</v>
      </c>
      <c r="R77" s="215">
        <f t="shared" si="160"/>
        <v>0</v>
      </c>
      <c r="S77" s="279">
        <f t="shared" si="198"/>
        <v>0</v>
      </c>
      <c r="T77" s="284">
        <f t="shared" si="199"/>
        <v>0</v>
      </c>
    </row>
    <row r="78" spans="1:20" ht="13.5" customHeight="1">
      <c r="A78" s="200" t="s">
        <v>238</v>
      </c>
      <c r="B78" s="254" t="s">
        <v>239</v>
      </c>
      <c r="C78" s="222">
        <f>+'[3]4.SZ.TÁBL. ÓVODA'!$E$78</f>
        <v>512</v>
      </c>
      <c r="D78" s="207">
        <f>+[4]MOVI!$I$39</f>
        <v>-330</v>
      </c>
      <c r="E78" s="208">
        <f t="shared" si="190"/>
        <v>182</v>
      </c>
      <c r="F78" s="222">
        <f>+'[3]4.SZ.TÁBL. ÓVODA'!$H$78</f>
        <v>1560</v>
      </c>
      <c r="G78" s="207">
        <f>+[4]BOVI!$I$45</f>
        <v>-1098</v>
      </c>
      <c r="H78" s="208">
        <f t="shared" si="191"/>
        <v>462</v>
      </c>
      <c r="I78" s="222">
        <f>+'[3]4.SZ.TÁBL. ÓVODA'!$K$78</f>
        <v>505</v>
      </c>
      <c r="J78" s="207">
        <f>+[4]GYOVI!$I$5+[4]GYOVI!$I$9+[4]GYOVI!$I$22</f>
        <v>-295</v>
      </c>
      <c r="K78" s="212">
        <f t="shared" si="192"/>
        <v>210</v>
      </c>
      <c r="L78" s="222">
        <f>+'[3]4.SZ.TÁBL. ÓVODA'!$N$78</f>
        <v>1498</v>
      </c>
      <c r="M78" s="207">
        <f>+[4]TOVI!$I$5+[4]TOVI!$I$9+[4]TOVI!$I$27</f>
        <v>-966</v>
      </c>
      <c r="N78" s="208">
        <f t="shared" si="193"/>
        <v>532</v>
      </c>
      <c r="O78" s="222">
        <f>+'[3]4.SZ.TÁBL. ÓVODA'!$Q$78</f>
        <v>250</v>
      </c>
      <c r="P78" s="207">
        <f>+[4]KIK!$I$34</f>
        <v>-208</v>
      </c>
      <c r="Q78" s="212">
        <f t="shared" si="194"/>
        <v>42</v>
      </c>
      <c r="R78" s="215">
        <f t="shared" si="160"/>
        <v>4325</v>
      </c>
      <c r="S78" s="207">
        <f t="shared" si="198"/>
        <v>-2897</v>
      </c>
      <c r="T78" s="208">
        <f t="shared" si="199"/>
        <v>1428</v>
      </c>
    </row>
    <row r="79" spans="1:20" ht="13.5" customHeight="1">
      <c r="A79" s="201" t="s">
        <v>240</v>
      </c>
      <c r="B79" s="255" t="s">
        <v>241</v>
      </c>
      <c r="C79" s="222">
        <f>+'[3]4.SZ.TÁBL. ÓVODA'!$E$79</f>
        <v>100</v>
      </c>
      <c r="D79" s="227">
        <f>+[4]MOVI!$I$50+[4]MOVI!$I$51+[4]MOVI!$I$52</f>
        <v>-30</v>
      </c>
      <c r="E79" s="208">
        <f t="shared" si="190"/>
        <v>70</v>
      </c>
      <c r="F79" s="222">
        <f>+'[3]4.SZ.TÁBL. ÓVODA'!$H$79</f>
        <v>338</v>
      </c>
      <c r="G79" s="227">
        <f>+[4]BOVI!$I$56+[4]BOVI!$I$57+[4]BOVI!$I$58+[4]BOVI!$I$59+[4]BOVI!$I$60</f>
        <v>-197</v>
      </c>
      <c r="H79" s="232">
        <f t="shared" si="191"/>
        <v>141</v>
      </c>
      <c r="I79" s="222">
        <f>+'[5]4.SZ.TÁBL. ÓVODA'!$J78</f>
        <v>0</v>
      </c>
      <c r="J79" s="227"/>
      <c r="K79" s="228">
        <f t="shared" si="192"/>
        <v>0</v>
      </c>
      <c r="L79" s="222">
        <f>+'[5]4.SZ.TÁBL. ÓVODA'!$M78</f>
        <v>0</v>
      </c>
      <c r="M79" s="227"/>
      <c r="N79" s="232">
        <f t="shared" si="193"/>
        <v>0</v>
      </c>
      <c r="O79" s="222">
        <f>+'[3]4.SZ.TÁBL. ÓVODA'!$Q$79</f>
        <v>1380</v>
      </c>
      <c r="P79" s="227">
        <f>+[4]KIK!$I$35+[4]KIK!$I$45+[4]KIK!$I$46</f>
        <v>-810</v>
      </c>
      <c r="Q79" s="228">
        <f t="shared" si="194"/>
        <v>570</v>
      </c>
      <c r="R79" s="231">
        <f t="shared" si="160"/>
        <v>1818</v>
      </c>
      <c r="S79" s="227">
        <f t="shared" si="198"/>
        <v>-1037</v>
      </c>
      <c r="T79" s="232">
        <f t="shared" si="199"/>
        <v>781</v>
      </c>
    </row>
    <row r="80" spans="1:20" s="328" customFormat="1" ht="13.5" customHeight="1">
      <c r="A80" s="202" t="s">
        <v>178</v>
      </c>
      <c r="B80" s="256" t="s">
        <v>136</v>
      </c>
      <c r="C80" s="295">
        <f>SUM(C71:C79)-SUM(C76:C77)</f>
        <v>4760</v>
      </c>
      <c r="D80" s="300">
        <f t="shared" ref="D80:E80" si="200">SUM(D71:D79)-SUM(D76:D77)</f>
        <v>-2066</v>
      </c>
      <c r="E80" s="301">
        <f t="shared" si="200"/>
        <v>2694</v>
      </c>
      <c r="F80" s="295">
        <f>SUM(F71:F79)-SUM(F76:F77)</f>
        <v>4998</v>
      </c>
      <c r="G80" s="300">
        <f t="shared" ref="G80" si="201">SUM(G71:G79)-SUM(G76:G77)</f>
        <v>-2796</v>
      </c>
      <c r="H80" s="301">
        <f t="shared" ref="H80" si="202">SUM(H71:H79)-SUM(H76:H77)</f>
        <v>2202</v>
      </c>
      <c r="I80" s="295">
        <f>SUM(I71:I79)-SUM(I76:I77)</f>
        <v>505</v>
      </c>
      <c r="J80" s="300">
        <f t="shared" ref="J80" si="203">SUM(J71:J79)-SUM(J76:J77)</f>
        <v>-291</v>
      </c>
      <c r="K80" s="303">
        <f t="shared" ref="K80" si="204">SUM(K71:K79)-SUM(K76:K77)</f>
        <v>214</v>
      </c>
      <c r="L80" s="295">
        <f>SUM(L71:L79)-SUM(L76:L77)</f>
        <v>1498</v>
      </c>
      <c r="M80" s="300">
        <f t="shared" ref="M80" si="205">SUM(M71:M79)-SUM(M76:M77)</f>
        <v>-966</v>
      </c>
      <c r="N80" s="301">
        <f t="shared" ref="N80" si="206">SUM(N71:N79)-SUM(N76:N77)</f>
        <v>532</v>
      </c>
      <c r="O80" s="295">
        <f>SUM(O71:O79)-SUM(O76:O77)</f>
        <v>1730</v>
      </c>
      <c r="P80" s="300">
        <f t="shared" ref="P80" si="207">SUM(P71:P79)-SUM(P76:P77)</f>
        <v>-1118</v>
      </c>
      <c r="Q80" s="303">
        <f t="shared" ref="Q80" si="208">SUM(Q71:Q79)-SUM(Q76:Q77)</f>
        <v>612</v>
      </c>
      <c r="R80" s="295">
        <f>SUM(R71:R79)-SUM(R76:R77)</f>
        <v>13491</v>
      </c>
      <c r="S80" s="300">
        <f t="shared" ref="S80:T80" si="209">SUM(S71:S79)-SUM(S76:S77)</f>
        <v>-7237</v>
      </c>
      <c r="T80" s="301">
        <f t="shared" si="209"/>
        <v>6254</v>
      </c>
    </row>
    <row r="81" spans="1:20" ht="13.5" customHeight="1">
      <c r="A81" s="199" t="s">
        <v>242</v>
      </c>
      <c r="B81" s="253" t="s">
        <v>243</v>
      </c>
      <c r="C81" s="222">
        <f>+'[3]4.SZ.TÁBL. ÓVODA'!$E$81</f>
        <v>50</v>
      </c>
      <c r="D81" s="218">
        <f>+[4]MOVI!$K$40</f>
        <v>-45</v>
      </c>
      <c r="E81" s="208">
        <f t="shared" ref="E81:E82" si="210">SUM(C81:D81)</f>
        <v>5</v>
      </c>
      <c r="F81" s="222">
        <f>+'[3]4.SZ.TÁBL. ÓVODA'!$H$81</f>
        <v>50</v>
      </c>
      <c r="G81" s="218">
        <f>+[4]BOVI!$K$46</f>
        <v>-37</v>
      </c>
      <c r="H81" s="223">
        <f t="shared" ref="H81:H82" si="211">SUM(F81:G81)</f>
        <v>13</v>
      </c>
      <c r="I81" s="222">
        <f>+'[3]4.SZ.TÁBL. ÓVODA'!$K$81</f>
        <v>17</v>
      </c>
      <c r="J81" s="218"/>
      <c r="K81" s="219">
        <f t="shared" ref="K81:K82" si="212">SUM(I81:J81)</f>
        <v>17</v>
      </c>
      <c r="L81" s="222">
        <f>+'[3]4.SZ.TÁBL. ÓVODA'!$N$81</f>
        <v>12</v>
      </c>
      <c r="M81" s="218"/>
      <c r="N81" s="223">
        <f t="shared" ref="N81:N82" si="213">SUM(L81:M81)</f>
        <v>12</v>
      </c>
      <c r="O81" s="222">
        <f>+'[3]4.SZ.TÁBL. ÓVODA'!$Q$81</f>
        <v>50</v>
      </c>
      <c r="P81" s="218">
        <f>+[4]KIK!$K$36</f>
        <v>-17</v>
      </c>
      <c r="Q81" s="219">
        <f t="shared" ref="Q81:Q82" si="214">SUM(O81:P81)</f>
        <v>33</v>
      </c>
      <c r="R81" s="222">
        <f t="shared" si="160"/>
        <v>179</v>
      </c>
      <c r="S81" s="218">
        <f t="shared" ref="S81:S82" si="215">+D81+G81+J81+M81+P81</f>
        <v>-99</v>
      </c>
      <c r="T81" s="223">
        <f t="shared" ref="T81:T82" si="216">+E81+H81+K81+N81+Q81</f>
        <v>80</v>
      </c>
    </row>
    <row r="82" spans="1:20" ht="13.5" customHeight="1">
      <c r="A82" s="201" t="s">
        <v>244</v>
      </c>
      <c r="B82" s="255" t="s">
        <v>245</v>
      </c>
      <c r="C82" s="222">
        <f>+'[5]4.SZ.TÁBL. ÓVODA'!$D81</f>
        <v>0</v>
      </c>
      <c r="D82" s="227"/>
      <c r="E82" s="208">
        <f t="shared" si="210"/>
        <v>0</v>
      </c>
      <c r="F82" s="222">
        <f>+'[5]4.SZ.TÁBL. ÓVODA'!$G81</f>
        <v>0</v>
      </c>
      <c r="G82" s="227"/>
      <c r="H82" s="232">
        <f t="shared" si="211"/>
        <v>0</v>
      </c>
      <c r="I82" s="222">
        <f>+'[5]4.SZ.TÁBL. ÓVODA'!$J81</f>
        <v>0</v>
      </c>
      <c r="J82" s="227"/>
      <c r="K82" s="228">
        <f t="shared" si="212"/>
        <v>0</v>
      </c>
      <c r="L82" s="222">
        <f>+'[5]4.SZ.TÁBL. ÓVODA'!$M81</f>
        <v>0</v>
      </c>
      <c r="M82" s="227"/>
      <c r="N82" s="232">
        <f t="shared" si="213"/>
        <v>0</v>
      </c>
      <c r="O82" s="222">
        <f>+'[5]4.SZ.TÁBL. ÓVODA'!$P81</f>
        <v>0</v>
      </c>
      <c r="P82" s="227"/>
      <c r="Q82" s="228">
        <f t="shared" si="214"/>
        <v>0</v>
      </c>
      <c r="R82" s="231">
        <f t="shared" si="160"/>
        <v>0</v>
      </c>
      <c r="S82" s="227">
        <f t="shared" si="215"/>
        <v>0</v>
      </c>
      <c r="T82" s="232">
        <f t="shared" si="216"/>
        <v>0</v>
      </c>
    </row>
    <row r="83" spans="1:20" s="328" customFormat="1" ht="13.5" customHeight="1">
      <c r="A83" s="202" t="s">
        <v>179</v>
      </c>
      <c r="B83" s="256" t="s">
        <v>137</v>
      </c>
      <c r="C83" s="295">
        <f>SUM(C81:C82)</f>
        <v>50</v>
      </c>
      <c r="D83" s="300">
        <f t="shared" ref="D83:E83" si="217">SUM(D81:D82)</f>
        <v>-45</v>
      </c>
      <c r="E83" s="301">
        <f t="shared" si="217"/>
        <v>5</v>
      </c>
      <c r="F83" s="295">
        <f>SUM(F81:F82)</f>
        <v>50</v>
      </c>
      <c r="G83" s="300">
        <f t="shared" ref="G83" si="218">SUM(G81:G82)</f>
        <v>-37</v>
      </c>
      <c r="H83" s="301">
        <f t="shared" ref="H83" si="219">SUM(H81:H82)</f>
        <v>13</v>
      </c>
      <c r="I83" s="295">
        <f>SUM(I81:I82)</f>
        <v>17</v>
      </c>
      <c r="J83" s="300">
        <f t="shared" ref="J83" si="220">SUM(J81:J82)</f>
        <v>0</v>
      </c>
      <c r="K83" s="303">
        <f t="shared" ref="K83" si="221">SUM(K81:K82)</f>
        <v>17</v>
      </c>
      <c r="L83" s="295">
        <f>SUM(L81:L82)</f>
        <v>12</v>
      </c>
      <c r="M83" s="300">
        <f t="shared" ref="M83" si="222">SUM(M81:M82)</f>
        <v>0</v>
      </c>
      <c r="N83" s="301">
        <f t="shared" ref="N83" si="223">SUM(N81:N82)</f>
        <v>12</v>
      </c>
      <c r="O83" s="295">
        <f>SUM(O81:O82)</f>
        <v>50</v>
      </c>
      <c r="P83" s="300">
        <f t="shared" ref="P83" si="224">SUM(P81:P82)</f>
        <v>-17</v>
      </c>
      <c r="Q83" s="303">
        <f t="shared" ref="Q83" si="225">SUM(Q81:Q82)</f>
        <v>33</v>
      </c>
      <c r="R83" s="295">
        <f>SUM(R81:R82)</f>
        <v>179</v>
      </c>
      <c r="S83" s="300">
        <f t="shared" ref="S83:T83" si="226">SUM(S81:S82)</f>
        <v>-99</v>
      </c>
      <c r="T83" s="301">
        <f t="shared" si="226"/>
        <v>80</v>
      </c>
    </row>
    <row r="84" spans="1:20" ht="13.5" customHeight="1">
      <c r="A84" s="199" t="s">
        <v>246</v>
      </c>
      <c r="B84" s="253" t="s">
        <v>247</v>
      </c>
      <c r="C84" s="222">
        <f>+'[3]4.SZ.TÁBL. ÓVODA'!$E84</f>
        <v>1457</v>
      </c>
      <c r="D84" s="218">
        <f>+[4]MOVI!$J$26+[4]MOVI!$J$53</f>
        <v>-711</v>
      </c>
      <c r="E84" s="208">
        <f t="shared" ref="E84:E88" si="227">SUM(C84:D84)</f>
        <v>746</v>
      </c>
      <c r="F84" s="222">
        <f>+'[3]4.SZ.TÁBL. ÓVODA'!$H$84</f>
        <v>1649</v>
      </c>
      <c r="G84" s="218">
        <f>+[4]BOVI!$J$23+[4]BOVI!$J$47+[4]BOVI!$J$61</f>
        <v>-1051</v>
      </c>
      <c r="H84" s="223">
        <f t="shared" ref="H84:H88" si="228">SUM(F84:G84)</f>
        <v>598</v>
      </c>
      <c r="I84" s="222">
        <f>+'[3]4.SZ.TÁBL. ÓVODA'!$K$84</f>
        <v>173</v>
      </c>
      <c r="J84" s="218">
        <f>+[4]GYOVI!$J$23+[4]GYOVI!$J$26</f>
        <v>-166</v>
      </c>
      <c r="K84" s="219">
        <f t="shared" ref="K84:K88" si="229">SUM(I84:J84)</f>
        <v>7</v>
      </c>
      <c r="L84" s="222">
        <f>+'[3]4.SZ.TÁBL. ÓVODA'!$N$84</f>
        <v>443</v>
      </c>
      <c r="M84" s="218">
        <f>+[4]TOVI!$J$28+[4]TOVI!$J$32</f>
        <v>-435</v>
      </c>
      <c r="N84" s="223">
        <f t="shared" ref="N84:N88" si="230">SUM(L84:M84)</f>
        <v>8</v>
      </c>
      <c r="O84" s="222">
        <f>+'[3]4.SZ.TÁBL. ÓVODA'!$Q$84</f>
        <v>350</v>
      </c>
      <c r="P84" s="218">
        <f>+[4]KIK!$J$37+[4]KIK!$J$47</f>
        <v>-262</v>
      </c>
      <c r="Q84" s="219">
        <f t="shared" ref="Q84:Q88" si="231">SUM(O84:P84)</f>
        <v>88</v>
      </c>
      <c r="R84" s="222">
        <f t="shared" si="160"/>
        <v>4072</v>
      </c>
      <c r="S84" s="218">
        <f t="shared" ref="S84:S88" si="232">+D84+G84+J84+M84+P84</f>
        <v>-2625</v>
      </c>
      <c r="T84" s="223">
        <f t="shared" ref="T84:T88" si="233">+E84+H84+K84+N84+Q84</f>
        <v>1447</v>
      </c>
    </row>
    <row r="85" spans="1:20" ht="13.5" customHeight="1">
      <c r="A85" s="200" t="s">
        <v>248</v>
      </c>
      <c r="B85" s="254" t="s">
        <v>249</v>
      </c>
      <c r="C85" s="222">
        <f>+'[3]4.SZ.TÁBL. ÓVODA'!$E85</f>
        <v>0</v>
      </c>
      <c r="D85" s="207"/>
      <c r="E85" s="208">
        <f t="shared" si="227"/>
        <v>0</v>
      </c>
      <c r="F85" s="222">
        <f>+'[5]4.SZ.TÁBL. ÓVODA'!$G84</f>
        <v>0</v>
      </c>
      <c r="G85" s="207"/>
      <c r="H85" s="208">
        <f t="shared" si="228"/>
        <v>0</v>
      </c>
      <c r="I85" s="222">
        <f>+'[5]4.SZ.TÁBL. ÓVODA'!$J84</f>
        <v>0</v>
      </c>
      <c r="J85" s="207"/>
      <c r="K85" s="212">
        <f t="shared" si="229"/>
        <v>0</v>
      </c>
      <c r="L85" s="222">
        <f>+'[5]4.SZ.TÁBL. ÓVODA'!$M84</f>
        <v>0</v>
      </c>
      <c r="M85" s="207"/>
      <c r="N85" s="208">
        <f t="shared" si="230"/>
        <v>0</v>
      </c>
      <c r="O85" s="222">
        <f>+'[5]4.SZ.TÁBL. ÓVODA'!$P84</f>
        <v>0</v>
      </c>
      <c r="P85" s="207"/>
      <c r="Q85" s="212">
        <f t="shared" si="231"/>
        <v>0</v>
      </c>
      <c r="R85" s="215">
        <f t="shared" si="160"/>
        <v>0</v>
      </c>
      <c r="S85" s="207">
        <f t="shared" si="232"/>
        <v>0</v>
      </c>
      <c r="T85" s="208">
        <f t="shared" si="233"/>
        <v>0</v>
      </c>
    </row>
    <row r="86" spans="1:20" ht="13.5" customHeight="1">
      <c r="A86" s="200" t="s">
        <v>250</v>
      </c>
      <c r="B86" s="254" t="s">
        <v>251</v>
      </c>
      <c r="C86" s="222">
        <f>+'[3]4.SZ.TÁBL. ÓVODA'!$E86</f>
        <v>0</v>
      </c>
      <c r="D86" s="207"/>
      <c r="E86" s="208">
        <f t="shared" si="227"/>
        <v>0</v>
      </c>
      <c r="F86" s="222">
        <f>+'[5]4.SZ.TÁBL. ÓVODA'!$G85</f>
        <v>0</v>
      </c>
      <c r="G86" s="207"/>
      <c r="H86" s="208">
        <f t="shared" si="228"/>
        <v>0</v>
      </c>
      <c r="I86" s="222">
        <f>+'[5]4.SZ.TÁBL. ÓVODA'!$J85</f>
        <v>0</v>
      </c>
      <c r="J86" s="207"/>
      <c r="K86" s="212">
        <f t="shared" si="229"/>
        <v>0</v>
      </c>
      <c r="L86" s="222">
        <f>+'[5]4.SZ.TÁBL. ÓVODA'!$M85</f>
        <v>0</v>
      </c>
      <c r="M86" s="207"/>
      <c r="N86" s="208">
        <f t="shared" si="230"/>
        <v>0</v>
      </c>
      <c r="O86" s="222">
        <f>+'[5]4.SZ.TÁBL. ÓVODA'!$P85</f>
        <v>0</v>
      </c>
      <c r="P86" s="207"/>
      <c r="Q86" s="212">
        <f t="shared" si="231"/>
        <v>0</v>
      </c>
      <c r="R86" s="215">
        <f t="shared" si="160"/>
        <v>0</v>
      </c>
      <c r="S86" s="207">
        <f t="shared" si="232"/>
        <v>0</v>
      </c>
      <c r="T86" s="208">
        <f t="shared" si="233"/>
        <v>0</v>
      </c>
    </row>
    <row r="87" spans="1:20" ht="13.5" customHeight="1">
      <c r="A87" s="200" t="s">
        <v>252</v>
      </c>
      <c r="B87" s="254" t="s">
        <v>253</v>
      </c>
      <c r="C87" s="222">
        <f>+'[3]4.SZ.TÁBL. ÓVODA'!$E87</f>
        <v>0</v>
      </c>
      <c r="D87" s="207"/>
      <c r="E87" s="208">
        <f t="shared" si="227"/>
        <v>0</v>
      </c>
      <c r="F87" s="222">
        <f>+'[5]4.SZ.TÁBL. ÓVODA'!$G86</f>
        <v>0</v>
      </c>
      <c r="G87" s="207"/>
      <c r="H87" s="208">
        <f t="shared" si="228"/>
        <v>0</v>
      </c>
      <c r="I87" s="222">
        <f>+'[5]4.SZ.TÁBL. ÓVODA'!$J86</f>
        <v>0</v>
      </c>
      <c r="J87" s="207"/>
      <c r="K87" s="212">
        <f t="shared" si="229"/>
        <v>0</v>
      </c>
      <c r="L87" s="222">
        <f>+'[5]4.SZ.TÁBL. ÓVODA'!$M86</f>
        <v>0</v>
      </c>
      <c r="M87" s="207"/>
      <c r="N87" s="208">
        <f t="shared" si="230"/>
        <v>0</v>
      </c>
      <c r="O87" s="222">
        <f>+'[5]4.SZ.TÁBL. ÓVODA'!$P86</f>
        <v>0</v>
      </c>
      <c r="P87" s="207"/>
      <c r="Q87" s="212">
        <f t="shared" si="231"/>
        <v>0</v>
      </c>
      <c r="R87" s="215">
        <f t="shared" si="160"/>
        <v>0</v>
      </c>
      <c r="S87" s="207">
        <f t="shared" si="232"/>
        <v>0</v>
      </c>
      <c r="T87" s="208">
        <f t="shared" si="233"/>
        <v>0</v>
      </c>
    </row>
    <row r="88" spans="1:20" ht="13.5" customHeight="1">
      <c r="A88" s="201" t="s">
        <v>254</v>
      </c>
      <c r="B88" s="255" t="s">
        <v>18</v>
      </c>
      <c r="C88" s="222">
        <f>+'[3]4.SZ.TÁBL. ÓVODA'!$E88</f>
        <v>0</v>
      </c>
      <c r="D88" s="227"/>
      <c r="E88" s="208">
        <f t="shared" si="227"/>
        <v>0</v>
      </c>
      <c r="F88" s="222">
        <f>+'[5]4.SZ.TÁBL. ÓVODA'!$G87</f>
        <v>0</v>
      </c>
      <c r="G88" s="227">
        <f>+[4]BOVI!$K$62</f>
        <v>-1</v>
      </c>
      <c r="H88" s="232">
        <f t="shared" si="228"/>
        <v>-1</v>
      </c>
      <c r="I88" s="222">
        <f>+'[5]4.SZ.TÁBL. ÓVODA'!$J87</f>
        <v>0</v>
      </c>
      <c r="J88" s="227"/>
      <c r="K88" s="228">
        <f t="shared" si="229"/>
        <v>0</v>
      </c>
      <c r="L88" s="222">
        <f>+'[5]4.SZ.TÁBL. ÓVODA'!$M87</f>
        <v>0</v>
      </c>
      <c r="M88" s="227"/>
      <c r="N88" s="232">
        <f t="shared" si="230"/>
        <v>0</v>
      </c>
      <c r="O88" s="222">
        <f>+'[5]4.SZ.TÁBL. ÓVODA'!$P87</f>
        <v>0</v>
      </c>
      <c r="P88" s="227"/>
      <c r="Q88" s="228">
        <f t="shared" si="231"/>
        <v>0</v>
      </c>
      <c r="R88" s="231">
        <f t="shared" si="160"/>
        <v>0</v>
      </c>
      <c r="S88" s="227">
        <f t="shared" si="232"/>
        <v>-1</v>
      </c>
      <c r="T88" s="232">
        <f t="shared" si="233"/>
        <v>-1</v>
      </c>
    </row>
    <row r="89" spans="1:20" s="328" customFormat="1" ht="13.5" customHeight="1">
      <c r="A89" s="202" t="s">
        <v>180</v>
      </c>
      <c r="B89" s="256" t="s">
        <v>138</v>
      </c>
      <c r="C89" s="295">
        <f>SUM(C84:C88)</f>
        <v>1457</v>
      </c>
      <c r="D89" s="300">
        <f t="shared" ref="D89:E89" si="234">SUM(D84:D88)</f>
        <v>-711</v>
      </c>
      <c r="E89" s="301">
        <f t="shared" si="234"/>
        <v>746</v>
      </c>
      <c r="F89" s="295">
        <f>SUM(F84:F88)</f>
        <v>1649</v>
      </c>
      <c r="G89" s="300">
        <f t="shared" ref="G89" si="235">SUM(G84:G88)</f>
        <v>-1052</v>
      </c>
      <c r="H89" s="301">
        <f t="shared" ref="H89" si="236">SUM(H84:H88)</f>
        <v>597</v>
      </c>
      <c r="I89" s="295">
        <f>SUM(I84:I88)</f>
        <v>173</v>
      </c>
      <c r="J89" s="300">
        <f t="shared" ref="J89" si="237">SUM(J84:J88)</f>
        <v>-166</v>
      </c>
      <c r="K89" s="303">
        <f t="shared" ref="K89" si="238">SUM(K84:K88)</f>
        <v>7</v>
      </c>
      <c r="L89" s="295">
        <f>SUM(L84:L88)</f>
        <v>443</v>
      </c>
      <c r="M89" s="300">
        <f t="shared" ref="M89" si="239">SUM(M84:M88)</f>
        <v>-435</v>
      </c>
      <c r="N89" s="301">
        <f t="shared" ref="N89" si="240">SUM(N84:N88)</f>
        <v>8</v>
      </c>
      <c r="O89" s="295">
        <f>SUM(O84:O88)</f>
        <v>350</v>
      </c>
      <c r="P89" s="300">
        <f t="shared" ref="P89" si="241">SUM(P84:P88)</f>
        <v>-262</v>
      </c>
      <c r="Q89" s="303">
        <f t="shared" ref="Q89" si="242">SUM(Q84:Q88)</f>
        <v>88</v>
      </c>
      <c r="R89" s="295">
        <f>SUM(R84:R88)</f>
        <v>4072</v>
      </c>
      <c r="S89" s="300">
        <f t="shared" ref="S89:T89" si="243">SUM(S84:S88)</f>
        <v>-2626</v>
      </c>
      <c r="T89" s="301">
        <f t="shared" si="243"/>
        <v>1446</v>
      </c>
    </row>
    <row r="90" spans="1:20" s="328" customFormat="1" ht="13.5" customHeight="1">
      <c r="A90" s="202" t="s">
        <v>181</v>
      </c>
      <c r="B90" s="256" t="s">
        <v>139</v>
      </c>
      <c r="C90" s="295">
        <f>+C67+C70+C80+C83+C89</f>
        <v>6902</v>
      </c>
      <c r="D90" s="300">
        <f t="shared" ref="D90:E90" si="244">+D67+D70+D80+D83+D89</f>
        <v>-3090</v>
      </c>
      <c r="E90" s="301">
        <f t="shared" si="244"/>
        <v>3812</v>
      </c>
      <c r="F90" s="295">
        <f>+F67+F70+F80+F83+F89</f>
        <v>7808</v>
      </c>
      <c r="G90" s="300">
        <f t="shared" ref="G90" si="245">+G67+G70+G80+G83+G89</f>
        <v>-4290</v>
      </c>
      <c r="H90" s="301">
        <f t="shared" ref="H90" si="246">+H67+H70+H80+H83+H89</f>
        <v>3518</v>
      </c>
      <c r="I90" s="295">
        <f>+I67+I70+I80+I83+I89</f>
        <v>735</v>
      </c>
      <c r="J90" s="300">
        <f t="shared" ref="J90" si="247">+J67+J70+J80+J83+J89</f>
        <v>-475</v>
      </c>
      <c r="K90" s="303">
        <f t="shared" ref="K90" si="248">+K67+K70+K80+K83+K89</f>
        <v>260</v>
      </c>
      <c r="L90" s="295">
        <f>+L67+L70+L80+L83+L89</f>
        <v>1993</v>
      </c>
      <c r="M90" s="300">
        <f t="shared" ref="M90" si="249">+M67+M70+M80+M83+M89</f>
        <v>-1416</v>
      </c>
      <c r="N90" s="301">
        <f t="shared" ref="N90" si="250">+N67+N70+N80+N83+N89</f>
        <v>577</v>
      </c>
      <c r="O90" s="295">
        <f>+O67+O70+O80+O83+O89</f>
        <v>2747</v>
      </c>
      <c r="P90" s="300">
        <f t="shared" ref="P90" si="251">+P67+P70+P80+P83+P89</f>
        <v>-1634</v>
      </c>
      <c r="Q90" s="303">
        <f t="shared" ref="Q90" si="252">+Q67+Q70+Q80+Q83+Q89</f>
        <v>1113</v>
      </c>
      <c r="R90" s="295">
        <f>+R67+R70+R80+R83+R89</f>
        <v>20185</v>
      </c>
      <c r="S90" s="300">
        <f t="shared" ref="S90:T90" si="253">+S67+S70+S80+S83+S89</f>
        <v>-10905</v>
      </c>
      <c r="T90" s="301">
        <f t="shared" si="253"/>
        <v>9280</v>
      </c>
    </row>
    <row r="91" spans="1:20" ht="13.5" customHeight="1">
      <c r="A91" s="199" t="s">
        <v>304</v>
      </c>
      <c r="B91" s="193" t="s">
        <v>305</v>
      </c>
      <c r="C91" s="272">
        <f>+C92</f>
        <v>288</v>
      </c>
      <c r="D91" s="218">
        <f>+D92</f>
        <v>0</v>
      </c>
      <c r="E91" s="223">
        <f>SUM(C91:D91)</f>
        <v>288</v>
      </c>
      <c r="F91" s="272">
        <f>+F92</f>
        <v>0</v>
      </c>
      <c r="G91" s="218"/>
      <c r="H91" s="223">
        <f t="shared" ref="H91:H92" si="254">SUM(F91:G91)</f>
        <v>0</v>
      </c>
      <c r="I91" s="272">
        <f>+I92</f>
        <v>0</v>
      </c>
      <c r="J91" s="218"/>
      <c r="K91" s="219">
        <f t="shared" ref="K91:K92" si="255">SUM(I91:J91)</f>
        <v>0</v>
      </c>
      <c r="L91" s="272">
        <f>+L92</f>
        <v>2654</v>
      </c>
      <c r="M91" s="272">
        <f>+M92</f>
        <v>-886</v>
      </c>
      <c r="N91" s="223">
        <f t="shared" ref="N91:N92" si="256">SUM(L91:M91)</f>
        <v>1768</v>
      </c>
      <c r="O91" s="272">
        <f>+O92</f>
        <v>0</v>
      </c>
      <c r="P91" s="218"/>
      <c r="Q91" s="219">
        <f t="shared" ref="Q91:Q92" si="257">SUM(O91:P91)</f>
        <v>0</v>
      </c>
      <c r="R91" s="222">
        <f t="shared" ref="R91:R95" si="258">+C91+F91+I91+L91+O91</f>
        <v>2942</v>
      </c>
      <c r="S91" s="218">
        <f t="shared" ref="S91:S95" si="259">+D91+G91+J91+M91+P91</f>
        <v>-886</v>
      </c>
      <c r="T91" s="223">
        <f t="shared" ref="T91:T95" si="260">+E91+H91+K91+N91+Q91</f>
        <v>2056</v>
      </c>
    </row>
    <row r="92" spans="1:20" s="285" customFormat="1" ht="13.5" customHeight="1">
      <c r="A92" s="205" t="s">
        <v>304</v>
      </c>
      <c r="B92" s="194" t="s">
        <v>110</v>
      </c>
      <c r="C92" s="296">
        <f>+'[3]4.SZ.TÁBL. ÓVODA'!$E$92</f>
        <v>288</v>
      </c>
      <c r="D92" s="227"/>
      <c r="E92" s="208">
        <f t="shared" ref="E92" si="261">SUM(C92:D92)</f>
        <v>288</v>
      </c>
      <c r="F92" s="296">
        <f>+'[5]4.SZ.TÁBL. ÓVODA'!$G92</f>
        <v>0</v>
      </c>
      <c r="G92" s="297"/>
      <c r="H92" s="298">
        <f t="shared" si="254"/>
        <v>0</v>
      </c>
      <c r="I92" s="296">
        <f>+'[5]4.SZ.TÁBL. ÓVODA'!$J92</f>
        <v>0</v>
      </c>
      <c r="J92" s="297"/>
      <c r="K92" s="299">
        <f t="shared" si="255"/>
        <v>0</v>
      </c>
      <c r="L92" s="296">
        <f>+'[3]4.SZ.TÁBL. ÓVODA'!$N$92</f>
        <v>2654</v>
      </c>
      <c r="M92" s="297">
        <f>+[4]TOVI!$K$29</f>
        <v>-886</v>
      </c>
      <c r="N92" s="298">
        <f t="shared" si="256"/>
        <v>1768</v>
      </c>
      <c r="O92" s="296">
        <f>+'[5]4.SZ.TÁBL. ÓVODA'!$P92</f>
        <v>0</v>
      </c>
      <c r="P92" s="297"/>
      <c r="Q92" s="299">
        <f t="shared" si="257"/>
        <v>0</v>
      </c>
      <c r="R92" s="231">
        <f t="shared" ref="R92" si="262">+C92+F92+I92+L92+O92</f>
        <v>2942</v>
      </c>
      <c r="S92" s="297">
        <f t="shared" si="259"/>
        <v>-886</v>
      </c>
      <c r="T92" s="298">
        <f t="shared" si="260"/>
        <v>2056</v>
      </c>
    </row>
    <row r="93" spans="1:20" ht="13.5" customHeight="1">
      <c r="A93" s="322" t="s">
        <v>306</v>
      </c>
      <c r="B93" s="325" t="s">
        <v>307</v>
      </c>
      <c r="C93" s="231">
        <f>+SUM(C94:C95)</f>
        <v>0</v>
      </c>
      <c r="D93" s="227">
        <f t="shared" ref="D93:E93" si="263">+SUM(D94:D95)</f>
        <v>0</v>
      </c>
      <c r="E93" s="232">
        <f t="shared" si="263"/>
        <v>0</v>
      </c>
      <c r="F93" s="231">
        <f>+SUM(F94:F95)</f>
        <v>0</v>
      </c>
      <c r="G93" s="227">
        <f t="shared" ref="G93" si="264">+SUM(G94:G95)</f>
        <v>0</v>
      </c>
      <c r="H93" s="232">
        <f t="shared" ref="H93" si="265">+SUM(H94:H95)</f>
        <v>0</v>
      </c>
      <c r="I93" s="231">
        <f>+SUM(I94:I95)</f>
        <v>0</v>
      </c>
      <c r="J93" s="227">
        <f t="shared" ref="J93" si="266">+SUM(J94:J95)</f>
        <v>0</v>
      </c>
      <c r="K93" s="228">
        <f t="shared" ref="K93" si="267">+SUM(K94:K95)</f>
        <v>0</v>
      </c>
      <c r="L93" s="231">
        <f>+SUM(L94:L95)</f>
        <v>0</v>
      </c>
      <c r="M93" s="227">
        <f t="shared" ref="M93" si="268">+SUM(M94:M95)</f>
        <v>0</v>
      </c>
      <c r="N93" s="232">
        <f t="shared" ref="N93" si="269">+SUM(N94:N95)</f>
        <v>0</v>
      </c>
      <c r="O93" s="231">
        <f>+SUM(O94:O95)</f>
        <v>0</v>
      </c>
      <c r="P93" s="227">
        <f t="shared" ref="P93" si="270">+SUM(P94:P95)</f>
        <v>0</v>
      </c>
      <c r="Q93" s="228">
        <f t="shared" ref="Q93" si="271">+SUM(Q94:Q95)</f>
        <v>0</v>
      </c>
      <c r="R93" s="231">
        <f t="shared" si="258"/>
        <v>0</v>
      </c>
      <c r="S93" s="227">
        <f t="shared" si="259"/>
        <v>0</v>
      </c>
      <c r="T93" s="232">
        <f t="shared" si="260"/>
        <v>0</v>
      </c>
    </row>
    <row r="94" spans="1:20" s="285" customFormat="1" ht="13.5" customHeight="1">
      <c r="A94" s="485"/>
      <c r="B94" s="486" t="s">
        <v>348</v>
      </c>
      <c r="C94" s="283">
        <f>+'[5]4.SZ.TÁBL. ÓVODA'!$D94</f>
        <v>0</v>
      </c>
      <c r="D94" s="279"/>
      <c r="E94" s="208">
        <f t="shared" ref="E94:E95" si="272">SUM(C94:D94)</f>
        <v>0</v>
      </c>
      <c r="F94" s="283">
        <f>+'[5]4.SZ.TÁBL. ÓVODA'!$G94</f>
        <v>0</v>
      </c>
      <c r="G94" s="279"/>
      <c r="H94" s="284">
        <f t="shared" ref="H94:H95" si="273">SUM(F94:G94)</f>
        <v>0</v>
      </c>
      <c r="I94" s="283">
        <f>+'[5]4.SZ.TÁBL. ÓVODA'!$J94</f>
        <v>0</v>
      </c>
      <c r="J94" s="279"/>
      <c r="K94" s="280">
        <f t="shared" ref="K94:K95" si="274">SUM(I94:J94)</f>
        <v>0</v>
      </c>
      <c r="L94" s="283">
        <f>+'[5]4.SZ.TÁBL. ÓVODA'!$M94</f>
        <v>0</v>
      </c>
      <c r="M94" s="279"/>
      <c r="N94" s="284">
        <f t="shared" ref="N94:N95" si="275">SUM(L94:M94)</f>
        <v>0</v>
      </c>
      <c r="O94" s="283">
        <f>+'[5]4.SZ.TÁBL. ÓVODA'!$P94</f>
        <v>0</v>
      </c>
      <c r="P94" s="279"/>
      <c r="Q94" s="280">
        <f t="shared" ref="Q94:Q95" si="276">SUM(O94:P94)</f>
        <v>0</v>
      </c>
      <c r="R94" s="296">
        <f t="shared" si="258"/>
        <v>0</v>
      </c>
      <c r="S94" s="279">
        <f t="shared" si="259"/>
        <v>0</v>
      </c>
      <c r="T94" s="284">
        <f t="shared" si="260"/>
        <v>0</v>
      </c>
    </row>
    <row r="95" spans="1:20" s="285" customFormat="1" ht="13.5" customHeight="1">
      <c r="A95" s="487"/>
      <c r="B95" s="486" t="s">
        <v>349</v>
      </c>
      <c r="C95" s="283">
        <f>+'[5]4.SZ.TÁBL. ÓVODA'!$D95</f>
        <v>0</v>
      </c>
      <c r="D95" s="287"/>
      <c r="E95" s="208">
        <f t="shared" si="272"/>
        <v>0</v>
      </c>
      <c r="F95" s="283">
        <f>+'[5]4.SZ.TÁBL. ÓVODA'!$G95</f>
        <v>0</v>
      </c>
      <c r="G95" s="287"/>
      <c r="H95" s="291">
        <f t="shared" si="273"/>
        <v>0</v>
      </c>
      <c r="I95" s="283">
        <f>+'[5]4.SZ.TÁBL. ÓVODA'!$J95</f>
        <v>0</v>
      </c>
      <c r="J95" s="287"/>
      <c r="K95" s="288">
        <f t="shared" si="274"/>
        <v>0</v>
      </c>
      <c r="L95" s="283">
        <f>+'[5]4.SZ.TÁBL. ÓVODA'!$M95</f>
        <v>0</v>
      </c>
      <c r="M95" s="287"/>
      <c r="N95" s="291">
        <f t="shared" si="275"/>
        <v>0</v>
      </c>
      <c r="O95" s="283">
        <f>+'[5]4.SZ.TÁBL. ÓVODA'!$P95</f>
        <v>0</v>
      </c>
      <c r="P95" s="287"/>
      <c r="Q95" s="288">
        <f t="shared" si="276"/>
        <v>0</v>
      </c>
      <c r="R95" s="296">
        <f t="shared" si="258"/>
        <v>0</v>
      </c>
      <c r="S95" s="287">
        <f t="shared" si="259"/>
        <v>0</v>
      </c>
      <c r="T95" s="291">
        <f t="shared" si="260"/>
        <v>0</v>
      </c>
    </row>
    <row r="96" spans="1:20" s="328" customFormat="1" ht="13.5" customHeight="1">
      <c r="A96" s="202" t="s">
        <v>182</v>
      </c>
      <c r="B96" s="256" t="s">
        <v>140</v>
      </c>
      <c r="C96" s="295">
        <f>+C91+C93</f>
        <v>288</v>
      </c>
      <c r="D96" s="300">
        <f t="shared" ref="D96:Q96" si="277">+D91+D93</f>
        <v>0</v>
      </c>
      <c r="E96" s="301">
        <f t="shared" si="277"/>
        <v>288</v>
      </c>
      <c r="F96" s="295">
        <f>+F91+F93</f>
        <v>0</v>
      </c>
      <c r="G96" s="300">
        <f t="shared" si="277"/>
        <v>0</v>
      </c>
      <c r="H96" s="301">
        <f t="shared" si="277"/>
        <v>0</v>
      </c>
      <c r="I96" s="295">
        <f>+I91+I93</f>
        <v>0</v>
      </c>
      <c r="J96" s="300">
        <f t="shared" si="277"/>
        <v>0</v>
      </c>
      <c r="K96" s="303">
        <f t="shared" si="277"/>
        <v>0</v>
      </c>
      <c r="L96" s="295">
        <f>+L91+L93</f>
        <v>2654</v>
      </c>
      <c r="M96" s="300">
        <f t="shared" si="277"/>
        <v>-886</v>
      </c>
      <c r="N96" s="301">
        <f t="shared" si="277"/>
        <v>1768</v>
      </c>
      <c r="O96" s="295">
        <f>+O91+O93</f>
        <v>0</v>
      </c>
      <c r="P96" s="300">
        <f t="shared" si="277"/>
        <v>0</v>
      </c>
      <c r="Q96" s="303">
        <f t="shared" si="277"/>
        <v>0</v>
      </c>
      <c r="R96" s="295">
        <f>+R91+R93</f>
        <v>2942</v>
      </c>
      <c r="S96" s="300">
        <f t="shared" ref="S96:T96" si="278">+S91+S93</f>
        <v>-886</v>
      </c>
      <c r="T96" s="301">
        <f t="shared" si="278"/>
        <v>2056</v>
      </c>
    </row>
    <row r="97" spans="1:20" ht="13.5" customHeight="1">
      <c r="A97" s="199" t="s">
        <v>255</v>
      </c>
      <c r="B97" s="253" t="s">
        <v>256</v>
      </c>
      <c r="C97" s="222">
        <f>+'[5]4.SZ.TÁBL. ÓVODA'!$D97</f>
        <v>0</v>
      </c>
      <c r="D97" s="218"/>
      <c r="E97" s="208">
        <f t="shared" ref="E97:E103" si="279">SUM(C97:D97)</f>
        <v>0</v>
      </c>
      <c r="F97" s="222">
        <f>+'[5]4.SZ.TÁBL. ÓVODA'!$G97</f>
        <v>0</v>
      </c>
      <c r="G97" s="218"/>
      <c r="H97" s="223">
        <f t="shared" ref="H97:H103" si="280">SUM(F97:G97)</f>
        <v>0</v>
      </c>
      <c r="I97" s="222">
        <f>+'[5]4.SZ.TÁBL. ÓVODA'!$J97</f>
        <v>0</v>
      </c>
      <c r="J97" s="218"/>
      <c r="K97" s="219">
        <f t="shared" ref="K97:K103" si="281">SUM(I97:J97)</f>
        <v>0</v>
      </c>
      <c r="L97" s="222">
        <f>+'[5]4.SZ.TÁBL. ÓVODA'!$M97</f>
        <v>0</v>
      </c>
      <c r="M97" s="218"/>
      <c r="N97" s="223">
        <f t="shared" ref="N97:N103" si="282">SUM(L97:M97)</f>
        <v>0</v>
      </c>
      <c r="O97" s="222">
        <f>+'[5]4.SZ.TÁBL. ÓVODA'!$P97</f>
        <v>0</v>
      </c>
      <c r="P97" s="218"/>
      <c r="Q97" s="219">
        <f t="shared" ref="Q97:Q103" si="283">SUM(O97:P97)</f>
        <v>0</v>
      </c>
      <c r="R97" s="222">
        <f t="shared" ref="R97:R103" si="284">+C97+F97+I97+L97+O97</f>
        <v>0</v>
      </c>
      <c r="S97" s="218">
        <f t="shared" ref="S97:S103" si="285">+D97+G97+J97+M97+P97</f>
        <v>0</v>
      </c>
      <c r="T97" s="223">
        <f t="shared" ref="T97:T103" si="286">+E97+H97+K97+N97+Q97</f>
        <v>0</v>
      </c>
    </row>
    <row r="98" spans="1:20" ht="13.5" customHeight="1">
      <c r="A98" s="200" t="s">
        <v>257</v>
      </c>
      <c r="B98" s="254" t="s">
        <v>258</v>
      </c>
      <c r="C98" s="222">
        <f>+'[5]4.SZ.TÁBL. ÓVODA'!$D98</f>
        <v>0</v>
      </c>
      <c r="D98" s="207"/>
      <c r="E98" s="208">
        <f t="shared" si="279"/>
        <v>0</v>
      </c>
      <c r="F98" s="222">
        <f>+'[5]4.SZ.TÁBL. ÓVODA'!$G98</f>
        <v>0</v>
      </c>
      <c r="G98" s="207"/>
      <c r="H98" s="208">
        <f t="shared" si="280"/>
        <v>0</v>
      </c>
      <c r="I98" s="222">
        <f>+'[5]4.SZ.TÁBL. ÓVODA'!$J98</f>
        <v>0</v>
      </c>
      <c r="J98" s="207"/>
      <c r="K98" s="212">
        <f t="shared" si="281"/>
        <v>0</v>
      </c>
      <c r="L98" s="222">
        <f>+'[5]4.SZ.TÁBL. ÓVODA'!$M98</f>
        <v>0</v>
      </c>
      <c r="M98" s="207"/>
      <c r="N98" s="208">
        <f t="shared" si="282"/>
        <v>0</v>
      </c>
      <c r="O98" s="222">
        <f>+'[5]4.SZ.TÁBL. ÓVODA'!$P98</f>
        <v>0</v>
      </c>
      <c r="P98" s="207"/>
      <c r="Q98" s="212">
        <f t="shared" si="283"/>
        <v>0</v>
      </c>
      <c r="R98" s="215">
        <f t="shared" si="284"/>
        <v>0</v>
      </c>
      <c r="S98" s="207">
        <f t="shared" si="285"/>
        <v>0</v>
      </c>
      <c r="T98" s="208">
        <f t="shared" si="286"/>
        <v>0</v>
      </c>
    </row>
    <row r="99" spans="1:20" ht="13.5" customHeight="1">
      <c r="A99" s="200" t="s">
        <v>259</v>
      </c>
      <c r="B99" s="254" t="s">
        <v>260</v>
      </c>
      <c r="C99" s="222">
        <f>+'[5]4.SZ.TÁBL. ÓVODA'!$D99</f>
        <v>0</v>
      </c>
      <c r="D99" s="207"/>
      <c r="E99" s="208">
        <f t="shared" si="279"/>
        <v>0</v>
      </c>
      <c r="F99" s="222">
        <f>+'[5]4.SZ.TÁBL. ÓVODA'!$G99</f>
        <v>0</v>
      </c>
      <c r="G99" s="207"/>
      <c r="H99" s="208">
        <f t="shared" si="280"/>
        <v>0</v>
      </c>
      <c r="I99" s="222">
        <f>+'[5]4.SZ.TÁBL. ÓVODA'!$J99</f>
        <v>0</v>
      </c>
      <c r="J99" s="207"/>
      <c r="K99" s="212">
        <f t="shared" si="281"/>
        <v>0</v>
      </c>
      <c r="L99" s="222">
        <f>+'[5]4.SZ.TÁBL. ÓVODA'!$M99</f>
        <v>0</v>
      </c>
      <c r="M99" s="207"/>
      <c r="N99" s="208">
        <f t="shared" si="282"/>
        <v>0</v>
      </c>
      <c r="O99" s="222">
        <f>+'[3]4.SZ.TÁBL. ÓVODA'!$Q$99</f>
        <v>150</v>
      </c>
      <c r="P99" s="207">
        <f>+[4]KIK!$Q$48+[4]KIK!$Q$13</f>
        <v>-150</v>
      </c>
      <c r="Q99" s="212">
        <f t="shared" si="283"/>
        <v>0</v>
      </c>
      <c r="R99" s="215">
        <f t="shared" si="284"/>
        <v>150</v>
      </c>
      <c r="S99" s="207">
        <f t="shared" si="285"/>
        <v>-150</v>
      </c>
      <c r="T99" s="208">
        <f t="shared" si="286"/>
        <v>0</v>
      </c>
    </row>
    <row r="100" spans="1:20" ht="13.5" customHeight="1">
      <c r="A100" s="200" t="s">
        <v>261</v>
      </c>
      <c r="B100" s="254" t="s">
        <v>262</v>
      </c>
      <c r="C100" s="222">
        <f>+'[3]4.SZ.TÁBL. ÓVODA'!$E$100</f>
        <v>500</v>
      </c>
      <c r="D100" s="207">
        <f>+[4]MOVI!$Q$54</f>
        <v>-500</v>
      </c>
      <c r="E100" s="208">
        <f t="shared" si="279"/>
        <v>0</v>
      </c>
      <c r="F100" s="222">
        <f>+'[3]4.SZ.TÁBL. ÓVODA'!$H$100</f>
        <v>400</v>
      </c>
      <c r="G100" s="207">
        <f>+[4]BOVI!$Q$20</f>
        <v>687</v>
      </c>
      <c r="H100" s="208">
        <f t="shared" si="280"/>
        <v>1087</v>
      </c>
      <c r="I100" s="222">
        <f>+'[5]4.SZ.TÁBL. ÓVODA'!$J100</f>
        <v>0</v>
      </c>
      <c r="J100" s="207"/>
      <c r="K100" s="212">
        <f t="shared" si="281"/>
        <v>0</v>
      </c>
      <c r="L100" s="222">
        <f>+'[5]4.SZ.TÁBL. ÓVODA'!$M100</f>
        <v>0</v>
      </c>
      <c r="M100" s="207"/>
      <c r="N100" s="208">
        <f t="shared" si="282"/>
        <v>0</v>
      </c>
      <c r="O100" s="222">
        <f>+'[5]4.SZ.TÁBL. ÓVODA'!$P100</f>
        <v>0</v>
      </c>
      <c r="P100" s="207"/>
      <c r="Q100" s="212">
        <f t="shared" si="283"/>
        <v>0</v>
      </c>
      <c r="R100" s="215">
        <f t="shared" si="284"/>
        <v>900</v>
      </c>
      <c r="S100" s="207">
        <f t="shared" si="285"/>
        <v>187</v>
      </c>
      <c r="T100" s="208">
        <f t="shared" si="286"/>
        <v>1087</v>
      </c>
    </row>
    <row r="101" spans="1:20" ht="13.5" customHeight="1">
      <c r="A101" s="200" t="s">
        <v>263</v>
      </c>
      <c r="B101" s="254" t="s">
        <v>264</v>
      </c>
      <c r="C101" s="222">
        <f>+'[5]4.SZ.TÁBL. ÓVODA'!$D101</f>
        <v>0</v>
      </c>
      <c r="D101" s="207"/>
      <c r="E101" s="208">
        <f t="shared" si="279"/>
        <v>0</v>
      </c>
      <c r="F101" s="222">
        <f>+'[5]4.SZ.TÁBL. ÓVODA'!$G101</f>
        <v>0</v>
      </c>
      <c r="G101" s="207"/>
      <c r="H101" s="208">
        <f t="shared" si="280"/>
        <v>0</v>
      </c>
      <c r="I101" s="222">
        <f>+'[5]4.SZ.TÁBL. ÓVODA'!$J101</f>
        <v>0</v>
      </c>
      <c r="J101" s="207"/>
      <c r="K101" s="212">
        <f t="shared" si="281"/>
        <v>0</v>
      </c>
      <c r="L101" s="222">
        <f>+'[5]4.SZ.TÁBL. ÓVODA'!$M101</f>
        <v>0</v>
      </c>
      <c r="M101" s="207"/>
      <c r="N101" s="208">
        <f t="shared" si="282"/>
        <v>0</v>
      </c>
      <c r="O101" s="222">
        <f>+'[5]4.SZ.TÁBL. ÓVODA'!$P101</f>
        <v>0</v>
      </c>
      <c r="P101" s="207"/>
      <c r="Q101" s="212">
        <f t="shared" si="283"/>
        <v>0</v>
      </c>
      <c r="R101" s="215">
        <f t="shared" si="284"/>
        <v>0</v>
      </c>
      <c r="S101" s="207">
        <f t="shared" si="285"/>
        <v>0</v>
      </c>
      <c r="T101" s="208">
        <f t="shared" si="286"/>
        <v>0</v>
      </c>
    </row>
    <row r="102" spans="1:20" ht="13.5" customHeight="1">
      <c r="A102" s="200" t="s">
        <v>265</v>
      </c>
      <c r="B102" s="254" t="s">
        <v>266</v>
      </c>
      <c r="C102" s="222">
        <f>+'[5]4.SZ.TÁBL. ÓVODA'!$D102</f>
        <v>0</v>
      </c>
      <c r="D102" s="207"/>
      <c r="E102" s="208">
        <f t="shared" si="279"/>
        <v>0</v>
      </c>
      <c r="F102" s="222">
        <f>+'[5]4.SZ.TÁBL. ÓVODA'!$G102</f>
        <v>0</v>
      </c>
      <c r="G102" s="207"/>
      <c r="H102" s="208">
        <f t="shared" si="280"/>
        <v>0</v>
      </c>
      <c r="I102" s="222">
        <f>+'[5]4.SZ.TÁBL. ÓVODA'!$J102</f>
        <v>0</v>
      </c>
      <c r="J102" s="207"/>
      <c r="K102" s="212">
        <f t="shared" si="281"/>
        <v>0</v>
      </c>
      <c r="L102" s="222">
        <f>+'[5]4.SZ.TÁBL. ÓVODA'!$M102</f>
        <v>0</v>
      </c>
      <c r="M102" s="207"/>
      <c r="N102" s="208">
        <f t="shared" si="282"/>
        <v>0</v>
      </c>
      <c r="O102" s="222">
        <f>+'[5]4.SZ.TÁBL. ÓVODA'!$P102</f>
        <v>0</v>
      </c>
      <c r="P102" s="207"/>
      <c r="Q102" s="212">
        <f t="shared" si="283"/>
        <v>0</v>
      </c>
      <c r="R102" s="215">
        <f t="shared" si="284"/>
        <v>0</v>
      </c>
      <c r="S102" s="207">
        <f t="shared" si="285"/>
        <v>0</v>
      </c>
      <c r="T102" s="208">
        <f t="shared" si="286"/>
        <v>0</v>
      </c>
    </row>
    <row r="103" spans="1:20" ht="13.5" customHeight="1">
      <c r="A103" s="201" t="s">
        <v>267</v>
      </c>
      <c r="B103" s="255" t="s">
        <v>268</v>
      </c>
      <c r="C103" s="222">
        <f>+'[3]4.SZ.TÁBL. ÓVODA'!$E$103</f>
        <v>135</v>
      </c>
      <c r="D103" s="227">
        <f>+[4]MOVI!$Q$55</f>
        <v>-135</v>
      </c>
      <c r="E103" s="208">
        <f t="shared" si="279"/>
        <v>0</v>
      </c>
      <c r="F103" s="222">
        <f>+'[3]4.SZ.TÁBL. ÓVODA'!$H$103</f>
        <v>108</v>
      </c>
      <c r="G103" s="227">
        <f>+[4]BOVI!$Q$21</f>
        <v>186</v>
      </c>
      <c r="H103" s="232">
        <f t="shared" si="280"/>
        <v>294</v>
      </c>
      <c r="I103" s="222">
        <f>+'[5]4.SZ.TÁBL. ÓVODA'!$J103</f>
        <v>0</v>
      </c>
      <c r="J103" s="227"/>
      <c r="K103" s="228">
        <f t="shared" si="281"/>
        <v>0</v>
      </c>
      <c r="L103" s="222">
        <f>+'[5]4.SZ.TÁBL. ÓVODA'!$M103</f>
        <v>0</v>
      </c>
      <c r="M103" s="227"/>
      <c r="N103" s="232">
        <f t="shared" si="282"/>
        <v>0</v>
      </c>
      <c r="O103" s="222">
        <f>+'[3]4.SZ.TÁBL. ÓVODA'!$Q$103</f>
        <v>41</v>
      </c>
      <c r="P103" s="227">
        <f>+[4]KIK!$Q$49</f>
        <v>-41</v>
      </c>
      <c r="Q103" s="228">
        <f t="shared" si="283"/>
        <v>0</v>
      </c>
      <c r="R103" s="231">
        <f t="shared" si="284"/>
        <v>284</v>
      </c>
      <c r="S103" s="227">
        <f t="shared" si="285"/>
        <v>10</v>
      </c>
      <c r="T103" s="232">
        <f t="shared" si="286"/>
        <v>294</v>
      </c>
    </row>
    <row r="104" spans="1:20" s="328" customFormat="1" ht="13.5" customHeight="1">
      <c r="A104" s="202" t="s">
        <v>183</v>
      </c>
      <c r="B104" s="256" t="s">
        <v>96</v>
      </c>
      <c r="C104" s="295">
        <f>SUM(C97:C103)</f>
        <v>635</v>
      </c>
      <c r="D104" s="300">
        <f t="shared" ref="D104:E104" si="287">SUM(D97:D103)</f>
        <v>-635</v>
      </c>
      <c r="E104" s="301">
        <f t="shared" si="287"/>
        <v>0</v>
      </c>
      <c r="F104" s="295">
        <f>SUM(F97:F103)</f>
        <v>508</v>
      </c>
      <c r="G104" s="300">
        <f t="shared" ref="G104" si="288">SUM(G97:G103)</f>
        <v>873</v>
      </c>
      <c r="H104" s="301">
        <f t="shared" ref="H104" si="289">SUM(H97:H103)</f>
        <v>1381</v>
      </c>
      <c r="I104" s="295">
        <f>SUM(I97:I103)</f>
        <v>0</v>
      </c>
      <c r="J104" s="300">
        <f t="shared" ref="J104" si="290">SUM(J97:J103)</f>
        <v>0</v>
      </c>
      <c r="K104" s="303">
        <f t="shared" ref="K104" si="291">SUM(K97:K103)</f>
        <v>0</v>
      </c>
      <c r="L104" s="295">
        <f>SUM(L97:L103)</f>
        <v>0</v>
      </c>
      <c r="M104" s="300">
        <f t="shared" ref="M104" si="292">SUM(M97:M103)</f>
        <v>0</v>
      </c>
      <c r="N104" s="301">
        <f t="shared" ref="N104" si="293">SUM(N97:N103)</f>
        <v>0</v>
      </c>
      <c r="O104" s="295">
        <f>SUM(O97:O103)</f>
        <v>191</v>
      </c>
      <c r="P104" s="300">
        <f t="shared" ref="P104" si="294">SUM(P97:P103)</f>
        <v>-191</v>
      </c>
      <c r="Q104" s="303">
        <f t="shared" ref="Q104" si="295">SUM(Q97:Q103)</f>
        <v>0</v>
      </c>
      <c r="R104" s="295">
        <f>SUM(R97:R103)</f>
        <v>1334</v>
      </c>
      <c r="S104" s="300">
        <f t="shared" ref="S104:T104" si="296">SUM(S97:S103)</f>
        <v>47</v>
      </c>
      <c r="T104" s="301">
        <f t="shared" si="296"/>
        <v>1381</v>
      </c>
    </row>
    <row r="105" spans="1:20" ht="13.5" customHeight="1">
      <c r="A105" s="199" t="s">
        <v>269</v>
      </c>
      <c r="B105" s="253" t="s">
        <v>270</v>
      </c>
      <c r="C105" s="222">
        <f>+'[5]4.SZ.TÁBL. ÓVODA'!$D105</f>
        <v>0</v>
      </c>
      <c r="D105" s="218"/>
      <c r="E105" s="208">
        <f t="shared" ref="E105:E108" si="297">SUM(C105:D105)</f>
        <v>0</v>
      </c>
      <c r="F105" s="222">
        <f>+'[3]4.SZ.TÁBL. ÓVODA'!$H$105</f>
        <v>1355</v>
      </c>
      <c r="G105" s="218"/>
      <c r="H105" s="223">
        <f t="shared" ref="H105:H108" si="298">SUM(F105:G105)</f>
        <v>1355</v>
      </c>
      <c r="I105" s="222">
        <f>+'[5]4.SZ.TÁBL. ÓVODA'!$J105</f>
        <v>0</v>
      </c>
      <c r="J105" s="218"/>
      <c r="K105" s="219">
        <f t="shared" ref="K105:K108" si="299">SUM(I105:J105)</f>
        <v>0</v>
      </c>
      <c r="L105" s="222">
        <f>+'[5]4.SZ.TÁBL. ÓVODA'!$M105</f>
        <v>0</v>
      </c>
      <c r="M105" s="218"/>
      <c r="N105" s="223">
        <f t="shared" ref="N105:N108" si="300">SUM(L105:M105)</f>
        <v>0</v>
      </c>
      <c r="O105" s="222">
        <f>+'[5]4.SZ.TÁBL. ÓVODA'!$P105</f>
        <v>0</v>
      </c>
      <c r="P105" s="218"/>
      <c r="Q105" s="219">
        <f t="shared" ref="Q105:Q108" si="301">SUM(O105:P105)</f>
        <v>0</v>
      </c>
      <c r="R105" s="222">
        <f t="shared" ref="R105:R108" si="302">+C105+F105+I105+L105+O105</f>
        <v>1355</v>
      </c>
      <c r="S105" s="218">
        <f t="shared" ref="S105:S108" si="303">+D105+G105+J105+M105+P105</f>
        <v>0</v>
      </c>
      <c r="T105" s="223">
        <f t="shared" ref="T105:T108" si="304">+E105+H105+K105+N105+Q105</f>
        <v>1355</v>
      </c>
    </row>
    <row r="106" spans="1:20" ht="13.5" customHeight="1">
      <c r="A106" s="200" t="s">
        <v>271</v>
      </c>
      <c r="B106" s="254" t="s">
        <v>272</v>
      </c>
      <c r="C106" s="222">
        <f>+'[5]4.SZ.TÁBL. ÓVODA'!$D106</f>
        <v>0</v>
      </c>
      <c r="D106" s="207"/>
      <c r="E106" s="208">
        <f t="shared" si="297"/>
        <v>0</v>
      </c>
      <c r="F106" s="222">
        <f>+'[5]4.SZ.TÁBL. ÓVODA'!$G106</f>
        <v>0</v>
      </c>
      <c r="G106" s="207"/>
      <c r="H106" s="208">
        <f t="shared" si="298"/>
        <v>0</v>
      </c>
      <c r="I106" s="222">
        <f>+'[5]4.SZ.TÁBL. ÓVODA'!$J106</f>
        <v>0</v>
      </c>
      <c r="J106" s="207"/>
      <c r="K106" s="212">
        <f t="shared" si="299"/>
        <v>0</v>
      </c>
      <c r="L106" s="222">
        <f>+'[5]4.SZ.TÁBL. ÓVODA'!$M106</f>
        <v>0</v>
      </c>
      <c r="M106" s="207"/>
      <c r="N106" s="208">
        <f t="shared" si="300"/>
        <v>0</v>
      </c>
      <c r="O106" s="222">
        <f>+'[5]4.SZ.TÁBL. ÓVODA'!$P106</f>
        <v>0</v>
      </c>
      <c r="P106" s="207"/>
      <c r="Q106" s="212">
        <f t="shared" si="301"/>
        <v>0</v>
      </c>
      <c r="R106" s="215">
        <f t="shared" si="302"/>
        <v>0</v>
      </c>
      <c r="S106" s="207">
        <f t="shared" si="303"/>
        <v>0</v>
      </c>
      <c r="T106" s="208">
        <f t="shared" si="304"/>
        <v>0</v>
      </c>
    </row>
    <row r="107" spans="1:20" ht="13.5" customHeight="1">
      <c r="A107" s="200" t="s">
        <v>273</v>
      </c>
      <c r="B107" s="254" t="s">
        <v>274</v>
      </c>
      <c r="C107" s="222">
        <f>+'[5]4.SZ.TÁBL. ÓVODA'!$D107</f>
        <v>0</v>
      </c>
      <c r="D107" s="207"/>
      <c r="E107" s="208">
        <f t="shared" si="297"/>
        <v>0</v>
      </c>
      <c r="F107" s="222">
        <f>+'[5]4.SZ.TÁBL. ÓVODA'!$G107</f>
        <v>0</v>
      </c>
      <c r="G107" s="207"/>
      <c r="H107" s="208">
        <f t="shared" si="298"/>
        <v>0</v>
      </c>
      <c r="I107" s="222">
        <f>+'[5]4.SZ.TÁBL. ÓVODA'!$J107</f>
        <v>0</v>
      </c>
      <c r="J107" s="207"/>
      <c r="K107" s="212">
        <f t="shared" si="299"/>
        <v>0</v>
      </c>
      <c r="L107" s="222">
        <f>+'[5]4.SZ.TÁBL. ÓVODA'!$M107</f>
        <v>0</v>
      </c>
      <c r="M107" s="207"/>
      <c r="N107" s="208">
        <f t="shared" si="300"/>
        <v>0</v>
      </c>
      <c r="O107" s="222">
        <f>+'[5]4.SZ.TÁBL. ÓVODA'!$P107</f>
        <v>0</v>
      </c>
      <c r="P107" s="207"/>
      <c r="Q107" s="212">
        <f t="shared" si="301"/>
        <v>0</v>
      </c>
      <c r="R107" s="215">
        <f t="shared" si="302"/>
        <v>0</v>
      </c>
      <c r="S107" s="207">
        <f t="shared" si="303"/>
        <v>0</v>
      </c>
      <c r="T107" s="208">
        <f t="shared" si="304"/>
        <v>0</v>
      </c>
    </row>
    <row r="108" spans="1:20" ht="13.5" customHeight="1">
      <c r="A108" s="201" t="s">
        <v>275</v>
      </c>
      <c r="B108" s="255" t="s">
        <v>276</v>
      </c>
      <c r="C108" s="222">
        <f>+'[5]4.SZ.TÁBL. ÓVODA'!$D108</f>
        <v>0</v>
      </c>
      <c r="D108" s="227"/>
      <c r="E108" s="208">
        <f t="shared" si="297"/>
        <v>0</v>
      </c>
      <c r="F108" s="222">
        <f>+'[3]4.SZ.TÁBL. ÓVODA'!$H$108</f>
        <v>366</v>
      </c>
      <c r="G108" s="227"/>
      <c r="H108" s="232">
        <f t="shared" si="298"/>
        <v>366</v>
      </c>
      <c r="I108" s="222">
        <f>+'[5]4.SZ.TÁBL. ÓVODA'!$J108</f>
        <v>0</v>
      </c>
      <c r="J108" s="227"/>
      <c r="K108" s="228">
        <f t="shared" si="299"/>
        <v>0</v>
      </c>
      <c r="L108" s="222">
        <f>+'[5]4.SZ.TÁBL. ÓVODA'!$M108</f>
        <v>0</v>
      </c>
      <c r="M108" s="227"/>
      <c r="N108" s="232">
        <f t="shared" si="300"/>
        <v>0</v>
      </c>
      <c r="O108" s="222">
        <f>+'[5]4.SZ.TÁBL. ÓVODA'!$P108</f>
        <v>0</v>
      </c>
      <c r="P108" s="227"/>
      <c r="Q108" s="228">
        <f t="shared" si="301"/>
        <v>0</v>
      </c>
      <c r="R108" s="231">
        <f t="shared" si="302"/>
        <v>366</v>
      </c>
      <c r="S108" s="227">
        <f t="shared" si="303"/>
        <v>0</v>
      </c>
      <c r="T108" s="232">
        <f t="shared" si="304"/>
        <v>366</v>
      </c>
    </row>
    <row r="109" spans="1:20" s="328" customFormat="1" ht="13.5" customHeight="1">
      <c r="A109" s="202" t="s">
        <v>184</v>
      </c>
      <c r="B109" s="256" t="s">
        <v>141</v>
      </c>
      <c r="C109" s="295">
        <f>SUM(C105:C108)</f>
        <v>0</v>
      </c>
      <c r="D109" s="300">
        <f t="shared" ref="D109:E109" si="305">SUM(D105:D108)</f>
        <v>0</v>
      </c>
      <c r="E109" s="301">
        <f t="shared" si="305"/>
        <v>0</v>
      </c>
      <c r="F109" s="295">
        <f>SUM(F105:F108)</f>
        <v>1721</v>
      </c>
      <c r="G109" s="300">
        <f t="shared" ref="G109" si="306">SUM(G105:G108)</f>
        <v>0</v>
      </c>
      <c r="H109" s="301">
        <f t="shared" ref="H109" si="307">SUM(H105:H108)</f>
        <v>1721</v>
      </c>
      <c r="I109" s="295">
        <f>SUM(I105:I108)</f>
        <v>0</v>
      </c>
      <c r="J109" s="300">
        <f t="shared" ref="J109" si="308">SUM(J105:J108)</f>
        <v>0</v>
      </c>
      <c r="K109" s="303">
        <f t="shared" ref="K109" si="309">SUM(K105:K108)</f>
        <v>0</v>
      </c>
      <c r="L109" s="295">
        <f>SUM(L105:L108)</f>
        <v>0</v>
      </c>
      <c r="M109" s="300">
        <f t="shared" ref="M109" si="310">SUM(M105:M108)</f>
        <v>0</v>
      </c>
      <c r="N109" s="301">
        <f t="shared" ref="N109" si="311">SUM(N105:N108)</f>
        <v>0</v>
      </c>
      <c r="O109" s="295">
        <f>SUM(O105:O108)</f>
        <v>0</v>
      </c>
      <c r="P109" s="300">
        <f t="shared" ref="P109" si="312">SUM(P105:P108)</f>
        <v>0</v>
      </c>
      <c r="Q109" s="303">
        <f t="shared" ref="Q109" si="313">SUM(Q105:Q108)</f>
        <v>0</v>
      </c>
      <c r="R109" s="295">
        <f>SUM(R105:R108)</f>
        <v>1721</v>
      </c>
      <c r="S109" s="300">
        <f t="shared" ref="S109:T109" si="314">SUM(S105:S108)</f>
        <v>0</v>
      </c>
      <c r="T109" s="301">
        <f t="shared" si="314"/>
        <v>1721</v>
      </c>
    </row>
    <row r="110" spans="1:20" s="328" customFormat="1" ht="13.5" customHeight="1">
      <c r="A110" s="202" t="s">
        <v>185</v>
      </c>
      <c r="B110" s="256" t="s">
        <v>142</v>
      </c>
      <c r="C110" s="295"/>
      <c r="D110" s="300"/>
      <c r="E110" s="301"/>
      <c r="F110" s="295"/>
      <c r="G110" s="300"/>
      <c r="H110" s="301"/>
      <c r="I110" s="295"/>
      <c r="J110" s="300"/>
      <c r="K110" s="303"/>
      <c r="L110" s="295"/>
      <c r="M110" s="300"/>
      <c r="N110" s="301"/>
      <c r="O110" s="295"/>
      <c r="P110" s="300"/>
      <c r="Q110" s="303"/>
      <c r="R110" s="234">
        <f t="shared" ref="R110" si="315">+C110+F110+I110+L110+O110</f>
        <v>0</v>
      </c>
      <c r="S110" s="300">
        <f t="shared" ref="S110" si="316">+D110+G110+J110+M110+P110</f>
        <v>0</v>
      </c>
      <c r="T110" s="301">
        <f t="shared" ref="T110" si="317">+E110+H110+K110+N110+Q110</f>
        <v>0</v>
      </c>
    </row>
    <row r="111" spans="1:20" s="328" customFormat="1" ht="13.5" customHeight="1">
      <c r="A111" s="206" t="s">
        <v>186</v>
      </c>
      <c r="B111" s="256" t="s">
        <v>143</v>
      </c>
      <c r="C111" s="295">
        <f t="shared" ref="C111:T111" si="318">+C57+C58+C90+C96+C104+C109+C110</f>
        <v>30880</v>
      </c>
      <c r="D111" s="300">
        <f t="shared" si="318"/>
        <v>-9759</v>
      </c>
      <c r="E111" s="301">
        <f t="shared" si="318"/>
        <v>21121</v>
      </c>
      <c r="F111" s="295">
        <f t="shared" ref="F111" si="319">+F57+F58+F90+F96+F104+F109+F110</f>
        <v>59611</v>
      </c>
      <c r="G111" s="300">
        <f t="shared" si="318"/>
        <v>-19338</v>
      </c>
      <c r="H111" s="301">
        <f t="shared" si="318"/>
        <v>40273</v>
      </c>
      <c r="I111" s="295">
        <f t="shared" si="318"/>
        <v>25816</v>
      </c>
      <c r="J111" s="300">
        <f t="shared" si="318"/>
        <v>-6999</v>
      </c>
      <c r="K111" s="303">
        <f t="shared" si="318"/>
        <v>18817</v>
      </c>
      <c r="L111" s="295">
        <f t="shared" ref="L111" si="320">+L57+L58+L90+L96+L104+L109+L110</f>
        <v>49685</v>
      </c>
      <c r="M111" s="300">
        <f t="shared" si="318"/>
        <v>-16062</v>
      </c>
      <c r="N111" s="301">
        <f t="shared" si="318"/>
        <v>33623</v>
      </c>
      <c r="O111" s="295">
        <f t="shared" si="318"/>
        <v>12609</v>
      </c>
      <c r="P111" s="300">
        <f t="shared" si="318"/>
        <v>-3925</v>
      </c>
      <c r="Q111" s="303">
        <f t="shared" si="318"/>
        <v>8684</v>
      </c>
      <c r="R111" s="295">
        <f t="shared" si="318"/>
        <v>178601</v>
      </c>
      <c r="S111" s="300">
        <f t="shared" si="318"/>
        <v>-56083</v>
      </c>
      <c r="T111" s="301">
        <f t="shared" si="318"/>
        <v>122518</v>
      </c>
    </row>
    <row r="112" spans="1:20" s="328" customFormat="1" ht="13.5" customHeight="1" thickBot="1">
      <c r="A112" s="251" t="s">
        <v>187</v>
      </c>
      <c r="B112" s="259" t="s">
        <v>144</v>
      </c>
      <c r="C112" s="317"/>
      <c r="D112" s="318"/>
      <c r="E112" s="319"/>
      <c r="F112" s="317"/>
      <c r="G112" s="318"/>
      <c r="H112" s="319"/>
      <c r="I112" s="317"/>
      <c r="J112" s="318"/>
      <c r="K112" s="321"/>
      <c r="L112" s="317"/>
      <c r="M112" s="318"/>
      <c r="N112" s="319"/>
      <c r="O112" s="317"/>
      <c r="P112" s="318"/>
      <c r="Q112" s="321"/>
      <c r="R112" s="242">
        <f t="shared" ref="R112" si="321">+C112+F112+I112+L112+O112</f>
        <v>0</v>
      </c>
      <c r="S112" s="318">
        <f t="shared" ref="S112" si="322">+D112+G112+J112+M112+P112</f>
        <v>0</v>
      </c>
      <c r="T112" s="319">
        <f t="shared" ref="T112" si="323">+E112+H112+K112+N112+Q112</f>
        <v>0</v>
      </c>
    </row>
    <row r="113" spans="1:20" s="328" customFormat="1" ht="13.5" customHeight="1" thickBot="1">
      <c r="A113" s="866" t="s">
        <v>289</v>
      </c>
      <c r="B113" s="867"/>
      <c r="C113" s="308">
        <f>SUM(C111:C112)</f>
        <v>30880</v>
      </c>
      <c r="D113" s="309">
        <f t="shared" ref="D113:E113" si="324">SUM(D111:D112)</f>
        <v>-9759</v>
      </c>
      <c r="E113" s="310">
        <f t="shared" si="324"/>
        <v>21121</v>
      </c>
      <c r="F113" s="308">
        <f>SUM(F111:F112)</f>
        <v>59611</v>
      </c>
      <c r="G113" s="309">
        <f t="shared" ref="G113" si="325">SUM(G111:G112)</f>
        <v>-19338</v>
      </c>
      <c r="H113" s="310">
        <f t="shared" ref="H113" si="326">SUM(H111:H112)</f>
        <v>40273</v>
      </c>
      <c r="I113" s="308">
        <f>SUM(I111:I112)</f>
        <v>25816</v>
      </c>
      <c r="J113" s="309">
        <f t="shared" ref="J113" si="327">SUM(J111:J112)</f>
        <v>-6999</v>
      </c>
      <c r="K113" s="312">
        <f t="shared" ref="K113" si="328">SUM(K111:K112)</f>
        <v>18817</v>
      </c>
      <c r="L113" s="308">
        <f>SUM(L111:L112)</f>
        <v>49685</v>
      </c>
      <c r="M113" s="309">
        <f t="shared" ref="M113" si="329">SUM(M111:M112)</f>
        <v>-16062</v>
      </c>
      <c r="N113" s="310">
        <f t="shared" ref="N113" si="330">SUM(N111:N112)</f>
        <v>33623</v>
      </c>
      <c r="O113" s="308">
        <f>SUM(O111:O112)</f>
        <v>12609</v>
      </c>
      <c r="P113" s="309">
        <f t="shared" ref="P113" si="331">SUM(P111:P112)</f>
        <v>-3925</v>
      </c>
      <c r="Q113" s="312">
        <f t="shared" ref="Q113" si="332">SUM(Q111:Q112)</f>
        <v>8684</v>
      </c>
      <c r="R113" s="308">
        <f>SUM(R111:R112)</f>
        <v>178601</v>
      </c>
      <c r="S113" s="309">
        <f t="shared" ref="S113:T113" si="333">SUM(S111:S112)</f>
        <v>-56083</v>
      </c>
      <c r="T113" s="310">
        <f t="shared" si="333"/>
        <v>122518</v>
      </c>
    </row>
    <row r="114" spans="1:20" ht="13.5" customHeight="1" thickBot="1">
      <c r="I114" s="55"/>
      <c r="J114" s="55"/>
      <c r="K114" s="55"/>
      <c r="L114" s="55"/>
      <c r="M114" s="55"/>
      <c r="N114" s="55"/>
      <c r="R114" s="55"/>
      <c r="S114" s="55"/>
      <c r="T114" s="55"/>
    </row>
    <row r="115" spans="1:20" s="328" customFormat="1" ht="13.5" customHeight="1" thickBot="1">
      <c r="A115" s="864" t="s">
        <v>308</v>
      </c>
      <c r="B115" s="914"/>
      <c r="C115" s="308">
        <f t="shared" ref="C115:T115" si="334">+C37-C113</f>
        <v>0</v>
      </c>
      <c r="D115" s="309">
        <f t="shared" si="334"/>
        <v>0</v>
      </c>
      <c r="E115" s="310">
        <f t="shared" si="334"/>
        <v>0</v>
      </c>
      <c r="F115" s="308">
        <f t="shared" si="334"/>
        <v>0</v>
      </c>
      <c r="G115" s="309">
        <f t="shared" si="334"/>
        <v>0</v>
      </c>
      <c r="H115" s="310">
        <f t="shared" si="334"/>
        <v>0</v>
      </c>
      <c r="I115" s="308">
        <f t="shared" si="334"/>
        <v>0</v>
      </c>
      <c r="J115" s="309">
        <f t="shared" si="334"/>
        <v>0</v>
      </c>
      <c r="K115" s="310">
        <f t="shared" si="334"/>
        <v>0</v>
      </c>
      <c r="L115" s="308">
        <f t="shared" si="334"/>
        <v>0</v>
      </c>
      <c r="M115" s="309">
        <f t="shared" si="334"/>
        <v>0</v>
      </c>
      <c r="N115" s="310">
        <f t="shared" si="334"/>
        <v>0</v>
      </c>
      <c r="O115" s="308">
        <f t="shared" si="334"/>
        <v>0</v>
      </c>
      <c r="P115" s="309">
        <f t="shared" si="334"/>
        <v>0</v>
      </c>
      <c r="Q115" s="310">
        <f t="shared" si="334"/>
        <v>0</v>
      </c>
      <c r="R115" s="308">
        <f t="shared" si="334"/>
        <v>0</v>
      </c>
      <c r="S115" s="309">
        <f t="shared" si="334"/>
        <v>0</v>
      </c>
      <c r="T115" s="310">
        <f t="shared" si="334"/>
        <v>0</v>
      </c>
    </row>
    <row r="116" spans="1:20" ht="13.5" customHeight="1"/>
    <row r="117" spans="1:20" ht="13.5" customHeight="1">
      <c r="B117" s="54" t="s">
        <v>302</v>
      </c>
      <c r="C117" s="336">
        <f>(+C90-C89)*0.27</f>
        <v>1470.15</v>
      </c>
      <c r="F117" s="336">
        <f>(+F90-F89)*0.27</f>
        <v>1662.93</v>
      </c>
      <c r="I117" s="336">
        <f>(+I90-I89)*0.27</f>
        <v>151.74</v>
      </c>
      <c r="L117" s="336">
        <f>(+L90-L89)*0.27</f>
        <v>418.5</v>
      </c>
      <c r="O117" s="336">
        <f>(+O90-O89)*0.27</f>
        <v>647.19000000000005</v>
      </c>
    </row>
    <row r="118" spans="1:20" ht="13.5" customHeight="1">
      <c r="B118" s="54" t="s">
        <v>298</v>
      </c>
      <c r="C118" s="55">
        <v>2387</v>
      </c>
      <c r="F118" s="336">
        <v>1362</v>
      </c>
      <c r="I118" s="55">
        <v>11</v>
      </c>
      <c r="L118" s="55">
        <v>63</v>
      </c>
      <c r="O118" s="55">
        <v>613</v>
      </c>
    </row>
    <row r="119" spans="1:20" ht="13.5" customHeight="1">
      <c r="B119" s="54" t="s">
        <v>303</v>
      </c>
      <c r="C119" s="336">
        <f>+SUM(C97:C102)*0.27</f>
        <v>135</v>
      </c>
      <c r="F119" s="336">
        <f>+SUM(F97:F102)*0.27</f>
        <v>108</v>
      </c>
      <c r="I119" s="336">
        <f>+SUM(I97:I102)*0.27</f>
        <v>0</v>
      </c>
      <c r="L119" s="336">
        <f>+SUM(L97:L102)*0.27</f>
        <v>0</v>
      </c>
      <c r="O119" s="336">
        <f>+SUM(O97:O102)*0.27</f>
        <v>40.5</v>
      </c>
    </row>
    <row r="120" spans="1:20" ht="13.5" customHeight="1">
      <c r="B120" s="54" t="s">
        <v>298</v>
      </c>
      <c r="F120" s="55">
        <v>81</v>
      </c>
      <c r="O120" s="55">
        <v>14</v>
      </c>
    </row>
    <row r="122" spans="1:20">
      <c r="B122" s="54" t="s">
        <v>309</v>
      </c>
      <c r="N122" s="55"/>
      <c r="O122" s="55">
        <v>5232</v>
      </c>
      <c r="Q122" s="56" t="s">
        <v>298</v>
      </c>
      <c r="T122" s="9"/>
    </row>
    <row r="123" spans="1:20">
      <c r="B123" s="54" t="s">
        <v>352</v>
      </c>
      <c r="N123" s="55">
        <v>4</v>
      </c>
      <c r="O123" s="491">
        <f>+N123/N127</f>
        <v>0.33333333333333331</v>
      </c>
      <c r="P123" s="339">
        <f>+O122*O123</f>
        <v>1744</v>
      </c>
      <c r="Q123" s="333">
        <v>2030</v>
      </c>
      <c r="T123" s="9"/>
    </row>
    <row r="124" spans="1:20">
      <c r="B124" s="54" t="s">
        <v>353</v>
      </c>
      <c r="N124" s="55">
        <v>2</v>
      </c>
      <c r="O124" s="491">
        <f>+N124/N127</f>
        <v>0.16666666666666666</v>
      </c>
      <c r="P124" s="339">
        <f>+O122*O124</f>
        <v>872</v>
      </c>
      <c r="Q124" s="333">
        <v>1004</v>
      </c>
      <c r="T124" s="9"/>
    </row>
    <row r="125" spans="1:20">
      <c r="B125" s="54" t="s">
        <v>354</v>
      </c>
      <c r="N125" s="55">
        <v>4</v>
      </c>
      <c r="O125" s="491">
        <f>+N125/N127</f>
        <v>0.33333333333333331</v>
      </c>
      <c r="P125" s="339">
        <f>+O122*O125</f>
        <v>1744</v>
      </c>
      <c r="Q125" s="333">
        <v>2030</v>
      </c>
      <c r="T125" s="9"/>
    </row>
    <row r="126" spans="1:20">
      <c r="B126" s="54" t="s">
        <v>355</v>
      </c>
      <c r="N126" s="55">
        <v>2</v>
      </c>
      <c r="O126" s="491">
        <f>+N126/N127</f>
        <v>0.16666666666666666</v>
      </c>
      <c r="P126" s="339">
        <f>+O122*O126</f>
        <v>872</v>
      </c>
      <c r="Q126" s="333"/>
      <c r="T126" s="9"/>
    </row>
    <row r="127" spans="1:20">
      <c r="N127" s="55">
        <f>SUM(N123:N126)</f>
        <v>12</v>
      </c>
      <c r="O127" s="491">
        <f>SUM(O123:O126)</f>
        <v>0.99999999999999989</v>
      </c>
      <c r="P127" s="339">
        <f>SUM(P123:P126)</f>
        <v>5232</v>
      </c>
      <c r="Q127" s="333">
        <f>SUM(Q123:Q126)</f>
        <v>5064</v>
      </c>
      <c r="T127" s="9"/>
    </row>
  </sheetData>
  <mergeCells count="11">
    <mergeCell ref="R1:T1"/>
    <mergeCell ref="L1:N1"/>
    <mergeCell ref="O1:Q1"/>
    <mergeCell ref="A113:B113"/>
    <mergeCell ref="A115:B115"/>
    <mergeCell ref="A37:B37"/>
    <mergeCell ref="A1:A2"/>
    <mergeCell ref="B1:B2"/>
    <mergeCell ref="C1:E1"/>
    <mergeCell ref="I1:K1"/>
    <mergeCell ref="F1:H1"/>
  </mergeCells>
  <phoneticPr fontId="25" type="noConversion"/>
  <printOptions horizontalCentered="1"/>
  <pageMargins left="0.15748031496062992" right="0.15748031496062992" top="0.98425196850393704" bottom="0.43307086614173229" header="0.35433070866141736" footer="0.15748031496062992"/>
  <pageSetup paperSize="8" scale="67" orientation="landscape" r:id="rId1"/>
  <headerFooter alignWithMargins="0">
    <oddHeader>&amp;L&amp;"Times New Roman,Félkövér"&amp;13Szent László Völgye TKT&amp;C&amp;"Times New Roman,Félkövér"&amp;16 2017. ÉVI II. KÖLTSÉGVETÉS MÓDOSÍTÁS&amp;R4. sz. táblázat
ÓVODA
Adatok: eFt</oddHeader>
    <oddFooter>&amp;L&amp;F&amp;R&amp;P</oddFooter>
  </headerFooter>
  <rowBreaks count="1" manualBreakCount="1">
    <brk id="3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AG20"/>
  <sheetViews>
    <sheetView zoomScaleSheetLayoutView="85" workbookViewId="0">
      <pane xSplit="1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8.85546875" defaultRowHeight="12.75"/>
  <cols>
    <col min="1" max="1" width="28" style="32" customWidth="1"/>
    <col min="2" max="2" width="11.85546875" style="31" customWidth="1"/>
    <col min="3" max="3" width="10.7109375" style="31" customWidth="1"/>
    <col min="4" max="4" width="11.85546875" style="31" customWidth="1"/>
    <col min="5" max="5" width="11.85546875" style="460" customWidth="1"/>
    <col min="6" max="6" width="10.7109375" style="32" customWidth="1"/>
    <col min="7" max="8" width="11.85546875" style="32" customWidth="1"/>
    <col min="9" max="9" width="10.7109375" style="32" customWidth="1"/>
    <col min="10" max="11" width="11.85546875" style="32" customWidth="1"/>
    <col min="12" max="12" width="10.7109375" style="32" customWidth="1"/>
    <col min="13" max="14" width="11.85546875" style="32" customWidth="1"/>
    <col min="15" max="15" width="10.7109375" style="32" customWidth="1"/>
    <col min="16" max="17" width="11.85546875" style="32" customWidth="1"/>
    <col min="18" max="18" width="10.7109375" style="30" customWidth="1"/>
    <col min="19" max="19" width="11.85546875" style="30" customWidth="1"/>
    <col min="20" max="20" width="7.140625" style="30" customWidth="1"/>
    <col min="21" max="21" width="14.7109375" style="31" customWidth="1"/>
    <col min="22" max="16384" width="8.85546875" style="32"/>
  </cols>
  <sheetData>
    <row r="1" spans="1:33" ht="24.75" customHeight="1">
      <c r="B1" s="921" t="s">
        <v>39</v>
      </c>
      <c r="C1" s="922"/>
      <c r="D1" s="923"/>
      <c r="E1" s="924" t="s">
        <v>40</v>
      </c>
      <c r="F1" s="919"/>
      <c r="G1" s="925"/>
      <c r="H1" s="926" t="s">
        <v>41</v>
      </c>
      <c r="I1" s="927"/>
      <c r="J1" s="928"/>
      <c r="K1" s="924" t="s">
        <v>42</v>
      </c>
      <c r="L1" s="919"/>
      <c r="M1" s="925"/>
      <c r="N1" s="924" t="s">
        <v>81</v>
      </c>
      <c r="O1" s="919"/>
      <c r="P1" s="920"/>
      <c r="Q1" s="918" t="s">
        <v>21</v>
      </c>
      <c r="R1" s="919"/>
      <c r="S1" s="920"/>
      <c r="T1" s="657"/>
      <c r="U1" s="32"/>
    </row>
    <row r="2" spans="1:33" ht="27" customHeight="1" thickBot="1">
      <c r="A2" s="160"/>
      <c r="B2" s="842" t="s">
        <v>437</v>
      </c>
      <c r="C2" s="617" t="s">
        <v>391</v>
      </c>
      <c r="D2" s="843" t="s">
        <v>441</v>
      </c>
      <c r="E2" s="843" t="s">
        <v>437</v>
      </c>
      <c r="F2" s="617" t="s">
        <v>391</v>
      </c>
      <c r="G2" s="843" t="s">
        <v>441</v>
      </c>
      <c r="H2" s="843" t="s">
        <v>437</v>
      </c>
      <c r="I2" s="617" t="s">
        <v>391</v>
      </c>
      <c r="J2" s="843" t="s">
        <v>441</v>
      </c>
      <c r="K2" s="843" t="s">
        <v>437</v>
      </c>
      <c r="L2" s="617" t="s">
        <v>391</v>
      </c>
      <c r="M2" s="843" t="s">
        <v>441</v>
      </c>
      <c r="N2" s="843" t="s">
        <v>437</v>
      </c>
      <c r="O2" s="617" t="s">
        <v>391</v>
      </c>
      <c r="P2" s="844" t="s">
        <v>441</v>
      </c>
      <c r="Q2" s="150" t="s">
        <v>437</v>
      </c>
      <c r="R2" s="845" t="s">
        <v>391</v>
      </c>
      <c r="S2" s="844" t="s">
        <v>441</v>
      </c>
      <c r="T2" s="658"/>
      <c r="U2" s="32"/>
      <c r="V2" s="30"/>
      <c r="W2" s="31"/>
      <c r="X2" s="31"/>
    </row>
    <row r="3" spans="1:33" ht="13.9" customHeight="1">
      <c r="A3" s="463" t="s">
        <v>419</v>
      </c>
      <c r="B3" s="464">
        <f>+'[3]5.SZ.TÁBL. ÓVODAI NORMATÍVA'!$D$3</f>
        <v>11323747</v>
      </c>
      <c r="C3" s="464"/>
      <c r="D3" s="464">
        <f>SUM(B3:C3)</f>
        <v>11323747</v>
      </c>
      <c r="E3" s="634">
        <f>+'[3]5.SZ.TÁBL. ÓVODAI NORMATÍVA'!$G$3</f>
        <v>22349500</v>
      </c>
      <c r="F3" s="464">
        <v>-297994</v>
      </c>
      <c r="G3" s="464">
        <f>SUM(E3:F3)</f>
        <v>22051506</v>
      </c>
      <c r="H3" s="464">
        <f>+'[3]5.SZ.TÁBL. ÓVODAI NORMATÍVA'!$J$3</f>
        <v>11025753</v>
      </c>
      <c r="I3" s="464">
        <v>-595987</v>
      </c>
      <c r="J3" s="464">
        <f>SUM(H3:I3)</f>
        <v>10429766</v>
      </c>
      <c r="K3" s="464">
        <f>+'[3]5.SZ.TÁBL. ÓVODAI NORMATÍVA'!$M$3</f>
        <v>22647493</v>
      </c>
      <c r="L3" s="464">
        <v>-297993</v>
      </c>
      <c r="M3" s="464">
        <f>SUM(K3:L3)</f>
        <v>22349500</v>
      </c>
      <c r="N3" s="464">
        <f>+'[3]5.SZ.TÁBL. ÓVODAI NORMATÍVA'!$P$3</f>
        <v>2383947</v>
      </c>
      <c r="O3" s="464"/>
      <c r="P3" s="464">
        <f>SUM(N3:O3)</f>
        <v>2383947</v>
      </c>
      <c r="Q3" s="595">
        <f>+B3+E3+H3+K3+N3</f>
        <v>69730440</v>
      </c>
      <c r="R3" s="464">
        <f t="shared" ref="R3:S4" si="0">+C3+F3+I3+L3+O3</f>
        <v>-1191974</v>
      </c>
      <c r="S3" s="465">
        <f t="shared" si="0"/>
        <v>68538466</v>
      </c>
      <c r="T3" s="43"/>
      <c r="U3" s="43"/>
      <c r="V3" s="30"/>
      <c r="W3" s="30"/>
      <c r="X3" s="30"/>
      <c r="Y3" s="31"/>
      <c r="Z3" s="31"/>
    </row>
    <row r="4" spans="1:33" ht="13.9" customHeight="1">
      <c r="A4" s="466" t="s">
        <v>420</v>
      </c>
      <c r="B4" s="464">
        <f>+'[3]5.SZ.TÁBL. ÓVODAI NORMATÍVA'!$D$4</f>
        <v>5661873</v>
      </c>
      <c r="C4" s="467">
        <v>-5661873</v>
      </c>
      <c r="D4" s="464">
        <f>SUM(B4:C4)</f>
        <v>0</v>
      </c>
      <c r="E4" s="634">
        <f>+'[3]5.SZ.TÁBL. ÓVODAI NORMATÍVA'!$G$4</f>
        <v>10280770</v>
      </c>
      <c r="F4" s="467">
        <v>-10280770</v>
      </c>
      <c r="G4" s="464">
        <f>SUM(E4:F4)</f>
        <v>0</v>
      </c>
      <c r="H4" s="464">
        <f>+'[3]5.SZ.TÁBL. ÓVODAI NORMATÍVA'!$J$4</f>
        <v>5363880</v>
      </c>
      <c r="I4" s="467">
        <v>-5363880</v>
      </c>
      <c r="J4" s="464">
        <f>SUM(H4:I4)</f>
        <v>0</v>
      </c>
      <c r="K4" s="464">
        <f>+'[3]5.SZ.TÁBL. ÓVODAI NORMATÍVA'!$M$4</f>
        <v>11323747</v>
      </c>
      <c r="L4" s="467">
        <v>-11323747</v>
      </c>
      <c r="M4" s="464">
        <f>SUM(K4:L4)</f>
        <v>0</v>
      </c>
      <c r="N4" s="464">
        <f>+'[3]5.SZ.TÁBL. ÓVODAI NORMATÍVA'!$P$4</f>
        <v>1191973</v>
      </c>
      <c r="O4" s="467">
        <v>-1191973</v>
      </c>
      <c r="P4" s="464">
        <f>SUM(N4:O4)</f>
        <v>0</v>
      </c>
      <c r="Q4" s="595">
        <f>+B4+E4+H4+K4+N4</f>
        <v>33822243</v>
      </c>
      <c r="R4" s="634">
        <f t="shared" si="0"/>
        <v>-33822243</v>
      </c>
      <c r="S4" s="635">
        <f t="shared" si="0"/>
        <v>0</v>
      </c>
      <c r="T4" s="43"/>
      <c r="U4" s="43"/>
      <c r="V4" s="30"/>
      <c r="W4" s="30"/>
      <c r="X4" s="30"/>
      <c r="Y4" s="31"/>
      <c r="Z4" s="31"/>
    </row>
    <row r="5" spans="1:33" ht="13.9" customHeight="1">
      <c r="A5" s="462" t="s">
        <v>76</v>
      </c>
      <c r="B5" s="468">
        <f>SUM(B3:B4)</f>
        <v>16985620</v>
      </c>
      <c r="C5" s="468">
        <f t="shared" ref="C5:D5" si="1">SUM(C3:C4)</f>
        <v>-5661873</v>
      </c>
      <c r="D5" s="468">
        <f t="shared" si="1"/>
        <v>11323747</v>
      </c>
      <c r="E5" s="468">
        <f>SUM(E3:E4)</f>
        <v>32630270</v>
      </c>
      <c r="F5" s="468">
        <f t="shared" ref="F5:G5" si="2">SUM(F3:F4)</f>
        <v>-10578764</v>
      </c>
      <c r="G5" s="468">
        <f t="shared" si="2"/>
        <v>22051506</v>
      </c>
      <c r="H5" s="468">
        <f>SUM(H3:H4)</f>
        <v>16389633</v>
      </c>
      <c r="I5" s="468">
        <f t="shared" ref="I5:J5" si="3">SUM(I3:I4)</f>
        <v>-5959867</v>
      </c>
      <c r="J5" s="468">
        <f t="shared" si="3"/>
        <v>10429766</v>
      </c>
      <c r="K5" s="468">
        <f>SUM(K3:K4)</f>
        <v>33971240</v>
      </c>
      <c r="L5" s="468">
        <f t="shared" ref="L5:M5" si="4">SUM(L3:L4)</f>
        <v>-11621740</v>
      </c>
      <c r="M5" s="468">
        <f t="shared" si="4"/>
        <v>22349500</v>
      </c>
      <c r="N5" s="468">
        <f>SUM(N3:N4)</f>
        <v>3575920</v>
      </c>
      <c r="O5" s="468">
        <f t="shared" ref="O5:P5" si="5">SUM(O3:O4)</f>
        <v>-1191973</v>
      </c>
      <c r="P5" s="468">
        <f t="shared" si="5"/>
        <v>2383947</v>
      </c>
      <c r="Q5" s="596">
        <f>SUM(Q3:Q4)</f>
        <v>103552683</v>
      </c>
      <c r="R5" s="468">
        <f t="shared" ref="R5:S5" si="6">SUM(R3:R4)</f>
        <v>-35014217</v>
      </c>
      <c r="S5" s="469">
        <f t="shared" si="6"/>
        <v>68538466</v>
      </c>
      <c r="T5" s="43"/>
      <c r="U5" s="43"/>
      <c r="V5" s="30"/>
      <c r="W5" s="30"/>
      <c r="X5" s="30"/>
      <c r="Y5" s="31"/>
      <c r="Z5" s="31"/>
    </row>
    <row r="6" spans="1:33">
      <c r="A6" s="462" t="s">
        <v>287</v>
      </c>
      <c r="B6" s="468">
        <f>+'[3]5.SZ.TÁBL. ÓVODAI NORMATÍVA'!$D$6</f>
        <v>145160</v>
      </c>
      <c r="C6" s="468">
        <v>-145160</v>
      </c>
      <c r="D6" s="468">
        <f>SUM(B6:C6)</f>
        <v>0</v>
      </c>
      <c r="E6" s="468">
        <f>+'[3]5.SZ.TÁBL. ÓVODAI NORMATÍVA'!$G$6</f>
        <v>263580</v>
      </c>
      <c r="F6" s="468">
        <v>-263580</v>
      </c>
      <c r="G6" s="468">
        <f>SUM(E6:F6)</f>
        <v>0</v>
      </c>
      <c r="H6" s="468">
        <f>+'[3]5.SZ.TÁBL. ÓVODAI NORMATÍVA'!$J$6</f>
        <v>137520</v>
      </c>
      <c r="I6" s="468">
        <v>-137520</v>
      </c>
      <c r="J6" s="468">
        <f>SUM(H6:I6)</f>
        <v>0</v>
      </c>
      <c r="K6" s="468">
        <f>+'[3]5.SZ.TÁBL. ÓVODAI NORMATÍVA'!$M$6</f>
        <v>290320</v>
      </c>
      <c r="L6" s="468">
        <v>-290320</v>
      </c>
      <c r="M6" s="468">
        <f>SUM(K6:L6)</f>
        <v>0</v>
      </c>
      <c r="N6" s="468">
        <f>+'[3]5.SZ.TÁBL. ÓVODAI NORMATÍVA'!$P$6</f>
        <v>30560</v>
      </c>
      <c r="O6" s="468">
        <v>-30560</v>
      </c>
      <c r="P6" s="468">
        <f>SUM(N6:O6)</f>
        <v>0</v>
      </c>
      <c r="Q6" s="596">
        <f>+B6+E6+H6+K6+N6</f>
        <v>867140</v>
      </c>
      <c r="R6" s="468">
        <f t="shared" ref="R6:S9" si="7">+C6+F6+I6+L6+O6</f>
        <v>-867140</v>
      </c>
      <c r="S6" s="469">
        <f t="shared" si="7"/>
        <v>0</v>
      </c>
      <c r="T6" s="43"/>
      <c r="U6" s="43"/>
      <c r="V6" s="30"/>
      <c r="W6" s="30"/>
      <c r="X6" s="30"/>
      <c r="Y6" s="31"/>
      <c r="Z6" s="31"/>
    </row>
    <row r="7" spans="1:33" ht="13.9" customHeight="1">
      <c r="A7" s="616" t="s">
        <v>383</v>
      </c>
      <c r="B7" s="468">
        <f>+'[5]5.SZ.TÁBL. ÓVODAI NORMATÍVA'!$C$8</f>
        <v>0</v>
      </c>
      <c r="C7" s="468"/>
      <c r="D7" s="468">
        <f>SUM(B7:C7)</f>
        <v>0</v>
      </c>
      <c r="E7" s="468">
        <f>+'[3]5.SZ.TÁBL. ÓVODAI NORMATÍVA'!$G$7</f>
        <v>418900</v>
      </c>
      <c r="F7" s="468">
        <v>245755</v>
      </c>
      <c r="G7" s="468">
        <f>SUM(E7:F7)</f>
        <v>664655</v>
      </c>
      <c r="H7" s="468">
        <f>+'[3]5.SZ.TÁBL. ÓVODAI NORMATÍVA'!$J$7</f>
        <v>0</v>
      </c>
      <c r="I7" s="468"/>
      <c r="J7" s="468">
        <f>SUM(H7:I7)</f>
        <v>0</v>
      </c>
      <c r="K7" s="468">
        <f>+'[3]5.SZ.TÁBL. ÓVODAI NORMATÍVA'!$M$7</f>
        <v>418900</v>
      </c>
      <c r="L7" s="468">
        <v>-138237</v>
      </c>
      <c r="M7" s="468">
        <f>SUM(K7:L7)</f>
        <v>280663</v>
      </c>
      <c r="N7" s="468">
        <f>+'[3]5.SZ.TÁBL. ÓVODAI NORMATÍVA'!$P$7</f>
        <v>418900</v>
      </c>
      <c r="O7" s="468">
        <v>-142426</v>
      </c>
      <c r="P7" s="468">
        <f>SUM(N7:O7)</f>
        <v>276474</v>
      </c>
      <c r="Q7" s="596">
        <f>+B7+E7+H7+K7+N7</f>
        <v>1256700</v>
      </c>
      <c r="R7" s="468">
        <f t="shared" si="7"/>
        <v>-34908</v>
      </c>
      <c r="S7" s="469">
        <f t="shared" si="7"/>
        <v>1221792</v>
      </c>
      <c r="T7" s="43"/>
      <c r="U7" s="43"/>
      <c r="V7" s="30"/>
      <c r="W7" s="30"/>
      <c r="X7" s="30"/>
      <c r="Y7" s="31"/>
      <c r="Z7" s="31"/>
      <c r="AE7" s="471"/>
    </row>
    <row r="8" spans="1:33" ht="13.9" customHeight="1">
      <c r="A8" s="470" t="s">
        <v>419</v>
      </c>
      <c r="B8" s="464">
        <f>+'[3]5.SZ.TÁBL. ÓVODAI NORMATÍVA'!$D$8</f>
        <v>2400000</v>
      </c>
      <c r="C8" s="464"/>
      <c r="D8" s="464">
        <f>SUM(B8:C8)</f>
        <v>2400000</v>
      </c>
      <c r="E8" s="464">
        <f>+'[3]5.SZ.TÁBL. ÓVODAI NORMATÍVA'!$G$8</f>
        <v>6240000</v>
      </c>
      <c r="F8" s="464"/>
      <c r="G8" s="464">
        <f>SUM(E8:F8)</f>
        <v>6240000</v>
      </c>
      <c r="H8" s="464">
        <f>+'[3]5.SZ.TÁBL. ÓVODAI NORMATÍVA'!$J$8</f>
        <v>2400000</v>
      </c>
      <c r="I8" s="464"/>
      <c r="J8" s="464">
        <f>SUM(H8:I8)</f>
        <v>2400000</v>
      </c>
      <c r="K8" s="464">
        <f>+'[3]5.SZ.TÁBL. ÓVODAI NORMATÍVA'!$M$8</f>
        <v>6000000</v>
      </c>
      <c r="L8" s="464"/>
      <c r="M8" s="464">
        <f>SUM(K8:L8)</f>
        <v>6000000</v>
      </c>
      <c r="N8" s="464">
        <f>+'[3]5.SZ.TÁBL. ÓVODAI NORMATÍVA'!$P$8</f>
        <v>960000</v>
      </c>
      <c r="O8" s="464"/>
      <c r="P8" s="464">
        <f>SUM(N8:O8)</f>
        <v>960000</v>
      </c>
      <c r="Q8" s="595">
        <f>+B8+E8+H8+K8+N8</f>
        <v>18000000</v>
      </c>
      <c r="R8" s="464">
        <f t="shared" si="7"/>
        <v>0</v>
      </c>
      <c r="S8" s="465">
        <f t="shared" si="7"/>
        <v>18000000</v>
      </c>
      <c r="T8" s="43"/>
      <c r="U8" s="43"/>
      <c r="V8" s="30"/>
      <c r="W8" s="30"/>
      <c r="X8" s="30"/>
      <c r="Y8" s="472"/>
      <c r="Z8" s="461"/>
      <c r="AA8" s="472"/>
      <c r="AB8" s="461"/>
      <c r="AC8" s="472"/>
      <c r="AD8" s="461"/>
      <c r="AE8" s="472"/>
      <c r="AF8" s="461"/>
      <c r="AG8" s="472"/>
    </row>
    <row r="9" spans="1:33">
      <c r="A9" s="466" t="s">
        <v>420</v>
      </c>
      <c r="B9" s="464">
        <f>+'[3]5.SZ.TÁBL. ÓVODAI NORMATÍVA'!$D$9</f>
        <v>1200000</v>
      </c>
      <c r="C9" s="467">
        <v>-1200000</v>
      </c>
      <c r="D9" s="467">
        <f>SUM(B9:C9)</f>
        <v>0</v>
      </c>
      <c r="E9" s="464">
        <f>+'[3]5.SZ.TÁBL. ÓVODAI NORMATÍVA'!$G$9</f>
        <v>3120000</v>
      </c>
      <c r="F9" s="467">
        <v>-3120000</v>
      </c>
      <c r="G9" s="467">
        <f>SUM(E9:F9)</f>
        <v>0</v>
      </c>
      <c r="H9" s="464">
        <f>+'[3]5.SZ.TÁBL. ÓVODAI NORMATÍVA'!$J$9</f>
        <v>1200000</v>
      </c>
      <c r="I9" s="467">
        <v>-1200000</v>
      </c>
      <c r="J9" s="467">
        <f>SUM(H9:I9)</f>
        <v>0</v>
      </c>
      <c r="K9" s="464">
        <f>+'[3]5.SZ.TÁBL. ÓVODAI NORMATÍVA'!$M$9</f>
        <v>3000000</v>
      </c>
      <c r="L9" s="467">
        <v>-3000000</v>
      </c>
      <c r="M9" s="467">
        <f>SUM(K9:L9)</f>
        <v>0</v>
      </c>
      <c r="N9" s="464">
        <f>+'[3]5.SZ.TÁBL. ÓVODAI NORMATÍVA'!$P$9</f>
        <v>480000</v>
      </c>
      <c r="O9" s="467">
        <v>-480000</v>
      </c>
      <c r="P9" s="467">
        <f>SUM(N9:O9)</f>
        <v>0</v>
      </c>
      <c r="Q9" s="595">
        <f>+B9+E9+H9+K9+N9</f>
        <v>9000000</v>
      </c>
      <c r="R9" s="634">
        <f t="shared" si="7"/>
        <v>-9000000</v>
      </c>
      <c r="S9" s="635">
        <f t="shared" si="7"/>
        <v>0</v>
      </c>
      <c r="T9" s="43"/>
      <c r="U9" s="346"/>
      <c r="V9" s="43"/>
      <c r="W9" s="30"/>
      <c r="X9" s="30"/>
      <c r="Y9" s="473"/>
      <c r="Z9" s="43"/>
      <c r="AA9" s="43"/>
      <c r="AE9" s="471"/>
    </row>
    <row r="10" spans="1:33" ht="13.9" customHeight="1">
      <c r="A10" s="73" t="s">
        <v>77</v>
      </c>
      <c r="B10" s="468">
        <f t="shared" ref="B10" si="8">SUM(B8:B9)</f>
        <v>3600000</v>
      </c>
      <c r="C10" s="468">
        <f>SUM(C8:C9)</f>
        <v>-1200000</v>
      </c>
      <c r="D10" s="468">
        <f t="shared" ref="D10" si="9">SUM(D8:D9)</f>
        <v>2400000</v>
      </c>
      <c r="E10" s="468">
        <f t="shared" ref="E10" si="10">SUM(E8:E9)</f>
        <v>9360000</v>
      </c>
      <c r="F10" s="468">
        <f>SUM(F8:F9)</f>
        <v>-3120000</v>
      </c>
      <c r="G10" s="468">
        <f t="shared" ref="G10" si="11">SUM(G8:G9)</f>
        <v>6240000</v>
      </c>
      <c r="H10" s="468">
        <f t="shared" ref="H10" si="12">SUM(H8:H9)</f>
        <v>3600000</v>
      </c>
      <c r="I10" s="468">
        <f>SUM(I8:I9)</f>
        <v>-1200000</v>
      </c>
      <c r="J10" s="468">
        <f t="shared" ref="J10" si="13">SUM(J8:J9)</f>
        <v>2400000</v>
      </c>
      <c r="K10" s="468">
        <f t="shared" ref="K10" si="14">SUM(K8:K9)</f>
        <v>9000000</v>
      </c>
      <c r="L10" s="468">
        <f>SUM(L8:L9)</f>
        <v>-3000000</v>
      </c>
      <c r="M10" s="468">
        <f t="shared" ref="M10" si="15">SUM(M8:M9)</f>
        <v>6000000</v>
      </c>
      <c r="N10" s="468">
        <f t="shared" ref="N10" si="16">SUM(N8:N9)</f>
        <v>1440000</v>
      </c>
      <c r="O10" s="468">
        <f>SUM(O8:O9)</f>
        <v>-480000</v>
      </c>
      <c r="P10" s="468">
        <f t="shared" ref="P10" si="17">SUM(P8:P9)</f>
        <v>960000</v>
      </c>
      <c r="Q10" s="596">
        <f>SUM(Q8:Q9)</f>
        <v>27000000</v>
      </c>
      <c r="R10" s="468">
        <f t="shared" ref="R10:S10" si="18">SUM(R8:R9)</f>
        <v>-9000000</v>
      </c>
      <c r="S10" s="469">
        <f t="shared" si="18"/>
        <v>18000000</v>
      </c>
      <c r="T10" s="43"/>
      <c r="U10" s="346"/>
      <c r="V10" s="43"/>
      <c r="W10" s="30"/>
      <c r="X10" s="30"/>
      <c r="Y10" s="916"/>
      <c r="Z10" s="917"/>
      <c r="AA10" s="472"/>
      <c r="AB10" s="472"/>
      <c r="AC10" s="915"/>
      <c r="AD10" s="915"/>
      <c r="AE10" s="915"/>
      <c r="AF10" s="915"/>
    </row>
    <row r="11" spans="1:33" ht="15" customHeight="1">
      <c r="A11" s="474" t="s">
        <v>419</v>
      </c>
      <c r="B11" s="475">
        <f>+'[3]5.SZ.TÁBL. ÓVODAI NORMATÍVA'!$D$11</f>
        <v>2396534</v>
      </c>
      <c r="C11" s="475"/>
      <c r="D11" s="475">
        <f>SUM(B11:C11)</f>
        <v>2396534</v>
      </c>
      <c r="E11" s="475">
        <f>+'[3]5.SZ.TÁBL. ÓVODAI NORMATÍVA'!$G$11</f>
        <v>4411800</v>
      </c>
      <c r="F11" s="475"/>
      <c r="G11" s="475">
        <f>SUM(E11:F11)</f>
        <v>4411800</v>
      </c>
      <c r="H11" s="475">
        <f>+'[3]5.SZ.TÁBL. ÓVODAI NORMATÍVA'!$J$11</f>
        <v>2287600</v>
      </c>
      <c r="I11" s="475">
        <v>-108933</v>
      </c>
      <c r="J11" s="475">
        <f>SUM(H11:I11)</f>
        <v>2178667</v>
      </c>
      <c r="K11" s="475">
        <f>+'[3]5.SZ.TÁBL. ÓVODAI NORMATÍVA'!$M$11</f>
        <v>4793066</v>
      </c>
      <c r="L11" s="475">
        <v>-54467</v>
      </c>
      <c r="M11" s="475">
        <f>SUM(K11:L11)</f>
        <v>4738599</v>
      </c>
      <c r="N11" s="475">
        <f>+'[6]5.SZ.TÁBL. ÓVODAI NORMATÍVA'!$K40</f>
        <v>0</v>
      </c>
      <c r="O11" s="475"/>
      <c r="P11" s="475">
        <f>SUM(N11:O11)</f>
        <v>0</v>
      </c>
      <c r="Q11" s="595">
        <f>+B11+E11+H11+K11+N11</f>
        <v>13889000</v>
      </c>
      <c r="R11" s="464">
        <f t="shared" ref="R11:S12" si="19">+C11+F11+I11+L11+O11</f>
        <v>-163400</v>
      </c>
      <c r="S11" s="465">
        <f t="shared" si="19"/>
        <v>13725600</v>
      </c>
      <c r="T11" s="43"/>
      <c r="U11" s="43"/>
      <c r="W11" s="30"/>
      <c r="Y11" s="31"/>
      <c r="Z11" s="31"/>
      <c r="AA11" s="31"/>
      <c r="AB11" s="31"/>
      <c r="AD11" s="45"/>
      <c r="AE11" s="31"/>
    </row>
    <row r="12" spans="1:33" ht="13.9" customHeight="1">
      <c r="A12" s="466" t="s">
        <v>420</v>
      </c>
      <c r="B12" s="467">
        <f>+'[3]5.SZ.TÁBL. ÓVODAI NORMATÍVA'!$D$12</f>
        <v>1198267</v>
      </c>
      <c r="C12" s="467">
        <v>-1198267</v>
      </c>
      <c r="D12" s="467">
        <f>SUM(B12:C12)</f>
        <v>0</v>
      </c>
      <c r="E12" s="475">
        <f>+'[3]5.SZ.TÁBL. ÓVODAI NORMATÍVA'!$G$12</f>
        <v>2042500</v>
      </c>
      <c r="F12" s="467">
        <v>-2042500</v>
      </c>
      <c r="G12" s="467">
        <f>SUM(E12:F12)</f>
        <v>0</v>
      </c>
      <c r="H12" s="475">
        <f>+'[3]5.SZ.TÁBL. ÓVODAI NORMATÍVA'!$J$12</f>
        <v>1116567</v>
      </c>
      <c r="I12" s="467">
        <v>-1116567</v>
      </c>
      <c r="J12" s="467">
        <f>SUM(H12:I12)</f>
        <v>0</v>
      </c>
      <c r="K12" s="475">
        <f>+'[3]5.SZ.TÁBL. ÓVODAI NORMATÍVA'!$M$12</f>
        <v>2396533</v>
      </c>
      <c r="L12" s="467">
        <v>-2396533</v>
      </c>
      <c r="M12" s="467">
        <f>SUM(K12:L12)</f>
        <v>0</v>
      </c>
      <c r="N12" s="467">
        <f>+'[6]5.SZ.TÁBL. ÓVODAI NORMATÍVA'!$K41</f>
        <v>0</v>
      </c>
      <c r="O12" s="467"/>
      <c r="P12" s="467">
        <f>SUM(N12:O12)</f>
        <v>0</v>
      </c>
      <c r="Q12" s="595">
        <f>+B12+E12+H12+K12+N12</f>
        <v>6753867</v>
      </c>
      <c r="R12" s="634">
        <f t="shared" si="19"/>
        <v>-6753867</v>
      </c>
      <c r="S12" s="635">
        <f t="shared" si="19"/>
        <v>0</v>
      </c>
      <c r="T12" s="43"/>
      <c r="U12" s="43"/>
      <c r="V12" s="31"/>
      <c r="X12" s="31"/>
      <c r="Y12" s="31"/>
      <c r="Z12" s="31"/>
      <c r="AA12" s="31"/>
      <c r="AC12" s="31"/>
      <c r="AD12" s="31"/>
    </row>
    <row r="13" spans="1:33" ht="15" customHeight="1">
      <c r="A13" s="462" t="s">
        <v>78</v>
      </c>
      <c r="B13" s="468">
        <f>SUM(B11:B12)</f>
        <v>3594801</v>
      </c>
      <c r="C13" s="468">
        <f t="shared" ref="C13:D13" si="20">SUM(C11:C12)</f>
        <v>-1198267</v>
      </c>
      <c r="D13" s="468">
        <f t="shared" si="20"/>
        <v>2396534</v>
      </c>
      <c r="E13" s="468">
        <f>SUM(E11:E12)</f>
        <v>6454300</v>
      </c>
      <c r="F13" s="468">
        <f t="shared" ref="F13:G13" si="21">SUM(F11:F12)</f>
        <v>-2042500</v>
      </c>
      <c r="G13" s="468">
        <f t="shared" si="21"/>
        <v>4411800</v>
      </c>
      <c r="H13" s="468">
        <f>SUM(H11:H12)</f>
        <v>3404167</v>
      </c>
      <c r="I13" s="468">
        <f t="shared" ref="I13:J13" si="22">SUM(I11:I12)</f>
        <v>-1225500</v>
      </c>
      <c r="J13" s="468">
        <f t="shared" si="22"/>
        <v>2178667</v>
      </c>
      <c r="K13" s="468">
        <f>SUM(K11:K12)</f>
        <v>7189599</v>
      </c>
      <c r="L13" s="468">
        <f t="shared" ref="L13:M13" si="23">SUM(L11:L12)</f>
        <v>-2451000</v>
      </c>
      <c r="M13" s="468">
        <f t="shared" si="23"/>
        <v>4738599</v>
      </c>
      <c r="N13" s="468">
        <f>SUM(N11:N12)</f>
        <v>0</v>
      </c>
      <c r="O13" s="468">
        <f t="shared" ref="O13:P13" si="24">SUM(O11:O12)</f>
        <v>0</v>
      </c>
      <c r="P13" s="468">
        <f t="shared" si="24"/>
        <v>0</v>
      </c>
      <c r="Q13" s="596">
        <f>SUM(Q11:Q12)</f>
        <v>20642867</v>
      </c>
      <c r="R13" s="468">
        <f t="shared" ref="R13:S13" si="25">SUM(R11:R12)</f>
        <v>-6917267</v>
      </c>
      <c r="S13" s="469">
        <f t="shared" si="25"/>
        <v>13725600</v>
      </c>
      <c r="T13" s="43"/>
      <c r="U13" s="43"/>
      <c r="V13" s="30"/>
      <c r="X13" s="31"/>
      <c r="Y13" s="31"/>
      <c r="Z13" s="31"/>
      <c r="AA13" s="31"/>
      <c r="AB13" s="44"/>
      <c r="AC13" s="45"/>
      <c r="AD13" s="31"/>
    </row>
    <row r="14" spans="1:33" ht="28.5" customHeight="1" thickBot="1">
      <c r="A14" s="476" t="s">
        <v>79</v>
      </c>
      <c r="B14" s="477">
        <f>+'[3]5.SZ.TÁBL. ÓVODAI NORMATÍVA'!$D$14</f>
        <v>2944553</v>
      </c>
      <c r="C14" s="477">
        <v>-1183984</v>
      </c>
      <c r="D14" s="477">
        <f>SUM(B14:C14)</f>
        <v>1760569</v>
      </c>
      <c r="E14" s="477">
        <f>+'[6]5.SZ.TÁBL. ÓVODAI NORMATÍVA'!$E43</f>
        <v>0</v>
      </c>
      <c r="F14" s="477"/>
      <c r="G14" s="477">
        <f>SUM(E14:F14)</f>
        <v>0</v>
      </c>
      <c r="H14" s="477">
        <f>+'[6]5.SZ.TÁBL. ÓVODAI NORMATÍVA'!$G43</f>
        <v>0</v>
      </c>
      <c r="I14" s="477"/>
      <c r="J14" s="477">
        <f>SUM(H14:I14)</f>
        <v>0</v>
      </c>
      <c r="K14" s="477">
        <f>+'[6]5.SZ.TÁBL. ÓVODAI NORMATÍVA'!$I43</f>
        <v>0</v>
      </c>
      <c r="L14" s="477"/>
      <c r="M14" s="477">
        <f>SUM(K14:L14)</f>
        <v>0</v>
      </c>
      <c r="N14" s="477">
        <f>+'[6]5.SZ.TÁBL. ÓVODAI NORMATÍVA'!$K43</f>
        <v>0</v>
      </c>
      <c r="O14" s="477"/>
      <c r="P14" s="477">
        <f>SUM(N14:O14)</f>
        <v>0</v>
      </c>
      <c r="Q14" s="597">
        <f>+B14+E14+H14+K14+N14</f>
        <v>2944553</v>
      </c>
      <c r="R14" s="477">
        <f t="shared" ref="R14:S14" si="26">+C14+F14+I14+L14+O14</f>
        <v>-1183984</v>
      </c>
      <c r="S14" s="478">
        <f t="shared" si="26"/>
        <v>1760569</v>
      </c>
      <c r="T14" s="43"/>
      <c r="U14" s="30"/>
      <c r="V14" s="31"/>
      <c r="W14" s="31"/>
      <c r="X14" s="31"/>
      <c r="Z14" s="31"/>
      <c r="AA14" s="31"/>
    </row>
    <row r="15" spans="1:33" ht="28.5" customHeight="1" thickBot="1">
      <c r="A15" s="479" t="s">
        <v>80</v>
      </c>
      <c r="B15" s="480">
        <f>+B5+B6+B10+B13+B14+B7</f>
        <v>27270134</v>
      </c>
      <c r="C15" s="480">
        <f>+C5+C6+C10+C13+C14+C7</f>
        <v>-9389284</v>
      </c>
      <c r="D15" s="480">
        <f t="shared" ref="D15" si="27">+D5+D6+D10+D13+D14+D7</f>
        <v>17880850</v>
      </c>
      <c r="E15" s="480">
        <f>+E5+E6+E10+E13+E14+E7</f>
        <v>49127050</v>
      </c>
      <c r="F15" s="480">
        <f>+F5+F6+F10+F13+F14+F7</f>
        <v>-15759089</v>
      </c>
      <c r="G15" s="480">
        <f t="shared" ref="G15" si="28">+G5+G6+G10+G13+G14+G7</f>
        <v>33367961</v>
      </c>
      <c r="H15" s="480">
        <f>+H5+H6+H10+H13+H14+H7</f>
        <v>23531320</v>
      </c>
      <c r="I15" s="480">
        <f>+I5+I6+I10+I13+I14+I7</f>
        <v>-8522887</v>
      </c>
      <c r="J15" s="480">
        <f t="shared" ref="J15" si="29">+J5+J6+J10+J13+J14+J7</f>
        <v>15008433</v>
      </c>
      <c r="K15" s="480">
        <f>+K5+K6+K10+K13+K14+K7</f>
        <v>50870059</v>
      </c>
      <c r="L15" s="480">
        <f>+L5+L6+L10+L13+L14+L7</f>
        <v>-17501297</v>
      </c>
      <c r="M15" s="480">
        <f t="shared" ref="M15" si="30">+M5+M6+M10+M13+M14+M7</f>
        <v>33368762</v>
      </c>
      <c r="N15" s="480">
        <f>+N5+N6+N10+N13+N14+N7</f>
        <v>5465380</v>
      </c>
      <c r="O15" s="480">
        <f>+O5+O6+O10+O13+O14+O7</f>
        <v>-1844959</v>
      </c>
      <c r="P15" s="480">
        <f t="shared" ref="P15" si="31">+P5+P6+P10+P13+P14+P7</f>
        <v>3620421</v>
      </c>
      <c r="Q15" s="598">
        <f t="shared" ref="Q15" si="32">+Q5+Q6+Q10+Q13+Q14+Q7</f>
        <v>156263943</v>
      </c>
      <c r="R15" s="480">
        <f t="shared" ref="R15:S15" si="33">+R5+R6+R10+R13+R14+R7</f>
        <v>-53017516</v>
      </c>
      <c r="S15" s="481">
        <f t="shared" si="33"/>
        <v>103246427</v>
      </c>
      <c r="T15" s="346"/>
      <c r="U15" s="30"/>
      <c r="V15" s="31"/>
      <c r="W15" s="31"/>
      <c r="X15" s="31"/>
      <c r="Z15" s="31"/>
      <c r="AA15" s="31"/>
    </row>
    <row r="16" spans="1:33" ht="16.149999999999999" customHeight="1" thickBot="1">
      <c r="A16" s="479" t="s">
        <v>393</v>
      </c>
      <c r="B16" s="480">
        <f>+'[3]5.SZ.TÁBL. ÓVODAI NORMATÍVA'!$D$16</f>
        <v>38484</v>
      </c>
      <c r="C16" s="480">
        <v>27816</v>
      </c>
      <c r="D16" s="480">
        <f>SUM(B16:C16)</f>
        <v>66300</v>
      </c>
      <c r="E16" s="480">
        <f>+'[3]5.SZ.TÁBL. ÓVODAI NORMATÍVA'!$G$16</f>
        <v>13975</v>
      </c>
      <c r="F16" s="480">
        <v>7320</v>
      </c>
      <c r="G16" s="480">
        <f>SUM(E16:F16)</f>
        <v>21295</v>
      </c>
      <c r="H16" s="480">
        <f>+'[3]5.SZ.TÁBL. ÓVODAI NORMATÍVA'!$J$16</f>
        <v>68960</v>
      </c>
      <c r="I16" s="480"/>
      <c r="J16" s="480">
        <f>SUM(H16:I16)</f>
        <v>68960</v>
      </c>
      <c r="K16" s="480">
        <f>+'[3]5.SZ.TÁBL. ÓVODAI NORMATÍVA'!$M$16</f>
        <v>18884</v>
      </c>
      <c r="L16" s="480">
        <v>3416</v>
      </c>
      <c r="M16" s="480">
        <f>SUM(K16:L16)</f>
        <v>22300</v>
      </c>
      <c r="N16" s="480">
        <f>+'[3]5.SZ.TÁBL. ÓVODAI NORMATÍVA'!$P$16</f>
        <v>39135</v>
      </c>
      <c r="O16" s="480">
        <v>29280</v>
      </c>
      <c r="P16" s="480">
        <f>SUM(N16:O16)</f>
        <v>68415</v>
      </c>
      <c r="Q16" s="598">
        <f>+B16+E16+H16+K16+N16</f>
        <v>179438</v>
      </c>
      <c r="R16" s="480">
        <f t="shared" ref="R16" si="34">+C16+F16+I16+L16+O16</f>
        <v>67832</v>
      </c>
      <c r="S16" s="481">
        <f t="shared" ref="S16" si="35">+D16+G16+J16+M16+P16</f>
        <v>247270</v>
      </c>
      <c r="T16" s="346"/>
      <c r="U16" s="30"/>
      <c r="V16" s="31"/>
      <c r="W16" s="31"/>
      <c r="X16" s="31"/>
      <c r="Z16" s="31"/>
      <c r="AA16" s="31"/>
    </row>
    <row r="17" spans="1:30" ht="16.149999999999999" customHeight="1" thickBot="1">
      <c r="A17" s="479" t="s">
        <v>446</v>
      </c>
      <c r="B17" s="480"/>
      <c r="C17" s="480">
        <v>533818</v>
      </c>
      <c r="D17" s="480">
        <f>SUM(B17:C17)</f>
        <v>533818</v>
      </c>
      <c r="E17" s="480"/>
      <c r="F17" s="480">
        <v>1387927</v>
      </c>
      <c r="G17" s="480">
        <f>SUM(E17:F17)</f>
        <v>1387927</v>
      </c>
      <c r="H17" s="480"/>
      <c r="I17" s="480">
        <v>533818</v>
      </c>
      <c r="J17" s="480">
        <f>SUM(H17:I17)</f>
        <v>533818</v>
      </c>
      <c r="K17" s="480"/>
      <c r="L17" s="480">
        <v>1334545</v>
      </c>
      <c r="M17" s="480">
        <f>SUM(K17:L17)</f>
        <v>1334545</v>
      </c>
      <c r="N17" s="480"/>
      <c r="O17" s="480">
        <v>213528</v>
      </c>
      <c r="P17" s="480">
        <f>SUM(N17:O17)</f>
        <v>213528</v>
      </c>
      <c r="Q17" s="598">
        <f>+B17+E17+H17+K17+N17</f>
        <v>0</v>
      </c>
      <c r="R17" s="480">
        <f t="shared" ref="R17" si="36">+C17+F17+I17+L17+O17</f>
        <v>4003636</v>
      </c>
      <c r="S17" s="481">
        <f t="shared" ref="S17" si="37">+D17+G17+J17+M17+P17</f>
        <v>4003636</v>
      </c>
      <c r="T17" s="346"/>
      <c r="U17" s="30"/>
      <c r="V17" s="31"/>
      <c r="W17" s="31"/>
      <c r="X17" s="31"/>
      <c r="Z17" s="31"/>
      <c r="AA17" s="31"/>
    </row>
    <row r="18" spans="1:30" ht="13.9" customHeight="1">
      <c r="A18" s="9" t="s">
        <v>296</v>
      </c>
      <c r="B18" s="43">
        <v>27270</v>
      </c>
      <c r="C18" s="43">
        <v>-9390</v>
      </c>
      <c r="D18" s="43"/>
      <c r="E18" s="43">
        <v>49127</v>
      </c>
      <c r="F18" s="43">
        <v>-15759</v>
      </c>
      <c r="G18" s="43"/>
      <c r="H18" s="43">
        <v>23532</v>
      </c>
      <c r="I18" s="43">
        <v>-8523</v>
      </c>
      <c r="J18" s="43"/>
      <c r="K18" s="43">
        <v>50870</v>
      </c>
      <c r="L18" s="43">
        <v>-17501</v>
      </c>
      <c r="M18" s="43"/>
      <c r="N18" s="43">
        <v>5465</v>
      </c>
      <c r="O18" s="43">
        <v>-1845</v>
      </c>
      <c r="P18" s="43"/>
      <c r="Q18" s="43">
        <f>+B18+E18+H18+K18+N18</f>
        <v>156264</v>
      </c>
      <c r="R18" s="43">
        <f>+C18+F18+I18+L18+O18</f>
        <v>-53018</v>
      </c>
      <c r="S18" s="43"/>
      <c r="T18" s="43"/>
      <c r="U18" s="43"/>
      <c r="V18" s="30"/>
      <c r="X18" s="31"/>
      <c r="Y18" s="31"/>
      <c r="Z18" s="31"/>
      <c r="AA18" s="31"/>
      <c r="AC18" s="31"/>
      <c r="AD18" s="31"/>
    </row>
    <row r="19" spans="1:30" ht="13.9" customHeight="1">
      <c r="A19" s="9" t="s">
        <v>393</v>
      </c>
      <c r="B19" s="43">
        <v>38</v>
      </c>
      <c r="C19" s="43">
        <v>28</v>
      </c>
      <c r="D19" s="43"/>
      <c r="E19" s="43">
        <v>14</v>
      </c>
      <c r="F19" s="43">
        <v>8</v>
      </c>
      <c r="G19" s="43"/>
      <c r="H19" s="43">
        <v>69</v>
      </c>
      <c r="I19" s="43"/>
      <c r="J19" s="43"/>
      <c r="K19" s="43">
        <v>19</v>
      </c>
      <c r="L19" s="43">
        <v>4</v>
      </c>
      <c r="M19" s="43"/>
      <c r="N19" s="43">
        <v>39</v>
      </c>
      <c r="O19" s="43">
        <v>28</v>
      </c>
      <c r="P19" s="43"/>
      <c r="Q19" s="43">
        <f>+B19+E19+H19+K19+N19</f>
        <v>179</v>
      </c>
      <c r="R19" s="43">
        <f>+C19+F19+I19+L19+O19</f>
        <v>68</v>
      </c>
      <c r="S19" s="43"/>
      <c r="T19" s="43"/>
      <c r="U19" s="43"/>
      <c r="V19" s="30"/>
      <c r="X19" s="31"/>
      <c r="Y19" s="31"/>
      <c r="Z19" s="31"/>
      <c r="AA19" s="31"/>
      <c r="AC19" s="31"/>
      <c r="AD19" s="31"/>
    </row>
    <row r="20" spans="1:30" ht="13.9" customHeight="1">
      <c r="A20" s="32" t="s">
        <v>446</v>
      </c>
      <c r="C20" s="31">
        <v>534</v>
      </c>
      <c r="E20" s="31"/>
      <c r="F20" s="31">
        <v>1388</v>
      </c>
      <c r="G20" s="31"/>
      <c r="H20" s="43"/>
      <c r="I20" s="43">
        <v>534</v>
      </c>
      <c r="J20" s="43"/>
      <c r="K20" s="43"/>
      <c r="L20" s="43">
        <v>1334</v>
      </c>
      <c r="M20" s="43"/>
      <c r="N20" s="43"/>
      <c r="O20" s="43">
        <v>214</v>
      </c>
      <c r="P20" s="43"/>
      <c r="Q20" s="43"/>
      <c r="R20" s="43">
        <f>+C20+F20+I20+L20+O20</f>
        <v>4004</v>
      </c>
      <c r="S20" s="482"/>
      <c r="T20" s="31"/>
      <c r="U20" s="472"/>
    </row>
  </sheetData>
  <mergeCells count="8">
    <mergeCell ref="AC10:AF10"/>
    <mergeCell ref="Y10:Z10"/>
    <mergeCell ref="Q1:S1"/>
    <mergeCell ref="B1:D1"/>
    <mergeCell ref="E1:G1"/>
    <mergeCell ref="H1:J1"/>
    <mergeCell ref="K1:M1"/>
    <mergeCell ref="N1:P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63" orientation="landscape" r:id="rId1"/>
  <headerFooter alignWithMargins="0">
    <oddHeader>&amp;L&amp;"Times New Roman,Félkövér"&amp;13Szent László Völgye TKT&amp;C&amp;"Times New Roman,Félkövér"&amp;16 2017. ÉVI II. KÖLTSÉGVETÉS MÓDOSÍTÁS&amp;R5. sz. táblázat
ÓVODAI NORMATÍVA
Adatok: Ft</oddHeader>
    <oddFooter>&amp;L&amp;F&amp;R&amp;P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11"/>
  </sheetPr>
  <dimension ref="A1:L115"/>
  <sheetViews>
    <sheetView zoomScaleSheetLayoutView="85" workbookViewId="0">
      <pane xSplit="1" ySplit="1" topLeftCell="B14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8.85546875" defaultRowHeight="15"/>
  <cols>
    <col min="1" max="1" width="64.7109375" style="97" customWidth="1"/>
    <col min="2" max="2" width="12.28515625" style="98" customWidth="1"/>
    <col min="3" max="3" width="12.28515625" style="99" customWidth="1"/>
    <col min="4" max="4" width="13.140625" style="79" customWidth="1"/>
    <col min="5" max="5" width="8.28515625" style="79" customWidth="1"/>
    <col min="6" max="6" width="11" style="79" customWidth="1"/>
    <col min="7" max="9" width="12.5703125" style="79" customWidth="1"/>
    <col min="10" max="10" width="13.85546875" style="115" bestFit="1" customWidth="1"/>
    <col min="11" max="11" width="11.7109375" style="80" customWidth="1"/>
    <col min="12" max="12" width="12.85546875" style="80" customWidth="1"/>
    <col min="13" max="16384" width="8.85546875" style="79"/>
  </cols>
  <sheetData>
    <row r="1" spans="1:12" ht="35.25" customHeight="1">
      <c r="A1" s="163"/>
      <c r="B1" s="846" t="s">
        <v>437</v>
      </c>
      <c r="C1" s="619" t="s">
        <v>391</v>
      </c>
      <c r="D1" s="808" t="s">
        <v>441</v>
      </c>
      <c r="E1" s="76"/>
      <c r="F1" s="76"/>
      <c r="G1" s="628"/>
      <c r="H1" s="628"/>
      <c r="I1" s="929" t="s">
        <v>21</v>
      </c>
      <c r="J1" s="929"/>
      <c r="K1" s="929"/>
      <c r="L1" s="79"/>
    </row>
    <row r="2" spans="1:12" ht="28.5" customHeight="1">
      <c r="A2" s="162" t="s">
        <v>74</v>
      </c>
      <c r="B2" s="636"/>
      <c r="C2" s="613"/>
      <c r="D2" s="659"/>
      <c r="E2" s="81"/>
      <c r="F2" s="81" t="s">
        <v>442</v>
      </c>
      <c r="G2" s="81" t="s">
        <v>399</v>
      </c>
      <c r="H2" s="81" t="s">
        <v>443</v>
      </c>
      <c r="I2" s="615" t="s">
        <v>38</v>
      </c>
      <c r="J2" s="77" t="s">
        <v>17</v>
      </c>
      <c r="K2" s="78" t="s">
        <v>288</v>
      </c>
      <c r="L2" s="79"/>
    </row>
    <row r="3" spans="1:12">
      <c r="A3" s="739" t="s">
        <v>407</v>
      </c>
      <c r="B3" s="87">
        <f>+'[3]6.SZ.TÁBL. SZOCIÁLIS NORMATÍVA'!$D3</f>
        <v>15000000</v>
      </c>
      <c r="C3" s="102"/>
      <c r="D3" s="614">
        <f>SUM(B3:C3)</f>
        <v>15000000</v>
      </c>
      <c r="E3" s="83"/>
      <c r="F3" s="83">
        <v>15000</v>
      </c>
      <c r="G3" s="83"/>
      <c r="H3" s="83"/>
      <c r="I3" s="84">
        <v>3.7353999999999998</v>
      </c>
      <c r="J3" s="72">
        <v>3950000</v>
      </c>
      <c r="K3" s="80">
        <f>+I3*J3/2</f>
        <v>7377415</v>
      </c>
      <c r="L3" s="79"/>
    </row>
    <row r="4" spans="1:12">
      <c r="A4" s="88" t="s">
        <v>408</v>
      </c>
      <c r="B4" s="87">
        <f>+'[3]6.SZ.TÁBL. SZOCIÁLIS NORMATÍVA'!$D4</f>
        <v>9900000</v>
      </c>
      <c r="C4" s="102"/>
      <c r="D4" s="614">
        <f t="shared" ref="D4:D11" si="0">SUM(B4:C4)</f>
        <v>9900000</v>
      </c>
      <c r="E4" s="83"/>
      <c r="F4" s="83">
        <v>9900</v>
      </c>
      <c r="G4" s="83"/>
      <c r="H4" s="83"/>
      <c r="I4" s="83">
        <v>18677</v>
      </c>
      <c r="J4" s="72">
        <v>300</v>
      </c>
      <c r="K4" s="80">
        <f>+I4*J4</f>
        <v>5603100</v>
      </c>
      <c r="L4" s="79"/>
    </row>
    <row r="5" spans="1:12">
      <c r="A5" s="88" t="s">
        <v>409</v>
      </c>
      <c r="B5" s="87">
        <f>+'[3]6.SZ.TÁBL. SZOCIÁLIS NORMATÍVA'!$D5</f>
        <v>442880</v>
      </c>
      <c r="C5" s="102">
        <v>-110720</v>
      </c>
      <c r="D5" s="614">
        <f t="shared" si="0"/>
        <v>332160</v>
      </c>
      <c r="E5" s="83"/>
      <c r="F5" s="83">
        <v>443</v>
      </c>
      <c r="G5" s="83">
        <v>-111</v>
      </c>
      <c r="H5" s="83"/>
      <c r="I5" s="84">
        <v>3.7353999999999998</v>
      </c>
      <c r="J5" s="72">
        <v>3950000</v>
      </c>
      <c r="K5" s="80">
        <f>+I5*J5/2</f>
        <v>7377415</v>
      </c>
      <c r="L5" s="79"/>
    </row>
    <row r="6" spans="1:12">
      <c r="A6" s="86" t="s">
        <v>421</v>
      </c>
      <c r="B6" s="87">
        <f>+'[3]6.SZ.TÁBL. SZOCIÁLIS NORMATÍVA'!$D6</f>
        <v>1025000</v>
      </c>
      <c r="C6" s="102">
        <v>-875000</v>
      </c>
      <c r="D6" s="614">
        <f t="shared" si="0"/>
        <v>150000</v>
      </c>
      <c r="E6" s="83"/>
      <c r="F6" s="83">
        <v>1025</v>
      </c>
      <c r="G6" s="83">
        <v>-875</v>
      </c>
      <c r="H6" s="83"/>
      <c r="I6" s="84"/>
      <c r="J6" s="72"/>
      <c r="L6" s="79"/>
    </row>
    <row r="7" spans="1:12">
      <c r="A7" s="86" t="s">
        <v>422</v>
      </c>
      <c r="B7" s="87">
        <f>+'[3]6.SZ.TÁBL. SZOCIÁLIS NORMATÍVA'!$D7</f>
        <v>12012000</v>
      </c>
      <c r="C7" s="102">
        <v>4914000</v>
      </c>
      <c r="D7" s="614">
        <f t="shared" si="0"/>
        <v>16926000</v>
      </c>
      <c r="E7" s="83"/>
      <c r="F7" s="83">
        <v>12012</v>
      </c>
      <c r="G7" s="83">
        <v>4914</v>
      </c>
      <c r="H7" s="83"/>
      <c r="I7" s="83">
        <v>3698</v>
      </c>
      <c r="J7" s="72">
        <v>1200</v>
      </c>
      <c r="K7" s="80">
        <f>+I7*J7</f>
        <v>4437600</v>
      </c>
      <c r="L7" s="79"/>
    </row>
    <row r="8" spans="1:12">
      <c r="A8" s="88" t="s">
        <v>423</v>
      </c>
      <c r="B8" s="87">
        <f>+'[3]6.SZ.TÁBL. SZOCIÁLIS NORMATÍVA'!$D8</f>
        <v>490500</v>
      </c>
      <c r="C8" s="102">
        <v>-327000</v>
      </c>
      <c r="D8" s="614">
        <f t="shared" si="0"/>
        <v>163500</v>
      </c>
      <c r="E8" s="83"/>
      <c r="F8" s="83">
        <v>491</v>
      </c>
      <c r="G8" s="83">
        <v>-327</v>
      </c>
      <c r="H8" s="83"/>
      <c r="I8" s="83">
        <v>119</v>
      </c>
      <c r="J8" s="71">
        <f>145000*1.3</f>
        <v>188500</v>
      </c>
      <c r="K8" s="80">
        <f>+I8*J8</f>
        <v>22431500</v>
      </c>
      <c r="L8" s="79"/>
    </row>
    <row r="9" spans="1:12">
      <c r="A9" s="88" t="s">
        <v>424</v>
      </c>
      <c r="B9" s="87">
        <f>+'[3]6.SZ.TÁBL. SZOCIÁLIS NORMATÍVA'!$D9</f>
        <v>2500000</v>
      </c>
      <c r="C9" s="102"/>
      <c r="D9" s="614">
        <f t="shared" si="0"/>
        <v>2500000</v>
      </c>
      <c r="E9" s="83"/>
      <c r="F9" s="83">
        <v>2500</v>
      </c>
      <c r="G9" s="83"/>
      <c r="H9" s="83"/>
      <c r="I9" s="83">
        <v>10</v>
      </c>
      <c r="J9" s="71">
        <f>109000*1.5</f>
        <v>163500</v>
      </c>
      <c r="K9" s="80">
        <f>+I9*J9</f>
        <v>1635000</v>
      </c>
      <c r="L9" s="79"/>
    </row>
    <row r="10" spans="1:12">
      <c r="A10" s="740" t="s">
        <v>425</v>
      </c>
      <c r="B10" s="87">
        <f>+'[3]6.SZ.TÁBL. SZOCIÁLIS NORMATÍVA'!$D10</f>
        <v>6297200</v>
      </c>
      <c r="C10" s="102">
        <v>-1799200</v>
      </c>
      <c r="D10" s="614">
        <f t="shared" si="0"/>
        <v>4498000</v>
      </c>
      <c r="E10" s="83"/>
      <c r="F10" s="83">
        <v>6297</v>
      </c>
      <c r="G10" s="83">
        <v>-1799</v>
      </c>
      <c r="H10" s="83"/>
      <c r="I10" s="161">
        <v>1</v>
      </c>
      <c r="J10" s="71">
        <v>2500000</v>
      </c>
      <c r="K10" s="80">
        <f>+I10*J10</f>
        <v>2500000</v>
      </c>
      <c r="L10" s="79"/>
    </row>
    <row r="11" spans="1:12">
      <c r="A11" s="741" t="s">
        <v>410</v>
      </c>
      <c r="B11" s="87">
        <f>+'[3]6.SZ.TÁBL. SZOCIÁLIS NORMATÍVA'!$D11</f>
        <v>8940000</v>
      </c>
      <c r="C11" s="102"/>
      <c r="D11" s="614">
        <f t="shared" si="0"/>
        <v>8940000</v>
      </c>
      <c r="E11" s="83"/>
      <c r="F11" s="83">
        <v>8940</v>
      </c>
      <c r="G11" s="83"/>
      <c r="H11" s="83"/>
      <c r="I11" s="83">
        <v>4</v>
      </c>
      <c r="J11" s="71">
        <f>268200*1.3</f>
        <v>348660</v>
      </c>
      <c r="K11" s="80">
        <f>+I11*J11</f>
        <v>1394640</v>
      </c>
      <c r="L11" s="79"/>
    </row>
    <row r="12" spans="1:12">
      <c r="A12" s="91" t="s">
        <v>75</v>
      </c>
      <c r="B12" s="164">
        <f>SUM(B3:B11)</f>
        <v>56607580</v>
      </c>
      <c r="C12" s="612">
        <f>SUM(C3:C11)</f>
        <v>1802080</v>
      </c>
      <c r="D12" s="660">
        <f>SUM(D3:D11)</f>
        <v>58409660</v>
      </c>
      <c r="E12" s="92"/>
      <c r="F12" s="92">
        <f>SUM(F3:F11)</f>
        <v>56608</v>
      </c>
      <c r="G12" s="92">
        <f t="shared" ref="G12:H12" si="1">SUM(G3:G11)</f>
        <v>1802</v>
      </c>
      <c r="H12" s="92">
        <f t="shared" si="1"/>
        <v>0</v>
      </c>
      <c r="I12" s="93"/>
      <c r="J12" s="93"/>
      <c r="K12" s="80">
        <f>SUM(K3:K11)</f>
        <v>52756670</v>
      </c>
      <c r="L12" s="79"/>
    </row>
    <row r="13" spans="1:12">
      <c r="A13" s="162"/>
      <c r="B13" s="743"/>
      <c r="C13" s="744"/>
      <c r="D13" s="745"/>
      <c r="E13" s="92"/>
      <c r="F13" s="92"/>
      <c r="G13" s="92"/>
      <c r="H13" s="92"/>
      <c r="I13" s="93"/>
      <c r="J13" s="93"/>
      <c r="L13" s="79"/>
    </row>
    <row r="14" spans="1:12">
      <c r="A14" s="86" t="s">
        <v>426</v>
      </c>
      <c r="B14" s="87">
        <f>+'[3]6.SZ.TÁBL. SZOCIÁLIS NORMATÍVA'!$D14</f>
        <v>826</v>
      </c>
      <c r="C14" s="107"/>
      <c r="D14" s="661">
        <f t="shared" ref="D14:D19" si="2">SUM(B14:C14)</f>
        <v>826</v>
      </c>
      <c r="E14" s="83"/>
      <c r="F14" s="83">
        <v>1</v>
      </c>
      <c r="G14" s="83"/>
      <c r="H14" s="83"/>
      <c r="I14" s="83"/>
      <c r="J14" s="94"/>
      <c r="L14" s="79"/>
    </row>
    <row r="15" spans="1:12">
      <c r="A15" s="86" t="s">
        <v>415</v>
      </c>
      <c r="B15" s="87">
        <f>+'[3]6.SZ.TÁBL. SZOCIÁLIS NORMATÍVA'!$D15</f>
        <v>136950</v>
      </c>
      <c r="C15" s="107">
        <v>107360</v>
      </c>
      <c r="D15" s="614">
        <f t="shared" si="2"/>
        <v>244310</v>
      </c>
      <c r="E15" s="83"/>
      <c r="F15" s="83">
        <v>137</v>
      </c>
      <c r="G15" s="83">
        <v>108</v>
      </c>
      <c r="H15" s="83"/>
      <c r="I15" s="83"/>
      <c r="J15" s="94"/>
      <c r="L15" s="79"/>
    </row>
    <row r="16" spans="1:12">
      <c r="A16" s="86" t="s">
        <v>394</v>
      </c>
      <c r="B16" s="87">
        <f>+'[3]6.SZ.TÁBL. SZOCIÁLIS NORMATÍVA'!$D16</f>
        <v>286170</v>
      </c>
      <c r="C16" s="107">
        <v>206668</v>
      </c>
      <c r="D16" s="614">
        <f t="shared" si="2"/>
        <v>492838</v>
      </c>
      <c r="E16" s="83"/>
      <c r="F16" s="83">
        <v>286</v>
      </c>
      <c r="G16" s="83">
        <v>204</v>
      </c>
      <c r="H16" s="83"/>
      <c r="I16" s="83"/>
      <c r="J16" s="94"/>
      <c r="L16" s="79"/>
    </row>
    <row r="17" spans="1:12">
      <c r="A17" s="86" t="s">
        <v>414</v>
      </c>
      <c r="B17" s="87">
        <f>+'[3]6.SZ.TÁBL. SZOCIÁLIS NORMATÍVA'!$D17</f>
        <v>190961</v>
      </c>
      <c r="C17" s="107">
        <v>148352</v>
      </c>
      <c r="D17" s="614">
        <f t="shared" si="2"/>
        <v>339313</v>
      </c>
      <c r="E17" s="83"/>
      <c r="F17" s="83">
        <v>191</v>
      </c>
      <c r="G17" s="83">
        <v>148</v>
      </c>
      <c r="H17" s="83"/>
      <c r="I17" s="83"/>
      <c r="J17" s="94"/>
      <c r="L17" s="79"/>
    </row>
    <row r="18" spans="1:12">
      <c r="A18" s="86" t="s">
        <v>395</v>
      </c>
      <c r="B18" s="87">
        <f>+'[3]6.SZ.TÁBL. SZOCIÁLIS NORMATÍVA'!$D18</f>
        <v>124701</v>
      </c>
      <c r="C18" s="107">
        <v>96380</v>
      </c>
      <c r="D18" s="614">
        <f t="shared" si="2"/>
        <v>221081</v>
      </c>
      <c r="E18" s="83"/>
      <c r="F18" s="83">
        <v>125</v>
      </c>
      <c r="G18" s="83">
        <v>96</v>
      </c>
      <c r="H18" s="83"/>
      <c r="I18" s="83"/>
      <c r="J18" s="94"/>
      <c r="L18" s="79"/>
    </row>
    <row r="19" spans="1:12">
      <c r="A19" s="638" t="s">
        <v>396</v>
      </c>
      <c r="B19" s="87">
        <f>+'[3]6.SZ.TÁBL. SZOCIÁLIS NORMATÍVA'!$D19</f>
        <v>48050</v>
      </c>
      <c r="C19" s="112">
        <v>36112</v>
      </c>
      <c r="D19" s="662">
        <f t="shared" si="2"/>
        <v>84162</v>
      </c>
      <c r="E19" s="83"/>
      <c r="F19" s="83">
        <v>48</v>
      </c>
      <c r="G19" s="83">
        <v>40</v>
      </c>
      <c r="H19" s="83"/>
      <c r="I19" s="83"/>
      <c r="J19" s="94"/>
      <c r="L19" s="79"/>
    </row>
    <row r="20" spans="1:12">
      <c r="A20" s="86" t="s">
        <v>413</v>
      </c>
      <c r="B20" s="87">
        <f>+'[3]6.SZ.TÁBL. SZOCIÁLIS NORMATÍVA'!$D20</f>
        <v>26352</v>
      </c>
      <c r="C20" s="823">
        <v>26352</v>
      </c>
      <c r="D20" s="824">
        <f>+B20+C20</f>
        <v>52704</v>
      </c>
      <c r="E20" s="83"/>
      <c r="F20" s="83">
        <v>26</v>
      </c>
      <c r="G20" s="83">
        <v>24</v>
      </c>
      <c r="H20" s="83"/>
      <c r="I20" s="83"/>
      <c r="J20" s="94"/>
      <c r="L20" s="79"/>
    </row>
    <row r="21" spans="1:12">
      <c r="A21" s="91" t="s">
        <v>397</v>
      </c>
      <c r="B21" s="164">
        <f>SUM(B14:B20)</f>
        <v>814010</v>
      </c>
      <c r="C21" s="164">
        <f>SUM(C14:C20)</f>
        <v>621224</v>
      </c>
      <c r="D21" s="660">
        <f>SUM(D14:D20)</f>
        <v>1435234</v>
      </c>
      <c r="E21" s="83"/>
      <c r="F21" s="92">
        <f>SUM(F14:F20)</f>
        <v>814</v>
      </c>
      <c r="G21" s="92">
        <f>SUM(G14:G20)</f>
        <v>620</v>
      </c>
      <c r="H21" s="92">
        <f>SUM(H14:H20)</f>
        <v>0</v>
      </c>
      <c r="I21" s="83"/>
      <c r="J21" s="94"/>
      <c r="L21" s="79"/>
    </row>
    <row r="22" spans="1:12">
      <c r="A22" s="82"/>
      <c r="B22" s="85"/>
      <c r="C22" s="102"/>
      <c r="D22" s="614"/>
      <c r="E22" s="83"/>
      <c r="F22" s="83"/>
      <c r="G22" s="83"/>
      <c r="H22" s="83"/>
      <c r="I22" s="83"/>
      <c r="J22" s="94"/>
      <c r="L22" s="79"/>
    </row>
    <row r="23" spans="1:12">
      <c r="A23" s="86" t="s">
        <v>413</v>
      </c>
      <c r="B23" s="87">
        <f>+'[3]6.SZ.TÁBL. SZOCIÁLIS NORMATÍVA'!$D23</f>
        <v>82845</v>
      </c>
      <c r="C23" s="107">
        <f>22030+22030+22030+22031+22029</f>
        <v>110150</v>
      </c>
      <c r="D23" s="614">
        <f t="shared" ref="D23:D29" si="3">SUM(B23:C23)</f>
        <v>192995</v>
      </c>
      <c r="E23" s="83"/>
      <c r="F23" s="83">
        <f>67+16</f>
        <v>83</v>
      </c>
      <c r="G23" s="83">
        <v>110</v>
      </c>
      <c r="H23" s="83"/>
      <c r="I23" s="83"/>
      <c r="J23" s="94"/>
      <c r="L23" s="79"/>
    </row>
    <row r="24" spans="1:12">
      <c r="A24" s="86" t="s">
        <v>426</v>
      </c>
      <c r="B24" s="87">
        <f>+'[3]6.SZ.TÁBL. SZOCIÁLIS NORMATÍVA'!$D24</f>
        <v>394150</v>
      </c>
      <c r="C24" s="107">
        <f>117343+117343+117344+117343+117341</f>
        <v>586714</v>
      </c>
      <c r="D24" s="614">
        <f t="shared" si="3"/>
        <v>980864</v>
      </c>
      <c r="E24" s="83"/>
      <c r="F24" s="83">
        <f>322+72</f>
        <v>394</v>
      </c>
      <c r="G24" s="83">
        <v>586</v>
      </c>
      <c r="H24" s="83"/>
      <c r="I24" s="83"/>
      <c r="J24" s="94"/>
      <c r="L24" s="79"/>
    </row>
    <row r="25" spans="1:12">
      <c r="A25" s="86" t="s">
        <v>415</v>
      </c>
      <c r="B25" s="87">
        <f>+'[3]6.SZ.TÁBL. SZOCIÁLIS NORMATÍVA'!$D25</f>
        <v>1466693</v>
      </c>
      <c r="C25" s="107">
        <f>427227+419892+427226+427224+427220</f>
        <v>2128789</v>
      </c>
      <c r="D25" s="614">
        <f t="shared" si="3"/>
        <v>3595482</v>
      </c>
      <c r="E25" s="83"/>
      <c r="F25" s="83">
        <f>1196+271</f>
        <v>1467</v>
      </c>
      <c r="G25" s="83">
        <v>2129</v>
      </c>
      <c r="H25" s="83"/>
      <c r="I25" s="83"/>
      <c r="J25" s="94"/>
      <c r="L25" s="79"/>
    </row>
    <row r="26" spans="1:12">
      <c r="A26" s="86" t="s">
        <v>394</v>
      </c>
      <c r="B26" s="87">
        <f>+'[3]6.SZ.TÁBL. SZOCIÁLIS NORMATÍVA'!$D26</f>
        <v>1128888</v>
      </c>
      <c r="C26" s="107">
        <f>256461+266106+266112+266112+257599</f>
        <v>1312390</v>
      </c>
      <c r="D26" s="614">
        <f t="shared" si="3"/>
        <v>2441278</v>
      </c>
      <c r="E26" s="83"/>
      <c r="F26" s="83">
        <f>915+214</f>
        <v>1129</v>
      </c>
      <c r="G26" s="83">
        <v>1312</v>
      </c>
      <c r="H26" s="83"/>
      <c r="I26" s="83"/>
      <c r="J26" s="94"/>
      <c r="L26" s="79"/>
    </row>
    <row r="27" spans="1:12">
      <c r="A27" s="86" t="s">
        <v>414</v>
      </c>
      <c r="B27" s="87">
        <f>+'[3]6.SZ.TÁBL. SZOCIÁLIS NORMATÍVA'!$D27</f>
        <v>2067053</v>
      </c>
      <c r="C27" s="107">
        <f>581071+617072+617069+617073+617073</f>
        <v>3049358</v>
      </c>
      <c r="D27" s="614">
        <f t="shared" si="3"/>
        <v>5116411</v>
      </c>
      <c r="E27" s="83"/>
      <c r="F27" s="83">
        <f>1687+380</f>
        <v>2067</v>
      </c>
      <c r="G27" s="83">
        <v>3049</v>
      </c>
      <c r="H27" s="83"/>
      <c r="I27" s="83"/>
      <c r="J27" s="94"/>
      <c r="L27" s="79"/>
    </row>
    <row r="28" spans="1:12">
      <c r="A28" s="86" t="s">
        <v>395</v>
      </c>
      <c r="B28" s="87">
        <f>+'[3]6.SZ.TÁBL. SZOCIÁLIS NORMATÍVA'!$D28</f>
        <v>762648</v>
      </c>
      <c r="C28" s="107">
        <f>218831+218831+218830+218829+210327</f>
        <v>1085648</v>
      </c>
      <c r="D28" s="614">
        <f t="shared" si="3"/>
        <v>1848296</v>
      </c>
      <c r="E28" s="83"/>
      <c r="F28" s="83">
        <f>621+142</f>
        <v>763</v>
      </c>
      <c r="G28" s="83">
        <v>1086</v>
      </c>
      <c r="H28" s="83"/>
      <c r="I28" s="83"/>
      <c r="J28" s="94"/>
      <c r="L28" s="79"/>
    </row>
    <row r="29" spans="1:12">
      <c r="A29" s="638" t="s">
        <v>396</v>
      </c>
      <c r="B29" s="87">
        <f>+'[3]6.SZ.TÁBL. SZOCIÁLIS NORMATÍVA'!$D29</f>
        <v>140849</v>
      </c>
      <c r="C29" s="112">
        <v>180991</v>
      </c>
      <c r="D29" s="614">
        <f t="shared" si="3"/>
        <v>321840</v>
      </c>
      <c r="E29" s="83"/>
      <c r="F29" s="83">
        <f>114+26</f>
        <v>140</v>
      </c>
      <c r="G29" s="83">
        <v>183</v>
      </c>
      <c r="H29" s="83"/>
      <c r="I29" s="83"/>
      <c r="J29" s="94"/>
      <c r="L29" s="79"/>
    </row>
    <row r="30" spans="1:12">
      <c r="A30" s="91" t="s">
        <v>398</v>
      </c>
      <c r="B30" s="164">
        <f>SUM(B23:B29)</f>
        <v>6043126</v>
      </c>
      <c r="C30" s="164">
        <f t="shared" ref="C30:D30" si="4">SUM(C23:C29)</f>
        <v>8454040</v>
      </c>
      <c r="D30" s="660">
        <f t="shared" si="4"/>
        <v>14497166</v>
      </c>
      <c r="E30" s="83"/>
      <c r="F30" s="92">
        <f>SUM(F23:F29)</f>
        <v>6043</v>
      </c>
      <c r="G30" s="92">
        <f t="shared" ref="G30:H30" si="5">SUM(G23:G29)</f>
        <v>8455</v>
      </c>
      <c r="H30" s="92">
        <f t="shared" si="5"/>
        <v>0</v>
      </c>
      <c r="I30" s="83"/>
      <c r="J30" s="94"/>
      <c r="L30" s="79"/>
    </row>
    <row r="31" spans="1:12">
      <c r="A31" s="827"/>
      <c r="B31" s="828"/>
      <c r="C31" s="742"/>
      <c r="D31" s="745"/>
      <c r="E31" s="83"/>
      <c r="F31" s="92"/>
      <c r="G31" s="92"/>
      <c r="H31" s="92"/>
      <c r="I31" s="83"/>
      <c r="J31" s="94"/>
      <c r="L31" s="79"/>
    </row>
    <row r="32" spans="1:12">
      <c r="A32" s="86" t="s">
        <v>413</v>
      </c>
      <c r="B32" s="87"/>
      <c r="C32" s="107">
        <v>127094</v>
      </c>
      <c r="D32" s="614">
        <f t="shared" ref="D32:D38" si="6">SUM(B32:C32)</f>
        <v>127094</v>
      </c>
      <c r="E32" s="83"/>
      <c r="F32" s="83"/>
      <c r="G32" s="83">
        <v>127</v>
      </c>
      <c r="H32" s="83"/>
      <c r="I32" s="83"/>
      <c r="J32" s="94"/>
      <c r="L32" s="79"/>
    </row>
    <row r="33" spans="1:12">
      <c r="A33" s="86" t="s">
        <v>426</v>
      </c>
      <c r="B33" s="87"/>
      <c r="C33" s="107">
        <v>508376</v>
      </c>
      <c r="D33" s="614">
        <f t="shared" si="6"/>
        <v>508376</v>
      </c>
      <c r="E33" s="83"/>
      <c r="F33" s="83"/>
      <c r="G33" s="83">
        <v>508</v>
      </c>
      <c r="H33" s="83"/>
      <c r="I33" s="83"/>
      <c r="J33" s="94"/>
      <c r="L33" s="79"/>
    </row>
    <row r="34" spans="1:12">
      <c r="A34" s="86" t="s">
        <v>415</v>
      </c>
      <c r="B34" s="87"/>
      <c r="C34" s="107">
        <v>508376</v>
      </c>
      <c r="D34" s="614">
        <f t="shared" si="6"/>
        <v>508376</v>
      </c>
      <c r="E34" s="83"/>
      <c r="F34" s="83"/>
      <c r="G34" s="83">
        <v>509</v>
      </c>
      <c r="H34" s="83"/>
      <c r="I34" s="83"/>
      <c r="J34" s="94"/>
      <c r="L34" s="79"/>
    </row>
    <row r="35" spans="1:12">
      <c r="A35" s="86" t="s">
        <v>394</v>
      </c>
      <c r="B35" s="87"/>
      <c r="C35" s="107">
        <v>3050259</v>
      </c>
      <c r="D35" s="614">
        <f t="shared" si="6"/>
        <v>3050259</v>
      </c>
      <c r="E35" s="83"/>
      <c r="F35" s="83"/>
      <c r="G35" s="83">
        <v>3050</v>
      </c>
      <c r="H35" s="83"/>
      <c r="I35" s="83"/>
      <c r="J35" s="94"/>
      <c r="L35" s="79"/>
    </row>
    <row r="36" spans="1:12">
      <c r="A36" s="86" t="s">
        <v>414</v>
      </c>
      <c r="B36" s="87"/>
      <c r="C36" s="107">
        <v>254187</v>
      </c>
      <c r="D36" s="614">
        <f t="shared" si="6"/>
        <v>254187</v>
      </c>
      <c r="E36" s="83"/>
      <c r="F36" s="83"/>
      <c r="G36" s="83">
        <v>254</v>
      </c>
      <c r="H36" s="83"/>
      <c r="I36" s="83"/>
      <c r="J36" s="94"/>
      <c r="L36" s="79"/>
    </row>
    <row r="37" spans="1:12">
      <c r="A37" s="86" t="s">
        <v>395</v>
      </c>
      <c r="B37" s="87"/>
      <c r="C37" s="107">
        <v>635471</v>
      </c>
      <c r="D37" s="614">
        <f t="shared" si="6"/>
        <v>635471</v>
      </c>
      <c r="E37" s="83"/>
      <c r="F37" s="83"/>
      <c r="G37" s="83">
        <v>636</v>
      </c>
      <c r="H37" s="83"/>
      <c r="I37" s="83"/>
      <c r="J37" s="94"/>
      <c r="L37" s="79"/>
    </row>
    <row r="38" spans="1:12">
      <c r="A38" s="638" t="s">
        <v>396</v>
      </c>
      <c r="B38" s="87"/>
      <c r="C38" s="112">
        <v>254187</v>
      </c>
      <c r="D38" s="614">
        <f t="shared" si="6"/>
        <v>254187</v>
      </c>
      <c r="E38" s="83"/>
      <c r="F38" s="83"/>
      <c r="G38" s="83">
        <v>254</v>
      </c>
      <c r="H38" s="83"/>
      <c r="I38" s="83"/>
      <c r="J38" s="94"/>
      <c r="L38" s="79"/>
    </row>
    <row r="39" spans="1:12">
      <c r="A39" s="91" t="s">
        <v>444</v>
      </c>
      <c r="B39" s="164">
        <f>SUM(B32:B38)</f>
        <v>0</v>
      </c>
      <c r="C39" s="164">
        <f t="shared" ref="C39:D39" si="7">SUM(C32:C38)</f>
        <v>5337950</v>
      </c>
      <c r="D39" s="660">
        <f t="shared" si="7"/>
        <v>5337950</v>
      </c>
      <c r="E39" s="83"/>
      <c r="F39" s="92">
        <f>SUM(F32:F38)</f>
        <v>0</v>
      </c>
      <c r="G39" s="92">
        <f t="shared" ref="G39:H39" si="8">SUM(G32:G38)</f>
        <v>5338</v>
      </c>
      <c r="H39" s="92">
        <f t="shared" si="8"/>
        <v>0</v>
      </c>
      <c r="I39" s="83"/>
      <c r="J39" s="94"/>
      <c r="L39" s="79"/>
    </row>
    <row r="40" spans="1:12" ht="15.75" thickBot="1">
      <c r="A40" s="89"/>
      <c r="B40" s="90"/>
      <c r="C40" s="71"/>
      <c r="D40" s="662"/>
      <c r="E40" s="83"/>
      <c r="F40" s="83"/>
      <c r="G40" s="83"/>
      <c r="H40" s="83"/>
      <c r="I40" s="83"/>
      <c r="J40" s="94"/>
      <c r="L40" s="79"/>
    </row>
    <row r="41" spans="1:12" s="95" customFormat="1" ht="15.75" thickBot="1">
      <c r="A41" s="96" t="s">
        <v>43</v>
      </c>
      <c r="B41" s="637">
        <f>SUM(B12,B21,B30,B39)</f>
        <v>63464716</v>
      </c>
      <c r="C41" s="637">
        <f>SUM(C12,C21,C30,C39)</f>
        <v>16215294</v>
      </c>
      <c r="D41" s="663">
        <f>SUM(D12,D21,D30,D39)</f>
        <v>79680010</v>
      </c>
      <c r="E41" s="92"/>
      <c r="F41" s="742">
        <f>SUM(F12,F21,F30,F39)</f>
        <v>63465</v>
      </c>
      <c r="G41" s="742">
        <f>SUM(G12,G21,G30,G39)</f>
        <v>16215</v>
      </c>
      <c r="H41" s="742">
        <f>SUM(H12,H21,H30,)</f>
        <v>0</v>
      </c>
      <c r="I41" s="83"/>
      <c r="J41" s="94"/>
      <c r="K41" s="80"/>
    </row>
    <row r="42" spans="1:12">
      <c r="G42" s="83"/>
      <c r="H42" s="83"/>
      <c r="I42" s="83"/>
      <c r="J42" s="94"/>
    </row>
    <row r="43" spans="1:12">
      <c r="J43" s="94"/>
    </row>
    <row r="44" spans="1:12">
      <c r="J44" s="94"/>
    </row>
    <row r="98" spans="1:12">
      <c r="A98" s="75"/>
      <c r="C98" s="79"/>
      <c r="J98" s="79"/>
      <c r="K98" s="79"/>
      <c r="L98" s="79"/>
    </row>
    <row r="111" spans="1:12">
      <c r="A111" s="100"/>
      <c r="B111" s="101"/>
      <c r="C111" s="102"/>
      <c r="D111" s="103"/>
      <c r="E111" s="103"/>
      <c r="F111" s="103"/>
      <c r="G111" s="103"/>
      <c r="H111" s="103"/>
      <c r="I111" s="103"/>
      <c r="J111" s="104"/>
      <c r="K111" s="79"/>
      <c r="L111" s="79"/>
    </row>
    <row r="112" spans="1:12">
      <c r="A112" s="105"/>
      <c r="B112" s="106"/>
      <c r="C112" s="107"/>
      <c r="D112" s="108"/>
      <c r="E112" s="108"/>
      <c r="F112" s="108"/>
      <c r="G112" s="108"/>
      <c r="H112" s="108"/>
      <c r="I112" s="108"/>
      <c r="J112" s="109"/>
      <c r="K112" s="79"/>
      <c r="L112" s="79"/>
    </row>
    <row r="113" spans="1:12">
      <c r="A113" s="105"/>
      <c r="B113" s="106"/>
      <c r="C113" s="107"/>
      <c r="D113" s="108"/>
      <c r="E113" s="108"/>
      <c r="F113" s="108"/>
      <c r="G113" s="108"/>
      <c r="H113" s="108"/>
      <c r="I113" s="108"/>
      <c r="J113" s="109"/>
      <c r="K113" s="79"/>
      <c r="L113" s="79"/>
    </row>
    <row r="114" spans="1:12">
      <c r="A114" s="105"/>
      <c r="B114" s="106"/>
      <c r="C114" s="107"/>
      <c r="D114" s="108"/>
      <c r="E114" s="108"/>
      <c r="F114" s="108"/>
      <c r="G114" s="108"/>
      <c r="H114" s="108"/>
      <c r="I114" s="108"/>
      <c r="J114" s="109"/>
      <c r="K114" s="79"/>
      <c r="L114" s="79"/>
    </row>
    <row r="115" spans="1:12">
      <c r="A115" s="110"/>
      <c r="B115" s="111"/>
      <c r="C115" s="112"/>
      <c r="D115" s="113"/>
      <c r="E115" s="113"/>
      <c r="F115" s="113"/>
      <c r="G115" s="113"/>
      <c r="H115" s="113"/>
      <c r="I115" s="113"/>
      <c r="J115" s="114"/>
      <c r="K115" s="79"/>
      <c r="L115" s="79"/>
    </row>
  </sheetData>
  <mergeCells count="1">
    <mergeCell ref="I1:K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0" orientation="portrait" r:id="rId1"/>
  <headerFooter alignWithMargins="0">
    <oddHeader>&amp;L&amp;"Times New Roman,Félkövér"&amp;13Szent László Völgye TKT&amp;C&amp;"Times New Roman,Félkövér"&amp;16
 2017. ÉVI II. KÖLTSÉGVETÉS MÓDOSÍTÁS&amp;R6. sz. táblázat
SZOCIÁLIS NORMATÍVA
Adatok: Ft</oddHeader>
    <oddFooter>&amp;L&amp;F&amp;R&amp;P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X101"/>
  <sheetViews>
    <sheetView workbookViewId="0">
      <pane xSplit="1" ySplit="1" topLeftCell="B2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8.85546875" defaultRowHeight="12"/>
  <cols>
    <col min="1" max="1" width="29.7109375" style="681" customWidth="1"/>
    <col min="2" max="2" width="11" style="681" customWidth="1"/>
    <col min="3" max="9" width="7.42578125" style="681" customWidth="1"/>
    <col min="10" max="10" width="8.85546875" style="681" customWidth="1"/>
    <col min="11" max="11" width="9.140625" style="681" customWidth="1"/>
    <col min="12" max="12" width="7.42578125" style="681" customWidth="1"/>
    <col min="13" max="13" width="9" style="681" customWidth="1"/>
    <col min="14" max="14" width="9.28515625" style="681" customWidth="1"/>
    <col min="15" max="15" width="11.42578125" style="681" customWidth="1"/>
    <col min="16" max="16" width="10.5703125" style="681" customWidth="1"/>
    <col min="17" max="21" width="8.85546875" style="681"/>
    <col min="22" max="22" width="9.28515625" style="681" customWidth="1"/>
    <col min="23" max="16384" width="8.85546875" style="681"/>
  </cols>
  <sheetData>
    <row r="1" spans="1:24" s="669" customFormat="1" ht="27.6" customHeight="1" thickBot="1">
      <c r="A1" s="664"/>
      <c r="B1" s="847" t="s">
        <v>437</v>
      </c>
      <c r="C1" s="665" t="s">
        <v>46</v>
      </c>
      <c r="D1" s="666" t="s">
        <v>47</v>
      </c>
      <c r="E1" s="666" t="s">
        <v>48</v>
      </c>
      <c r="F1" s="667" t="s">
        <v>49</v>
      </c>
      <c r="G1" s="666" t="s">
        <v>50</v>
      </c>
      <c r="H1" s="666" t="s">
        <v>51</v>
      </c>
      <c r="I1" s="666" t="s">
        <v>52</v>
      </c>
      <c r="J1" s="666" t="s">
        <v>53</v>
      </c>
      <c r="K1" s="666" t="s">
        <v>54</v>
      </c>
      <c r="L1" s="666" t="s">
        <v>55</v>
      </c>
      <c r="M1" s="930" t="s">
        <v>56</v>
      </c>
      <c r="N1" s="931"/>
      <c r="O1" s="668" t="s">
        <v>57</v>
      </c>
      <c r="P1" s="848" t="s">
        <v>441</v>
      </c>
    </row>
    <row r="2" spans="1:24" s="669" customFormat="1" ht="34.9" customHeight="1">
      <c r="A2" s="670" t="s">
        <v>402</v>
      </c>
      <c r="B2" s="670"/>
      <c r="C2" s="62"/>
      <c r="D2" s="63"/>
      <c r="E2" s="63"/>
      <c r="F2" s="63"/>
      <c r="G2" s="63"/>
      <c r="H2" s="63"/>
      <c r="I2" s="63"/>
      <c r="J2" s="63"/>
      <c r="K2" s="63"/>
      <c r="L2" s="63"/>
      <c r="M2" s="63" t="s">
        <v>453</v>
      </c>
      <c r="N2" s="63" t="s">
        <v>454</v>
      </c>
      <c r="O2" s="64"/>
      <c r="P2" s="65"/>
      <c r="R2" s="671"/>
      <c r="S2" s="672"/>
      <c r="T2" s="672"/>
      <c r="U2" s="672"/>
      <c r="V2" s="672"/>
    </row>
    <row r="3" spans="1:24" ht="12.75">
      <c r="A3" s="673" t="s">
        <v>4</v>
      </c>
      <c r="B3" s="674">
        <f>+'[3]7.SZ.TÁBL. PÉNZE. ÁTAD - ÁTVÉT'!$O3</f>
        <v>25768</v>
      </c>
      <c r="C3" s="675">
        <v>2307</v>
      </c>
      <c r="D3" s="676">
        <v>2307</v>
      </c>
      <c r="E3" s="676">
        <v>2307</v>
      </c>
      <c r="F3" s="676">
        <v>4008</v>
      </c>
      <c r="G3" s="676"/>
      <c r="H3" s="676">
        <v>2093</v>
      </c>
      <c r="I3" s="676">
        <v>2280</v>
      </c>
      <c r="J3" s="676">
        <v>6754</v>
      </c>
      <c r="K3" s="676">
        <v>942</v>
      </c>
      <c r="L3" s="676">
        <v>942</v>
      </c>
      <c r="M3" s="862">
        <v>1310</v>
      </c>
      <c r="N3" s="676">
        <f>-6857-1518</f>
        <v>-8375</v>
      </c>
      <c r="O3" s="677">
        <f>+V3</f>
        <v>1309</v>
      </c>
      <c r="P3" s="674">
        <f t="shared" ref="P3:P10" si="0">SUM(C3:O3)</f>
        <v>18184</v>
      </c>
      <c r="Q3" s="678"/>
      <c r="R3" s="18">
        <f>+'2.SZ.TÁBL. BEVÉTELEK'!E7+'2.SZ.TÁBL. BEVÉTELEK'!E24+'2.SZ.TÁBL. BEVÉTELEK'!E29+'2.SZ.TÁBL. BEVÉTELEK'!E38+'2.SZ.TÁBL. BEVÉTELEK'!E48+'2.SZ.TÁBL. BEVÉTELEK'!E57+'2.SZ.TÁBL. BEVÉTELEK'!E16</f>
        <v>18184</v>
      </c>
      <c r="S3" s="20">
        <f t="shared" ref="S3:S10" si="1">+R3/12</f>
        <v>1515.3333333333333</v>
      </c>
      <c r="T3" s="42">
        <f>+'[5]7.SZ.TÁBL. PÉNZE. ÁTAD - ÁTVÉT'!$S3</f>
        <v>2093</v>
      </c>
      <c r="U3" s="19"/>
      <c r="V3" s="18">
        <f t="shared" ref="V3:V10" si="2">+R3-SUM(C3:N3)</f>
        <v>1309</v>
      </c>
    </row>
    <row r="4" spans="1:24" ht="12.75">
      <c r="A4" s="682" t="s">
        <v>6</v>
      </c>
      <c r="B4" s="674">
        <f>+'[3]7.SZ.TÁBL. PÉNZE. ÁTAD - ÁTVÉT'!$O4</f>
        <v>9509</v>
      </c>
      <c r="C4" s="675"/>
      <c r="D4" s="676"/>
      <c r="E4" s="676">
        <v>1410</v>
      </c>
      <c r="F4" s="676">
        <v>705</v>
      </c>
      <c r="G4" s="676"/>
      <c r="H4" s="676">
        <v>2115</v>
      </c>
      <c r="I4" s="676">
        <v>1000</v>
      </c>
      <c r="J4" s="676">
        <v>3291</v>
      </c>
      <c r="K4" s="676"/>
      <c r="L4" s="676"/>
      <c r="M4" s="862">
        <v>790</v>
      </c>
      <c r="N4" s="676">
        <f>-157-576</f>
        <v>-733</v>
      </c>
      <c r="O4" s="677">
        <f t="shared" ref="O4:O9" si="3">+V4</f>
        <v>790</v>
      </c>
      <c r="P4" s="674">
        <f t="shared" si="0"/>
        <v>9368</v>
      </c>
      <c r="Q4" s="679"/>
      <c r="R4" s="18">
        <f>+'2.SZ.TÁBL. BEVÉTELEK'!E9+'2.SZ.TÁBL. BEVÉTELEK'!E25+'2.SZ.TÁBL. BEVÉTELEK'!E30+'2.SZ.TÁBL. BEVÉTELEK'!E40+'2.SZ.TÁBL. BEVÉTELEK'!E49+'2.SZ.TÁBL. BEVÉTELEK'!E59+'2.SZ.TÁBL. BEVÉTELEK'!E80+'2.SZ.TÁBL. BEVÉTELEK'!E17</f>
        <v>9368</v>
      </c>
      <c r="S4" s="20">
        <f t="shared" si="1"/>
        <v>780.66666666666663</v>
      </c>
      <c r="T4" s="42">
        <f>+'[5]7.SZ.TÁBL. PÉNZE. ÁTAD - ÁTVÉT'!$S4</f>
        <v>705</v>
      </c>
      <c r="U4" s="19"/>
      <c r="V4" s="18">
        <f t="shared" si="2"/>
        <v>790</v>
      </c>
    </row>
    <row r="5" spans="1:24" ht="12.75">
      <c r="A5" s="682" t="s">
        <v>5</v>
      </c>
      <c r="B5" s="674">
        <f>+'[3]7.SZ.TÁBL. PÉNZE. ÁTAD - ÁTVÉT'!$O5</f>
        <v>4748</v>
      </c>
      <c r="C5" s="675"/>
      <c r="D5" s="676"/>
      <c r="E5" s="676"/>
      <c r="F5" s="676">
        <v>2374</v>
      </c>
      <c r="G5" s="676"/>
      <c r="H5" s="676"/>
      <c r="I5" s="676"/>
      <c r="J5" s="676"/>
      <c r="K5" s="676">
        <v>2374</v>
      </c>
      <c r="L5" s="676"/>
      <c r="M5" s="862"/>
      <c r="N5" s="676"/>
      <c r="O5" s="677">
        <f t="shared" si="3"/>
        <v>0</v>
      </c>
      <c r="P5" s="674">
        <f t="shared" si="0"/>
        <v>4748</v>
      </c>
      <c r="R5" s="18">
        <f>+'2.SZ.TÁBL. BEVÉTELEK'!E8+'2.SZ.TÁBL. BEVÉTELEK'!E39+'2.SZ.TÁBL. BEVÉTELEK'!E58</f>
        <v>4748</v>
      </c>
      <c r="S5" s="20">
        <f t="shared" si="1"/>
        <v>395.66666666666669</v>
      </c>
      <c r="T5" s="42">
        <f>+'[5]7.SZ.TÁBL. PÉNZE. ÁTAD - ÁTVÉT'!$S5</f>
        <v>396</v>
      </c>
      <c r="U5" s="19"/>
      <c r="V5" s="18">
        <f t="shared" si="2"/>
        <v>0</v>
      </c>
    </row>
    <row r="6" spans="1:24" ht="12.75">
      <c r="A6" s="682" t="s">
        <v>7</v>
      </c>
      <c r="B6" s="674">
        <f>+'[3]7.SZ.TÁBL. PÉNZE. ÁTAD - ÁTVÉT'!$O6</f>
        <v>3404</v>
      </c>
      <c r="C6" s="675">
        <v>295</v>
      </c>
      <c r="D6" s="676">
        <v>295</v>
      </c>
      <c r="E6" s="676">
        <v>295</v>
      </c>
      <c r="F6" s="676">
        <v>295</v>
      </c>
      <c r="G6" s="676">
        <v>295</v>
      </c>
      <c r="H6" s="676">
        <v>295</v>
      </c>
      <c r="I6" s="676">
        <v>218</v>
      </c>
      <c r="J6" s="676">
        <v>284</v>
      </c>
      <c r="K6" s="676">
        <f>+$T$6</f>
        <v>284</v>
      </c>
      <c r="L6" s="676">
        <f>+$T$6</f>
        <v>284</v>
      </c>
      <c r="M6" s="862">
        <v>324</v>
      </c>
      <c r="N6" s="676">
        <v>-499</v>
      </c>
      <c r="O6" s="677">
        <f t="shared" si="3"/>
        <v>325</v>
      </c>
      <c r="P6" s="674">
        <f t="shared" si="0"/>
        <v>2990</v>
      </c>
      <c r="R6" s="18">
        <f>+'2.SZ.TÁBL. BEVÉTELEK'!E10+'2.SZ.TÁBL. BEVÉTELEK'!E31+'2.SZ.TÁBL. BEVÉTELEK'!E41+'2.SZ.TÁBL. BEVÉTELEK'!E50+'2.SZ.TÁBL. BEVÉTELEK'!E60+'2.SZ.TÁBL. BEVÉTELEK'!E18</f>
        <v>2990</v>
      </c>
      <c r="S6" s="20">
        <f t="shared" si="1"/>
        <v>249.16666666666666</v>
      </c>
      <c r="T6" s="42">
        <f>+'[5]7.SZ.TÁBL. PÉNZE. ÁTAD - ÁTVÉT'!$S6</f>
        <v>284</v>
      </c>
      <c r="U6" s="19"/>
      <c r="V6" s="18">
        <f t="shared" si="2"/>
        <v>325</v>
      </c>
    </row>
    <row r="7" spans="1:24" ht="12.75">
      <c r="A7" s="682" t="s">
        <v>8</v>
      </c>
      <c r="B7" s="674">
        <f>+'[3]7.SZ.TÁBL. PÉNZE. ÁTAD - ÁTVÉT'!$O7</f>
        <v>18377</v>
      </c>
      <c r="C7" s="675">
        <v>1595</v>
      </c>
      <c r="D7" s="676"/>
      <c r="E7" s="676">
        <v>4530</v>
      </c>
      <c r="F7" s="676"/>
      <c r="G7" s="676">
        <f>+$T$7</f>
        <v>1531</v>
      </c>
      <c r="H7" s="676">
        <v>1531</v>
      </c>
      <c r="I7" s="676"/>
      <c r="J7" s="676">
        <v>3063</v>
      </c>
      <c r="K7" s="676"/>
      <c r="L7" s="676">
        <v>3063</v>
      </c>
      <c r="M7" s="862">
        <v>1754</v>
      </c>
      <c r="N7" s="676">
        <v>-2729</v>
      </c>
      <c r="O7" s="677">
        <f t="shared" si="3"/>
        <v>1753</v>
      </c>
      <c r="P7" s="674">
        <f t="shared" si="0"/>
        <v>16091</v>
      </c>
      <c r="Q7" s="679"/>
      <c r="R7" s="18">
        <f>+'2.SZ.TÁBL. BEVÉTELEK'!E11+'2.SZ.TÁBL. BEVÉTELEK'!E32+'2.SZ.TÁBL. BEVÉTELEK'!E42+'2.SZ.TÁBL. BEVÉTELEK'!E51+'2.SZ.TÁBL. BEVÉTELEK'!E19</f>
        <v>16091</v>
      </c>
      <c r="S7" s="20">
        <f t="shared" si="1"/>
        <v>1340.9166666666667</v>
      </c>
      <c r="T7" s="42">
        <f>+'[5]7.SZ.TÁBL. PÉNZE. ÁTAD - ÁTVÉT'!$S7</f>
        <v>1531</v>
      </c>
      <c r="U7" s="19"/>
      <c r="V7" s="18">
        <f t="shared" si="2"/>
        <v>1753</v>
      </c>
    </row>
    <row r="8" spans="1:24" ht="12.75">
      <c r="A8" s="682" t="s">
        <v>9</v>
      </c>
      <c r="B8" s="674">
        <f>+'[3]7.SZ.TÁBL. PÉNZE. ÁTAD - ÁTVÉT'!$O8</f>
        <v>10884</v>
      </c>
      <c r="C8" s="675">
        <v>2020</v>
      </c>
      <c r="D8" s="676">
        <v>844</v>
      </c>
      <c r="E8" s="676">
        <v>844</v>
      </c>
      <c r="F8" s="676">
        <v>844</v>
      </c>
      <c r="G8" s="676">
        <v>844</v>
      </c>
      <c r="H8" s="676">
        <v>844</v>
      </c>
      <c r="I8" s="676">
        <v>634</v>
      </c>
      <c r="J8" s="676">
        <f>+$T$8</f>
        <v>809</v>
      </c>
      <c r="K8" s="676">
        <f>+$T$8</f>
        <v>809</v>
      </c>
      <c r="L8" s="676">
        <f>+$T$8</f>
        <v>809</v>
      </c>
      <c r="M8" s="862">
        <v>792</v>
      </c>
      <c r="N8" s="676">
        <v>-1534</v>
      </c>
      <c r="O8" s="677">
        <f t="shared" si="3"/>
        <v>791</v>
      </c>
      <c r="P8" s="674">
        <f t="shared" si="0"/>
        <v>9350</v>
      </c>
      <c r="Q8" s="679"/>
      <c r="R8" s="18">
        <f>+'2.SZ.TÁBL. BEVÉTELEK'!E12+'2.SZ.TÁBL. BEVÉTELEK'!E33+'2.SZ.TÁBL. BEVÉTELEK'!E43+'2.SZ.TÁBL. BEVÉTELEK'!E52+'2.SZ.TÁBL. BEVÉTELEK'!E61+'2.SZ.TÁBL. BEVÉTELEK'!E77</f>
        <v>9350</v>
      </c>
      <c r="S8" s="20">
        <f t="shared" si="1"/>
        <v>779.16666666666663</v>
      </c>
      <c r="T8" s="42">
        <f>+'[5]7.SZ.TÁBL. PÉNZE. ÁTAD - ÁTVÉT'!$S8</f>
        <v>809</v>
      </c>
      <c r="U8" s="19"/>
      <c r="V8" s="18">
        <f t="shared" si="2"/>
        <v>791</v>
      </c>
    </row>
    <row r="9" spans="1:24" ht="12.75">
      <c r="A9" s="683" t="s">
        <v>10</v>
      </c>
      <c r="B9" s="674">
        <f>+'[3]7.SZ.TÁBL. PÉNZE. ÁTAD - ÁTVÉT'!$O9</f>
        <v>10700</v>
      </c>
      <c r="C9" s="685">
        <v>1007</v>
      </c>
      <c r="D9" s="686">
        <v>1007</v>
      </c>
      <c r="E9" s="686">
        <v>455</v>
      </c>
      <c r="F9" s="686">
        <v>823</v>
      </c>
      <c r="G9" s="686">
        <v>1410</v>
      </c>
      <c r="H9" s="686">
        <v>1881</v>
      </c>
      <c r="I9" s="686"/>
      <c r="J9" s="686">
        <v>3858</v>
      </c>
      <c r="K9" s="686"/>
      <c r="L9" s="686"/>
      <c r="M9" s="862">
        <v>1373</v>
      </c>
      <c r="N9" s="686">
        <f>-3531-948</f>
        <v>-4479</v>
      </c>
      <c r="O9" s="687">
        <f t="shared" si="3"/>
        <v>1373</v>
      </c>
      <c r="P9" s="688">
        <f t="shared" si="0"/>
        <v>8708</v>
      </c>
      <c r="Q9" s="679"/>
      <c r="R9" s="18">
        <f>+'2.SZ.TÁBL. BEVÉTELEK'!E13+'2.SZ.TÁBL. BEVÉTELEK'!E26+'2.SZ.TÁBL. BEVÉTELEK'!E34+'2.SZ.TÁBL. BEVÉTELEK'!E44+'2.SZ.TÁBL. BEVÉTELEK'!E53+'2.SZ.TÁBL. BEVÉTELEK'!E62+'2.SZ.TÁBL. BEVÉTELEK'!E20</f>
        <v>8708</v>
      </c>
      <c r="S9" s="20">
        <f t="shared" si="1"/>
        <v>725.66666666666663</v>
      </c>
      <c r="T9" s="42">
        <f>+'[5]7.SZ.TÁBL. PÉNZE. ÁTAD - ÁTVÉT'!$S9</f>
        <v>823</v>
      </c>
      <c r="U9" s="19"/>
      <c r="V9" s="18">
        <f t="shared" si="2"/>
        <v>1373</v>
      </c>
    </row>
    <row r="10" spans="1:24" ht="13.5" thickBot="1">
      <c r="A10" s="689" t="s">
        <v>295</v>
      </c>
      <c r="B10" s="674">
        <f>+'[3]7.SZ.TÁBL. PÉNZE. ÁTAD - ÁTVÉT'!$O10</f>
        <v>5779</v>
      </c>
      <c r="C10" s="685">
        <v>503</v>
      </c>
      <c r="D10" s="686">
        <v>503</v>
      </c>
      <c r="E10" s="686">
        <v>503</v>
      </c>
      <c r="F10" s="686">
        <v>503</v>
      </c>
      <c r="G10" s="686">
        <v>503</v>
      </c>
      <c r="H10" s="686">
        <v>503</v>
      </c>
      <c r="I10" s="686">
        <v>503</v>
      </c>
      <c r="J10" s="686">
        <v>503</v>
      </c>
      <c r="K10" s="686">
        <v>503</v>
      </c>
      <c r="L10" s="686">
        <v>503</v>
      </c>
      <c r="M10" s="863">
        <v>473</v>
      </c>
      <c r="N10" s="686">
        <v>-1065</v>
      </c>
      <c r="O10" s="687">
        <f t="shared" ref="O10" si="4">+V10</f>
        <v>474</v>
      </c>
      <c r="P10" s="684">
        <f t="shared" si="0"/>
        <v>4912</v>
      </c>
      <c r="Q10" s="679"/>
      <c r="R10" s="18">
        <f>+'2.SZ.TÁBL. BEVÉTELEK'!E35+'2.SZ.TÁBL. BEVÉTELEK'!E45+'2.SZ.TÁBL. BEVÉTELEK'!E54+'2.SZ.TÁBL. BEVÉTELEK'!E63+'2.SZ.TÁBL. BEVÉTELEK'!E21</f>
        <v>4912</v>
      </c>
      <c r="S10" s="20">
        <f t="shared" si="1"/>
        <v>409.33333333333331</v>
      </c>
      <c r="T10" s="42">
        <f>+'[5]7.SZ.TÁBL. PÉNZE. ÁTAD - ÁTVÉT'!$S10</f>
        <v>482</v>
      </c>
      <c r="U10" s="19"/>
      <c r="V10" s="18">
        <f t="shared" si="2"/>
        <v>474</v>
      </c>
    </row>
    <row r="11" spans="1:24" ht="13.5" thickBot="1">
      <c r="A11" s="690" t="s">
        <v>21</v>
      </c>
      <c r="B11" s="691">
        <f>SUM(B3:B10)</f>
        <v>89169</v>
      </c>
      <c r="C11" s="692">
        <f>SUM(C3:C10)</f>
        <v>7727</v>
      </c>
      <c r="D11" s="693">
        <f t="shared" ref="D11:O11" si="5">SUM(D3:D10)</f>
        <v>4956</v>
      </c>
      <c r="E11" s="693">
        <f t="shared" si="5"/>
        <v>10344</v>
      </c>
      <c r="F11" s="693">
        <f t="shared" si="5"/>
        <v>9552</v>
      </c>
      <c r="G11" s="693">
        <f t="shared" si="5"/>
        <v>4583</v>
      </c>
      <c r="H11" s="693">
        <f t="shared" si="5"/>
        <v>9262</v>
      </c>
      <c r="I11" s="693">
        <f t="shared" si="5"/>
        <v>4635</v>
      </c>
      <c r="J11" s="693">
        <f t="shared" si="5"/>
        <v>18562</v>
      </c>
      <c r="K11" s="693">
        <f t="shared" si="5"/>
        <v>4912</v>
      </c>
      <c r="L11" s="693">
        <f t="shared" si="5"/>
        <v>5601</v>
      </c>
      <c r="M11" s="693">
        <f t="shared" si="5"/>
        <v>6816</v>
      </c>
      <c r="N11" s="693">
        <f t="shared" si="5"/>
        <v>-19414</v>
      </c>
      <c r="O11" s="693">
        <f t="shared" si="5"/>
        <v>6815</v>
      </c>
      <c r="P11" s="691">
        <f>SUM(P3:P10)</f>
        <v>74351</v>
      </c>
      <c r="R11" s="20"/>
      <c r="S11" s="20"/>
      <c r="T11" s="20"/>
      <c r="U11" s="20"/>
      <c r="V11" s="20"/>
    </row>
    <row r="12" spans="1:24" s="699" customFormat="1" ht="22.5" customHeight="1">
      <c r="A12" s="694" t="s">
        <v>359</v>
      </c>
      <c r="B12" s="684">
        <f>+'[3]7.SZ.TÁBL. PÉNZE. ÁTAD - ÁTVÉT'!$O$12</f>
        <v>219908</v>
      </c>
      <c r="C12" s="695">
        <v>14254</v>
      </c>
      <c r="D12" s="696">
        <v>7698</v>
      </c>
      <c r="E12" s="696">
        <v>27475</v>
      </c>
      <c r="F12" s="696">
        <v>17273</v>
      </c>
      <c r="G12" s="696">
        <v>23389</v>
      </c>
      <c r="H12" s="696">
        <v>29623</v>
      </c>
      <c r="I12" s="696">
        <v>24821</v>
      </c>
      <c r="J12" s="696">
        <v>20355</v>
      </c>
      <c r="K12" s="696">
        <v>9013</v>
      </c>
      <c r="L12" s="696">
        <v>5899</v>
      </c>
      <c r="M12" s="696"/>
      <c r="N12" s="696">
        <v>4000</v>
      </c>
      <c r="O12" s="697">
        <f>+V12</f>
        <v>3377</v>
      </c>
      <c r="P12" s="698">
        <f>SUM(C12:O12)</f>
        <v>187177</v>
      </c>
      <c r="R12" s="746">
        <f>+'2.SZ.TÁBL. BEVÉTELEK'!E68</f>
        <v>187177</v>
      </c>
      <c r="S12" s="747">
        <f>+R12/12</f>
        <v>15598.083333333334</v>
      </c>
      <c r="T12" s="748">
        <f>+'[5]7.SZ.TÁBL. PÉNZE. ÁTAD - ÁTVÉT'!$S$13</f>
        <v>17782</v>
      </c>
      <c r="U12" s="748">
        <f>9599+1631</f>
        <v>11230</v>
      </c>
      <c r="V12" s="46">
        <f>+R12-SUM(C12:N12)</f>
        <v>3377</v>
      </c>
      <c r="W12" s="700"/>
    </row>
    <row r="13" spans="1:24" ht="21" customHeight="1" thickBot="1">
      <c r="A13" s="703" t="s">
        <v>360</v>
      </c>
      <c r="B13" s="704">
        <f t="shared" ref="B13:P13" si="6">SUM(B12)</f>
        <v>219908</v>
      </c>
      <c r="C13" s="705">
        <f t="shared" si="6"/>
        <v>14254</v>
      </c>
      <c r="D13" s="705">
        <f t="shared" si="6"/>
        <v>7698</v>
      </c>
      <c r="E13" s="705">
        <f t="shared" si="6"/>
        <v>27475</v>
      </c>
      <c r="F13" s="705">
        <f t="shared" si="6"/>
        <v>17273</v>
      </c>
      <c r="G13" s="705">
        <f t="shared" si="6"/>
        <v>23389</v>
      </c>
      <c r="H13" s="705">
        <f t="shared" si="6"/>
        <v>29623</v>
      </c>
      <c r="I13" s="705">
        <f t="shared" si="6"/>
        <v>24821</v>
      </c>
      <c r="J13" s="705">
        <f t="shared" si="6"/>
        <v>20355</v>
      </c>
      <c r="K13" s="705">
        <f t="shared" si="6"/>
        <v>9013</v>
      </c>
      <c r="L13" s="705">
        <f t="shared" si="6"/>
        <v>5899</v>
      </c>
      <c r="M13" s="705"/>
      <c r="N13" s="705">
        <f t="shared" si="6"/>
        <v>4000</v>
      </c>
      <c r="O13" s="705">
        <f t="shared" si="6"/>
        <v>3377</v>
      </c>
      <c r="P13" s="704">
        <f t="shared" si="6"/>
        <v>187177</v>
      </c>
      <c r="R13" s="700"/>
      <c r="S13" s="701"/>
      <c r="T13" s="699"/>
      <c r="U13" s="699"/>
      <c r="V13" s="702"/>
      <c r="W13" s="700"/>
      <c r="X13" s="699"/>
    </row>
    <row r="14" spans="1:24" ht="22.5" customHeight="1" thickBot="1">
      <c r="A14" s="706" t="s">
        <v>361</v>
      </c>
      <c r="B14" s="707">
        <f>+B11+B13</f>
        <v>309077</v>
      </c>
      <c r="C14" s="708">
        <f>+C11+C13</f>
        <v>21981</v>
      </c>
      <c r="D14" s="709">
        <f>+D11+D13</f>
        <v>12654</v>
      </c>
      <c r="E14" s="709">
        <f t="shared" ref="E14:O14" si="7">+E11+E13</f>
        <v>37819</v>
      </c>
      <c r="F14" s="709">
        <f t="shared" si="7"/>
        <v>26825</v>
      </c>
      <c r="G14" s="709">
        <f t="shared" si="7"/>
        <v>27972</v>
      </c>
      <c r="H14" s="709">
        <f t="shared" si="7"/>
        <v>38885</v>
      </c>
      <c r="I14" s="709">
        <f t="shared" si="7"/>
        <v>29456</v>
      </c>
      <c r="J14" s="709">
        <f t="shared" si="7"/>
        <v>38917</v>
      </c>
      <c r="K14" s="709">
        <f t="shared" si="7"/>
        <v>13925</v>
      </c>
      <c r="L14" s="709">
        <f t="shared" si="7"/>
        <v>11500</v>
      </c>
      <c r="M14" s="709"/>
      <c r="N14" s="709">
        <f t="shared" si="7"/>
        <v>-15414</v>
      </c>
      <c r="O14" s="709">
        <f t="shared" si="7"/>
        <v>10192</v>
      </c>
      <c r="P14" s="707">
        <f>+P11+P13</f>
        <v>261528</v>
      </c>
      <c r="R14" s="700"/>
      <c r="S14" s="701"/>
      <c r="T14" s="699"/>
      <c r="U14" s="699"/>
      <c r="V14" s="702"/>
      <c r="W14" s="700"/>
      <c r="X14" s="699"/>
    </row>
    <row r="15" spans="1:24" ht="28.5" customHeight="1" thickBot="1">
      <c r="A15" s="710"/>
      <c r="B15" s="711"/>
      <c r="C15" s="711"/>
      <c r="D15" s="711"/>
      <c r="E15" s="711"/>
      <c r="F15" s="711"/>
      <c r="G15" s="711"/>
      <c r="H15" s="711"/>
      <c r="I15" s="711"/>
      <c r="J15" s="711"/>
      <c r="K15" s="711"/>
      <c r="L15" s="711"/>
      <c r="M15" s="711"/>
      <c r="N15" s="711"/>
      <c r="O15" s="711"/>
      <c r="Q15" s="700"/>
      <c r="R15" s="701"/>
      <c r="S15" s="699"/>
      <c r="T15" s="699"/>
      <c r="U15" s="702"/>
      <c r="V15" s="700"/>
      <c r="W15" s="699"/>
    </row>
    <row r="16" spans="1:24" ht="37.5" customHeight="1" thickBot="1">
      <c r="A16" s="738" t="s">
        <v>403</v>
      </c>
      <c r="B16" s="849" t="s">
        <v>437</v>
      </c>
      <c r="C16" s="665" t="s">
        <v>46</v>
      </c>
      <c r="D16" s="666" t="s">
        <v>47</v>
      </c>
      <c r="E16" s="666" t="s">
        <v>48</v>
      </c>
      <c r="F16" s="667" t="s">
        <v>49</v>
      </c>
      <c r="G16" s="666" t="s">
        <v>50</v>
      </c>
      <c r="H16" s="666" t="s">
        <v>51</v>
      </c>
      <c r="I16" s="666" t="s">
        <v>52</v>
      </c>
      <c r="J16" s="666" t="s">
        <v>53</v>
      </c>
      <c r="K16" s="666" t="s">
        <v>54</v>
      </c>
      <c r="L16" s="666" t="s">
        <v>55</v>
      </c>
      <c r="M16" s="666" t="s">
        <v>56</v>
      </c>
      <c r="N16" s="668" t="s">
        <v>57</v>
      </c>
      <c r="O16" s="848" t="s">
        <v>441</v>
      </c>
    </row>
    <row r="17" spans="1:22" ht="12.75">
      <c r="A17" s="850" t="s">
        <v>84</v>
      </c>
      <c r="B17" s="851">
        <f>+'[3]7.SZ.TÁBL. PÉNZE. ÁTAD - ÁTVÉT'!$O$17</f>
        <v>6926</v>
      </c>
      <c r="C17" s="852"/>
      <c r="D17" s="853"/>
      <c r="E17" s="853">
        <v>1731</v>
      </c>
      <c r="F17" s="853">
        <f t="shared" ref="F17:L17" si="8">+$S$17</f>
        <v>577</v>
      </c>
      <c r="G17" s="853">
        <f>+$S$17</f>
        <v>577</v>
      </c>
      <c r="H17" s="853"/>
      <c r="I17" s="853"/>
      <c r="J17" s="853">
        <v>1731</v>
      </c>
      <c r="K17" s="853">
        <f t="shared" si="8"/>
        <v>577</v>
      </c>
      <c r="L17" s="853">
        <f t="shared" si="8"/>
        <v>577</v>
      </c>
      <c r="M17" s="853">
        <v>578</v>
      </c>
      <c r="N17" s="854">
        <v>578</v>
      </c>
      <c r="O17" s="855">
        <f>SUM(C17:N17)</f>
        <v>6926</v>
      </c>
      <c r="Q17" s="749">
        <f>+'1.1.SZ.TÁBL. BEV - KIAD'!N87</f>
        <v>7288</v>
      </c>
      <c r="R17" s="20">
        <f>+Q17/12</f>
        <v>607.33333333333337</v>
      </c>
      <c r="S17" s="18">
        <v>577</v>
      </c>
      <c r="T17" s="18"/>
      <c r="U17" s="18">
        <f>+Q17-SUM(C17:M17)</f>
        <v>940</v>
      </c>
    </row>
    <row r="18" spans="1:22" s="861" customFormat="1" ht="24">
      <c r="A18" s="856" t="s">
        <v>452</v>
      </c>
      <c r="B18" s="857"/>
      <c r="C18" s="858"/>
      <c r="D18" s="859"/>
      <c r="E18" s="859"/>
      <c r="F18" s="859"/>
      <c r="G18" s="859"/>
      <c r="H18" s="859">
        <v>362</v>
      </c>
      <c r="I18" s="859"/>
      <c r="J18" s="859"/>
      <c r="K18" s="859"/>
      <c r="L18" s="859"/>
      <c r="M18" s="859"/>
      <c r="N18" s="860"/>
      <c r="O18" s="857">
        <f>SUM(C18:N18)</f>
        <v>362</v>
      </c>
      <c r="Q18" s="482"/>
      <c r="R18" s="460"/>
      <c r="S18" s="31"/>
      <c r="T18" s="31"/>
      <c r="U18" s="31"/>
    </row>
    <row r="19" spans="1:22">
      <c r="A19" s="716" t="s">
        <v>4</v>
      </c>
      <c r="B19" s="674">
        <f>+'[3]7.SZ.TÁBL. PÉNZE. ÁTAD - ÁTVÉT'!$O18</f>
        <v>3331</v>
      </c>
      <c r="C19" s="725"/>
      <c r="D19" s="729"/>
      <c r="E19" s="729"/>
      <c r="F19" s="729"/>
      <c r="G19" s="729">
        <v>3331</v>
      </c>
      <c r="H19" s="729"/>
      <c r="I19" s="729"/>
      <c r="J19" s="729"/>
      <c r="K19" s="729"/>
      <c r="L19" s="729"/>
      <c r="M19" s="729"/>
      <c r="N19" s="727"/>
      <c r="O19" s="674">
        <f t="shared" ref="O19:O27" si="9">SUM(C19:N19)</f>
        <v>3331</v>
      </c>
      <c r="Q19" s="718"/>
      <c r="R19" s="680"/>
      <c r="S19" s="679"/>
      <c r="T19" s="679"/>
      <c r="U19" s="679"/>
    </row>
    <row r="20" spans="1:22">
      <c r="A20" s="721" t="s">
        <v>5</v>
      </c>
      <c r="B20" s="674">
        <f>+'[3]7.SZ.TÁBL. PÉNZE. ÁTAD - ÁTVÉT'!$O19</f>
        <v>108</v>
      </c>
      <c r="C20" s="675"/>
      <c r="D20" s="676"/>
      <c r="E20" s="676"/>
      <c r="F20" s="676"/>
      <c r="G20" s="676">
        <v>108</v>
      </c>
      <c r="H20" s="676"/>
      <c r="I20" s="676"/>
      <c r="J20" s="676"/>
      <c r="K20" s="676"/>
      <c r="L20" s="676"/>
      <c r="M20" s="676"/>
      <c r="N20" s="717"/>
      <c r="O20" s="688">
        <f t="shared" si="9"/>
        <v>108</v>
      </c>
      <c r="Q20" s="718"/>
      <c r="R20" s="680"/>
      <c r="S20" s="679"/>
      <c r="T20" s="679"/>
      <c r="U20" s="679"/>
    </row>
    <row r="21" spans="1:22">
      <c r="A21" s="721" t="s">
        <v>6</v>
      </c>
      <c r="B21" s="674">
        <f>+'[3]7.SZ.TÁBL. PÉNZE. ÁTAD - ÁTVÉT'!$O20</f>
        <v>0</v>
      </c>
      <c r="C21" s="675"/>
      <c r="D21" s="676"/>
      <c r="E21" s="676"/>
      <c r="F21" s="676"/>
      <c r="G21" s="676"/>
      <c r="H21" s="676"/>
      <c r="I21" s="676"/>
      <c r="J21" s="676"/>
      <c r="K21" s="676"/>
      <c r="L21" s="676"/>
      <c r="M21" s="676"/>
      <c r="N21" s="717"/>
      <c r="O21" s="688">
        <f t="shared" si="9"/>
        <v>0</v>
      </c>
      <c r="Q21" s="718"/>
      <c r="R21" s="680"/>
      <c r="S21" s="679"/>
      <c r="T21" s="679"/>
      <c r="U21" s="679"/>
    </row>
    <row r="22" spans="1:22">
      <c r="A22" s="721" t="s">
        <v>7</v>
      </c>
      <c r="B22" s="674">
        <f>+'[3]7.SZ.TÁBL. PÉNZE. ÁTAD - ÁTVÉT'!$O21</f>
        <v>269</v>
      </c>
      <c r="C22" s="675"/>
      <c r="D22" s="676"/>
      <c r="E22" s="676"/>
      <c r="F22" s="676"/>
      <c r="G22" s="676">
        <v>269</v>
      </c>
      <c r="H22" s="676"/>
      <c r="I22" s="676"/>
      <c r="J22" s="676"/>
      <c r="K22" s="676"/>
      <c r="L22" s="676"/>
      <c r="M22" s="676"/>
      <c r="N22" s="717"/>
      <c r="O22" s="688">
        <f t="shared" si="9"/>
        <v>269</v>
      </c>
      <c r="Q22" s="718"/>
      <c r="R22" s="680"/>
      <c r="S22" s="679"/>
      <c r="T22" s="679"/>
      <c r="U22" s="679"/>
    </row>
    <row r="23" spans="1:22">
      <c r="A23" s="721" t="s">
        <v>8</v>
      </c>
      <c r="B23" s="674">
        <f>+'[3]7.SZ.TÁBL. PÉNZE. ÁTAD - ÁTVÉT'!$O22</f>
        <v>1634</v>
      </c>
      <c r="C23" s="675"/>
      <c r="D23" s="676"/>
      <c r="E23" s="676"/>
      <c r="F23" s="676"/>
      <c r="G23" s="676">
        <v>1634</v>
      </c>
      <c r="H23" s="676"/>
      <c r="I23" s="676"/>
      <c r="J23" s="676"/>
      <c r="K23" s="676"/>
      <c r="L23" s="676"/>
      <c r="M23" s="676"/>
      <c r="N23" s="717"/>
      <c r="O23" s="688">
        <f t="shared" si="9"/>
        <v>1634</v>
      </c>
      <c r="Q23" s="718"/>
      <c r="R23" s="680"/>
      <c r="S23" s="679"/>
      <c r="T23" s="679"/>
      <c r="U23" s="679"/>
    </row>
    <row r="24" spans="1:22">
      <c r="A24" s="721" t="s">
        <v>9</v>
      </c>
      <c r="B24" s="674">
        <f>+'[3]7.SZ.TÁBL. PÉNZE. ÁTAD - ÁTVÉT'!$O23</f>
        <v>953</v>
      </c>
      <c r="C24" s="675"/>
      <c r="D24" s="676"/>
      <c r="E24" s="676"/>
      <c r="F24" s="676"/>
      <c r="G24" s="676">
        <v>953</v>
      </c>
      <c r="H24" s="676"/>
      <c r="I24" s="676"/>
      <c r="J24" s="676"/>
      <c r="K24" s="676"/>
      <c r="L24" s="676"/>
      <c r="M24" s="676"/>
      <c r="N24" s="717"/>
      <c r="O24" s="688">
        <f t="shared" ref="O24" si="10">SUM(C24:N24)</f>
        <v>953</v>
      </c>
      <c r="Q24" s="718"/>
      <c r="R24" s="680"/>
      <c r="S24" s="679"/>
      <c r="T24" s="679"/>
      <c r="U24" s="679"/>
    </row>
    <row r="25" spans="1:22">
      <c r="A25" s="721" t="s">
        <v>10</v>
      </c>
      <c r="B25" s="674">
        <f>+'[3]7.SZ.TÁBL. PÉNZE. ÁTAD - ÁTVÉT'!$O24</f>
        <v>2330</v>
      </c>
      <c r="C25" s="675"/>
      <c r="D25" s="676"/>
      <c r="E25" s="676"/>
      <c r="F25" s="676"/>
      <c r="G25" s="676">
        <v>2330</v>
      </c>
      <c r="H25" s="676"/>
      <c r="I25" s="676"/>
      <c r="J25" s="676"/>
      <c r="K25" s="676"/>
      <c r="L25" s="676"/>
      <c r="M25" s="676"/>
      <c r="N25" s="717"/>
      <c r="O25" s="688">
        <f t="shared" si="9"/>
        <v>2330</v>
      </c>
      <c r="Q25" s="718"/>
      <c r="R25" s="680"/>
      <c r="S25" s="679"/>
      <c r="T25" s="679"/>
      <c r="U25" s="679"/>
    </row>
    <row r="26" spans="1:22">
      <c r="A26" s="730" t="s">
        <v>295</v>
      </c>
      <c r="B26" s="674">
        <f>+'[3]7.SZ.TÁBL. PÉNZE. ÁTAD - ÁTVÉT'!$O25</f>
        <v>430</v>
      </c>
      <c r="C26" s="685"/>
      <c r="D26" s="686"/>
      <c r="E26" s="686"/>
      <c r="F26" s="686"/>
      <c r="G26" s="686">
        <v>430</v>
      </c>
      <c r="H26" s="686"/>
      <c r="I26" s="686"/>
      <c r="J26" s="686"/>
      <c r="K26" s="686"/>
      <c r="L26" s="686"/>
      <c r="M26" s="686"/>
      <c r="N26" s="732"/>
      <c r="O26" s="731">
        <f t="shared" si="9"/>
        <v>430</v>
      </c>
      <c r="Q26" s="718"/>
      <c r="R26" s="680"/>
      <c r="S26" s="679"/>
      <c r="T26" s="679"/>
      <c r="U26" s="679"/>
    </row>
    <row r="27" spans="1:22" ht="12.75" thickBot="1">
      <c r="A27" s="733" t="s">
        <v>428</v>
      </c>
      <c r="B27" s="734">
        <f>+'[3]7.SZ.TÁBL. PÉNZE. ÁTAD - ÁTVÉT'!$O$26</f>
        <v>9055</v>
      </c>
      <c r="C27" s="735"/>
      <c r="D27" s="736"/>
      <c r="E27" s="736"/>
      <c r="F27" s="736">
        <f>SUM(F19:F26)</f>
        <v>0</v>
      </c>
      <c r="G27" s="736">
        <f>SUM(G19:G26)</f>
        <v>9055</v>
      </c>
      <c r="H27" s="736">
        <f>SUM(H19:H26)</f>
        <v>0</v>
      </c>
      <c r="I27" s="736"/>
      <c r="J27" s="736"/>
      <c r="K27" s="736"/>
      <c r="L27" s="736"/>
      <c r="M27" s="736"/>
      <c r="N27" s="737"/>
      <c r="O27" s="734">
        <f t="shared" si="9"/>
        <v>9055</v>
      </c>
      <c r="Q27" s="718"/>
      <c r="R27" s="680"/>
      <c r="S27" s="679"/>
      <c r="T27" s="679"/>
      <c r="U27" s="679"/>
    </row>
    <row r="28" spans="1:22" ht="12.75" thickBot="1">
      <c r="A28" s="690" t="s">
        <v>21</v>
      </c>
      <c r="B28" s="691">
        <f>SUM(B17,B27,B18)</f>
        <v>15981</v>
      </c>
      <c r="C28" s="692">
        <f t="shared" ref="C28:O28" si="11">SUM(C17,C27,C18)</f>
        <v>0</v>
      </c>
      <c r="D28" s="693">
        <f t="shared" si="11"/>
        <v>0</v>
      </c>
      <c r="E28" s="693">
        <f t="shared" si="11"/>
        <v>1731</v>
      </c>
      <c r="F28" s="693">
        <f t="shared" si="11"/>
        <v>577</v>
      </c>
      <c r="G28" s="693">
        <f t="shared" si="11"/>
        <v>9632</v>
      </c>
      <c r="H28" s="693">
        <f t="shared" si="11"/>
        <v>362</v>
      </c>
      <c r="I28" s="693">
        <f t="shared" si="11"/>
        <v>0</v>
      </c>
      <c r="J28" s="693">
        <f t="shared" si="11"/>
        <v>1731</v>
      </c>
      <c r="K28" s="693">
        <f t="shared" si="11"/>
        <v>577</v>
      </c>
      <c r="L28" s="693">
        <f t="shared" si="11"/>
        <v>577</v>
      </c>
      <c r="M28" s="693">
        <f t="shared" si="11"/>
        <v>578</v>
      </c>
      <c r="N28" s="719">
        <f t="shared" si="11"/>
        <v>578</v>
      </c>
      <c r="O28" s="691">
        <f t="shared" si="11"/>
        <v>16343</v>
      </c>
      <c r="Q28" s="718"/>
      <c r="R28" s="679"/>
      <c r="S28" s="679"/>
      <c r="T28" s="679"/>
      <c r="U28" s="679"/>
      <c r="V28" s="679"/>
    </row>
    <row r="29" spans="1:22" ht="37.5" customHeight="1">
      <c r="A29" s="712" t="s">
        <v>417</v>
      </c>
      <c r="B29" s="715"/>
      <c r="C29" s="713"/>
      <c r="D29" s="720"/>
      <c r="E29" s="720"/>
      <c r="F29" s="720"/>
      <c r="G29" s="720"/>
      <c r="H29" s="720"/>
      <c r="I29" s="720"/>
      <c r="J29" s="720"/>
      <c r="K29" s="720"/>
      <c r="L29" s="720"/>
      <c r="M29" s="720"/>
      <c r="N29" s="714"/>
      <c r="O29" s="715"/>
      <c r="Q29" s="718"/>
      <c r="R29" s="680"/>
      <c r="S29" s="679"/>
      <c r="T29" s="679"/>
      <c r="U29" s="679"/>
      <c r="V29" s="679"/>
    </row>
    <row r="30" spans="1:22" ht="12" customHeight="1">
      <c r="A30" s="728" t="s">
        <v>404</v>
      </c>
      <c r="B30" s="674">
        <f>+'[3]7.SZ.TÁBL. PÉNZE. ÁTAD - ÁTVÉT'!$O$29</f>
        <v>288</v>
      </c>
      <c r="C30" s="725"/>
      <c r="D30" s="726"/>
      <c r="E30" s="726"/>
      <c r="F30" s="726">
        <v>288</v>
      </c>
      <c r="G30" s="726"/>
      <c r="H30" s="726"/>
      <c r="I30" s="726"/>
      <c r="J30" s="726"/>
      <c r="K30" s="726"/>
      <c r="L30" s="726"/>
      <c r="M30" s="726"/>
      <c r="N30" s="727"/>
      <c r="O30" s="674">
        <f>SUM(C30:N30)</f>
        <v>288</v>
      </c>
      <c r="Q30" s="718"/>
      <c r="R30" s="680"/>
      <c r="S30" s="679"/>
      <c r="T30" s="679"/>
      <c r="U30" s="679"/>
      <c r="V30" s="679"/>
    </row>
    <row r="31" spans="1:22" ht="12.75">
      <c r="A31" s="721" t="s">
        <v>344</v>
      </c>
      <c r="B31" s="688">
        <f>+'[5]7.SZ.TÁBL. PÉNZE. ÁTAD - ÁTVÉT'!$O$21</f>
        <v>0</v>
      </c>
      <c r="C31" s="675">
        <f>+$S$31</f>
        <v>0</v>
      </c>
      <c r="D31" s="722">
        <f t="shared" ref="D31:M31" si="12">+$S$31</f>
        <v>0</v>
      </c>
      <c r="E31" s="722">
        <f t="shared" si="12"/>
        <v>0</v>
      </c>
      <c r="F31" s="722">
        <f t="shared" si="12"/>
        <v>0</v>
      </c>
      <c r="G31" s="722">
        <f t="shared" si="12"/>
        <v>0</v>
      </c>
      <c r="H31" s="722">
        <f t="shared" si="12"/>
        <v>0</v>
      </c>
      <c r="I31" s="722">
        <f t="shared" si="12"/>
        <v>0</v>
      </c>
      <c r="J31" s="722">
        <f t="shared" si="12"/>
        <v>0</v>
      </c>
      <c r="K31" s="722">
        <f t="shared" si="12"/>
        <v>0</v>
      </c>
      <c r="L31" s="722">
        <f t="shared" si="12"/>
        <v>0</v>
      </c>
      <c r="M31" s="722">
        <f t="shared" si="12"/>
        <v>0</v>
      </c>
      <c r="N31" s="717">
        <f>+U31</f>
        <v>0</v>
      </c>
      <c r="O31" s="674">
        <f>SUM(C31:N31)</f>
        <v>0</v>
      </c>
      <c r="Q31" s="749">
        <f>+'[5]7.SZ.TÁBL. PÉNZE. ÁTAD - ÁTVÉT'!$Q21</f>
        <v>0</v>
      </c>
      <c r="R31" s="42">
        <f>+Q31/12</f>
        <v>0</v>
      </c>
      <c r="S31" s="42">
        <f>+'[5]7.SZ.TÁBL. PÉNZE. ÁTAD - ÁTVÉT'!$S21</f>
        <v>0</v>
      </c>
      <c r="T31" s="18"/>
      <c r="U31" s="18">
        <f>+Q31-SUM(C31:M31)</f>
        <v>0</v>
      </c>
    </row>
    <row r="32" spans="1:22" ht="13.5" thickBot="1">
      <c r="A32" s="721" t="s">
        <v>345</v>
      </c>
      <c r="B32" s="688">
        <f>+'[3]7.SZ.TÁBL. PÉNZE. ÁTAD - ÁTVÉT'!$O$31</f>
        <v>2654</v>
      </c>
      <c r="C32" s="675"/>
      <c r="D32" s="722"/>
      <c r="E32" s="722">
        <v>663</v>
      </c>
      <c r="F32" s="722">
        <f t="shared" ref="F32:G32" si="13">+$S$32</f>
        <v>221</v>
      </c>
      <c r="G32" s="722">
        <f t="shared" si="13"/>
        <v>221</v>
      </c>
      <c r="H32" s="722"/>
      <c r="I32" s="722"/>
      <c r="J32" s="722">
        <v>663</v>
      </c>
      <c r="K32" s="722"/>
      <c r="L32" s="722"/>
      <c r="M32" s="722"/>
      <c r="N32" s="717"/>
      <c r="O32" s="674">
        <f>SUM(C32:N32)</f>
        <v>1768</v>
      </c>
      <c r="Q32" s="749">
        <f>+'[5]7.SZ.TÁBL. PÉNZE. ÁTAD - ÁTVÉT'!$Q22</f>
        <v>2654</v>
      </c>
      <c r="R32" s="42">
        <f>+Q32/12</f>
        <v>221.16666666666666</v>
      </c>
      <c r="S32" s="42">
        <f>+'[5]7.SZ.TÁBL. PÉNZE. ÁTAD - ÁTVÉT'!$S22</f>
        <v>221</v>
      </c>
      <c r="T32" s="18"/>
      <c r="U32" s="18">
        <f>+Q32-SUM(C32:M32)</f>
        <v>886</v>
      </c>
    </row>
    <row r="33" spans="1:17" ht="12.75" thickBot="1">
      <c r="A33" s="723" t="s">
        <v>21</v>
      </c>
      <c r="B33" s="691">
        <f>SUM(B30:B32)</f>
        <v>2942</v>
      </c>
      <c r="C33" s="692">
        <f t="shared" ref="C33:N33" si="14">SUM(C30:C32)</f>
        <v>0</v>
      </c>
      <c r="D33" s="693">
        <f t="shared" si="14"/>
        <v>0</v>
      </c>
      <c r="E33" s="693">
        <f t="shared" si="14"/>
        <v>663</v>
      </c>
      <c r="F33" s="693">
        <f t="shared" si="14"/>
        <v>509</v>
      </c>
      <c r="G33" s="693">
        <f t="shared" si="14"/>
        <v>221</v>
      </c>
      <c r="H33" s="693">
        <f t="shared" si="14"/>
        <v>0</v>
      </c>
      <c r="I33" s="693">
        <f t="shared" si="14"/>
        <v>0</v>
      </c>
      <c r="J33" s="693">
        <f t="shared" si="14"/>
        <v>663</v>
      </c>
      <c r="K33" s="693">
        <f t="shared" si="14"/>
        <v>0</v>
      </c>
      <c r="L33" s="693">
        <f t="shared" si="14"/>
        <v>0</v>
      </c>
      <c r="M33" s="693">
        <f t="shared" si="14"/>
        <v>0</v>
      </c>
      <c r="N33" s="719">
        <f t="shared" si="14"/>
        <v>0</v>
      </c>
      <c r="O33" s="691">
        <f>SUM(O30:O32)</f>
        <v>2056</v>
      </c>
      <c r="Q33" s="718">
        <f>SUM(Q17:Q32)</f>
        <v>9942</v>
      </c>
    </row>
    <row r="101" spans="1:5">
      <c r="A101" s="724"/>
      <c r="B101" s="724"/>
      <c r="C101" s="724"/>
      <c r="D101" s="724"/>
      <c r="E101" s="724"/>
    </row>
  </sheetData>
  <mergeCells count="1">
    <mergeCell ref="M1:N1"/>
  </mergeCells>
  <phoneticPr fontId="34" type="noConversion"/>
  <printOptions horizontalCentered="1"/>
  <pageMargins left="0.15748031496062992" right="0.15748031496062992" top="1.2204724409448819" bottom="0.51181102362204722" header="0.35433070866141736" footer="0.15748031496062992"/>
  <pageSetup paperSize="9" scale="86" orientation="landscape" r:id="rId1"/>
  <headerFooter alignWithMargins="0">
    <oddHeader>&amp;L&amp;"Times New Roman,Félkövér"&amp;13Szent László Völgye TKT&amp;C&amp;"Times New Roman,Félkövér"&amp;16 2017. ÉVI II. KÖLTSÉGVETÉS MÓDOSÍTÁS&amp;R7. sz. táblázat
PÉNZESZKÖZ ÁTADÁS - ÁTVÉTEL
Adatok: eFt</oddHeader>
    <oddFooter>&amp;L&amp;F&amp;R&amp;P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11"/>
  </sheetPr>
  <dimension ref="A1:Q90"/>
  <sheetViews>
    <sheetView workbookViewId="0">
      <selection activeCell="C3" sqref="C3"/>
    </sheetView>
  </sheetViews>
  <sheetFormatPr defaultColWidth="9.140625" defaultRowHeight="15"/>
  <cols>
    <col min="1" max="1" width="32.42578125" style="25" customWidth="1"/>
    <col min="2" max="2" width="9.7109375" style="542" customWidth="1"/>
    <col min="3" max="10" width="8" style="542" bestFit="1" customWidth="1"/>
    <col min="11" max="11" width="10.140625" style="542" bestFit="1" customWidth="1"/>
    <col min="12" max="12" width="8" style="542" bestFit="1" customWidth="1"/>
    <col min="13" max="13" width="8.7109375" style="542" customWidth="1"/>
    <col min="14" max="14" width="8.85546875" style="543" bestFit="1" customWidth="1"/>
    <col min="15" max="15" width="9.7109375" style="542" customWidth="1"/>
    <col min="16" max="16" width="11.5703125" style="25" bestFit="1" customWidth="1"/>
    <col min="17" max="16384" width="9.140625" style="25"/>
  </cols>
  <sheetData>
    <row r="1" spans="1:17" ht="24.75" customHeight="1">
      <c r="A1" s="520" t="s">
        <v>171</v>
      </c>
      <c r="B1" s="513" t="s">
        <v>429</v>
      </c>
      <c r="C1" s="533" t="s">
        <v>59</v>
      </c>
      <c r="D1" s="512" t="s">
        <v>60</v>
      </c>
      <c r="E1" s="512" t="s">
        <v>61</v>
      </c>
      <c r="F1" s="512" t="s">
        <v>62</v>
      </c>
      <c r="G1" s="512" t="s">
        <v>63</v>
      </c>
      <c r="H1" s="512" t="s">
        <v>64</v>
      </c>
      <c r="I1" s="512" t="s">
        <v>65</v>
      </c>
      <c r="J1" s="512" t="s">
        <v>362</v>
      </c>
      <c r="K1" s="512" t="s">
        <v>66</v>
      </c>
      <c r="L1" s="512" t="s">
        <v>67</v>
      </c>
      <c r="M1" s="512" t="s">
        <v>68</v>
      </c>
      <c r="N1" s="537" t="s">
        <v>69</v>
      </c>
      <c r="O1" s="514" t="s">
        <v>363</v>
      </c>
    </row>
    <row r="2" spans="1:17" ht="23.25" customHeight="1">
      <c r="A2" s="521" t="s">
        <v>44</v>
      </c>
      <c r="B2" s="536"/>
      <c r="C2" s="534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38"/>
      <c r="O2" s="540"/>
    </row>
    <row r="3" spans="1:17" ht="15" customHeight="1">
      <c r="A3" s="522" t="s">
        <v>372</v>
      </c>
      <c r="B3" s="548">
        <f>+'1.SZ.TÁBL. TÁRSULÁS KON. MÉRLEG'!D2</f>
        <v>282588</v>
      </c>
      <c r="C3" s="549">
        <f>27297+2147</f>
        <v>29444</v>
      </c>
      <c r="D3" s="549">
        <f>27297+2147</f>
        <v>29444</v>
      </c>
      <c r="E3" s="549">
        <f>27297+2147</f>
        <v>29444</v>
      </c>
      <c r="F3" s="549">
        <f>27297+2147</f>
        <v>29444</v>
      </c>
      <c r="G3" s="549">
        <f>27297+2147</f>
        <v>29444</v>
      </c>
      <c r="H3" s="549">
        <v>19338</v>
      </c>
      <c r="I3" s="549">
        <v>19338</v>
      </c>
      <c r="J3" s="549">
        <v>19338</v>
      </c>
      <c r="K3" s="549">
        <v>19338</v>
      </c>
      <c r="L3" s="549">
        <v>19338</v>
      </c>
      <c r="M3" s="549">
        <v>19339</v>
      </c>
      <c r="N3" s="549">
        <v>19339</v>
      </c>
      <c r="O3" s="550">
        <f>SUM(C3:N3)</f>
        <v>282588</v>
      </c>
      <c r="P3" s="26"/>
    </row>
    <row r="4" spans="1:17" ht="15" customHeight="1">
      <c r="A4" s="522" t="s">
        <v>123</v>
      </c>
      <c r="B4" s="548">
        <f>+'1.SZ.TÁBL. TÁRSULÁS KON. MÉRLEG'!D3</f>
        <v>10536</v>
      </c>
      <c r="C4" s="549">
        <v>853</v>
      </c>
      <c r="D4" s="549">
        <v>853</v>
      </c>
      <c r="E4" s="549">
        <v>853</v>
      </c>
      <c r="F4" s="549">
        <v>853</v>
      </c>
      <c r="G4" s="549">
        <v>853</v>
      </c>
      <c r="H4" s="549">
        <v>896</v>
      </c>
      <c r="I4" s="549">
        <v>896</v>
      </c>
      <c r="J4" s="549">
        <v>896</v>
      </c>
      <c r="K4" s="549">
        <v>896</v>
      </c>
      <c r="L4" s="549">
        <v>896</v>
      </c>
      <c r="M4" s="549">
        <v>896</v>
      </c>
      <c r="N4" s="549">
        <v>895</v>
      </c>
      <c r="O4" s="550">
        <f t="shared" ref="O4:O5" si="0">SUM(C4:N4)</f>
        <v>10536</v>
      </c>
    </row>
    <row r="5" spans="1:17" ht="15" customHeight="1">
      <c r="A5" s="523" t="s">
        <v>368</v>
      </c>
      <c r="B5" s="553"/>
      <c r="C5" s="554"/>
      <c r="D5" s="555"/>
      <c r="E5" s="555"/>
      <c r="F5" s="555"/>
      <c r="G5" s="555"/>
      <c r="H5" s="555"/>
      <c r="I5" s="555"/>
      <c r="J5" s="555"/>
      <c r="K5" s="555"/>
      <c r="L5" s="555"/>
      <c r="M5" s="555"/>
      <c r="N5" s="556"/>
      <c r="O5" s="557">
        <f t="shared" si="0"/>
        <v>0</v>
      </c>
    </row>
    <row r="6" spans="1:17" ht="15" customHeight="1">
      <c r="A6" s="524" t="s">
        <v>370</v>
      </c>
      <c r="B6" s="558">
        <f>+SUM(B3:B5)</f>
        <v>293124</v>
      </c>
      <c r="C6" s="559">
        <f t="shared" ref="C6:O6" si="1">+SUM(C3:C5)</f>
        <v>30297</v>
      </c>
      <c r="D6" s="560">
        <f t="shared" si="1"/>
        <v>30297</v>
      </c>
      <c r="E6" s="560">
        <f t="shared" si="1"/>
        <v>30297</v>
      </c>
      <c r="F6" s="560">
        <f t="shared" si="1"/>
        <v>30297</v>
      </c>
      <c r="G6" s="560">
        <f t="shared" si="1"/>
        <v>30297</v>
      </c>
      <c r="H6" s="560">
        <f t="shared" si="1"/>
        <v>20234</v>
      </c>
      <c r="I6" s="560">
        <f t="shared" si="1"/>
        <v>20234</v>
      </c>
      <c r="J6" s="560">
        <f t="shared" si="1"/>
        <v>20234</v>
      </c>
      <c r="K6" s="560">
        <f t="shared" si="1"/>
        <v>20234</v>
      </c>
      <c r="L6" s="560">
        <f t="shared" si="1"/>
        <v>20234</v>
      </c>
      <c r="M6" s="560">
        <f t="shared" si="1"/>
        <v>20235</v>
      </c>
      <c r="N6" s="561">
        <f t="shared" si="1"/>
        <v>20234</v>
      </c>
      <c r="O6" s="562">
        <f t="shared" si="1"/>
        <v>293124</v>
      </c>
    </row>
    <row r="7" spans="1:17" s="47" customFormat="1" ht="15" customHeight="1">
      <c r="A7" s="525" t="s">
        <v>369</v>
      </c>
      <c r="B7" s="563">
        <f>+'1.SZ.TÁBL. TÁRSULÁS KON. MÉRLEG'!D11</f>
        <v>9261</v>
      </c>
      <c r="C7" s="564"/>
      <c r="D7" s="565"/>
      <c r="E7" s="565"/>
      <c r="F7" s="565"/>
      <c r="G7" s="565"/>
      <c r="H7" s="565"/>
      <c r="I7" s="565"/>
      <c r="J7" s="565"/>
      <c r="K7" s="565"/>
      <c r="L7" s="565"/>
      <c r="M7" s="565">
        <v>9261</v>
      </c>
      <c r="N7" s="566"/>
      <c r="O7" s="567">
        <f>SUM(C7:N7)</f>
        <v>9261</v>
      </c>
    </row>
    <row r="8" spans="1:17" ht="15" customHeight="1">
      <c r="A8" s="522" t="s">
        <v>124</v>
      </c>
      <c r="B8" s="548"/>
      <c r="C8" s="549"/>
      <c r="D8" s="551"/>
      <c r="E8" s="551"/>
      <c r="F8" s="551"/>
      <c r="G8" s="551"/>
      <c r="H8" s="551"/>
      <c r="I8" s="551"/>
      <c r="J8" s="551"/>
      <c r="K8" s="551"/>
      <c r="L8" s="551"/>
      <c r="M8" s="551"/>
      <c r="N8" s="552"/>
      <c r="O8" s="568">
        <f t="shared" ref="O8:O9" si="2">SUM(C8:N8)</f>
        <v>0</v>
      </c>
      <c r="P8" s="26"/>
    </row>
    <row r="9" spans="1:17" ht="15" customHeight="1">
      <c r="A9" s="523" t="s">
        <v>371</v>
      </c>
      <c r="B9" s="553"/>
      <c r="C9" s="554"/>
      <c r="D9" s="555"/>
      <c r="E9" s="555"/>
      <c r="F9" s="555"/>
      <c r="G9" s="555"/>
      <c r="H9" s="555"/>
      <c r="I9" s="555"/>
      <c r="J9" s="555"/>
      <c r="K9" s="555"/>
      <c r="L9" s="555"/>
      <c r="M9" s="555"/>
      <c r="N9" s="556"/>
      <c r="O9" s="569">
        <f t="shared" si="2"/>
        <v>0</v>
      </c>
      <c r="P9" s="26"/>
      <c r="Q9" s="26"/>
    </row>
    <row r="10" spans="1:17" ht="15" customHeight="1">
      <c r="A10" s="524" t="s">
        <v>373</v>
      </c>
      <c r="B10" s="558">
        <f>+SUM(B7:B9)</f>
        <v>9261</v>
      </c>
      <c r="C10" s="559">
        <f t="shared" ref="C10:N10" si="3">+SUM(C7:C9)</f>
        <v>0</v>
      </c>
      <c r="D10" s="560">
        <f t="shared" si="3"/>
        <v>0</v>
      </c>
      <c r="E10" s="560">
        <f t="shared" si="3"/>
        <v>0</v>
      </c>
      <c r="F10" s="560">
        <f t="shared" si="3"/>
        <v>0</v>
      </c>
      <c r="G10" s="560">
        <f t="shared" si="3"/>
        <v>0</v>
      </c>
      <c r="H10" s="560">
        <f t="shared" si="3"/>
        <v>0</v>
      </c>
      <c r="I10" s="560">
        <f t="shared" si="3"/>
        <v>0</v>
      </c>
      <c r="J10" s="560">
        <f t="shared" si="3"/>
        <v>0</v>
      </c>
      <c r="K10" s="560">
        <f t="shared" si="3"/>
        <v>0</v>
      </c>
      <c r="L10" s="560">
        <f t="shared" si="3"/>
        <v>0</v>
      </c>
      <c r="M10" s="560">
        <f t="shared" si="3"/>
        <v>9261</v>
      </c>
      <c r="N10" s="561">
        <f t="shared" si="3"/>
        <v>0</v>
      </c>
      <c r="O10" s="562">
        <f>+SUM(O7:O9)</f>
        <v>9261</v>
      </c>
      <c r="Q10" s="26"/>
    </row>
    <row r="11" spans="1:17" ht="15" customHeight="1">
      <c r="A11" s="525" t="s">
        <v>364</v>
      </c>
      <c r="B11" s="563"/>
      <c r="C11" s="564"/>
      <c r="D11" s="565"/>
      <c r="E11" s="565"/>
      <c r="F11" s="565"/>
      <c r="G11" s="565"/>
      <c r="H11" s="565"/>
      <c r="I11" s="565"/>
      <c r="J11" s="565"/>
      <c r="K11" s="565"/>
      <c r="L11" s="565"/>
      <c r="M11" s="565"/>
      <c r="N11" s="566"/>
      <c r="O11" s="567"/>
      <c r="P11" s="26"/>
      <c r="Q11" s="26"/>
    </row>
    <row r="12" spans="1:17" ht="15" customHeight="1">
      <c r="A12" s="522" t="s">
        <v>92</v>
      </c>
      <c r="B12" s="548">
        <f>+'1.SZ.TÁBL. TÁRSULÁS KON. MÉRLEG'!D5</f>
        <v>17047</v>
      </c>
      <c r="C12" s="549"/>
      <c r="D12" s="551"/>
      <c r="E12" s="551"/>
      <c r="F12" s="551"/>
      <c r="G12" s="551">
        <v>17047</v>
      </c>
      <c r="H12" s="551"/>
      <c r="I12" s="551"/>
      <c r="J12" s="551"/>
      <c r="K12" s="551"/>
      <c r="L12" s="551"/>
      <c r="M12" s="551"/>
      <c r="N12" s="552"/>
      <c r="O12" s="568">
        <f>SUM(C12:N12)</f>
        <v>17047</v>
      </c>
      <c r="P12" s="26"/>
    </row>
    <row r="13" spans="1:17" ht="15" customHeight="1">
      <c r="A13" s="523" t="s">
        <v>98</v>
      </c>
      <c r="B13" s="553"/>
      <c r="C13" s="554"/>
      <c r="D13" s="555"/>
      <c r="E13" s="555"/>
      <c r="F13" s="555"/>
      <c r="G13" s="555"/>
      <c r="H13" s="555"/>
      <c r="I13" s="555"/>
      <c r="J13" s="555"/>
      <c r="K13" s="555"/>
      <c r="L13" s="555"/>
      <c r="M13" s="555"/>
      <c r="N13" s="556"/>
      <c r="O13" s="569">
        <f>SUM(C13:N13)</f>
        <v>0</v>
      </c>
      <c r="P13" s="26"/>
    </row>
    <row r="14" spans="1:17" ht="15" customHeight="1">
      <c r="A14" s="144" t="s">
        <v>128</v>
      </c>
      <c r="B14" s="558">
        <f>+B13+B12</f>
        <v>17047</v>
      </c>
      <c r="C14" s="559">
        <f t="shared" ref="C14:O14" si="4">+C13+C12</f>
        <v>0</v>
      </c>
      <c r="D14" s="560">
        <f t="shared" si="4"/>
        <v>0</v>
      </c>
      <c r="E14" s="560">
        <f t="shared" si="4"/>
        <v>0</v>
      </c>
      <c r="F14" s="560">
        <f t="shared" si="4"/>
        <v>0</v>
      </c>
      <c r="G14" s="560">
        <f t="shared" si="4"/>
        <v>17047</v>
      </c>
      <c r="H14" s="560">
        <f t="shared" si="4"/>
        <v>0</v>
      </c>
      <c r="I14" s="560">
        <f t="shared" si="4"/>
        <v>0</v>
      </c>
      <c r="J14" s="560">
        <f t="shared" si="4"/>
        <v>0</v>
      </c>
      <c r="K14" s="560">
        <f t="shared" si="4"/>
        <v>0</v>
      </c>
      <c r="L14" s="560">
        <f t="shared" si="4"/>
        <v>0</v>
      </c>
      <c r="M14" s="560">
        <f t="shared" si="4"/>
        <v>0</v>
      </c>
      <c r="N14" s="561">
        <f t="shared" si="4"/>
        <v>0</v>
      </c>
      <c r="O14" s="562">
        <f t="shared" si="4"/>
        <v>17047</v>
      </c>
    </row>
    <row r="15" spans="1:17" s="47" customFormat="1" ht="15" customHeight="1">
      <c r="A15" s="144" t="s">
        <v>365</v>
      </c>
      <c r="B15" s="558">
        <f>+B14</f>
        <v>17047</v>
      </c>
      <c r="C15" s="559">
        <f t="shared" ref="C15:O15" si="5">+C14</f>
        <v>0</v>
      </c>
      <c r="D15" s="560">
        <f t="shared" si="5"/>
        <v>0</v>
      </c>
      <c r="E15" s="560">
        <f t="shared" si="5"/>
        <v>0</v>
      </c>
      <c r="F15" s="560">
        <f t="shared" si="5"/>
        <v>0</v>
      </c>
      <c r="G15" s="560">
        <f t="shared" si="5"/>
        <v>17047</v>
      </c>
      <c r="H15" s="560">
        <f t="shared" si="5"/>
        <v>0</v>
      </c>
      <c r="I15" s="560">
        <f t="shared" si="5"/>
        <v>0</v>
      </c>
      <c r="J15" s="560">
        <f t="shared" si="5"/>
        <v>0</v>
      </c>
      <c r="K15" s="560">
        <f t="shared" si="5"/>
        <v>0</v>
      </c>
      <c r="L15" s="560">
        <f t="shared" si="5"/>
        <v>0</v>
      </c>
      <c r="M15" s="560">
        <f t="shared" si="5"/>
        <v>0</v>
      </c>
      <c r="N15" s="561">
        <f t="shared" si="5"/>
        <v>0</v>
      </c>
      <c r="O15" s="562">
        <f t="shared" si="5"/>
        <v>17047</v>
      </c>
    </row>
    <row r="16" spans="1:17" ht="16.5" customHeight="1">
      <c r="A16" s="526" t="s">
        <v>0</v>
      </c>
      <c r="B16" s="570">
        <f>+B15+B10+B6</f>
        <v>319432</v>
      </c>
      <c r="C16" s="571">
        <f t="shared" ref="C16:O16" si="6">+C15+C10+C6</f>
        <v>30297</v>
      </c>
      <c r="D16" s="572">
        <f t="shared" si="6"/>
        <v>30297</v>
      </c>
      <c r="E16" s="572">
        <f t="shared" si="6"/>
        <v>30297</v>
      </c>
      <c r="F16" s="572">
        <f t="shared" si="6"/>
        <v>30297</v>
      </c>
      <c r="G16" s="572">
        <f t="shared" si="6"/>
        <v>47344</v>
      </c>
      <c r="H16" s="572">
        <f t="shared" si="6"/>
        <v>20234</v>
      </c>
      <c r="I16" s="572">
        <f t="shared" si="6"/>
        <v>20234</v>
      </c>
      <c r="J16" s="572">
        <f t="shared" si="6"/>
        <v>20234</v>
      </c>
      <c r="K16" s="572">
        <f t="shared" si="6"/>
        <v>20234</v>
      </c>
      <c r="L16" s="572">
        <f t="shared" si="6"/>
        <v>20234</v>
      </c>
      <c r="M16" s="572">
        <f t="shared" si="6"/>
        <v>29496</v>
      </c>
      <c r="N16" s="573">
        <f t="shared" si="6"/>
        <v>20234</v>
      </c>
      <c r="O16" s="574">
        <f t="shared" si="6"/>
        <v>319432</v>
      </c>
    </row>
    <row r="17" spans="1:15" ht="23.25" customHeight="1">
      <c r="A17" s="521" t="s">
        <v>83</v>
      </c>
      <c r="B17" s="575"/>
      <c r="C17" s="576"/>
      <c r="D17" s="577"/>
      <c r="E17" s="577"/>
      <c r="F17" s="577"/>
      <c r="G17" s="577"/>
      <c r="H17" s="577"/>
      <c r="I17" s="577"/>
      <c r="J17" s="577"/>
      <c r="K17" s="577"/>
      <c r="L17" s="577"/>
      <c r="M17" s="577"/>
      <c r="N17" s="578"/>
      <c r="O17" s="579"/>
    </row>
    <row r="18" spans="1:15" s="27" customFormat="1">
      <c r="A18" s="527" t="s">
        <v>132</v>
      </c>
      <c r="B18" s="548">
        <f>+'1.SZ.TÁBL. TÁRSULÁS KON. MÉRLEG'!I2</f>
        <v>167574</v>
      </c>
      <c r="C18" s="549">
        <f>15994+1482</f>
        <v>17476</v>
      </c>
      <c r="D18" s="549">
        <f>15994+1482</f>
        <v>17476</v>
      </c>
      <c r="E18" s="549">
        <f>15994+1482</f>
        <v>17476</v>
      </c>
      <c r="F18" s="549">
        <f>15994+1482</f>
        <v>17476</v>
      </c>
      <c r="G18" s="549">
        <f>15994+1483</f>
        <v>17477</v>
      </c>
      <c r="H18" s="549">
        <v>11456</v>
      </c>
      <c r="I18" s="549">
        <v>11456</v>
      </c>
      <c r="J18" s="549">
        <v>11456</v>
      </c>
      <c r="K18" s="549">
        <v>11456</v>
      </c>
      <c r="L18" s="549">
        <v>11456</v>
      </c>
      <c r="M18" s="549">
        <v>11456</v>
      </c>
      <c r="N18" s="552">
        <v>11457</v>
      </c>
      <c r="O18" s="550">
        <f>SUM(C18:N18)</f>
        <v>167574</v>
      </c>
    </row>
    <row r="19" spans="1:15" s="27" customFormat="1" ht="25.5">
      <c r="A19" s="527" t="s">
        <v>133</v>
      </c>
      <c r="B19" s="548">
        <f>+'1.SZ.TÁBL. TÁRSULÁS KON. MÉRLEG'!I3</f>
        <v>42729</v>
      </c>
      <c r="C19" s="549">
        <f>3892+328</f>
        <v>4220</v>
      </c>
      <c r="D19" s="549">
        <f>3892+328</f>
        <v>4220</v>
      </c>
      <c r="E19" s="549">
        <f>3892+328</f>
        <v>4220</v>
      </c>
      <c r="F19" s="549">
        <f>3892+328</f>
        <v>4220</v>
      </c>
      <c r="G19" s="549">
        <f>3892+328</f>
        <v>4220</v>
      </c>
      <c r="H19" s="549">
        <v>3090</v>
      </c>
      <c r="I19" s="549">
        <v>3090</v>
      </c>
      <c r="J19" s="549">
        <v>3090</v>
      </c>
      <c r="K19" s="549">
        <v>3090</v>
      </c>
      <c r="L19" s="549">
        <v>3090</v>
      </c>
      <c r="M19" s="549">
        <v>3090</v>
      </c>
      <c r="N19" s="551">
        <v>3089</v>
      </c>
      <c r="O19" s="550">
        <f t="shared" ref="O19:O23" si="7">SUM(C19:N19)</f>
        <v>42729</v>
      </c>
    </row>
    <row r="20" spans="1:15" s="27" customFormat="1">
      <c r="A20" s="527" t="s">
        <v>139</v>
      </c>
      <c r="B20" s="548">
        <f>+'1.SZ.TÁBL. TÁRSULÁS KON. MÉRLEG'!I4</f>
        <v>70363</v>
      </c>
      <c r="C20" s="549">
        <f>7170+376</f>
        <v>7546</v>
      </c>
      <c r="D20" s="549">
        <f>7170+376</f>
        <v>7546</v>
      </c>
      <c r="E20" s="549">
        <f>7170+376</f>
        <v>7546</v>
      </c>
      <c r="F20" s="549">
        <f>7170+376</f>
        <v>7546</v>
      </c>
      <c r="G20" s="549">
        <f>7170+376</f>
        <v>7546</v>
      </c>
      <c r="H20" s="549">
        <v>4662</v>
      </c>
      <c r="I20" s="549">
        <v>4662</v>
      </c>
      <c r="J20" s="549">
        <v>4662</v>
      </c>
      <c r="K20" s="549">
        <v>4662</v>
      </c>
      <c r="L20" s="549">
        <v>4662</v>
      </c>
      <c r="M20" s="549">
        <v>4662</v>
      </c>
      <c r="N20" s="551">
        <v>4661</v>
      </c>
      <c r="O20" s="550">
        <f t="shared" si="7"/>
        <v>70363</v>
      </c>
    </row>
    <row r="21" spans="1:15">
      <c r="A21" s="528" t="s">
        <v>366</v>
      </c>
      <c r="B21" s="548"/>
      <c r="C21" s="549"/>
      <c r="D21" s="551"/>
      <c r="E21" s="551"/>
      <c r="F21" s="551"/>
      <c r="G21" s="551"/>
      <c r="H21" s="551"/>
      <c r="I21" s="551"/>
      <c r="J21" s="551"/>
      <c r="K21" s="551"/>
      <c r="L21" s="551"/>
      <c r="M21" s="551"/>
      <c r="N21" s="552"/>
      <c r="O21" s="550">
        <f t="shared" si="7"/>
        <v>0</v>
      </c>
    </row>
    <row r="22" spans="1:15">
      <c r="A22" s="527" t="s">
        <v>140</v>
      </c>
      <c r="B22" s="548">
        <f>+'1.SZ.TÁBL. TÁRSULÁS KON. MÉRLEG'!I6</f>
        <v>21690</v>
      </c>
      <c r="C22" s="549">
        <v>798</v>
      </c>
      <c r="D22" s="549">
        <v>798</v>
      </c>
      <c r="E22" s="549">
        <v>798</v>
      </c>
      <c r="F22" s="549">
        <v>798</v>
      </c>
      <c r="G22" s="549">
        <f>798+9343</f>
        <v>10141</v>
      </c>
      <c r="H22" s="549">
        <v>1232</v>
      </c>
      <c r="I22" s="549">
        <v>1232</v>
      </c>
      <c r="J22" s="549">
        <v>1232</v>
      </c>
      <c r="K22" s="549">
        <v>1165</v>
      </c>
      <c r="L22" s="549">
        <v>1165</v>
      </c>
      <c r="M22" s="549">
        <v>1165</v>
      </c>
      <c r="N22" s="551">
        <v>1166</v>
      </c>
      <c r="O22" s="550">
        <f t="shared" si="7"/>
        <v>21690</v>
      </c>
    </row>
    <row r="23" spans="1:15">
      <c r="A23" s="529" t="s">
        <v>45</v>
      </c>
      <c r="B23" s="553">
        <f>+'1.SZ.TÁBL. TÁRSULÁS KON. MÉRLEG'!I7</f>
        <v>2986</v>
      </c>
      <c r="C23" s="554"/>
      <c r="D23" s="555"/>
      <c r="E23" s="555"/>
      <c r="F23" s="555"/>
      <c r="G23" s="555"/>
      <c r="H23" s="555"/>
      <c r="I23" s="555"/>
      <c r="J23" s="555"/>
      <c r="K23" s="555"/>
      <c r="L23" s="555"/>
      <c r="M23" s="555">
        <v>2986</v>
      </c>
      <c r="N23" s="556"/>
      <c r="O23" s="557">
        <f t="shared" si="7"/>
        <v>2986</v>
      </c>
    </row>
    <row r="24" spans="1:15">
      <c r="A24" s="524" t="s">
        <v>374</v>
      </c>
      <c r="B24" s="516">
        <f>SUM(B18:B23)</f>
        <v>305342</v>
      </c>
      <c r="C24" s="535">
        <f>SUM(C18:C23)</f>
        <v>30040</v>
      </c>
      <c r="D24" s="519">
        <f t="shared" ref="D24:N24" si="8">SUM(D18:D23)</f>
        <v>30040</v>
      </c>
      <c r="E24" s="519">
        <f t="shared" si="8"/>
        <v>30040</v>
      </c>
      <c r="F24" s="519">
        <f t="shared" si="8"/>
        <v>30040</v>
      </c>
      <c r="G24" s="519">
        <f t="shared" si="8"/>
        <v>39384</v>
      </c>
      <c r="H24" s="519">
        <f t="shared" si="8"/>
        <v>20440</v>
      </c>
      <c r="I24" s="519">
        <f t="shared" si="8"/>
        <v>20440</v>
      </c>
      <c r="J24" s="519">
        <f t="shared" si="8"/>
        <v>20440</v>
      </c>
      <c r="K24" s="519">
        <f t="shared" si="8"/>
        <v>20373</v>
      </c>
      <c r="L24" s="519">
        <f t="shared" si="8"/>
        <v>20373</v>
      </c>
      <c r="M24" s="519">
        <f t="shared" si="8"/>
        <v>23359</v>
      </c>
      <c r="N24" s="539">
        <f t="shared" si="8"/>
        <v>20373</v>
      </c>
      <c r="O24" s="517">
        <f>SUM(O18:O23)</f>
        <v>305342</v>
      </c>
    </row>
    <row r="25" spans="1:15">
      <c r="A25" s="530" t="s">
        <v>96</v>
      </c>
      <c r="B25" s="563">
        <f>+'1.SZ.TÁBL. TÁRSULÁS KON. MÉRLEG'!I11</f>
        <v>12369</v>
      </c>
      <c r="C25" s="564">
        <v>1251</v>
      </c>
      <c r="D25" s="565"/>
      <c r="E25" s="565"/>
      <c r="F25" s="565">
        <v>667</v>
      </c>
      <c r="G25" s="565"/>
      <c r="H25" s="565"/>
      <c r="I25" s="565"/>
      <c r="J25" s="565">
        <v>667</v>
      </c>
      <c r="K25" s="565"/>
      <c r="L25" s="565"/>
      <c r="M25" s="565">
        <v>9784</v>
      </c>
      <c r="N25" s="566"/>
      <c r="O25" s="579">
        <f>SUM(C25:N25)</f>
        <v>12369</v>
      </c>
    </row>
    <row r="26" spans="1:15">
      <c r="A26" s="527" t="s">
        <v>141</v>
      </c>
      <c r="B26" s="548">
        <f>+'1.SZ.TÁBL. TÁRSULÁS KON. MÉRLEG'!I12</f>
        <v>1721</v>
      </c>
      <c r="C26" s="549">
        <v>1721</v>
      </c>
      <c r="D26" s="551"/>
      <c r="E26" s="551"/>
      <c r="F26" s="551"/>
      <c r="G26" s="551"/>
      <c r="H26" s="551"/>
      <c r="I26" s="551"/>
      <c r="J26" s="551"/>
      <c r="K26" s="551"/>
      <c r="L26" s="551"/>
      <c r="M26" s="551"/>
      <c r="N26" s="552"/>
      <c r="O26" s="550">
        <f>SUM(C26:N26)</f>
        <v>1721</v>
      </c>
    </row>
    <row r="27" spans="1:15">
      <c r="A27" s="529" t="s">
        <v>142</v>
      </c>
      <c r="B27" s="553"/>
      <c r="C27" s="554"/>
      <c r="D27" s="555"/>
      <c r="E27" s="555"/>
      <c r="F27" s="555"/>
      <c r="G27" s="555"/>
      <c r="H27" s="555"/>
      <c r="I27" s="555"/>
      <c r="J27" s="555"/>
      <c r="K27" s="555"/>
      <c r="L27" s="555"/>
      <c r="M27" s="555"/>
      <c r="N27" s="556"/>
      <c r="O27" s="557">
        <f>SUM(C27:N27)</f>
        <v>0</v>
      </c>
    </row>
    <row r="28" spans="1:15">
      <c r="A28" s="524" t="s">
        <v>375</v>
      </c>
      <c r="B28" s="558">
        <f>SUM(B25:B27)</f>
        <v>14090</v>
      </c>
      <c r="C28" s="559">
        <f t="shared" ref="C28:O28" si="9">SUM(C25:C27)</f>
        <v>2972</v>
      </c>
      <c r="D28" s="560">
        <f t="shared" si="9"/>
        <v>0</v>
      </c>
      <c r="E28" s="560">
        <f t="shared" si="9"/>
        <v>0</v>
      </c>
      <c r="F28" s="560">
        <f t="shared" si="9"/>
        <v>667</v>
      </c>
      <c r="G28" s="560">
        <f t="shared" si="9"/>
        <v>0</v>
      </c>
      <c r="H28" s="560">
        <f t="shared" si="9"/>
        <v>0</v>
      </c>
      <c r="I28" s="560">
        <f t="shared" si="9"/>
        <v>0</v>
      </c>
      <c r="J28" s="560">
        <f t="shared" si="9"/>
        <v>667</v>
      </c>
      <c r="K28" s="560">
        <f t="shared" si="9"/>
        <v>0</v>
      </c>
      <c r="L28" s="560">
        <f t="shared" si="9"/>
        <v>0</v>
      </c>
      <c r="M28" s="560">
        <f t="shared" si="9"/>
        <v>9784</v>
      </c>
      <c r="N28" s="561">
        <f t="shared" si="9"/>
        <v>0</v>
      </c>
      <c r="O28" s="562">
        <f t="shared" si="9"/>
        <v>14090</v>
      </c>
    </row>
    <row r="29" spans="1:15">
      <c r="A29" s="531" t="s">
        <v>144</v>
      </c>
      <c r="B29" s="558"/>
      <c r="C29" s="580"/>
      <c r="D29" s="581"/>
      <c r="E29" s="581"/>
      <c r="F29" s="581"/>
      <c r="G29" s="581"/>
      <c r="H29" s="581"/>
      <c r="I29" s="581"/>
      <c r="J29" s="581"/>
      <c r="K29" s="581"/>
      <c r="L29" s="581"/>
      <c r="M29" s="581"/>
      <c r="N29" s="582"/>
      <c r="O29" s="574">
        <f>SUM(C29:N29)</f>
        <v>0</v>
      </c>
    </row>
    <row r="30" spans="1:15" ht="15.75" thickBot="1">
      <c r="A30" s="532" t="s">
        <v>289</v>
      </c>
      <c r="B30" s="583">
        <f>+B29+B28+B24</f>
        <v>319432</v>
      </c>
      <c r="C30" s="584">
        <f>+C29+C28+C24</f>
        <v>33012</v>
      </c>
      <c r="D30" s="585">
        <f t="shared" ref="D30:O30" si="10">+D29+D28+D24</f>
        <v>30040</v>
      </c>
      <c r="E30" s="585">
        <f t="shared" si="10"/>
        <v>30040</v>
      </c>
      <c r="F30" s="585">
        <f t="shared" si="10"/>
        <v>30707</v>
      </c>
      <c r="G30" s="585">
        <f t="shared" si="10"/>
        <v>39384</v>
      </c>
      <c r="H30" s="585">
        <f t="shared" si="10"/>
        <v>20440</v>
      </c>
      <c r="I30" s="585">
        <f t="shared" si="10"/>
        <v>20440</v>
      </c>
      <c r="J30" s="585">
        <f t="shared" si="10"/>
        <v>21107</v>
      </c>
      <c r="K30" s="585">
        <f t="shared" si="10"/>
        <v>20373</v>
      </c>
      <c r="L30" s="585">
        <f t="shared" si="10"/>
        <v>20373</v>
      </c>
      <c r="M30" s="585">
        <f t="shared" si="10"/>
        <v>33143</v>
      </c>
      <c r="N30" s="586">
        <f t="shared" si="10"/>
        <v>20373</v>
      </c>
      <c r="O30" s="587">
        <f t="shared" si="10"/>
        <v>319432</v>
      </c>
    </row>
    <row r="31" spans="1:15">
      <c r="A31" s="515"/>
      <c r="B31" s="588"/>
      <c r="C31" s="588"/>
      <c r="D31" s="588"/>
      <c r="E31" s="588"/>
      <c r="F31" s="588"/>
      <c r="G31" s="588"/>
      <c r="H31" s="588"/>
      <c r="I31" s="588"/>
      <c r="J31" s="588"/>
      <c r="K31" s="588"/>
      <c r="L31" s="588"/>
      <c r="M31" s="588"/>
      <c r="N31" s="588"/>
      <c r="O31" s="588"/>
    </row>
    <row r="32" spans="1:15">
      <c r="A32" s="541" t="s">
        <v>367</v>
      </c>
      <c r="B32" s="570">
        <f t="shared" ref="B32:O32" si="11">+B16-B30</f>
        <v>0</v>
      </c>
      <c r="C32" s="570">
        <f t="shared" si="11"/>
        <v>-2715</v>
      </c>
      <c r="D32" s="570">
        <f t="shared" si="11"/>
        <v>257</v>
      </c>
      <c r="E32" s="570">
        <f t="shared" si="11"/>
        <v>257</v>
      </c>
      <c r="F32" s="570">
        <f t="shared" si="11"/>
        <v>-410</v>
      </c>
      <c r="G32" s="570">
        <f t="shared" si="11"/>
        <v>7960</v>
      </c>
      <c r="H32" s="570">
        <f t="shared" si="11"/>
        <v>-206</v>
      </c>
      <c r="I32" s="570">
        <f t="shared" si="11"/>
        <v>-206</v>
      </c>
      <c r="J32" s="570">
        <f t="shared" si="11"/>
        <v>-873</v>
      </c>
      <c r="K32" s="570">
        <f t="shared" si="11"/>
        <v>-139</v>
      </c>
      <c r="L32" s="570">
        <f t="shared" si="11"/>
        <v>-139</v>
      </c>
      <c r="M32" s="570">
        <f t="shared" si="11"/>
        <v>-3647</v>
      </c>
      <c r="N32" s="570">
        <f t="shared" si="11"/>
        <v>-139</v>
      </c>
      <c r="O32" s="570">
        <f t="shared" si="11"/>
        <v>0</v>
      </c>
    </row>
    <row r="73" spans="1:4">
      <c r="A73" s="27"/>
      <c r="B73" s="544"/>
      <c r="C73" s="544"/>
      <c r="D73" s="544"/>
    </row>
    <row r="86" spans="1:8">
      <c r="A86" s="48"/>
      <c r="B86" s="545"/>
      <c r="C86" s="545"/>
      <c r="D86" s="545"/>
      <c r="E86" s="545"/>
      <c r="F86" s="545"/>
      <c r="G86" s="545"/>
      <c r="H86" s="545"/>
    </row>
    <row r="87" spans="1:8">
      <c r="A87" s="49"/>
      <c r="B87" s="546"/>
      <c r="C87" s="546"/>
      <c r="D87" s="546"/>
      <c r="E87" s="546"/>
      <c r="F87" s="546"/>
      <c r="G87" s="546"/>
      <c r="H87" s="546"/>
    </row>
    <row r="88" spans="1:8">
      <c r="A88" s="49"/>
      <c r="B88" s="546"/>
      <c r="C88" s="546"/>
      <c r="D88" s="546"/>
      <c r="E88" s="546"/>
      <c r="F88" s="546"/>
      <c r="G88" s="546"/>
      <c r="H88" s="546"/>
    </row>
    <row r="89" spans="1:8">
      <c r="A89" s="49"/>
      <c r="B89" s="546"/>
      <c r="C89" s="546"/>
      <c r="D89" s="546"/>
      <c r="E89" s="546"/>
      <c r="F89" s="546"/>
      <c r="G89" s="546"/>
      <c r="H89" s="546"/>
    </row>
    <row r="90" spans="1:8">
      <c r="A90" s="50"/>
      <c r="B90" s="547"/>
      <c r="C90" s="547"/>
      <c r="D90" s="547"/>
      <c r="E90" s="547"/>
      <c r="F90" s="547"/>
      <c r="G90" s="547"/>
      <c r="H90" s="547"/>
    </row>
  </sheetData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9" scale="92" orientation="landscape" r:id="rId1"/>
  <headerFooter alignWithMargins="0">
    <oddHeader>&amp;L&amp;"Times New Roman,Félkövér"&amp;13Szent László Völgye TKT&amp;C&amp;"Times New Roman,Félkövér"&amp;16 2017. ÉVI II. KÖLTSÉGVETÉS MÓDOSÍTÁS&amp;R8. sz. táblázat
ELŐIRÁNYZAT FELHASZNÁLÁS
Adatok: eFt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14</vt:i4>
      </vt:variant>
    </vt:vector>
  </HeadingPairs>
  <TitlesOfParts>
    <vt:vector size="24" baseType="lpstr">
      <vt:lpstr>1.SZ.TÁBL. TÁRSULÁS KON. MÉRLEG</vt:lpstr>
      <vt:lpstr>1.1.SZ.TÁBL. BEV - KIAD</vt:lpstr>
      <vt:lpstr>2.SZ.TÁBL. BEVÉTELEK</vt:lpstr>
      <vt:lpstr>3.SZ.TÁBL. SEGÍTŐ SZOLGÁLAT</vt:lpstr>
      <vt:lpstr>4.SZ.TÁBL. ÓVODA</vt:lpstr>
      <vt:lpstr>5.SZ.TÁBL. ÓVODAI NORMATÍVA</vt:lpstr>
      <vt:lpstr>6.SZ.TÁBL. SZOCIÁLIS NORMATÍVA</vt:lpstr>
      <vt:lpstr>7.SZ.TÁBL. PÉNZE. ÁTAD - ÁTVÉT</vt:lpstr>
      <vt:lpstr>8.SZ.TÁBL. ELŐIRÁNYZAT FELHASZN</vt:lpstr>
      <vt:lpstr>9.SZ.TÁBL. LÉTSZÁMADATOK</vt:lpstr>
      <vt:lpstr>'1.1.SZ.TÁBL. BEV - KIAD'!Nyomtatási_cím</vt:lpstr>
      <vt:lpstr>'2.SZ.TÁBL. BEVÉTELEK'!Nyomtatási_cím</vt:lpstr>
      <vt:lpstr>'3.SZ.TÁBL. SEGÍTŐ SZOLGÁLAT'!Nyomtatási_cím</vt:lpstr>
      <vt:lpstr>'4.SZ.TÁBL. ÓVODA'!Nyomtatási_cím</vt:lpstr>
      <vt:lpstr>'1.1.SZ.TÁBL. BEV - KIAD'!Nyomtatási_terület</vt:lpstr>
      <vt:lpstr>'1.SZ.TÁBL. TÁRSULÁS KON. MÉRLEG'!Nyomtatási_terület</vt:lpstr>
      <vt:lpstr>'2.SZ.TÁBL. BEVÉTELEK'!Nyomtatási_terület</vt:lpstr>
      <vt:lpstr>'3.SZ.TÁBL. SEGÍTŐ SZOLGÁLAT'!Nyomtatási_terület</vt:lpstr>
      <vt:lpstr>'4.SZ.TÁBL. ÓVODA'!Nyomtatási_terület</vt:lpstr>
      <vt:lpstr>'5.SZ.TÁBL. ÓVODAI NORMATÍVA'!Nyomtatási_terület</vt:lpstr>
      <vt:lpstr>'6.SZ.TÁBL. SZOCIÁLIS NORMATÍVA'!Nyomtatási_terület</vt:lpstr>
      <vt:lpstr>'7.SZ.TÁBL. PÉNZE. ÁTAD - ÁTVÉT'!Nyomtatási_terület</vt:lpstr>
      <vt:lpstr>'8.SZ.TÁBL. ELŐIRÁNYZAT FELHASZN'!Nyomtatási_terület</vt:lpstr>
      <vt:lpstr>'9.SZ.TÁBL. LÉTSZÁMADATOK'!Nyomtatási_terület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Hajnalka</dc:creator>
  <cp:lastModifiedBy>Felhasználó</cp:lastModifiedBy>
  <cp:lastPrinted>2017-11-10T08:44:01Z</cp:lastPrinted>
  <dcterms:created xsi:type="dcterms:W3CDTF">2011-02-23T07:11:55Z</dcterms:created>
  <dcterms:modified xsi:type="dcterms:W3CDTF">2017-11-10T08:44:13Z</dcterms:modified>
</cp:coreProperties>
</file>