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05" windowWidth="15210" windowHeight="916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23" r:id="rId6"/>
    <sheet name="6.SZ.TÁBL. SZOCIÁLIS NORMATÍVA" sheetId="24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KIAD'!$A$1:$Q$116</definedName>
    <definedName name="_xlnm.Print_Area" localSheetId="0">'1.SZ.TÁBL. TÁRSULÁS KON. MÉRLEG'!$A$1:$H$18</definedName>
    <definedName name="_xlnm.Print_Area" localSheetId="2">'2.SZ.TÁBL. BEVÉTELEK'!$A$3:$E$110</definedName>
    <definedName name="_xlnm.Print_Area" localSheetId="3">'3.SZ.TÁBL. SEGÍTŐ SZOLGÁLAT'!$A$1:$Z$117</definedName>
    <definedName name="_xlnm.Print_Area" localSheetId="4">'4.SZ.TÁBL. ÓVODA'!$A$1:$T$118</definedName>
    <definedName name="_xlnm.Print_Area" localSheetId="5">'5.SZ.TÁBL. ÓVODAI NORMATÍVA'!$A$30:$S$43</definedName>
    <definedName name="_xlnm.Print_Area" localSheetId="6">'6.SZ.TÁBL. SZOCIÁLIS NORMATÍVA'!$A$1:$F$18</definedName>
    <definedName name="_xlnm.Print_Area" localSheetId="7">'7.SZ.TÁBL. PÉNZE. ÁTAD - ÁTVÉT'!$A$1:$O$46</definedName>
    <definedName name="_xlnm.Print_Area" localSheetId="8">'8.SZ.TÁBL. ELŐIRÁNYZAT FELHASZN'!$A$1:$O$32</definedName>
    <definedName name="_xlnm.Print_Area" localSheetId="9">'9.SZ.TÁBL. LÉTSZÁMADATOK'!$A$1:$J$27</definedName>
    <definedName name="onev" localSheetId="5">[1]kod!$BT$34:$BT$3184</definedName>
    <definedName name="onev" localSheetId="6">[1]kod!$BT$34:$BT$3184</definedName>
    <definedName name="onev" localSheetId="9">[2]kod!$BT$34:$BT$3184</definedName>
    <definedName name="onev">[1]kod!$BT$34:$BT$3184</definedName>
  </definedNames>
  <calcPr calcId="124519"/>
</workbook>
</file>

<file path=xl/calcChain.xml><?xml version="1.0" encoding="utf-8"?>
<calcChain xmlns="http://schemas.openxmlformats.org/spreadsheetml/2006/main">
  <c r="M33" i="21"/>
  <c r="L33"/>
  <c r="K33"/>
  <c r="J33"/>
  <c r="I33"/>
  <c r="H33"/>
  <c r="G33"/>
  <c r="F33"/>
  <c r="E33"/>
  <c r="D33"/>
  <c r="C33"/>
  <c r="B33"/>
  <c r="N26"/>
  <c r="O26"/>
  <c r="M30"/>
  <c r="O25"/>
  <c r="N24"/>
  <c r="O22"/>
  <c r="O19"/>
  <c r="O18"/>
  <c r="O23"/>
  <c r="O21"/>
  <c r="O20"/>
  <c r="O17"/>
  <c r="O24" s="1"/>
  <c r="B24"/>
  <c r="B45"/>
  <c r="B44"/>
  <c r="B43"/>
  <c r="B42"/>
  <c r="B39"/>
  <c r="B38"/>
  <c r="B37"/>
  <c r="B36"/>
  <c r="B31"/>
  <c r="B29"/>
  <c r="B28"/>
  <c r="B27"/>
  <c r="B13"/>
  <c r="B14"/>
  <c r="B15"/>
  <c r="B12"/>
  <c r="B4"/>
  <c r="B5"/>
  <c r="B6"/>
  <c r="B7"/>
  <c r="B8"/>
  <c r="B9"/>
  <c r="B10"/>
  <c r="B3"/>
  <c r="B46"/>
  <c r="B40"/>
  <c r="B32"/>
  <c r="B30"/>
  <c r="B16"/>
  <c r="O16"/>
  <c r="N25" i="20" l="1"/>
  <c r="N22"/>
  <c r="N20"/>
  <c r="N19"/>
  <c r="N18"/>
  <c r="N4"/>
  <c r="N3"/>
  <c r="C6" i="2"/>
  <c r="E96" l="1"/>
  <c r="E97"/>
  <c r="D66"/>
  <c r="J62" i="9"/>
  <c r="J41"/>
  <c r="J30"/>
  <c r="G62"/>
  <c r="G41"/>
  <c r="G30"/>
  <c r="P80" i="10"/>
  <c r="P85"/>
  <c r="P82"/>
  <c r="P79"/>
  <c r="P103"/>
  <c r="P102"/>
  <c r="P64"/>
  <c r="P63"/>
  <c r="P62"/>
  <c r="P61"/>
  <c r="P60"/>
  <c r="P51"/>
  <c r="P39"/>
  <c r="P31"/>
  <c r="M79"/>
  <c r="M55"/>
  <c r="M63"/>
  <c r="M61"/>
  <c r="M60"/>
  <c r="M47"/>
  <c r="M42"/>
  <c r="M39"/>
  <c r="M31"/>
  <c r="J94"/>
  <c r="J35"/>
  <c r="J82"/>
  <c r="J63"/>
  <c r="J61"/>
  <c r="J60"/>
  <c r="J42"/>
  <c r="J39"/>
  <c r="J31"/>
  <c r="G106"/>
  <c r="G85"/>
  <c r="G103"/>
  <c r="G102"/>
  <c r="G79"/>
  <c r="G55"/>
  <c r="G75"/>
  <c r="G66"/>
  <c r="G65"/>
  <c r="G64"/>
  <c r="G63"/>
  <c r="G62"/>
  <c r="G61"/>
  <c r="G60"/>
  <c r="G51"/>
  <c r="G45"/>
  <c r="G39"/>
  <c r="G31"/>
  <c r="D79"/>
  <c r="D55"/>
  <c r="D72"/>
  <c r="D70"/>
  <c r="D66"/>
  <c r="D65"/>
  <c r="D63"/>
  <c r="D61"/>
  <c r="D60"/>
  <c r="D51"/>
  <c r="D39"/>
  <c r="D42"/>
  <c r="D31"/>
  <c r="M95" i="1"/>
  <c r="M74"/>
  <c r="D48" i="2"/>
  <c r="D47"/>
  <c r="D46"/>
  <c r="D44"/>
  <c r="D43"/>
  <c r="D42"/>
  <c r="D45" l="1"/>
  <c r="M79" i="1"/>
  <c r="M73"/>
  <c r="D19" i="2"/>
  <c r="D65"/>
  <c r="S62" i="9"/>
  <c r="S57"/>
  <c r="S41"/>
  <c r="S30"/>
  <c r="S13"/>
  <c r="M19"/>
  <c r="N17"/>
  <c r="N18"/>
  <c r="N19"/>
  <c r="M87"/>
  <c r="M91"/>
  <c r="M82"/>
  <c r="M81"/>
  <c r="M71"/>
  <c r="M63"/>
  <c r="M62"/>
  <c r="M47"/>
  <c r="M41"/>
  <c r="J68"/>
  <c r="J84"/>
  <c r="J82"/>
  <c r="J72"/>
  <c r="J53"/>
  <c r="J49"/>
  <c r="J16"/>
  <c r="G87"/>
  <c r="G74"/>
  <c r="G84"/>
  <c r="G82"/>
  <c r="G81"/>
  <c r="G72"/>
  <c r="G65"/>
  <c r="G63"/>
  <c r="G58"/>
  <c r="G53"/>
  <c r="G49"/>
  <c r="G44"/>
  <c r="V87"/>
  <c r="V74"/>
  <c r="V68"/>
  <c r="V84"/>
  <c r="V82"/>
  <c r="V63"/>
  <c r="V62"/>
  <c r="V41"/>
  <c r="D74"/>
  <c r="D84"/>
  <c r="D75"/>
  <c r="D68"/>
  <c r="P91"/>
  <c r="P82"/>
  <c r="P72"/>
  <c r="P63"/>
  <c r="P62"/>
  <c r="P57"/>
  <c r="P49"/>
  <c r="P44"/>
  <c r="P41"/>
  <c r="P16"/>
  <c r="P30"/>
  <c r="M30"/>
  <c r="V30"/>
  <c r="O113" i="10" l="1"/>
  <c r="O111"/>
  <c r="O110"/>
  <c r="O109"/>
  <c r="O108"/>
  <c r="O106"/>
  <c r="O105"/>
  <c r="O104"/>
  <c r="O103"/>
  <c r="O102"/>
  <c r="O101"/>
  <c r="O100"/>
  <c r="O98"/>
  <c r="O97"/>
  <c r="O96"/>
  <c r="O95"/>
  <c r="O94"/>
  <c r="O93"/>
  <c r="O92"/>
  <c r="O89"/>
  <c r="O88"/>
  <c r="O87"/>
  <c r="O86"/>
  <c r="O85"/>
  <c r="O83"/>
  <c r="O82"/>
  <c r="O80"/>
  <c r="O79"/>
  <c r="O78"/>
  <c r="O77"/>
  <c r="O76"/>
  <c r="O75"/>
  <c r="O74"/>
  <c r="O73"/>
  <c r="O72"/>
  <c r="O70"/>
  <c r="O69"/>
  <c r="O67"/>
  <c r="O66"/>
  <c r="O65"/>
  <c r="O64"/>
  <c r="O63"/>
  <c r="O62"/>
  <c r="O61"/>
  <c r="O60"/>
  <c r="O56"/>
  <c r="O55"/>
  <c r="O54"/>
  <c r="O52"/>
  <c r="O51"/>
  <c r="O50"/>
  <c r="O49"/>
  <c r="O48"/>
  <c r="O47"/>
  <c r="O46"/>
  <c r="O45"/>
  <c r="O44"/>
  <c r="O43"/>
  <c r="O42"/>
  <c r="O41"/>
  <c r="O40"/>
  <c r="O39"/>
  <c r="O36"/>
  <c r="O35"/>
  <c r="O34"/>
  <c r="O32"/>
  <c r="O31"/>
  <c r="O29"/>
  <c r="O26"/>
  <c r="O24"/>
  <c r="O21"/>
  <c r="O20"/>
  <c r="O19"/>
  <c r="O18"/>
  <c r="O17"/>
  <c r="O16"/>
  <c r="O15"/>
  <c r="O14"/>
  <c r="O13"/>
  <c r="O6"/>
  <c r="O112"/>
  <c r="O107"/>
  <c r="O99"/>
  <c r="O90"/>
  <c r="O84"/>
  <c r="O81"/>
  <c r="O71"/>
  <c r="O68"/>
  <c r="O91" s="1"/>
  <c r="O59"/>
  <c r="O57"/>
  <c r="O53"/>
  <c r="O58" s="1"/>
  <c r="O114" s="1"/>
  <c r="O116" s="1"/>
  <c r="O33"/>
  <c r="O30"/>
  <c r="O37"/>
  <c r="O27"/>
  <c r="O25"/>
  <c r="O22"/>
  <c r="O12"/>
  <c r="O4"/>
  <c r="O8" s="1"/>
  <c r="O28" s="1"/>
  <c r="O38" s="1"/>
  <c r="L113"/>
  <c r="L111"/>
  <c r="L110"/>
  <c r="L109"/>
  <c r="L108"/>
  <c r="L106"/>
  <c r="L105"/>
  <c r="L104"/>
  <c r="L103"/>
  <c r="L102"/>
  <c r="L101"/>
  <c r="L100"/>
  <c r="L98"/>
  <c r="L97"/>
  <c r="L96"/>
  <c r="L95"/>
  <c r="L94"/>
  <c r="L93"/>
  <c r="L92"/>
  <c r="L89"/>
  <c r="L88"/>
  <c r="L87"/>
  <c r="L86"/>
  <c r="L85"/>
  <c r="L83"/>
  <c r="L82"/>
  <c r="L80"/>
  <c r="L79"/>
  <c r="L78"/>
  <c r="L77"/>
  <c r="L76"/>
  <c r="L75"/>
  <c r="L74"/>
  <c r="L73"/>
  <c r="L72"/>
  <c r="L70"/>
  <c r="L69"/>
  <c r="L67"/>
  <c r="L66"/>
  <c r="L65"/>
  <c r="L64"/>
  <c r="L63"/>
  <c r="L62"/>
  <c r="L61"/>
  <c r="L60"/>
  <c r="L56"/>
  <c r="L55"/>
  <c r="L54"/>
  <c r="L52"/>
  <c r="L51"/>
  <c r="L50"/>
  <c r="L49"/>
  <c r="L48"/>
  <c r="L47"/>
  <c r="L46"/>
  <c r="L45"/>
  <c r="L44"/>
  <c r="L43"/>
  <c r="L42"/>
  <c r="L41"/>
  <c r="L40"/>
  <c r="L39"/>
  <c r="L36"/>
  <c r="L35"/>
  <c r="L34"/>
  <c r="L32"/>
  <c r="L31"/>
  <c r="L29"/>
  <c r="L26"/>
  <c r="L24"/>
  <c r="L21"/>
  <c r="L20"/>
  <c r="L19"/>
  <c r="L18"/>
  <c r="L17"/>
  <c r="L16"/>
  <c r="L15"/>
  <c r="L14"/>
  <c r="L13"/>
  <c r="L6"/>
  <c r="L112"/>
  <c r="L107"/>
  <c r="L99"/>
  <c r="L90"/>
  <c r="L84"/>
  <c r="L81"/>
  <c r="L71"/>
  <c r="L68"/>
  <c r="L91" s="1"/>
  <c r="L59"/>
  <c r="L57"/>
  <c r="L53"/>
  <c r="L58" s="1"/>
  <c r="L114" s="1"/>
  <c r="L116" s="1"/>
  <c r="L33"/>
  <c r="L30"/>
  <c r="L37"/>
  <c r="L27"/>
  <c r="L25"/>
  <c r="L22"/>
  <c r="L12"/>
  <c r="L4"/>
  <c r="L8" s="1"/>
  <c r="L28" s="1"/>
  <c r="L38" s="1"/>
  <c r="I113"/>
  <c r="I111"/>
  <c r="I110"/>
  <c r="I109"/>
  <c r="I108"/>
  <c r="I106"/>
  <c r="I105"/>
  <c r="I104"/>
  <c r="I103"/>
  <c r="I102"/>
  <c r="I101"/>
  <c r="I100"/>
  <c r="I98"/>
  <c r="I97"/>
  <c r="I96"/>
  <c r="I95"/>
  <c r="I94"/>
  <c r="I93"/>
  <c r="I92"/>
  <c r="I89"/>
  <c r="I88"/>
  <c r="I87"/>
  <c r="I86"/>
  <c r="I85"/>
  <c r="I83"/>
  <c r="I82"/>
  <c r="I80"/>
  <c r="I79"/>
  <c r="I78"/>
  <c r="I77"/>
  <c r="I76"/>
  <c r="I75"/>
  <c r="I74"/>
  <c r="I73"/>
  <c r="I72"/>
  <c r="I70"/>
  <c r="I69"/>
  <c r="I67"/>
  <c r="I66"/>
  <c r="I65"/>
  <c r="I64"/>
  <c r="I63"/>
  <c r="I62"/>
  <c r="I61"/>
  <c r="I60"/>
  <c r="I56"/>
  <c r="I55"/>
  <c r="I54"/>
  <c r="I52"/>
  <c r="I51"/>
  <c r="I50"/>
  <c r="I49"/>
  <c r="I48"/>
  <c r="I47"/>
  <c r="I46"/>
  <c r="I45"/>
  <c r="I44"/>
  <c r="I43"/>
  <c r="I42"/>
  <c r="I41"/>
  <c r="I40"/>
  <c r="I39"/>
  <c r="I36"/>
  <c r="I35"/>
  <c r="I34"/>
  <c r="I32"/>
  <c r="I31"/>
  <c r="I29"/>
  <c r="I26"/>
  <c r="I24"/>
  <c r="I21"/>
  <c r="I20"/>
  <c r="I19"/>
  <c r="I18"/>
  <c r="I17"/>
  <c r="I16"/>
  <c r="I15"/>
  <c r="I14"/>
  <c r="I13"/>
  <c r="I6"/>
  <c r="I112"/>
  <c r="I107"/>
  <c r="I99"/>
  <c r="I90"/>
  <c r="I84"/>
  <c r="I81"/>
  <c r="I71"/>
  <c r="I68"/>
  <c r="I91" s="1"/>
  <c r="I59"/>
  <c r="I57"/>
  <c r="I53"/>
  <c r="I58" s="1"/>
  <c r="I114" s="1"/>
  <c r="I116" s="1"/>
  <c r="I33"/>
  <c r="I30"/>
  <c r="I37"/>
  <c r="I27"/>
  <c r="I25"/>
  <c r="I22"/>
  <c r="I12"/>
  <c r="I4"/>
  <c r="I8" s="1"/>
  <c r="I28" s="1"/>
  <c r="I38" s="1"/>
  <c r="F113"/>
  <c r="F111"/>
  <c r="F110"/>
  <c r="F109"/>
  <c r="F108"/>
  <c r="F106"/>
  <c r="F105"/>
  <c r="F104"/>
  <c r="F103"/>
  <c r="F102"/>
  <c r="F101"/>
  <c r="F100"/>
  <c r="F98"/>
  <c r="F97"/>
  <c r="F96"/>
  <c r="F95"/>
  <c r="F94"/>
  <c r="F93"/>
  <c r="F92"/>
  <c r="F89"/>
  <c r="F88"/>
  <c r="F87"/>
  <c r="F86"/>
  <c r="F85"/>
  <c r="F83"/>
  <c r="F82"/>
  <c r="F80"/>
  <c r="F79"/>
  <c r="F78"/>
  <c r="F77"/>
  <c r="F76"/>
  <c r="F75"/>
  <c r="F74"/>
  <c r="F73"/>
  <c r="F72"/>
  <c r="F70"/>
  <c r="F69"/>
  <c r="F67"/>
  <c r="F66"/>
  <c r="F65"/>
  <c r="F64"/>
  <c r="F63"/>
  <c r="F62"/>
  <c r="F61"/>
  <c r="F60"/>
  <c r="F56"/>
  <c r="F55"/>
  <c r="F54"/>
  <c r="F52"/>
  <c r="F51"/>
  <c r="F50"/>
  <c r="F49"/>
  <c r="F48"/>
  <c r="F47"/>
  <c r="F46"/>
  <c r="F45"/>
  <c r="F44"/>
  <c r="F43"/>
  <c r="F42"/>
  <c r="F41"/>
  <c r="F40"/>
  <c r="F39"/>
  <c r="F36"/>
  <c r="F35"/>
  <c r="F34"/>
  <c r="F32"/>
  <c r="F31"/>
  <c r="F29"/>
  <c r="F26"/>
  <c r="F24"/>
  <c r="F21"/>
  <c r="F20"/>
  <c r="F19"/>
  <c r="F18"/>
  <c r="F17"/>
  <c r="F16"/>
  <c r="F15"/>
  <c r="F14"/>
  <c r="F13"/>
  <c r="F6"/>
  <c r="F4" s="1"/>
  <c r="F8" s="1"/>
  <c r="F112"/>
  <c r="F107"/>
  <c r="F99"/>
  <c r="F90"/>
  <c r="F84"/>
  <c r="F81"/>
  <c r="F71"/>
  <c r="F68"/>
  <c r="F91" s="1"/>
  <c r="F59"/>
  <c r="F57"/>
  <c r="F53"/>
  <c r="F58" s="1"/>
  <c r="F114" s="1"/>
  <c r="F116" s="1"/>
  <c r="F33"/>
  <c r="F30"/>
  <c r="F37"/>
  <c r="F27"/>
  <c r="F25"/>
  <c r="F22"/>
  <c r="F12"/>
  <c r="C113"/>
  <c r="C111"/>
  <c r="C110"/>
  <c r="C109"/>
  <c r="C108"/>
  <c r="C106"/>
  <c r="C105"/>
  <c r="C104"/>
  <c r="C103"/>
  <c r="C102"/>
  <c r="C101"/>
  <c r="C100"/>
  <c r="C98"/>
  <c r="C97"/>
  <c r="C96"/>
  <c r="C95"/>
  <c r="C94"/>
  <c r="C93"/>
  <c r="C92"/>
  <c r="C89"/>
  <c r="C88"/>
  <c r="C87"/>
  <c r="C86"/>
  <c r="C85"/>
  <c r="C83"/>
  <c r="C82"/>
  <c r="C80"/>
  <c r="C79"/>
  <c r="C78"/>
  <c r="C77"/>
  <c r="C76"/>
  <c r="C75"/>
  <c r="C74"/>
  <c r="C73"/>
  <c r="C72"/>
  <c r="C70"/>
  <c r="C69"/>
  <c r="C67"/>
  <c r="C66"/>
  <c r="C65"/>
  <c r="C64"/>
  <c r="C63"/>
  <c r="C62"/>
  <c r="C61"/>
  <c r="C60"/>
  <c r="C56"/>
  <c r="C55"/>
  <c r="C54"/>
  <c r="C52"/>
  <c r="C51"/>
  <c r="C50"/>
  <c r="C49"/>
  <c r="C48"/>
  <c r="C47"/>
  <c r="C46"/>
  <c r="C45"/>
  <c r="C44"/>
  <c r="C43"/>
  <c r="C42"/>
  <c r="C41"/>
  <c r="C40"/>
  <c r="C39"/>
  <c r="C36"/>
  <c r="C35"/>
  <c r="C34"/>
  <c r="C32"/>
  <c r="C31"/>
  <c r="C29"/>
  <c r="C26"/>
  <c r="C24"/>
  <c r="C21"/>
  <c r="C20"/>
  <c r="C19"/>
  <c r="C18"/>
  <c r="C17"/>
  <c r="C16"/>
  <c r="C15"/>
  <c r="C14"/>
  <c r="C13"/>
  <c r="C6"/>
  <c r="L28" i="9"/>
  <c r="O14"/>
  <c r="L20"/>
  <c r="N20" s="1"/>
  <c r="F14"/>
  <c r="U110"/>
  <c r="U109"/>
  <c r="U108"/>
  <c r="U107"/>
  <c r="U105"/>
  <c r="U104"/>
  <c r="U103"/>
  <c r="U102"/>
  <c r="U101"/>
  <c r="U100"/>
  <c r="U99"/>
  <c r="U97"/>
  <c r="U96"/>
  <c r="U95"/>
  <c r="U94"/>
  <c r="U91"/>
  <c r="U90"/>
  <c r="U89"/>
  <c r="U88"/>
  <c r="U87"/>
  <c r="U85"/>
  <c r="U84"/>
  <c r="U82"/>
  <c r="U81"/>
  <c r="U80"/>
  <c r="U79"/>
  <c r="U78"/>
  <c r="U77"/>
  <c r="U76"/>
  <c r="U75"/>
  <c r="U74"/>
  <c r="U72"/>
  <c r="U71"/>
  <c r="U69"/>
  <c r="U68"/>
  <c r="U67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41"/>
  <c r="U38"/>
  <c r="U37"/>
  <c r="U36"/>
  <c r="U35"/>
  <c r="U34"/>
  <c r="U33"/>
  <c r="U32"/>
  <c r="U30"/>
  <c r="U16"/>
  <c r="U15"/>
  <c r="U13"/>
  <c r="U111"/>
  <c r="U106"/>
  <c r="U98"/>
  <c r="U92"/>
  <c r="U86"/>
  <c r="U83"/>
  <c r="U73"/>
  <c r="U70"/>
  <c r="U93" s="1"/>
  <c r="U61"/>
  <c r="U59"/>
  <c r="U55"/>
  <c r="U60" s="1"/>
  <c r="U113" s="1"/>
  <c r="U115" s="1"/>
  <c r="U31"/>
  <c r="U29"/>
  <c r="U39" s="1"/>
  <c r="U26"/>
  <c r="U24"/>
  <c r="U21"/>
  <c r="U11"/>
  <c r="U7"/>
  <c r="U27" s="1"/>
  <c r="U40" s="1"/>
  <c r="R110"/>
  <c r="R109"/>
  <c r="R108"/>
  <c r="R107"/>
  <c r="R105"/>
  <c r="R104"/>
  <c r="R103"/>
  <c r="R102"/>
  <c r="R101"/>
  <c r="R100"/>
  <c r="R99"/>
  <c r="R97"/>
  <c r="R96"/>
  <c r="R95"/>
  <c r="R94"/>
  <c r="R91"/>
  <c r="R90"/>
  <c r="R89"/>
  <c r="R88"/>
  <c r="R87"/>
  <c r="R85"/>
  <c r="R84"/>
  <c r="R82"/>
  <c r="R81"/>
  <c r="R80"/>
  <c r="R79"/>
  <c r="R78"/>
  <c r="R77"/>
  <c r="R76"/>
  <c r="R75"/>
  <c r="R74"/>
  <c r="R72"/>
  <c r="R71"/>
  <c r="R69"/>
  <c r="R68"/>
  <c r="R67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R38"/>
  <c r="R37"/>
  <c r="R36"/>
  <c r="R35"/>
  <c r="R34"/>
  <c r="R33"/>
  <c r="R32"/>
  <c r="R30"/>
  <c r="R16"/>
  <c r="R15"/>
  <c r="R13"/>
  <c r="R111"/>
  <c r="R106"/>
  <c r="R98"/>
  <c r="R92"/>
  <c r="R86"/>
  <c r="R83"/>
  <c r="R73"/>
  <c r="R70"/>
  <c r="R93" s="1"/>
  <c r="R61"/>
  <c r="R59"/>
  <c r="R55"/>
  <c r="R60" s="1"/>
  <c r="R113" s="1"/>
  <c r="R115" s="1"/>
  <c r="R31"/>
  <c r="R29"/>
  <c r="R39" s="1"/>
  <c r="R26"/>
  <c r="R24"/>
  <c r="R21"/>
  <c r="R11"/>
  <c r="R7"/>
  <c r="R27" s="1"/>
  <c r="R40" s="1"/>
  <c r="O110"/>
  <c r="O109"/>
  <c r="O108"/>
  <c r="O107"/>
  <c r="O105"/>
  <c r="O104"/>
  <c r="O103"/>
  <c r="O102"/>
  <c r="O101"/>
  <c r="O100"/>
  <c r="O99"/>
  <c r="O97"/>
  <c r="O96"/>
  <c r="O95"/>
  <c r="O94"/>
  <c r="O91"/>
  <c r="O90"/>
  <c r="O89"/>
  <c r="O88"/>
  <c r="O87"/>
  <c r="O85"/>
  <c r="O84"/>
  <c r="O82"/>
  <c r="O81"/>
  <c r="O80"/>
  <c r="O79"/>
  <c r="O78"/>
  <c r="O77"/>
  <c r="O76"/>
  <c r="O75"/>
  <c r="O74"/>
  <c r="O72"/>
  <c r="O71"/>
  <c r="O69"/>
  <c r="O68"/>
  <c r="O67"/>
  <c r="O66"/>
  <c r="O65"/>
  <c r="O64"/>
  <c r="O63"/>
  <c r="O62"/>
  <c r="O58"/>
  <c r="O57"/>
  <c r="O56"/>
  <c r="O54"/>
  <c r="O53"/>
  <c r="O52"/>
  <c r="O51"/>
  <c r="O50"/>
  <c r="O49"/>
  <c r="O48"/>
  <c r="O47"/>
  <c r="O46"/>
  <c r="O45"/>
  <c r="O44"/>
  <c r="O43"/>
  <c r="O42"/>
  <c r="O41"/>
  <c r="O38"/>
  <c r="O37"/>
  <c r="O36"/>
  <c r="O35"/>
  <c r="O34"/>
  <c r="O33"/>
  <c r="O32"/>
  <c r="O30"/>
  <c r="O16"/>
  <c r="O15"/>
  <c r="O13"/>
  <c r="O111"/>
  <c r="O106"/>
  <c r="O98"/>
  <c r="O92"/>
  <c r="O86"/>
  <c r="O83"/>
  <c r="O73"/>
  <c r="O70"/>
  <c r="O93" s="1"/>
  <c r="O61"/>
  <c r="O59"/>
  <c r="O55"/>
  <c r="O60" s="1"/>
  <c r="O113" s="1"/>
  <c r="O115" s="1"/>
  <c r="O31"/>
  <c r="O29"/>
  <c r="O39" s="1"/>
  <c r="O26"/>
  <c r="O24"/>
  <c r="O21"/>
  <c r="O11"/>
  <c r="O7"/>
  <c r="O27" s="1"/>
  <c r="O40" s="1"/>
  <c r="L110"/>
  <c r="L109"/>
  <c r="L108"/>
  <c r="L107"/>
  <c r="L105"/>
  <c r="L104"/>
  <c r="L103"/>
  <c r="L102"/>
  <c r="L101"/>
  <c r="L100"/>
  <c r="L99"/>
  <c r="L97"/>
  <c r="L96"/>
  <c r="L95"/>
  <c r="L94"/>
  <c r="L91"/>
  <c r="L90"/>
  <c r="L89"/>
  <c r="L88"/>
  <c r="L87"/>
  <c r="L85"/>
  <c r="L84"/>
  <c r="L82"/>
  <c r="L81"/>
  <c r="L80"/>
  <c r="L79"/>
  <c r="L78"/>
  <c r="L77"/>
  <c r="L76"/>
  <c r="L75"/>
  <c r="L74"/>
  <c r="L72"/>
  <c r="L71"/>
  <c r="L69"/>
  <c r="L68"/>
  <c r="L67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L38"/>
  <c r="L37"/>
  <c r="L36"/>
  <c r="L35"/>
  <c r="L34"/>
  <c r="L33"/>
  <c r="L32"/>
  <c r="L30"/>
  <c r="L16"/>
  <c r="L15"/>
  <c r="L13"/>
  <c r="L111"/>
  <c r="L106"/>
  <c r="L98"/>
  <c r="L92"/>
  <c r="L86"/>
  <c r="L83"/>
  <c r="L73"/>
  <c r="L70"/>
  <c r="L93" s="1"/>
  <c r="L61"/>
  <c r="L59"/>
  <c r="L55"/>
  <c r="L60" s="1"/>
  <c r="L113" s="1"/>
  <c r="L115" s="1"/>
  <c r="L31"/>
  <c r="L29"/>
  <c r="L39" s="1"/>
  <c r="L26"/>
  <c r="L24"/>
  <c r="L21"/>
  <c r="L11"/>
  <c r="L7"/>
  <c r="L27" s="1"/>
  <c r="L40" s="1"/>
  <c r="I110"/>
  <c r="I109"/>
  <c r="I108"/>
  <c r="I107"/>
  <c r="I105"/>
  <c r="I104"/>
  <c r="I103"/>
  <c r="I102"/>
  <c r="I101"/>
  <c r="I100"/>
  <c r="I99"/>
  <c r="I97"/>
  <c r="I96"/>
  <c r="I95"/>
  <c r="I94"/>
  <c r="I91"/>
  <c r="I90"/>
  <c r="I89"/>
  <c r="I88"/>
  <c r="I87"/>
  <c r="I85"/>
  <c r="I84"/>
  <c r="I82"/>
  <c r="I81"/>
  <c r="I80"/>
  <c r="I79"/>
  <c r="I78"/>
  <c r="I77"/>
  <c r="I76"/>
  <c r="I75"/>
  <c r="I74"/>
  <c r="I72"/>
  <c r="I71"/>
  <c r="I69"/>
  <c r="I68"/>
  <c r="I67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41"/>
  <c r="I38"/>
  <c r="I37"/>
  <c r="I36"/>
  <c r="I35"/>
  <c r="I34"/>
  <c r="I33"/>
  <c r="I32"/>
  <c r="I30"/>
  <c r="I16"/>
  <c r="I15"/>
  <c r="I13"/>
  <c r="I111"/>
  <c r="I106"/>
  <c r="I98"/>
  <c r="I92"/>
  <c r="I86"/>
  <c r="I83"/>
  <c r="I73"/>
  <c r="I70"/>
  <c r="I93" s="1"/>
  <c r="I61"/>
  <c r="I59"/>
  <c r="I55"/>
  <c r="I60" s="1"/>
  <c r="I113" s="1"/>
  <c r="I115" s="1"/>
  <c r="I31"/>
  <c r="I29"/>
  <c r="I39" s="1"/>
  <c r="I26"/>
  <c r="I24"/>
  <c r="I21"/>
  <c r="I11"/>
  <c r="I7"/>
  <c r="I27" s="1"/>
  <c r="I40" s="1"/>
  <c r="F110"/>
  <c r="F109"/>
  <c r="F108"/>
  <c r="F107"/>
  <c r="F105"/>
  <c r="F104"/>
  <c r="F103"/>
  <c r="F102"/>
  <c r="F101"/>
  <c r="F100"/>
  <c r="F99"/>
  <c r="F97"/>
  <c r="F96"/>
  <c r="F95"/>
  <c r="F94"/>
  <c r="F91"/>
  <c r="F90"/>
  <c r="F89"/>
  <c r="F88"/>
  <c r="F87"/>
  <c r="F85"/>
  <c r="F84"/>
  <c r="F82"/>
  <c r="F81"/>
  <c r="F80"/>
  <c r="F79"/>
  <c r="F78"/>
  <c r="F77"/>
  <c r="F76"/>
  <c r="F75"/>
  <c r="F74"/>
  <c r="F72"/>
  <c r="F71"/>
  <c r="F69"/>
  <c r="F68"/>
  <c r="F67"/>
  <c r="F66"/>
  <c r="F65"/>
  <c r="F64"/>
  <c r="F63"/>
  <c r="F62"/>
  <c r="F58"/>
  <c r="F57"/>
  <c r="F56"/>
  <c r="F54"/>
  <c r="F53"/>
  <c r="F52"/>
  <c r="F51"/>
  <c r="F50"/>
  <c r="F49"/>
  <c r="F48"/>
  <c r="F47"/>
  <c r="F46"/>
  <c r="F45"/>
  <c r="F44"/>
  <c r="F43"/>
  <c r="F42"/>
  <c r="F41"/>
  <c r="F38"/>
  <c r="F37"/>
  <c r="F36"/>
  <c r="F35"/>
  <c r="F34"/>
  <c r="F33"/>
  <c r="F32"/>
  <c r="F30"/>
  <c r="F16"/>
  <c r="F15"/>
  <c r="F13"/>
  <c r="F111"/>
  <c r="F106"/>
  <c r="F98"/>
  <c r="F92"/>
  <c r="F86"/>
  <c r="F83"/>
  <c r="F73"/>
  <c r="F70"/>
  <c r="F93" s="1"/>
  <c r="F61"/>
  <c r="F59"/>
  <c r="F55"/>
  <c r="F60" s="1"/>
  <c r="F113" s="1"/>
  <c r="F115" s="1"/>
  <c r="F31"/>
  <c r="F29"/>
  <c r="F39" s="1"/>
  <c r="F26"/>
  <c r="F24"/>
  <c r="F21"/>
  <c r="F11"/>
  <c r="F7"/>
  <c r="F27" s="1"/>
  <c r="F40" s="1"/>
  <c r="C110"/>
  <c r="C109"/>
  <c r="C108"/>
  <c r="C107"/>
  <c r="C105"/>
  <c r="C104"/>
  <c r="C103"/>
  <c r="C102"/>
  <c r="C101"/>
  <c r="C100"/>
  <c r="C99"/>
  <c r="C97"/>
  <c r="C96"/>
  <c r="C95"/>
  <c r="C94"/>
  <c r="C91"/>
  <c r="C90"/>
  <c r="C89"/>
  <c r="C88"/>
  <c r="C87"/>
  <c r="C85"/>
  <c r="C84"/>
  <c r="C82"/>
  <c r="C81"/>
  <c r="C80"/>
  <c r="C79"/>
  <c r="C78"/>
  <c r="C77"/>
  <c r="C76"/>
  <c r="C75"/>
  <c r="C74"/>
  <c r="C72"/>
  <c r="C71"/>
  <c r="C69"/>
  <c r="C68"/>
  <c r="C67"/>
  <c r="C66"/>
  <c r="C65"/>
  <c r="C64"/>
  <c r="C63"/>
  <c r="C62"/>
  <c r="C61" s="1"/>
  <c r="C58"/>
  <c r="C57"/>
  <c r="C56"/>
  <c r="C54"/>
  <c r="C53"/>
  <c r="C52"/>
  <c r="C51"/>
  <c r="C50"/>
  <c r="C49"/>
  <c r="C48"/>
  <c r="C47"/>
  <c r="C46"/>
  <c r="C45"/>
  <c r="C44"/>
  <c r="C43"/>
  <c r="C42"/>
  <c r="C41"/>
  <c r="C38"/>
  <c r="C37"/>
  <c r="C36"/>
  <c r="C35"/>
  <c r="C34"/>
  <c r="C33"/>
  <c r="C32"/>
  <c r="C31" s="1"/>
  <c r="C30"/>
  <c r="C29" s="1"/>
  <c r="C16"/>
  <c r="C15"/>
  <c r="C13"/>
  <c r="C21" s="1"/>
  <c r="C107" i="2"/>
  <c r="C93"/>
  <c r="C94"/>
  <c r="C95"/>
  <c r="C92"/>
  <c r="C80"/>
  <c r="C81"/>
  <c r="C82"/>
  <c r="C79"/>
  <c r="C64"/>
  <c r="C65"/>
  <c r="C66"/>
  <c r="C63"/>
  <c r="C60"/>
  <c r="L95" i="1"/>
  <c r="L94"/>
  <c r="L93"/>
  <c r="L91"/>
  <c r="L90"/>
  <c r="L88"/>
  <c r="L79"/>
  <c r="L74"/>
  <c r="L73"/>
  <c r="L54"/>
  <c r="L49"/>
  <c r="L29"/>
  <c r="F28" i="10" l="1"/>
  <c r="F38" s="1"/>
  <c r="N45" i="21"/>
  <c r="M4" i="20"/>
  <c r="F16" i="24" l="1"/>
  <c r="E16"/>
  <c r="D16"/>
  <c r="E12"/>
  <c r="E18" s="1"/>
  <c r="M11"/>
  <c r="L11"/>
  <c r="D11"/>
  <c r="K10"/>
  <c r="N10" s="1"/>
  <c r="M9"/>
  <c r="L9"/>
  <c r="D9"/>
  <c r="K8"/>
  <c r="N8" s="1"/>
  <c r="K7"/>
  <c r="N7" s="1"/>
  <c r="M6"/>
  <c r="L6"/>
  <c r="D6"/>
  <c r="M5"/>
  <c r="L5"/>
  <c r="D5"/>
  <c r="M4"/>
  <c r="L4"/>
  <c r="D4"/>
  <c r="M3"/>
  <c r="L3"/>
  <c r="D3"/>
  <c r="T63" i="23"/>
  <c r="U63" s="1"/>
  <c r="M40" s="1"/>
  <c r="R63"/>
  <c r="S63" s="1"/>
  <c r="L40" s="1"/>
  <c r="Q63"/>
  <c r="T62"/>
  <c r="U62" s="1"/>
  <c r="J40" s="1"/>
  <c r="R62"/>
  <c r="S62" s="1"/>
  <c r="I40" s="1"/>
  <c r="Q62"/>
  <c r="T61"/>
  <c r="U61" s="1"/>
  <c r="G40" s="1"/>
  <c r="R61"/>
  <c r="S61" s="1"/>
  <c r="F40" s="1"/>
  <c r="Q61"/>
  <c r="T60"/>
  <c r="T64" s="1"/>
  <c r="R60"/>
  <c r="R64" s="1"/>
  <c r="Q60"/>
  <c r="Q64" s="1"/>
  <c r="J60"/>
  <c r="I60"/>
  <c r="H60"/>
  <c r="D60"/>
  <c r="C60"/>
  <c r="B60"/>
  <c r="K59"/>
  <c r="L59" s="1"/>
  <c r="E59"/>
  <c r="F59" s="1"/>
  <c r="N37" s="1"/>
  <c r="K58"/>
  <c r="L58" s="1"/>
  <c r="L37" s="1"/>
  <c r="L38" s="1"/>
  <c r="E58"/>
  <c r="F58" s="1"/>
  <c r="K37" s="1"/>
  <c r="K57"/>
  <c r="L57" s="1"/>
  <c r="E57"/>
  <c r="F57" s="1"/>
  <c r="H37" s="1"/>
  <c r="T56"/>
  <c r="U56" s="1"/>
  <c r="M39" s="1"/>
  <c r="M41" s="1"/>
  <c r="R56"/>
  <c r="S56" s="1"/>
  <c r="L39" s="1"/>
  <c r="L41" s="1"/>
  <c r="Q56"/>
  <c r="K56"/>
  <c r="L56" s="1"/>
  <c r="F37" s="1"/>
  <c r="E56"/>
  <c r="F56" s="1"/>
  <c r="E37" s="1"/>
  <c r="T55"/>
  <c r="U55" s="1"/>
  <c r="J39" s="1"/>
  <c r="J41" s="1"/>
  <c r="R55"/>
  <c r="S55" s="1"/>
  <c r="I39" s="1"/>
  <c r="I41" s="1"/>
  <c r="Q55"/>
  <c r="K55"/>
  <c r="K60" s="1"/>
  <c r="E55"/>
  <c r="E60" s="1"/>
  <c r="T54"/>
  <c r="U54" s="1"/>
  <c r="G39" s="1"/>
  <c r="G41" s="1"/>
  <c r="R54"/>
  <c r="S54" s="1"/>
  <c r="F39" s="1"/>
  <c r="F41" s="1"/>
  <c r="Q54"/>
  <c r="T53"/>
  <c r="T57" s="1"/>
  <c r="R53"/>
  <c r="R57" s="1"/>
  <c r="Q53"/>
  <c r="Q57" s="1"/>
  <c r="D52"/>
  <c r="C52"/>
  <c r="B52"/>
  <c r="E51"/>
  <c r="F51" s="1"/>
  <c r="N36" s="1"/>
  <c r="N38" s="1"/>
  <c r="E50"/>
  <c r="F50" s="1"/>
  <c r="K36" s="1"/>
  <c r="K38" s="1"/>
  <c r="E49"/>
  <c r="F49" s="1"/>
  <c r="H36" s="1"/>
  <c r="H38" s="1"/>
  <c r="E48"/>
  <c r="F48" s="1"/>
  <c r="E36" s="1"/>
  <c r="E38" s="1"/>
  <c r="E47"/>
  <c r="E52" s="1"/>
  <c r="O43"/>
  <c r="S42"/>
  <c r="R42"/>
  <c r="Z40"/>
  <c r="Y40"/>
  <c r="X40"/>
  <c r="K40"/>
  <c r="H40"/>
  <c r="E40"/>
  <c r="B40"/>
  <c r="Q40" s="1"/>
  <c r="AA39"/>
  <c r="AA40" s="1"/>
  <c r="K39"/>
  <c r="K41" s="1"/>
  <c r="H39"/>
  <c r="H41" s="1"/>
  <c r="E39"/>
  <c r="E41" s="1"/>
  <c r="B39"/>
  <c r="B41" s="1"/>
  <c r="I38"/>
  <c r="C38"/>
  <c r="S37"/>
  <c r="S36"/>
  <c r="S38" s="1"/>
  <c r="R36"/>
  <c r="AP28"/>
  <c r="AK28"/>
  <c r="AG28"/>
  <c r="AF28"/>
  <c r="AE28"/>
  <c r="AA28"/>
  <c r="V28"/>
  <c r="R28"/>
  <c r="Q28"/>
  <c r="P28"/>
  <c r="M28"/>
  <c r="H28"/>
  <c r="D28"/>
  <c r="C28"/>
  <c r="B28"/>
  <c r="AQ27"/>
  <c r="AR27" s="1"/>
  <c r="AM27"/>
  <c r="AO27" s="1"/>
  <c r="AB27"/>
  <c r="AC27" s="1"/>
  <c r="X27"/>
  <c r="Z27" s="1"/>
  <c r="N27"/>
  <c r="N35" s="1"/>
  <c r="J27"/>
  <c r="L27" s="1"/>
  <c r="AQ26"/>
  <c r="AR26" s="1"/>
  <c r="M35" s="1"/>
  <c r="AM26"/>
  <c r="AH26"/>
  <c r="AN26" s="1"/>
  <c r="AO26" s="1"/>
  <c r="AB26"/>
  <c r="AC26" s="1"/>
  <c r="L35" s="1"/>
  <c r="X26"/>
  <c r="S26"/>
  <c r="Y26" s="1"/>
  <c r="Z26" s="1"/>
  <c r="N26"/>
  <c r="K35" s="1"/>
  <c r="J26"/>
  <c r="E26"/>
  <c r="K26" s="1"/>
  <c r="L26" s="1"/>
  <c r="AQ25"/>
  <c r="AR25" s="1"/>
  <c r="J35" s="1"/>
  <c r="AM25"/>
  <c r="AH25"/>
  <c r="AN25" s="1"/>
  <c r="AO25" s="1"/>
  <c r="AB25"/>
  <c r="AC25" s="1"/>
  <c r="I35" s="1"/>
  <c r="X25"/>
  <c r="S25"/>
  <c r="Y25" s="1"/>
  <c r="Z25" s="1"/>
  <c r="N25"/>
  <c r="H35" s="1"/>
  <c r="J25"/>
  <c r="E25"/>
  <c r="K25" s="1"/>
  <c r="L25" s="1"/>
  <c r="AQ24"/>
  <c r="AR24" s="1"/>
  <c r="G35" s="1"/>
  <c r="AL24"/>
  <c r="AL28" s="1"/>
  <c r="AH24"/>
  <c r="AN24" s="1"/>
  <c r="AB24"/>
  <c r="AC24" s="1"/>
  <c r="F35" s="1"/>
  <c r="W24"/>
  <c r="W28" s="1"/>
  <c r="S24"/>
  <c r="Y24" s="1"/>
  <c r="N24"/>
  <c r="E35" s="1"/>
  <c r="I24"/>
  <c r="I28" s="1"/>
  <c r="E24"/>
  <c r="K24" s="1"/>
  <c r="AQ23"/>
  <c r="AQ28" s="1"/>
  <c r="AM23"/>
  <c r="AH23"/>
  <c r="AH28" s="1"/>
  <c r="AB23"/>
  <c r="AB28" s="1"/>
  <c r="X23"/>
  <c r="S23"/>
  <c r="S28" s="1"/>
  <c r="N23"/>
  <c r="B35" s="1"/>
  <c r="Q35" s="1"/>
  <c r="J23"/>
  <c r="E23"/>
  <c r="AP19"/>
  <c r="AK19"/>
  <c r="AG19"/>
  <c r="AF19"/>
  <c r="AE19"/>
  <c r="AA19"/>
  <c r="V19"/>
  <c r="R19"/>
  <c r="Q19"/>
  <c r="P19"/>
  <c r="M19"/>
  <c r="H19"/>
  <c r="D19"/>
  <c r="C19"/>
  <c r="B19"/>
  <c r="AQ18"/>
  <c r="AR18" s="1"/>
  <c r="AM18"/>
  <c r="AO18" s="1"/>
  <c r="AB18"/>
  <c r="AC18" s="1"/>
  <c r="X18"/>
  <c r="Z18" s="1"/>
  <c r="N18"/>
  <c r="N33" s="1"/>
  <c r="J18"/>
  <c r="L18" s="1"/>
  <c r="AQ17"/>
  <c r="AR17" s="1"/>
  <c r="M33" s="1"/>
  <c r="AM17"/>
  <c r="AH17"/>
  <c r="AN17" s="1"/>
  <c r="AO17" s="1"/>
  <c r="AB17"/>
  <c r="AC17" s="1"/>
  <c r="L33" s="1"/>
  <c r="X17"/>
  <c r="S17"/>
  <c r="Y17" s="1"/>
  <c r="Z17" s="1"/>
  <c r="N17"/>
  <c r="K33" s="1"/>
  <c r="J17"/>
  <c r="E17"/>
  <c r="K17" s="1"/>
  <c r="L17" s="1"/>
  <c r="AQ16"/>
  <c r="AR16" s="1"/>
  <c r="J33" s="1"/>
  <c r="AM16"/>
  <c r="AH16"/>
  <c r="AN16" s="1"/>
  <c r="AO16" s="1"/>
  <c r="AB16"/>
  <c r="AC16" s="1"/>
  <c r="I33" s="1"/>
  <c r="X16"/>
  <c r="S16"/>
  <c r="Y16" s="1"/>
  <c r="Z16" s="1"/>
  <c r="N16"/>
  <c r="H33" s="1"/>
  <c r="J16"/>
  <c r="E16"/>
  <c r="K16" s="1"/>
  <c r="L16" s="1"/>
  <c r="AQ15"/>
  <c r="AR15" s="1"/>
  <c r="G33" s="1"/>
  <c r="AL15"/>
  <c r="AL19" s="1"/>
  <c r="AH15"/>
  <c r="AN15" s="1"/>
  <c r="AB15"/>
  <c r="AC15" s="1"/>
  <c r="F33" s="1"/>
  <c r="W15"/>
  <c r="W19" s="1"/>
  <c r="S15"/>
  <c r="Y15" s="1"/>
  <c r="N15"/>
  <c r="E33" s="1"/>
  <c r="I15"/>
  <c r="I19" s="1"/>
  <c r="E15"/>
  <c r="K15" s="1"/>
  <c r="AQ14"/>
  <c r="AQ19" s="1"/>
  <c r="AM14"/>
  <c r="AH14"/>
  <c r="AH19" s="1"/>
  <c r="AB14"/>
  <c r="AB19" s="1"/>
  <c r="X14"/>
  <c r="S14"/>
  <c r="S19" s="1"/>
  <c r="N14"/>
  <c r="B33" s="1"/>
  <c r="Q33" s="1"/>
  <c r="J14"/>
  <c r="E14"/>
  <c r="E19" s="1"/>
  <c r="AP11"/>
  <c r="AQ11" s="1"/>
  <c r="AK11"/>
  <c r="AG11"/>
  <c r="AF11"/>
  <c r="AE11"/>
  <c r="AA11"/>
  <c r="AB11" s="1"/>
  <c r="V11"/>
  <c r="R11"/>
  <c r="Q11"/>
  <c r="P11"/>
  <c r="M11"/>
  <c r="N11" s="1"/>
  <c r="H11"/>
  <c r="D11"/>
  <c r="C11"/>
  <c r="B11"/>
  <c r="AQ10"/>
  <c r="AR10" s="1"/>
  <c r="AM10"/>
  <c r="AO10" s="1"/>
  <c r="AB10"/>
  <c r="AC10" s="1"/>
  <c r="X10"/>
  <c r="Z10" s="1"/>
  <c r="N10"/>
  <c r="N32" s="1"/>
  <c r="N34" s="1"/>
  <c r="N43" s="1"/>
  <c r="J10"/>
  <c r="L10" s="1"/>
  <c r="AQ9"/>
  <c r="AR9" s="1"/>
  <c r="M32" s="1"/>
  <c r="M34" s="1"/>
  <c r="M43" s="1"/>
  <c r="AM9"/>
  <c r="AH9"/>
  <c r="AN9" s="1"/>
  <c r="AB9"/>
  <c r="AC9" s="1"/>
  <c r="L32" s="1"/>
  <c r="L34" s="1"/>
  <c r="L43" s="1"/>
  <c r="X9"/>
  <c r="S9"/>
  <c r="Y9" s="1"/>
  <c r="N9"/>
  <c r="K32" s="1"/>
  <c r="K34" s="1"/>
  <c r="K43" s="1"/>
  <c r="J9"/>
  <c r="E9"/>
  <c r="K9" s="1"/>
  <c r="AQ8"/>
  <c r="AR8" s="1"/>
  <c r="J32" s="1"/>
  <c r="J34" s="1"/>
  <c r="J43" s="1"/>
  <c r="AM8"/>
  <c r="AH8"/>
  <c r="AN8" s="1"/>
  <c r="AB8"/>
  <c r="AC8" s="1"/>
  <c r="I32" s="1"/>
  <c r="I34" s="1"/>
  <c r="I43" s="1"/>
  <c r="X8"/>
  <c r="S8"/>
  <c r="Y8" s="1"/>
  <c r="N8"/>
  <c r="H32" s="1"/>
  <c r="H34" s="1"/>
  <c r="H43" s="1"/>
  <c r="J8"/>
  <c r="E8"/>
  <c r="K8" s="1"/>
  <c r="AQ7"/>
  <c r="AR7" s="1"/>
  <c r="G32" s="1"/>
  <c r="G34" s="1"/>
  <c r="G43" s="1"/>
  <c r="AL7"/>
  <c r="AL11" s="1"/>
  <c r="AH7"/>
  <c r="AN7" s="1"/>
  <c r="AB7"/>
  <c r="AC7" s="1"/>
  <c r="F32" s="1"/>
  <c r="F34" s="1"/>
  <c r="W7"/>
  <c r="W11" s="1"/>
  <c r="S7"/>
  <c r="Y7" s="1"/>
  <c r="N7"/>
  <c r="E32" s="1"/>
  <c r="E34" s="1"/>
  <c r="E43" s="1"/>
  <c r="I7"/>
  <c r="I11" s="1"/>
  <c r="E7"/>
  <c r="K7" s="1"/>
  <c r="AQ6"/>
  <c r="AR6" s="1"/>
  <c r="AM6"/>
  <c r="AH6"/>
  <c r="AH11" s="1"/>
  <c r="AB6"/>
  <c r="AC6" s="1"/>
  <c r="X6"/>
  <c r="S6"/>
  <c r="S11" s="1"/>
  <c r="N6"/>
  <c r="B32" s="1"/>
  <c r="J6"/>
  <c r="E6"/>
  <c r="E11" s="1"/>
  <c r="N12" i="24" l="1"/>
  <c r="L7"/>
  <c r="D7" s="1"/>
  <c r="D12" s="1"/>
  <c r="D18" s="1"/>
  <c r="M7"/>
  <c r="M12" s="1"/>
  <c r="L8"/>
  <c r="D8" s="1"/>
  <c r="M8"/>
  <c r="L10"/>
  <c r="D10" s="1"/>
  <c r="M10"/>
  <c r="C32" i="23"/>
  <c r="AC11"/>
  <c r="D32"/>
  <c r="AR11"/>
  <c r="L8"/>
  <c r="Z8"/>
  <c r="AO8"/>
  <c r="L9"/>
  <c r="Z9"/>
  <c r="AO9"/>
  <c r="B34"/>
  <c r="Q32"/>
  <c r="Q34" s="1"/>
  <c r="E28"/>
  <c r="K23"/>
  <c r="F38"/>
  <c r="F43" s="1"/>
  <c r="R37"/>
  <c r="K6"/>
  <c r="K11" s="1"/>
  <c r="L6"/>
  <c r="Y6"/>
  <c r="Y11" s="1"/>
  <c r="Z6"/>
  <c r="AN6"/>
  <c r="AN11" s="1"/>
  <c r="AO6"/>
  <c r="J7"/>
  <c r="L7" s="1"/>
  <c r="X7"/>
  <c r="Z7" s="1"/>
  <c r="AM7"/>
  <c r="AO7" s="1"/>
  <c r="K14"/>
  <c r="Y14"/>
  <c r="AC14"/>
  <c r="AN14"/>
  <c r="AR14"/>
  <c r="J15"/>
  <c r="J19" s="1"/>
  <c r="X15"/>
  <c r="X19" s="1"/>
  <c r="AM15"/>
  <c r="AM19" s="1"/>
  <c r="N19"/>
  <c r="R38"/>
  <c r="Y23"/>
  <c r="AC23"/>
  <c r="AN23"/>
  <c r="AR23"/>
  <c r="J24"/>
  <c r="J28" s="1"/>
  <c r="X24"/>
  <c r="X28" s="1"/>
  <c r="AM24"/>
  <c r="AM28" s="1"/>
  <c r="N28"/>
  <c r="Q39"/>
  <c r="Q41" s="1"/>
  <c r="AB39"/>
  <c r="F47"/>
  <c r="S53"/>
  <c r="U53"/>
  <c r="F55"/>
  <c r="L55"/>
  <c r="L60" s="1"/>
  <c r="S60"/>
  <c r="U60"/>
  <c r="O10" i="24" l="1"/>
  <c r="F10" s="1"/>
  <c r="L12"/>
  <c r="O7"/>
  <c r="F7" s="1"/>
  <c r="F12" s="1"/>
  <c r="F18" s="1"/>
  <c r="U64" i="23"/>
  <c r="D40"/>
  <c r="S40" s="1"/>
  <c r="S64"/>
  <c r="C40"/>
  <c r="R40" s="1"/>
  <c r="F60"/>
  <c r="B37"/>
  <c r="Q37" s="1"/>
  <c r="U57"/>
  <c r="D39"/>
  <c r="S57"/>
  <c r="C39"/>
  <c r="F52"/>
  <c r="B36"/>
  <c r="AB40"/>
  <c r="W39"/>
  <c r="D35"/>
  <c r="S35" s="1"/>
  <c r="AR28"/>
  <c r="AN28"/>
  <c r="AO23"/>
  <c r="C35"/>
  <c r="R35" s="1"/>
  <c r="AC28"/>
  <c r="Y28"/>
  <c r="Z23"/>
  <c r="D33"/>
  <c r="S33" s="1"/>
  <c r="AR19"/>
  <c r="AN19"/>
  <c r="AO14"/>
  <c r="C33"/>
  <c r="R33" s="1"/>
  <c r="AC19"/>
  <c r="Y19"/>
  <c r="Z14"/>
  <c r="K19"/>
  <c r="L14"/>
  <c r="K28"/>
  <c r="L23"/>
  <c r="D34"/>
  <c r="S32"/>
  <c r="S34" s="1"/>
  <c r="C34"/>
  <c r="R32"/>
  <c r="R34" s="1"/>
  <c r="AO24"/>
  <c r="Z24"/>
  <c r="L24"/>
  <c r="AO15"/>
  <c r="Z15"/>
  <c r="L15"/>
  <c r="AM11"/>
  <c r="AO11" s="1"/>
  <c r="X11"/>
  <c r="Z11" s="1"/>
  <c r="J11"/>
  <c r="L11" s="1"/>
  <c r="B42" l="1"/>
  <c r="Q42" s="1"/>
  <c r="W40"/>
  <c r="B38"/>
  <c r="B43" s="1"/>
  <c r="Q36"/>
  <c r="Q38" s="1"/>
  <c r="Q43" s="1"/>
  <c r="C41"/>
  <c r="R39"/>
  <c r="R41" s="1"/>
  <c r="D41"/>
  <c r="S39"/>
  <c r="S41" s="1"/>
  <c r="R43"/>
  <c r="C43"/>
  <c r="S43"/>
  <c r="D43"/>
  <c r="L28"/>
  <c r="L19"/>
  <c r="Z19"/>
  <c r="AO19"/>
  <c r="Z28"/>
  <c r="AO28"/>
  <c r="O43" i="21" l="1"/>
  <c r="O29" l="1"/>
  <c r="O28"/>
  <c r="O27"/>
  <c r="O30"/>
  <c r="I40"/>
  <c r="O38"/>
  <c r="O44"/>
  <c r="O46" s="1"/>
  <c r="J25" i="20" l="1"/>
  <c r="M22"/>
  <c r="L22"/>
  <c r="K22"/>
  <c r="M20"/>
  <c r="L20"/>
  <c r="K20"/>
  <c r="M19"/>
  <c r="L19"/>
  <c r="K19"/>
  <c r="M18"/>
  <c r="L18"/>
  <c r="K18"/>
  <c r="L4"/>
  <c r="K4"/>
  <c r="M3"/>
  <c r="L3"/>
  <c r="K3"/>
  <c r="E82" i="2" l="1"/>
  <c r="E81"/>
  <c r="E80"/>
  <c r="E79"/>
  <c r="E78" s="1"/>
  <c r="D78"/>
  <c r="C78"/>
  <c r="J27" i="13"/>
  <c r="I27"/>
  <c r="H27"/>
  <c r="J26"/>
  <c r="I26"/>
  <c r="H26"/>
  <c r="J16"/>
  <c r="I16"/>
  <c r="H16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J4"/>
  <c r="I4"/>
  <c r="H4"/>
  <c r="G24"/>
  <c r="E27"/>
  <c r="F26"/>
  <c r="F27" s="1"/>
  <c r="G19"/>
  <c r="G26" s="1"/>
  <c r="G27" s="1"/>
  <c r="G20"/>
  <c r="G21"/>
  <c r="G22"/>
  <c r="G23"/>
  <c r="G25"/>
  <c r="G18"/>
  <c r="D27"/>
  <c r="C27"/>
  <c r="B27"/>
  <c r="D5"/>
  <c r="D6"/>
  <c r="D7"/>
  <c r="D8"/>
  <c r="D9"/>
  <c r="D10"/>
  <c r="D11"/>
  <c r="D12"/>
  <c r="D13"/>
  <c r="D14"/>
  <c r="D15"/>
  <c r="D4"/>
  <c r="D16"/>
  <c r="C16"/>
  <c r="B16"/>
  <c r="M5" i="1" l="1"/>
  <c r="C5" i="2"/>
  <c r="E5" s="1"/>
  <c r="P90" i="1"/>
  <c r="O90"/>
  <c r="K7"/>
  <c r="J7"/>
  <c r="I7"/>
  <c r="K5"/>
  <c r="J5"/>
  <c r="I5"/>
  <c r="C4"/>
  <c r="C8" s="1"/>
  <c r="T7" i="10"/>
  <c r="S7"/>
  <c r="R7"/>
  <c r="S6"/>
  <c r="G6" i="1" s="1"/>
  <c r="G4" s="1"/>
  <c r="G8" s="1"/>
  <c r="R6" i="10"/>
  <c r="F6" i="1" s="1"/>
  <c r="T5" i="10"/>
  <c r="S5"/>
  <c r="R5"/>
  <c r="R4"/>
  <c r="R8" s="1"/>
  <c r="N6"/>
  <c r="N4"/>
  <c r="N8" s="1"/>
  <c r="M4"/>
  <c r="M8" s="1"/>
  <c r="G4"/>
  <c r="S4" s="1"/>
  <c r="S8" s="1"/>
  <c r="H6"/>
  <c r="T6" s="1"/>
  <c r="H6" i="1" s="1"/>
  <c r="H4" s="1"/>
  <c r="H8" s="1"/>
  <c r="H78" i="9"/>
  <c r="H14"/>
  <c r="Q14"/>
  <c r="I6" i="1" l="1"/>
  <c r="F4"/>
  <c r="F8" s="1"/>
  <c r="N5"/>
  <c r="G83" i="9"/>
  <c r="L5" i="1"/>
  <c r="N90"/>
  <c r="Q90" s="1"/>
  <c r="K6"/>
  <c r="E4"/>
  <c r="E8" s="1"/>
  <c r="J6"/>
  <c r="D6" i="2" s="1"/>
  <c r="D4" i="1"/>
  <c r="D8" s="1"/>
  <c r="H4" i="10"/>
  <c r="G8"/>
  <c r="L96" i="1"/>
  <c r="L89"/>
  <c r="L87"/>
  <c r="H113" i="10"/>
  <c r="H32"/>
  <c r="U117" i="9"/>
  <c r="R117"/>
  <c r="Q13"/>
  <c r="O117"/>
  <c r="I4" i="1" l="1"/>
  <c r="I8" s="1"/>
  <c r="O6"/>
  <c r="T4" i="10"/>
  <c r="T8" s="1"/>
  <c r="H8"/>
  <c r="J4" i="1"/>
  <c r="J8" s="1"/>
  <c r="P6"/>
  <c r="K4"/>
  <c r="K8" s="1"/>
  <c r="Q6"/>
  <c r="L92"/>
  <c r="L97" s="1"/>
  <c r="N31" i="9"/>
  <c r="P93" i="10"/>
  <c r="C76" i="2"/>
  <c r="C75"/>
  <c r="C74"/>
  <c r="C73"/>
  <c r="C70"/>
  <c r="C69"/>
  <c r="C57"/>
  <c r="C56"/>
  <c r="C55"/>
  <c r="C54"/>
  <c r="C53"/>
  <c r="C52"/>
  <c r="C51"/>
  <c r="C48"/>
  <c r="C47"/>
  <c r="C46"/>
  <c r="C45"/>
  <c r="C44"/>
  <c r="C43"/>
  <c r="C42"/>
  <c r="C39"/>
  <c r="C38"/>
  <c r="C37"/>
  <c r="C36"/>
  <c r="C35"/>
  <c r="C34"/>
  <c r="C33"/>
  <c r="C32"/>
  <c r="C29"/>
  <c r="C28"/>
  <c r="C27"/>
  <c r="C26"/>
  <c r="C25"/>
  <c r="C24"/>
  <c r="C23"/>
  <c r="C20"/>
  <c r="C19"/>
  <c r="C18"/>
  <c r="C10"/>
  <c r="C11"/>
  <c r="C12"/>
  <c r="C13"/>
  <c r="C14"/>
  <c r="C15"/>
  <c r="C9"/>
  <c r="U44" i="21" l="1"/>
  <c r="J93" i="10"/>
  <c r="U45" i="21"/>
  <c r="M93" i="10"/>
  <c r="I22" i="20"/>
  <c r="J22"/>
  <c r="H22"/>
  <c r="G22"/>
  <c r="F22"/>
  <c r="E22"/>
  <c r="D22"/>
  <c r="C22"/>
  <c r="F20"/>
  <c r="J20"/>
  <c r="I20"/>
  <c r="H20"/>
  <c r="G20"/>
  <c r="E20"/>
  <c r="D20"/>
  <c r="C20"/>
  <c r="H19"/>
  <c r="G19"/>
  <c r="F19"/>
  <c r="E19"/>
  <c r="D19"/>
  <c r="C19"/>
  <c r="H18"/>
  <c r="D18"/>
  <c r="E18"/>
  <c r="F18"/>
  <c r="G18"/>
  <c r="C18"/>
  <c r="C14"/>
  <c r="F14"/>
  <c r="N14"/>
  <c r="H14"/>
  <c r="C15"/>
  <c r="F15"/>
  <c r="H3"/>
  <c r="G3"/>
  <c r="F3"/>
  <c r="E3"/>
  <c r="D3"/>
  <c r="C3"/>
  <c r="O37" i="21"/>
  <c r="O39"/>
  <c r="C42"/>
  <c r="O42" s="1"/>
  <c r="O15"/>
  <c r="O14"/>
  <c r="O13"/>
  <c r="O12"/>
  <c r="G16"/>
  <c r="D31" l="1"/>
  <c r="E31"/>
  <c r="F31"/>
  <c r="G31"/>
  <c r="H31"/>
  <c r="C31"/>
  <c r="B11" l="1"/>
  <c r="O91" i="1" l="1"/>
  <c r="P91"/>
  <c r="R95" i="10"/>
  <c r="F89" i="1" s="1"/>
  <c r="S95" i="10"/>
  <c r="G89" i="1" s="1"/>
  <c r="Q113" i="10"/>
  <c r="G93"/>
  <c r="R32"/>
  <c r="S32"/>
  <c r="Q32"/>
  <c r="T32"/>
  <c r="Q95" l="1"/>
  <c r="T95" s="1"/>
  <c r="H89" i="1" s="1"/>
  <c r="N91"/>
  <c r="Q91" s="1"/>
  <c r="E76" i="2"/>
  <c r="E75"/>
  <c r="E74"/>
  <c r="E73"/>
  <c r="E72" s="1"/>
  <c r="D72"/>
  <c r="C72"/>
  <c r="G30" i="10" l="1"/>
  <c r="P96"/>
  <c r="M96"/>
  <c r="J96"/>
  <c r="G96"/>
  <c r="G99" s="1"/>
  <c r="D96"/>
  <c r="M87" i="1"/>
  <c r="L31"/>
  <c r="E70" i="2"/>
  <c r="E69"/>
  <c r="E68" s="1"/>
  <c r="M31" i="1"/>
  <c r="N29"/>
  <c r="N31" s="1"/>
  <c r="Q29" i="10"/>
  <c r="D68" i="2"/>
  <c r="C68"/>
  <c r="M92" i="1" l="1"/>
  <c r="N96" i="9"/>
  <c r="N95"/>
  <c r="M95"/>
  <c r="N28"/>
  <c r="Z28" s="1"/>
  <c r="Y28"/>
  <c r="D29" i="1" s="1"/>
  <c r="X28" i="9"/>
  <c r="C29" i="1" s="1"/>
  <c r="M97"/>
  <c r="T105" i="9"/>
  <c r="T102"/>
  <c r="W94"/>
  <c r="T94"/>
  <c r="Q94"/>
  <c r="N94"/>
  <c r="K94"/>
  <c r="H94"/>
  <c r="E94"/>
  <c r="N86" i="1"/>
  <c r="P99" i="10"/>
  <c r="M99"/>
  <c r="J99"/>
  <c r="D99"/>
  <c r="S92"/>
  <c r="G86" i="1" s="1"/>
  <c r="Q92" i="10"/>
  <c r="N92"/>
  <c r="K92"/>
  <c r="H92"/>
  <c r="R92"/>
  <c r="F86" i="1" s="1"/>
  <c r="Z94" i="9"/>
  <c r="E86" i="1" s="1"/>
  <c r="Y94" i="9"/>
  <c r="D86" i="1" s="1"/>
  <c r="X94" i="9"/>
  <c r="C86" i="1" s="1"/>
  <c r="W98" i="9"/>
  <c r="V98"/>
  <c r="T98"/>
  <c r="S98"/>
  <c r="Q98"/>
  <c r="P98"/>
  <c r="N98"/>
  <c r="M98"/>
  <c r="K98"/>
  <c r="J98"/>
  <c r="H98"/>
  <c r="G98"/>
  <c r="E98"/>
  <c r="D98"/>
  <c r="C98"/>
  <c r="N74" i="1"/>
  <c r="E29" l="1"/>
  <c r="J86"/>
  <c r="P86" s="1"/>
  <c r="G7" i="22" s="1"/>
  <c r="E92" i="10"/>
  <c r="E13" i="9"/>
  <c r="E65" i="2"/>
  <c r="E66"/>
  <c r="D62"/>
  <c r="R31" i="21" l="1"/>
  <c r="U31" s="1"/>
  <c r="T92" i="10"/>
  <c r="T115"/>
  <c r="S115"/>
  <c r="T113"/>
  <c r="S113"/>
  <c r="S111"/>
  <c r="S110"/>
  <c r="S109"/>
  <c r="S108"/>
  <c r="S112" s="1"/>
  <c r="S106"/>
  <c r="S105"/>
  <c r="S104"/>
  <c r="S103"/>
  <c r="S102"/>
  <c r="S101"/>
  <c r="S100"/>
  <c r="S107" s="1"/>
  <c r="S98"/>
  <c r="S97"/>
  <c r="S96"/>
  <c r="S94"/>
  <c r="G88" i="1" s="1"/>
  <c r="S93" i="10"/>
  <c r="S99" s="1"/>
  <c r="S89"/>
  <c r="S88"/>
  <c r="S87"/>
  <c r="S86"/>
  <c r="S85"/>
  <c r="S90" s="1"/>
  <c r="S83"/>
  <c r="S82"/>
  <c r="S84" s="1"/>
  <c r="S80"/>
  <c r="S79"/>
  <c r="S78"/>
  <c r="S77"/>
  <c r="S76"/>
  <c r="S75"/>
  <c r="S74"/>
  <c r="S73"/>
  <c r="S72"/>
  <c r="S81" s="1"/>
  <c r="S70"/>
  <c r="S69"/>
  <c r="S71" s="1"/>
  <c r="S67"/>
  <c r="S66"/>
  <c r="S65"/>
  <c r="S68" s="1"/>
  <c r="S91" s="1"/>
  <c r="S64"/>
  <c r="S63"/>
  <c r="S62"/>
  <c r="S61"/>
  <c r="S60"/>
  <c r="S59"/>
  <c r="S56"/>
  <c r="S55"/>
  <c r="S54"/>
  <c r="S57" s="1"/>
  <c r="S52"/>
  <c r="S51"/>
  <c r="S50"/>
  <c r="S49"/>
  <c r="S48"/>
  <c r="S47"/>
  <c r="S46"/>
  <c r="S45"/>
  <c r="S44"/>
  <c r="S43"/>
  <c r="S42"/>
  <c r="S41"/>
  <c r="S40"/>
  <c r="S39"/>
  <c r="S53" s="1"/>
  <c r="S58" s="1"/>
  <c r="S114" s="1"/>
  <c r="S116" s="1"/>
  <c r="S36"/>
  <c r="S35"/>
  <c r="S34"/>
  <c r="S31"/>
  <c r="T29"/>
  <c r="S29"/>
  <c r="T27"/>
  <c r="S27"/>
  <c r="T25"/>
  <c r="S25"/>
  <c r="S17"/>
  <c r="S22" s="1"/>
  <c r="T12"/>
  <c r="S12"/>
  <c r="S28"/>
  <c r="P112"/>
  <c r="Q111"/>
  <c r="Q110"/>
  <c r="Q109"/>
  <c r="Q108"/>
  <c r="Q112" s="1"/>
  <c r="P107"/>
  <c r="P90"/>
  <c r="P84"/>
  <c r="P81"/>
  <c r="P71"/>
  <c r="P68"/>
  <c r="P91" s="1"/>
  <c r="P59"/>
  <c r="P57"/>
  <c r="P53"/>
  <c r="P58" s="1"/>
  <c r="P114" s="1"/>
  <c r="P116" s="1"/>
  <c r="P33"/>
  <c r="P30"/>
  <c r="P37" s="1"/>
  <c r="Q27"/>
  <c r="P27"/>
  <c r="Q25"/>
  <c r="P25"/>
  <c r="Q22"/>
  <c r="Q28" s="1"/>
  <c r="P22"/>
  <c r="P28" s="1"/>
  <c r="P38" s="1"/>
  <c r="P118" s="1"/>
  <c r="M112"/>
  <c r="N111"/>
  <c r="N110"/>
  <c r="N109"/>
  <c r="N108"/>
  <c r="N112" s="1"/>
  <c r="M107"/>
  <c r="M90"/>
  <c r="M84"/>
  <c r="M81"/>
  <c r="M71"/>
  <c r="M68"/>
  <c r="M91" s="1"/>
  <c r="M59"/>
  <c r="M57"/>
  <c r="M53"/>
  <c r="M58" s="1"/>
  <c r="M114" s="1"/>
  <c r="M116" s="1"/>
  <c r="M33"/>
  <c r="M30"/>
  <c r="M37" s="1"/>
  <c r="N27"/>
  <c r="M27"/>
  <c r="N25"/>
  <c r="M25"/>
  <c r="N22"/>
  <c r="N28" s="1"/>
  <c r="M22"/>
  <c r="M28" s="1"/>
  <c r="M38" s="1"/>
  <c r="M118" s="1"/>
  <c r="J112"/>
  <c r="K111"/>
  <c r="K110"/>
  <c r="K109"/>
  <c r="K108"/>
  <c r="K112" s="1"/>
  <c r="J107"/>
  <c r="J90"/>
  <c r="J84"/>
  <c r="J81"/>
  <c r="J71"/>
  <c r="J68"/>
  <c r="J91" s="1"/>
  <c r="J59"/>
  <c r="J57"/>
  <c r="J53"/>
  <c r="J58" s="1"/>
  <c r="J114" s="1"/>
  <c r="J116" s="1"/>
  <c r="J33"/>
  <c r="J30"/>
  <c r="J37" s="1"/>
  <c r="K27"/>
  <c r="J27"/>
  <c r="K25"/>
  <c r="J25"/>
  <c r="K22"/>
  <c r="K28" s="1"/>
  <c r="J22"/>
  <c r="J28" s="1"/>
  <c r="J38" s="1"/>
  <c r="J118" s="1"/>
  <c r="G112"/>
  <c r="H111"/>
  <c r="H110"/>
  <c r="H109"/>
  <c r="H108"/>
  <c r="H112" s="1"/>
  <c r="G107"/>
  <c r="G90"/>
  <c r="G84"/>
  <c r="G81"/>
  <c r="G71"/>
  <c r="G68"/>
  <c r="G91" s="1"/>
  <c r="G59"/>
  <c r="G57"/>
  <c r="G53"/>
  <c r="G58" s="1"/>
  <c r="G114" s="1"/>
  <c r="G116" s="1"/>
  <c r="G33"/>
  <c r="G37"/>
  <c r="H27"/>
  <c r="G27"/>
  <c r="H25"/>
  <c r="G25"/>
  <c r="H22"/>
  <c r="H28" s="1"/>
  <c r="G22"/>
  <c r="G28" s="1"/>
  <c r="G38" s="1"/>
  <c r="G118" s="1"/>
  <c r="D112"/>
  <c r="D107"/>
  <c r="D90"/>
  <c r="D84"/>
  <c r="D81"/>
  <c r="D71"/>
  <c r="D68"/>
  <c r="D59"/>
  <c r="D57"/>
  <c r="D53"/>
  <c r="E111"/>
  <c r="T111" s="1"/>
  <c r="E110"/>
  <c r="T110" s="1"/>
  <c r="E109"/>
  <c r="T109" s="1"/>
  <c r="E108"/>
  <c r="T108" s="1"/>
  <c r="T112" s="1"/>
  <c r="D33"/>
  <c r="S33" s="1"/>
  <c r="S30" s="1"/>
  <c r="D30"/>
  <c r="D37" s="1"/>
  <c r="D27"/>
  <c r="E27"/>
  <c r="D25"/>
  <c r="E25"/>
  <c r="D22"/>
  <c r="D28" s="1"/>
  <c r="W111" i="9"/>
  <c r="V111"/>
  <c r="W106"/>
  <c r="V106"/>
  <c r="V92"/>
  <c r="W90"/>
  <c r="W89"/>
  <c r="W88"/>
  <c r="V86"/>
  <c r="W85"/>
  <c r="V83"/>
  <c r="V73"/>
  <c r="V70"/>
  <c r="V93" s="1"/>
  <c r="W69"/>
  <c r="V61"/>
  <c r="V59"/>
  <c r="V55"/>
  <c r="V60" s="1"/>
  <c r="V113" s="1"/>
  <c r="V115" s="1"/>
  <c r="V29"/>
  <c r="V39" s="1"/>
  <c r="W26"/>
  <c r="V26"/>
  <c r="W24"/>
  <c r="V24"/>
  <c r="V21"/>
  <c r="W15"/>
  <c r="W11"/>
  <c r="V11"/>
  <c r="W7"/>
  <c r="V7"/>
  <c r="V27" s="1"/>
  <c r="V40" s="1"/>
  <c r="V117" s="1"/>
  <c r="T111"/>
  <c r="S111"/>
  <c r="T106"/>
  <c r="S106"/>
  <c r="S92"/>
  <c r="T90"/>
  <c r="T89"/>
  <c r="T88"/>
  <c r="S86"/>
  <c r="T85"/>
  <c r="S83"/>
  <c r="S73"/>
  <c r="S70"/>
  <c r="S93" s="1"/>
  <c r="T69"/>
  <c r="S61"/>
  <c r="S59"/>
  <c r="S55"/>
  <c r="S60" s="1"/>
  <c r="S113" s="1"/>
  <c r="S115" s="1"/>
  <c r="S29"/>
  <c r="S39" s="1"/>
  <c r="T26"/>
  <c r="S26"/>
  <c r="T24"/>
  <c r="S24"/>
  <c r="S21"/>
  <c r="T16"/>
  <c r="T15"/>
  <c r="T11"/>
  <c r="S11"/>
  <c r="T7"/>
  <c r="S7"/>
  <c r="S27" s="1"/>
  <c r="S40" s="1"/>
  <c r="S117" s="1"/>
  <c r="Q111"/>
  <c r="P111"/>
  <c r="Q106"/>
  <c r="P106"/>
  <c r="P92"/>
  <c r="Q90"/>
  <c r="Q89"/>
  <c r="Q88"/>
  <c r="P86"/>
  <c r="Q85"/>
  <c r="P83"/>
  <c r="P73"/>
  <c r="P70"/>
  <c r="P93" s="1"/>
  <c r="Q69"/>
  <c r="P61"/>
  <c r="P59"/>
  <c r="P55"/>
  <c r="P60" s="1"/>
  <c r="P113" s="1"/>
  <c r="P115" s="1"/>
  <c r="P29"/>
  <c r="P39" s="1"/>
  <c r="Q26"/>
  <c r="P26"/>
  <c r="Q24"/>
  <c r="P24"/>
  <c r="P21"/>
  <c r="Q15"/>
  <c r="Q11"/>
  <c r="P11"/>
  <c r="Q7"/>
  <c r="P7"/>
  <c r="P27" s="1"/>
  <c r="P40" s="1"/>
  <c r="P117" s="1"/>
  <c r="N111"/>
  <c r="M111"/>
  <c r="N106"/>
  <c r="M106"/>
  <c r="M92"/>
  <c r="N90"/>
  <c r="N89"/>
  <c r="N88"/>
  <c r="M86"/>
  <c r="N85"/>
  <c r="M83"/>
  <c r="M73"/>
  <c r="M70"/>
  <c r="M93" s="1"/>
  <c r="N69"/>
  <c r="M61"/>
  <c r="M59"/>
  <c r="M55"/>
  <c r="M60" s="1"/>
  <c r="M113" s="1"/>
  <c r="M115" s="1"/>
  <c r="M29"/>
  <c r="M39" s="1"/>
  <c r="N26"/>
  <c r="M26"/>
  <c r="N24"/>
  <c r="M24"/>
  <c r="M21"/>
  <c r="N16"/>
  <c r="N15"/>
  <c r="N21" s="1"/>
  <c r="N11"/>
  <c r="M11"/>
  <c r="N7"/>
  <c r="N27" s="1"/>
  <c r="M7"/>
  <c r="M27" s="1"/>
  <c r="M40" s="1"/>
  <c r="M117" s="1"/>
  <c r="K111"/>
  <c r="J111"/>
  <c r="K106"/>
  <c r="J106"/>
  <c r="J92"/>
  <c r="K90"/>
  <c r="K89"/>
  <c r="K88"/>
  <c r="J86"/>
  <c r="K85"/>
  <c r="J83"/>
  <c r="J73"/>
  <c r="J70"/>
  <c r="J93" s="1"/>
  <c r="K69"/>
  <c r="J61"/>
  <c r="J59"/>
  <c r="J55"/>
  <c r="J60" s="1"/>
  <c r="J113" s="1"/>
  <c r="J115" s="1"/>
  <c r="J29"/>
  <c r="J39" s="1"/>
  <c r="K26"/>
  <c r="J26"/>
  <c r="K24"/>
  <c r="J24"/>
  <c r="J21"/>
  <c r="K15"/>
  <c r="K11"/>
  <c r="J11"/>
  <c r="K7"/>
  <c r="J7"/>
  <c r="J27" s="1"/>
  <c r="J40" s="1"/>
  <c r="J117" s="1"/>
  <c r="H111"/>
  <c r="G111"/>
  <c r="H106"/>
  <c r="G106"/>
  <c r="G92"/>
  <c r="H90"/>
  <c r="H89"/>
  <c r="H88"/>
  <c r="G86"/>
  <c r="H85"/>
  <c r="G73"/>
  <c r="G70"/>
  <c r="G93" s="1"/>
  <c r="H69"/>
  <c r="G61"/>
  <c r="G59"/>
  <c r="G55"/>
  <c r="G60" s="1"/>
  <c r="G113" s="1"/>
  <c r="G115" s="1"/>
  <c r="G29"/>
  <c r="G39" s="1"/>
  <c r="H26"/>
  <c r="G26"/>
  <c r="H24"/>
  <c r="G24"/>
  <c r="G21"/>
  <c r="H16"/>
  <c r="H15"/>
  <c r="H21" s="1"/>
  <c r="H11"/>
  <c r="G11"/>
  <c r="H7"/>
  <c r="H27" s="1"/>
  <c r="G7"/>
  <c r="G27" s="1"/>
  <c r="G40" s="1"/>
  <c r="G117" s="1"/>
  <c r="D111"/>
  <c r="E111"/>
  <c r="D106"/>
  <c r="E106"/>
  <c r="D92"/>
  <c r="D86"/>
  <c r="D83"/>
  <c r="D73"/>
  <c r="D70"/>
  <c r="D61"/>
  <c r="D59"/>
  <c r="D55"/>
  <c r="D60" s="1"/>
  <c r="D29"/>
  <c r="D39" s="1"/>
  <c r="E26"/>
  <c r="D26"/>
  <c r="D24"/>
  <c r="E24"/>
  <c r="D21"/>
  <c r="D27" s="1"/>
  <c r="D11"/>
  <c r="E11"/>
  <c r="D7"/>
  <c r="E7"/>
  <c r="E90"/>
  <c r="E89"/>
  <c r="E88"/>
  <c r="E85"/>
  <c r="E69"/>
  <c r="Y7"/>
  <c r="Z7"/>
  <c r="Y11"/>
  <c r="Z11"/>
  <c r="Y12"/>
  <c r="Z12"/>
  <c r="Y13"/>
  <c r="Y14"/>
  <c r="Z14"/>
  <c r="Y15"/>
  <c r="Y16"/>
  <c r="Y17"/>
  <c r="Z17"/>
  <c r="Y18"/>
  <c r="Z18"/>
  <c r="Y19"/>
  <c r="Z19"/>
  <c r="Y20"/>
  <c r="Z20"/>
  <c r="Y21"/>
  <c r="Y24"/>
  <c r="Z24"/>
  <c r="Y26"/>
  <c r="Z26"/>
  <c r="Y27"/>
  <c r="Y30"/>
  <c r="Y32"/>
  <c r="Y33"/>
  <c r="Y34"/>
  <c r="Y35"/>
  <c r="Y36"/>
  <c r="Y37"/>
  <c r="Y38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2"/>
  <c r="Y63"/>
  <c r="Y64"/>
  <c r="Y65"/>
  <c r="Y66"/>
  <c r="Y67"/>
  <c r="Y68"/>
  <c r="Y69"/>
  <c r="Z69"/>
  <c r="Y70"/>
  <c r="Y71"/>
  <c r="Y72"/>
  <c r="Y73"/>
  <c r="Y74"/>
  <c r="Y75"/>
  <c r="Y76"/>
  <c r="Y77"/>
  <c r="Y79"/>
  <c r="Y80"/>
  <c r="Y81"/>
  <c r="Y82"/>
  <c r="Y84"/>
  <c r="Y85"/>
  <c r="Z85"/>
  <c r="Y86"/>
  <c r="Y87"/>
  <c r="Y88"/>
  <c r="Z88"/>
  <c r="Y89"/>
  <c r="Z89"/>
  <c r="Y90"/>
  <c r="Z90"/>
  <c r="Y91"/>
  <c r="Y92"/>
  <c r="Y96"/>
  <c r="Z96"/>
  <c r="Y97"/>
  <c r="Z97"/>
  <c r="Y99"/>
  <c r="Z99"/>
  <c r="Y100"/>
  <c r="Z100"/>
  <c r="Y101"/>
  <c r="Z101"/>
  <c r="Y102"/>
  <c r="Z102"/>
  <c r="Y103"/>
  <c r="Z103"/>
  <c r="Y104"/>
  <c r="Z104"/>
  <c r="Y105"/>
  <c r="Z105"/>
  <c r="Y106"/>
  <c r="Z106"/>
  <c r="Y107"/>
  <c r="Z107"/>
  <c r="Y108"/>
  <c r="Z108"/>
  <c r="Y109"/>
  <c r="Z109"/>
  <c r="Y110"/>
  <c r="Z110"/>
  <c r="Y111"/>
  <c r="Z111"/>
  <c r="Y112"/>
  <c r="Z112"/>
  <c r="Y114"/>
  <c r="Z114"/>
  <c r="D105" i="2"/>
  <c r="E105"/>
  <c r="D103"/>
  <c r="E103"/>
  <c r="D88"/>
  <c r="D90" s="1"/>
  <c r="E88"/>
  <c r="E90" s="1"/>
  <c r="D59"/>
  <c r="D50"/>
  <c r="D41"/>
  <c r="D31"/>
  <c r="D22"/>
  <c r="D17"/>
  <c r="D8"/>
  <c r="D84" l="1"/>
  <c r="D4"/>
  <c r="D86"/>
  <c r="D93" i="9"/>
  <c r="D113"/>
  <c r="D115" s="1"/>
  <c r="Z95"/>
  <c r="Z98" s="1"/>
  <c r="E89" i="1"/>
  <c r="K89" s="1"/>
  <c r="Q89" s="1"/>
  <c r="Y95" i="9"/>
  <c r="Y98" s="1"/>
  <c r="D89" i="1"/>
  <c r="J89" s="1"/>
  <c r="P89" s="1"/>
  <c r="D38" i="10"/>
  <c r="D91"/>
  <c r="E112"/>
  <c r="S37"/>
  <c r="G29" i="1"/>
  <c r="D107" i="2"/>
  <c r="D109" s="1"/>
  <c r="H29" i="1"/>
  <c r="K29" s="1"/>
  <c r="E107" i="2"/>
  <c r="E109" s="1"/>
  <c r="S38" i="10"/>
  <c r="S118" s="1"/>
  <c r="H86" i="1"/>
  <c r="D58" i="10"/>
  <c r="D114" s="1"/>
  <c r="D116" s="1"/>
  <c r="D118" s="1"/>
  <c r="D40" i="9"/>
  <c r="D117"/>
  <c r="M7" i="1"/>
  <c r="M4" s="1"/>
  <c r="Y78" i="9"/>
  <c r="Y83" s="1"/>
  <c r="Y93" s="1"/>
  <c r="Y61"/>
  <c r="Y31"/>
  <c r="Y113"/>
  <c r="Y115" s="1"/>
  <c r="Y29"/>
  <c r="Y39" s="1"/>
  <c r="Y40" s="1"/>
  <c r="Y117" s="1"/>
  <c r="N110" i="1"/>
  <c r="M110"/>
  <c r="L110"/>
  <c r="N105"/>
  <c r="M105"/>
  <c r="L105"/>
  <c r="M84"/>
  <c r="N78"/>
  <c r="M78"/>
  <c r="L78"/>
  <c r="M75"/>
  <c r="N65"/>
  <c r="M65"/>
  <c r="L65"/>
  <c r="N62"/>
  <c r="M62"/>
  <c r="L62"/>
  <c r="M53"/>
  <c r="M51"/>
  <c r="M52" s="1"/>
  <c r="N25"/>
  <c r="M25"/>
  <c r="L25"/>
  <c r="N22"/>
  <c r="M22"/>
  <c r="L22"/>
  <c r="N12"/>
  <c r="M12"/>
  <c r="M8"/>
  <c r="M28" s="1"/>
  <c r="M32" s="1"/>
  <c r="P3"/>
  <c r="Q3"/>
  <c r="P5"/>
  <c r="P7"/>
  <c r="P9"/>
  <c r="Q9"/>
  <c r="P11"/>
  <c r="P10" s="1"/>
  <c r="P12" s="1"/>
  <c r="C12" i="22" s="1"/>
  <c r="Q11" i="1"/>
  <c r="Q10" s="1"/>
  <c r="Q12" s="1"/>
  <c r="D12" i="22" s="1"/>
  <c r="P23" i="1"/>
  <c r="Q23"/>
  <c r="P24"/>
  <c r="Q24"/>
  <c r="P25"/>
  <c r="Q25"/>
  <c r="P26"/>
  <c r="Q26"/>
  <c r="P27"/>
  <c r="Q27"/>
  <c r="Q29"/>
  <c r="Q31" s="1"/>
  <c r="J25"/>
  <c r="K25"/>
  <c r="J27"/>
  <c r="K27"/>
  <c r="J29"/>
  <c r="P29" s="1"/>
  <c r="P31" s="1"/>
  <c r="J95"/>
  <c r="P95" s="1"/>
  <c r="K95"/>
  <c r="J96"/>
  <c r="P96" s="1"/>
  <c r="K96"/>
  <c r="Q96" s="1"/>
  <c r="G17"/>
  <c r="G22"/>
  <c r="G25"/>
  <c r="H25"/>
  <c r="G27"/>
  <c r="H27"/>
  <c r="G28"/>
  <c r="G30"/>
  <c r="G31"/>
  <c r="G32" s="1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 s="1"/>
  <c r="G54"/>
  <c r="G55"/>
  <c r="G56"/>
  <c r="G57"/>
  <c r="G58"/>
  <c r="G59"/>
  <c r="G60"/>
  <c r="G61"/>
  <c r="G62"/>
  <c r="G63"/>
  <c r="G64"/>
  <c r="G65" s="1"/>
  <c r="G66"/>
  <c r="G67"/>
  <c r="G68"/>
  <c r="G69"/>
  <c r="G70"/>
  <c r="G71"/>
  <c r="G72"/>
  <c r="G73"/>
  <c r="G74"/>
  <c r="G75"/>
  <c r="G76"/>
  <c r="G77"/>
  <c r="G78" s="1"/>
  <c r="G79"/>
  <c r="G84" s="1"/>
  <c r="G80"/>
  <c r="G81"/>
  <c r="G82"/>
  <c r="G83"/>
  <c r="G87"/>
  <c r="G93"/>
  <c r="G94"/>
  <c r="J94" s="1"/>
  <c r="P94" s="1"/>
  <c r="G98"/>
  <c r="G105" s="1"/>
  <c r="G99"/>
  <c r="G100"/>
  <c r="G101"/>
  <c r="G102"/>
  <c r="G103"/>
  <c r="G104"/>
  <c r="G106"/>
  <c r="H106"/>
  <c r="G107"/>
  <c r="H107"/>
  <c r="G108"/>
  <c r="H108"/>
  <c r="G109"/>
  <c r="H109"/>
  <c r="G110"/>
  <c r="H110"/>
  <c r="G111"/>
  <c r="H111"/>
  <c r="G113"/>
  <c r="H113"/>
  <c r="D13"/>
  <c r="E13"/>
  <c r="K13" s="1"/>
  <c r="D14"/>
  <c r="J14" s="1"/>
  <c r="P14" s="1"/>
  <c r="D92" i="2" s="1"/>
  <c r="D15" i="1"/>
  <c r="J15" s="1"/>
  <c r="P15" s="1"/>
  <c r="D93" i="2" s="1"/>
  <c r="E15" i="1"/>
  <c r="K15" s="1"/>
  <c r="Q15" s="1"/>
  <c r="D16"/>
  <c r="J16" s="1"/>
  <c r="P16" s="1"/>
  <c r="D94" i="2" s="1"/>
  <c r="D17" i="1"/>
  <c r="J17" s="1"/>
  <c r="P17" s="1"/>
  <c r="D95" i="2" s="1"/>
  <c r="D18" i="1"/>
  <c r="J18" s="1"/>
  <c r="P18" s="1"/>
  <c r="E18"/>
  <c r="K18" s="1"/>
  <c r="Q18" s="1"/>
  <c r="D19"/>
  <c r="J19" s="1"/>
  <c r="P19" s="1"/>
  <c r="E19"/>
  <c r="K19" s="1"/>
  <c r="Q19" s="1"/>
  <c r="D20"/>
  <c r="J20" s="1"/>
  <c r="P20" s="1"/>
  <c r="D98" i="2" s="1"/>
  <c r="E20" i="1"/>
  <c r="K20" s="1"/>
  <c r="Q20" s="1"/>
  <c r="D21"/>
  <c r="J21" s="1"/>
  <c r="P21" s="1"/>
  <c r="D99" i="2" s="1"/>
  <c r="E21" i="1"/>
  <c r="K21" s="1"/>
  <c r="Q21" s="1"/>
  <c r="D25"/>
  <c r="E25"/>
  <c r="D27"/>
  <c r="E27"/>
  <c r="D30"/>
  <c r="J30" s="1"/>
  <c r="D31"/>
  <c r="D33"/>
  <c r="J33" s="1"/>
  <c r="D34"/>
  <c r="J34" s="1"/>
  <c r="P34" s="1"/>
  <c r="D35"/>
  <c r="J35" s="1"/>
  <c r="P35" s="1"/>
  <c r="D36"/>
  <c r="J36" s="1"/>
  <c r="P36" s="1"/>
  <c r="D37"/>
  <c r="J37" s="1"/>
  <c r="P37" s="1"/>
  <c r="D38"/>
  <c r="J38" s="1"/>
  <c r="P38" s="1"/>
  <c r="D39"/>
  <c r="J39" s="1"/>
  <c r="P39" s="1"/>
  <c r="D40"/>
  <c r="J40" s="1"/>
  <c r="P40" s="1"/>
  <c r="D41"/>
  <c r="J41" s="1"/>
  <c r="P41" s="1"/>
  <c r="D42"/>
  <c r="J42" s="1"/>
  <c r="P42" s="1"/>
  <c r="D43"/>
  <c r="J43" s="1"/>
  <c r="P43" s="1"/>
  <c r="D44"/>
  <c r="J44" s="1"/>
  <c r="P44" s="1"/>
  <c r="D45"/>
  <c r="J45" s="1"/>
  <c r="P45" s="1"/>
  <c r="D46"/>
  <c r="J46" s="1"/>
  <c r="P46" s="1"/>
  <c r="D47"/>
  <c r="D48"/>
  <c r="J48" s="1"/>
  <c r="D49"/>
  <c r="J49" s="1"/>
  <c r="P49" s="1"/>
  <c r="D50"/>
  <c r="J50" s="1"/>
  <c r="P50" s="1"/>
  <c r="D51"/>
  <c r="D52"/>
  <c r="D54"/>
  <c r="D55"/>
  <c r="J55" s="1"/>
  <c r="P55" s="1"/>
  <c r="D56"/>
  <c r="J56" s="1"/>
  <c r="P56" s="1"/>
  <c r="D57"/>
  <c r="J57" s="1"/>
  <c r="P57" s="1"/>
  <c r="D58"/>
  <c r="J58" s="1"/>
  <c r="P58" s="1"/>
  <c r="D59"/>
  <c r="J59" s="1"/>
  <c r="D60"/>
  <c r="J60" s="1"/>
  <c r="P60" s="1"/>
  <c r="D61"/>
  <c r="J61" s="1"/>
  <c r="P61" s="1"/>
  <c r="E61"/>
  <c r="D62"/>
  <c r="D63"/>
  <c r="J63" s="1"/>
  <c r="D64"/>
  <c r="J64" s="1"/>
  <c r="P64" s="1"/>
  <c r="D65"/>
  <c r="D66"/>
  <c r="J66" s="1"/>
  <c r="P66" s="1"/>
  <c r="D67"/>
  <c r="J67" s="1"/>
  <c r="P67" s="1"/>
  <c r="D68"/>
  <c r="J68" s="1"/>
  <c r="P68" s="1"/>
  <c r="D69"/>
  <c r="J69" s="1"/>
  <c r="P69" s="1"/>
  <c r="D70"/>
  <c r="J70" s="1"/>
  <c r="P70" s="1"/>
  <c r="D71"/>
  <c r="J71" s="1"/>
  <c r="P71" s="1"/>
  <c r="D72"/>
  <c r="J72" s="1"/>
  <c r="P72" s="1"/>
  <c r="D73"/>
  <c r="J73" s="1"/>
  <c r="P73" s="1"/>
  <c r="D74"/>
  <c r="J74" s="1"/>
  <c r="P74" s="1"/>
  <c r="D75"/>
  <c r="D76"/>
  <c r="J76" s="1"/>
  <c r="D77"/>
  <c r="J77" s="1"/>
  <c r="P77" s="1"/>
  <c r="E77"/>
  <c r="D78"/>
  <c r="D79"/>
  <c r="J79" s="1"/>
  <c r="D80"/>
  <c r="J80" s="1"/>
  <c r="P80" s="1"/>
  <c r="E80"/>
  <c r="D81"/>
  <c r="J81" s="1"/>
  <c r="P81" s="1"/>
  <c r="E81"/>
  <c r="D82"/>
  <c r="J82" s="1"/>
  <c r="P82" s="1"/>
  <c r="E82"/>
  <c r="D83"/>
  <c r="J83" s="1"/>
  <c r="P83" s="1"/>
  <c r="D87"/>
  <c r="E87"/>
  <c r="J88"/>
  <c r="P88" s="1"/>
  <c r="P87" s="1"/>
  <c r="D92"/>
  <c r="E92"/>
  <c r="D98"/>
  <c r="J98" s="1"/>
  <c r="E98"/>
  <c r="D99"/>
  <c r="J99" s="1"/>
  <c r="P99" s="1"/>
  <c r="E99"/>
  <c r="D100"/>
  <c r="J100" s="1"/>
  <c r="P100" s="1"/>
  <c r="E100"/>
  <c r="D101"/>
  <c r="J101" s="1"/>
  <c r="P101" s="1"/>
  <c r="E101"/>
  <c r="D102"/>
  <c r="J102" s="1"/>
  <c r="P102" s="1"/>
  <c r="E102"/>
  <c r="D103"/>
  <c r="J103" s="1"/>
  <c r="P103" s="1"/>
  <c r="E103"/>
  <c r="D104"/>
  <c r="J104" s="1"/>
  <c r="P104" s="1"/>
  <c r="E104"/>
  <c r="D105"/>
  <c r="E105"/>
  <c r="D106"/>
  <c r="J106" s="1"/>
  <c r="E106"/>
  <c r="K106" s="1"/>
  <c r="D107"/>
  <c r="J107" s="1"/>
  <c r="P107" s="1"/>
  <c r="E107"/>
  <c r="K107" s="1"/>
  <c r="Q107" s="1"/>
  <c r="D108"/>
  <c r="J108" s="1"/>
  <c r="P108" s="1"/>
  <c r="E108"/>
  <c r="K108" s="1"/>
  <c r="Q108" s="1"/>
  <c r="D109"/>
  <c r="J109" s="1"/>
  <c r="P109" s="1"/>
  <c r="E109"/>
  <c r="K109" s="1"/>
  <c r="Q109" s="1"/>
  <c r="D110"/>
  <c r="E110"/>
  <c r="D111"/>
  <c r="J111" s="1"/>
  <c r="P111" s="1"/>
  <c r="G14" i="22" s="1"/>
  <c r="E111" i="1"/>
  <c r="K111" s="1"/>
  <c r="Q111" s="1"/>
  <c r="H14" i="22" s="1"/>
  <c r="B27" i="20" s="1"/>
  <c r="D113" i="1"/>
  <c r="J113" s="1"/>
  <c r="E113"/>
  <c r="K113" s="1"/>
  <c r="C13" i="22"/>
  <c r="D13"/>
  <c r="D5"/>
  <c r="B14" i="20" s="1"/>
  <c r="C4" i="22"/>
  <c r="D4"/>
  <c r="G85" i="1" l="1"/>
  <c r="D84"/>
  <c r="D85" s="1"/>
  <c r="D100" i="2"/>
  <c r="J13" i="1"/>
  <c r="D22"/>
  <c r="D28" s="1"/>
  <c r="D32" s="1"/>
  <c r="P75"/>
  <c r="E97"/>
  <c r="C5" i="22"/>
  <c r="J87" i="1"/>
  <c r="D97"/>
  <c r="D17" i="22"/>
  <c r="C17"/>
  <c r="D106" i="2"/>
  <c r="D110" s="1"/>
  <c r="J31" i="1"/>
  <c r="M113"/>
  <c r="M85"/>
  <c r="M112" s="1"/>
  <c r="M114" s="1"/>
  <c r="M116" s="1"/>
  <c r="G92"/>
  <c r="J92" s="1"/>
  <c r="G53"/>
  <c r="J93"/>
  <c r="P93" s="1"/>
  <c r="P92" s="1"/>
  <c r="G8" i="22" s="1"/>
  <c r="Q106" i="1"/>
  <c r="Q110" s="1"/>
  <c r="H13" i="22" s="1"/>
  <c r="B26" i="20" s="1"/>
  <c r="K110" i="1"/>
  <c r="P106"/>
  <c r="P110" s="1"/>
  <c r="G13" i="22" s="1"/>
  <c r="J110" i="1"/>
  <c r="P98"/>
  <c r="P105" s="1"/>
  <c r="G12" i="22" s="1"/>
  <c r="G17" s="1"/>
  <c r="J105" i="1"/>
  <c r="P79"/>
  <c r="P84" s="1"/>
  <c r="J84"/>
  <c r="P76"/>
  <c r="P78" s="1"/>
  <c r="J78"/>
  <c r="P63"/>
  <c r="P65" s="1"/>
  <c r="J65"/>
  <c r="P59"/>
  <c r="P62" s="1"/>
  <c r="J62"/>
  <c r="D53"/>
  <c r="D112" s="1"/>
  <c r="D114" s="1"/>
  <c r="D116" s="1"/>
  <c r="J54"/>
  <c r="P48"/>
  <c r="P51" s="1"/>
  <c r="J51"/>
  <c r="P33"/>
  <c r="P47" s="1"/>
  <c r="P52" s="1"/>
  <c r="G2" i="22" s="1"/>
  <c r="J47" i="1"/>
  <c r="J52" s="1"/>
  <c r="Q13"/>
  <c r="P13"/>
  <c r="P22" s="1"/>
  <c r="C3" i="22" s="1"/>
  <c r="J22" i="1"/>
  <c r="J28" s="1"/>
  <c r="J32" s="1"/>
  <c r="J75"/>
  <c r="P4"/>
  <c r="P8" s="1"/>
  <c r="C2" i="22" s="1"/>
  <c r="C10" s="1"/>
  <c r="C18" s="1"/>
  <c r="G6"/>
  <c r="P28" i="1"/>
  <c r="P32" s="1"/>
  <c r="J97" l="1"/>
  <c r="G97"/>
  <c r="P97"/>
  <c r="G112"/>
  <c r="G114" s="1"/>
  <c r="G116" s="1"/>
  <c r="J53"/>
  <c r="P54"/>
  <c r="P53" s="1"/>
  <c r="J85"/>
  <c r="P85"/>
  <c r="G4" i="22" s="1"/>
  <c r="N95" i="1"/>
  <c r="Q95" s="1"/>
  <c r="N94"/>
  <c r="N93"/>
  <c r="N92"/>
  <c r="L10"/>
  <c r="L12" s="1"/>
  <c r="Q106" i="10"/>
  <c r="Q105"/>
  <c r="Q104"/>
  <c r="Q103"/>
  <c r="Q102"/>
  <c r="Q101"/>
  <c r="Q100"/>
  <c r="Q107" s="1"/>
  <c r="Q98"/>
  <c r="Q97"/>
  <c r="Q96"/>
  <c r="Q94"/>
  <c r="Q89"/>
  <c r="Q88"/>
  <c r="Q87"/>
  <c r="Q86"/>
  <c r="Q85"/>
  <c r="Q90" s="1"/>
  <c r="Q83"/>
  <c r="Q82"/>
  <c r="Q84" s="1"/>
  <c r="Q80"/>
  <c r="Q79"/>
  <c r="Q78"/>
  <c r="Q77"/>
  <c r="Q76"/>
  <c r="Q75"/>
  <c r="Q74"/>
  <c r="Q73"/>
  <c r="Q72"/>
  <c r="Q81" s="1"/>
  <c r="Q70"/>
  <c r="Q69"/>
  <c r="Q71" s="1"/>
  <c r="Q67"/>
  <c r="Q66"/>
  <c r="Q65"/>
  <c r="Q68" s="1"/>
  <c r="Q91" s="1"/>
  <c r="Q64"/>
  <c r="Q63"/>
  <c r="Q62"/>
  <c r="Q61"/>
  <c r="Q60"/>
  <c r="Q59" s="1"/>
  <c r="Q56"/>
  <c r="Q55"/>
  <c r="Q54"/>
  <c r="Q57" s="1"/>
  <c r="Q52"/>
  <c r="Q51"/>
  <c r="Q50"/>
  <c r="Q49"/>
  <c r="Q48"/>
  <c r="Q47"/>
  <c r="Q46"/>
  <c r="Q45"/>
  <c r="Q44"/>
  <c r="Q43"/>
  <c r="Q42"/>
  <c r="Q41"/>
  <c r="Q40"/>
  <c r="Q39"/>
  <c r="Q53" s="1"/>
  <c r="Q58" s="1"/>
  <c r="Q36"/>
  <c r="Q35"/>
  <c r="Q31"/>
  <c r="N106"/>
  <c r="N105"/>
  <c r="N104"/>
  <c r="N103"/>
  <c r="N102"/>
  <c r="N101"/>
  <c r="N100"/>
  <c r="N107" s="1"/>
  <c r="N98"/>
  <c r="N97"/>
  <c r="N96"/>
  <c r="N94"/>
  <c r="N89"/>
  <c r="N88"/>
  <c r="N87"/>
  <c r="N86"/>
  <c r="N85"/>
  <c r="N90" s="1"/>
  <c r="N83"/>
  <c r="N82"/>
  <c r="N84" s="1"/>
  <c r="N80"/>
  <c r="N79"/>
  <c r="N78"/>
  <c r="N77"/>
  <c r="N76"/>
  <c r="N75"/>
  <c r="N74"/>
  <c r="N73"/>
  <c r="N72"/>
  <c r="N81" s="1"/>
  <c r="N70"/>
  <c r="N69"/>
  <c r="N71" s="1"/>
  <c r="N67"/>
  <c r="N66"/>
  <c r="N65"/>
  <c r="N68" s="1"/>
  <c r="N91" s="1"/>
  <c r="N64"/>
  <c r="N63"/>
  <c r="N62"/>
  <c r="N61"/>
  <c r="N60"/>
  <c r="N59" s="1"/>
  <c r="N56"/>
  <c r="N55"/>
  <c r="N54"/>
  <c r="N57" s="1"/>
  <c r="N52"/>
  <c r="N51"/>
  <c r="N50"/>
  <c r="N49"/>
  <c r="N48"/>
  <c r="N47"/>
  <c r="N46"/>
  <c r="N45"/>
  <c r="N44"/>
  <c r="N43"/>
  <c r="N42"/>
  <c r="N41"/>
  <c r="N40"/>
  <c r="N39"/>
  <c r="N53" s="1"/>
  <c r="N58" s="1"/>
  <c r="N36"/>
  <c r="N35"/>
  <c r="N31"/>
  <c r="K106"/>
  <c r="K105"/>
  <c r="K104"/>
  <c r="K103"/>
  <c r="K102"/>
  <c r="K101"/>
  <c r="K100"/>
  <c r="K107" s="1"/>
  <c r="K98"/>
  <c r="K97"/>
  <c r="K96"/>
  <c r="K94"/>
  <c r="K89"/>
  <c r="K88"/>
  <c r="K87"/>
  <c r="K86"/>
  <c r="K85"/>
  <c r="K90" s="1"/>
  <c r="K83"/>
  <c r="K82"/>
  <c r="K84" s="1"/>
  <c r="K80"/>
  <c r="K79"/>
  <c r="K78"/>
  <c r="K77"/>
  <c r="K76"/>
  <c r="K75"/>
  <c r="K74"/>
  <c r="K73"/>
  <c r="K72"/>
  <c r="K81" s="1"/>
  <c r="K70"/>
  <c r="K69"/>
  <c r="K71" s="1"/>
  <c r="K67"/>
  <c r="K66"/>
  <c r="K65"/>
  <c r="K68" s="1"/>
  <c r="K91" s="1"/>
  <c r="K64"/>
  <c r="K63"/>
  <c r="K62"/>
  <c r="K61"/>
  <c r="K60"/>
  <c r="K59" s="1"/>
  <c r="K56"/>
  <c r="K55"/>
  <c r="K54"/>
  <c r="K57" s="1"/>
  <c r="K52"/>
  <c r="K51"/>
  <c r="K50"/>
  <c r="K49"/>
  <c r="K48"/>
  <c r="K47"/>
  <c r="K46"/>
  <c r="K45"/>
  <c r="K44"/>
  <c r="K43"/>
  <c r="K42"/>
  <c r="K41"/>
  <c r="K40"/>
  <c r="K39"/>
  <c r="K53" s="1"/>
  <c r="K58" s="1"/>
  <c r="K36"/>
  <c r="K35"/>
  <c r="K31"/>
  <c r="H106"/>
  <c r="H105"/>
  <c r="H104"/>
  <c r="H103"/>
  <c r="H102"/>
  <c r="H101"/>
  <c r="H100"/>
  <c r="H107" s="1"/>
  <c r="H98"/>
  <c r="H97"/>
  <c r="H96"/>
  <c r="H94"/>
  <c r="H89"/>
  <c r="H88"/>
  <c r="H87"/>
  <c r="H86"/>
  <c r="H85"/>
  <c r="H90" s="1"/>
  <c r="H83"/>
  <c r="H82"/>
  <c r="H84" s="1"/>
  <c r="H80"/>
  <c r="H79"/>
  <c r="H78"/>
  <c r="H77"/>
  <c r="H76"/>
  <c r="H75"/>
  <c r="H74"/>
  <c r="H73"/>
  <c r="H72"/>
  <c r="H81" s="1"/>
  <c r="H70"/>
  <c r="H69"/>
  <c r="H71" s="1"/>
  <c r="H67"/>
  <c r="H66"/>
  <c r="H65"/>
  <c r="H68" s="1"/>
  <c r="H91" s="1"/>
  <c r="H64"/>
  <c r="H63"/>
  <c r="H62"/>
  <c r="H61"/>
  <c r="H60"/>
  <c r="H59" s="1"/>
  <c r="H56"/>
  <c r="H55"/>
  <c r="H54"/>
  <c r="H57" s="1"/>
  <c r="H52"/>
  <c r="H51"/>
  <c r="H50"/>
  <c r="H49"/>
  <c r="H48"/>
  <c r="H47"/>
  <c r="H46"/>
  <c r="H45"/>
  <c r="H44"/>
  <c r="H43"/>
  <c r="H42"/>
  <c r="H41"/>
  <c r="H40"/>
  <c r="H39"/>
  <c r="H53" s="1"/>
  <c r="H58" s="1"/>
  <c r="H36"/>
  <c r="H35"/>
  <c r="H31"/>
  <c r="E106"/>
  <c r="T106" s="1"/>
  <c r="H104" i="1" s="1"/>
  <c r="K104" s="1"/>
  <c r="Q104" s="1"/>
  <c r="E105" i="10"/>
  <c r="T105" s="1"/>
  <c r="H103" i="1" s="1"/>
  <c r="K103" s="1"/>
  <c r="Q103" s="1"/>
  <c r="E104" i="10"/>
  <c r="T104" s="1"/>
  <c r="H102" i="1" s="1"/>
  <c r="K102" s="1"/>
  <c r="Q102" s="1"/>
  <c r="E103" i="10"/>
  <c r="T103" s="1"/>
  <c r="H101" i="1" s="1"/>
  <c r="K101" s="1"/>
  <c r="Q101" s="1"/>
  <c r="E102" i="10"/>
  <c r="T102" s="1"/>
  <c r="H100" i="1" s="1"/>
  <c r="K100" s="1"/>
  <c r="Q100" s="1"/>
  <c r="E101" i="10"/>
  <c r="T101" s="1"/>
  <c r="H99" i="1" s="1"/>
  <c r="K99" s="1"/>
  <c r="Q99" s="1"/>
  <c r="E100" i="10"/>
  <c r="E98"/>
  <c r="T98" s="1"/>
  <c r="H94" i="1" s="1"/>
  <c r="K94" s="1"/>
  <c r="Q94" s="1"/>
  <c r="E97" i="10"/>
  <c r="T97" s="1"/>
  <c r="H93" i="1" s="1"/>
  <c r="E96" i="10"/>
  <c r="E94"/>
  <c r="T94" s="1"/>
  <c r="E89"/>
  <c r="T89" s="1"/>
  <c r="H83" i="1" s="1"/>
  <c r="E88" i="10"/>
  <c r="T88" s="1"/>
  <c r="H82" i="1" s="1"/>
  <c r="K82" s="1"/>
  <c r="Q82" s="1"/>
  <c r="E87" i="10"/>
  <c r="T87" s="1"/>
  <c r="H81" i="1" s="1"/>
  <c r="K81" s="1"/>
  <c r="Q81" s="1"/>
  <c r="E86" i="10"/>
  <c r="T86" s="1"/>
  <c r="H80" i="1" s="1"/>
  <c r="K80" s="1"/>
  <c r="Q80" s="1"/>
  <c r="E85" i="10"/>
  <c r="E83"/>
  <c r="T83" s="1"/>
  <c r="H77" i="1" s="1"/>
  <c r="K77" s="1"/>
  <c r="Q77" s="1"/>
  <c r="E82" i="10"/>
  <c r="E80"/>
  <c r="T80" s="1"/>
  <c r="H74" i="1" s="1"/>
  <c r="E79" i="10"/>
  <c r="T79" s="1"/>
  <c r="H73" i="1" s="1"/>
  <c r="E78" i="10"/>
  <c r="T78" s="1"/>
  <c r="H72" i="1" s="1"/>
  <c r="E77" i="10"/>
  <c r="T77" s="1"/>
  <c r="E76"/>
  <c r="E75"/>
  <c r="T75" s="1"/>
  <c r="H69" i="1" s="1"/>
  <c r="E74" i="10"/>
  <c r="T74" s="1"/>
  <c r="H68" i="1" s="1"/>
  <c r="E73" i="10"/>
  <c r="T73" s="1"/>
  <c r="H67" i="1" s="1"/>
  <c r="E72" i="10"/>
  <c r="E70"/>
  <c r="T70" s="1"/>
  <c r="H64" i="1" s="1"/>
  <c r="E69" i="10"/>
  <c r="E67"/>
  <c r="T67" s="1"/>
  <c r="H61" i="1" s="1"/>
  <c r="K61" s="1"/>
  <c r="Q61" s="1"/>
  <c r="E66" i="10"/>
  <c r="T66" s="1"/>
  <c r="H60" i="1" s="1"/>
  <c r="E65" i="10"/>
  <c r="E64"/>
  <c r="T64" s="1"/>
  <c r="H58" i="1" s="1"/>
  <c r="E63" i="10"/>
  <c r="T63" s="1"/>
  <c r="H57" i="1" s="1"/>
  <c r="E62" i="10"/>
  <c r="T62" s="1"/>
  <c r="H56" i="1" s="1"/>
  <c r="E61" i="10"/>
  <c r="T61" s="1"/>
  <c r="H55" i="1" s="1"/>
  <c r="E60" i="10"/>
  <c r="E56"/>
  <c r="T56" s="1"/>
  <c r="H50" i="1" s="1"/>
  <c r="E55" i="10"/>
  <c r="T55" s="1"/>
  <c r="H49" i="1" s="1"/>
  <c r="E54" i="10"/>
  <c r="E52"/>
  <c r="T52" s="1"/>
  <c r="H46" i="1" s="1"/>
  <c r="E51" i="10"/>
  <c r="T51" s="1"/>
  <c r="H45" i="1" s="1"/>
  <c r="E50" i="10"/>
  <c r="T50" s="1"/>
  <c r="H44" i="1" s="1"/>
  <c r="E49" i="10"/>
  <c r="T49" s="1"/>
  <c r="H43" i="1" s="1"/>
  <c r="E48" i="10"/>
  <c r="T48" s="1"/>
  <c r="H42" i="1" s="1"/>
  <c r="E47" i="10"/>
  <c r="T47" s="1"/>
  <c r="H41" i="1" s="1"/>
  <c r="E46" i="10"/>
  <c r="T46" s="1"/>
  <c r="H40" i="1" s="1"/>
  <c r="E45" i="10"/>
  <c r="T45" s="1"/>
  <c r="H39" i="1" s="1"/>
  <c r="E44" i="10"/>
  <c r="T44" s="1"/>
  <c r="H38" i="1" s="1"/>
  <c r="E43" i="10"/>
  <c r="T43" s="1"/>
  <c r="H37" i="1" s="1"/>
  <c r="E42" i="10"/>
  <c r="T42" s="1"/>
  <c r="H36" i="1" s="1"/>
  <c r="E41" i="10"/>
  <c r="T41" s="1"/>
  <c r="H35" i="1" s="1"/>
  <c r="E40" i="10"/>
  <c r="T40" s="1"/>
  <c r="H34" i="1" s="1"/>
  <c r="E39" i="10"/>
  <c r="E36"/>
  <c r="T36" s="1"/>
  <c r="E35"/>
  <c r="T35" s="1"/>
  <c r="E31"/>
  <c r="E17"/>
  <c r="W91" i="9"/>
  <c r="W87"/>
  <c r="W92" s="1"/>
  <c r="W84"/>
  <c r="W86" s="1"/>
  <c r="W82"/>
  <c r="W81"/>
  <c r="W80"/>
  <c r="W79"/>
  <c r="W78"/>
  <c r="W77"/>
  <c r="W76"/>
  <c r="W75"/>
  <c r="W74"/>
  <c r="W83" s="1"/>
  <c r="W72"/>
  <c r="W71"/>
  <c r="W73" s="1"/>
  <c r="W68"/>
  <c r="W67"/>
  <c r="W70" s="1"/>
  <c r="W93" s="1"/>
  <c r="W66"/>
  <c r="W65"/>
  <c r="W64"/>
  <c r="W63"/>
  <c r="W62"/>
  <c r="W61" s="1"/>
  <c r="W58"/>
  <c r="W57"/>
  <c r="W56"/>
  <c r="W59" s="1"/>
  <c r="W54"/>
  <c r="W53"/>
  <c r="W52"/>
  <c r="W51"/>
  <c r="W50"/>
  <c r="W49"/>
  <c r="W48"/>
  <c r="W47"/>
  <c r="W46"/>
  <c r="W45"/>
  <c r="W44"/>
  <c r="W43"/>
  <c r="W42"/>
  <c r="W41"/>
  <c r="W55" s="1"/>
  <c r="W60" s="1"/>
  <c r="W113" s="1"/>
  <c r="W115" s="1"/>
  <c r="W38"/>
  <c r="W37"/>
  <c r="W36"/>
  <c r="W35"/>
  <c r="W34"/>
  <c r="W33"/>
  <c r="W32"/>
  <c r="W30"/>
  <c r="T91"/>
  <c r="T87"/>
  <c r="T92" s="1"/>
  <c r="T84"/>
  <c r="T86" s="1"/>
  <c r="T82"/>
  <c r="T81"/>
  <c r="T80"/>
  <c r="T79"/>
  <c r="T78"/>
  <c r="T77"/>
  <c r="T76"/>
  <c r="T75"/>
  <c r="T74"/>
  <c r="T83" s="1"/>
  <c r="T72"/>
  <c r="T71"/>
  <c r="T73" s="1"/>
  <c r="T68"/>
  <c r="T67"/>
  <c r="T70" s="1"/>
  <c r="T93" s="1"/>
  <c r="T66"/>
  <c r="T65"/>
  <c r="T64"/>
  <c r="T63"/>
  <c r="T62"/>
  <c r="T61" s="1"/>
  <c r="T58"/>
  <c r="T57"/>
  <c r="T56"/>
  <c r="T59" s="1"/>
  <c r="T54"/>
  <c r="T53"/>
  <c r="T52"/>
  <c r="T51"/>
  <c r="T50"/>
  <c r="T49"/>
  <c r="T48"/>
  <c r="T47"/>
  <c r="T46"/>
  <c r="T45"/>
  <c r="T44"/>
  <c r="T43"/>
  <c r="T42"/>
  <c r="T41"/>
  <c r="T55" s="1"/>
  <c r="T60" s="1"/>
  <c r="T113" s="1"/>
  <c r="T115" s="1"/>
  <c r="T38"/>
  <c r="T37"/>
  <c r="T36"/>
  <c r="T35"/>
  <c r="T34"/>
  <c r="T33"/>
  <c r="T32"/>
  <c r="T30"/>
  <c r="Q91"/>
  <c r="Q87"/>
  <c r="Q92" s="1"/>
  <c r="Q84"/>
  <c r="Q86" s="1"/>
  <c r="Q82"/>
  <c r="Q81"/>
  <c r="Q80"/>
  <c r="Q79"/>
  <c r="Q78"/>
  <c r="Q77"/>
  <c r="Q76"/>
  <c r="Q75"/>
  <c r="Q74"/>
  <c r="Q83" s="1"/>
  <c r="Q72"/>
  <c r="Q71"/>
  <c r="Q73" s="1"/>
  <c r="Q68"/>
  <c r="Q67"/>
  <c r="Q70" s="1"/>
  <c r="Q93" s="1"/>
  <c r="Q66"/>
  <c r="Q65"/>
  <c r="Q64"/>
  <c r="Q63"/>
  <c r="Q62"/>
  <c r="Q61" s="1"/>
  <c r="Q58"/>
  <c r="Q57"/>
  <c r="Q56"/>
  <c r="Q59" s="1"/>
  <c r="Q54"/>
  <c r="Q53"/>
  <c r="Q52"/>
  <c r="Q51"/>
  <c r="Q50"/>
  <c r="Q49"/>
  <c r="Q48"/>
  <c r="Q47"/>
  <c r="Q46"/>
  <c r="Q45"/>
  <c r="Q44"/>
  <c r="Q43"/>
  <c r="Q42"/>
  <c r="Q41"/>
  <c r="Q55" s="1"/>
  <c r="Q60" s="1"/>
  <c r="Q113" s="1"/>
  <c r="Q115" s="1"/>
  <c r="Q38"/>
  <c r="Q37"/>
  <c r="Q36"/>
  <c r="Q35"/>
  <c r="Q34"/>
  <c r="Q33"/>
  <c r="Q32"/>
  <c r="Q30"/>
  <c r="N91"/>
  <c r="N87"/>
  <c r="N92" s="1"/>
  <c r="N84"/>
  <c r="N86" s="1"/>
  <c r="N82"/>
  <c r="N81"/>
  <c r="N80"/>
  <c r="N79"/>
  <c r="N78"/>
  <c r="N77"/>
  <c r="N76"/>
  <c r="N75"/>
  <c r="N74"/>
  <c r="N83" s="1"/>
  <c r="N72"/>
  <c r="N71"/>
  <c r="N73" s="1"/>
  <c r="N68"/>
  <c r="N67"/>
  <c r="N70" s="1"/>
  <c r="N93" s="1"/>
  <c r="N66"/>
  <c r="N65"/>
  <c r="N64"/>
  <c r="N63"/>
  <c r="N62"/>
  <c r="N61" s="1"/>
  <c r="N58"/>
  <c r="N57"/>
  <c r="N56"/>
  <c r="N59" s="1"/>
  <c r="N54"/>
  <c r="N53"/>
  <c r="N52"/>
  <c r="N51"/>
  <c r="N50"/>
  <c r="N49"/>
  <c r="N48"/>
  <c r="N47"/>
  <c r="N46"/>
  <c r="N45"/>
  <c r="N44"/>
  <c r="N43"/>
  <c r="N42"/>
  <c r="N41"/>
  <c r="N55" s="1"/>
  <c r="N60" s="1"/>
  <c r="N113" s="1"/>
  <c r="N115" s="1"/>
  <c r="N38"/>
  <c r="N37"/>
  <c r="N36"/>
  <c r="N35"/>
  <c r="N34"/>
  <c r="N33"/>
  <c r="N32"/>
  <c r="N30"/>
  <c r="K91"/>
  <c r="K87"/>
  <c r="K92" s="1"/>
  <c r="K84"/>
  <c r="K86" s="1"/>
  <c r="K82"/>
  <c r="K81"/>
  <c r="K80"/>
  <c r="K79"/>
  <c r="K78"/>
  <c r="K77"/>
  <c r="K76"/>
  <c r="K75"/>
  <c r="K74"/>
  <c r="K83" s="1"/>
  <c r="K72"/>
  <c r="K71"/>
  <c r="K73" s="1"/>
  <c r="K68"/>
  <c r="K67"/>
  <c r="K70" s="1"/>
  <c r="K93" s="1"/>
  <c r="K66"/>
  <c r="K65"/>
  <c r="K64"/>
  <c r="K63"/>
  <c r="K62"/>
  <c r="K61" s="1"/>
  <c r="K58"/>
  <c r="K57"/>
  <c r="K56"/>
  <c r="K59" s="1"/>
  <c r="K54"/>
  <c r="K53"/>
  <c r="K52"/>
  <c r="K51"/>
  <c r="K50"/>
  <c r="K49"/>
  <c r="K48"/>
  <c r="K47"/>
  <c r="K46"/>
  <c r="K45"/>
  <c r="K44"/>
  <c r="K43"/>
  <c r="K42"/>
  <c r="K41"/>
  <c r="K55" s="1"/>
  <c r="K60" s="1"/>
  <c r="K113" s="1"/>
  <c r="K115" s="1"/>
  <c r="K38"/>
  <c r="K37"/>
  <c r="K36"/>
  <c r="K35"/>
  <c r="K34"/>
  <c r="K33"/>
  <c r="K32"/>
  <c r="K30"/>
  <c r="H91"/>
  <c r="H87"/>
  <c r="H92" s="1"/>
  <c r="H84"/>
  <c r="H86" s="1"/>
  <c r="H82"/>
  <c r="H81"/>
  <c r="H80"/>
  <c r="H79"/>
  <c r="H77"/>
  <c r="H76"/>
  <c r="H75"/>
  <c r="H74"/>
  <c r="H83" s="1"/>
  <c r="H72"/>
  <c r="H71"/>
  <c r="H73" s="1"/>
  <c r="H68"/>
  <c r="H67"/>
  <c r="H70" s="1"/>
  <c r="H93" s="1"/>
  <c r="H66"/>
  <c r="H65"/>
  <c r="H64"/>
  <c r="H63"/>
  <c r="H62"/>
  <c r="H61" s="1"/>
  <c r="H58"/>
  <c r="H57"/>
  <c r="H56"/>
  <c r="H59" s="1"/>
  <c r="H54"/>
  <c r="H53"/>
  <c r="H52"/>
  <c r="H51"/>
  <c r="H50"/>
  <c r="H49"/>
  <c r="H48"/>
  <c r="H47"/>
  <c r="H46"/>
  <c r="H45"/>
  <c r="H44"/>
  <c r="H43"/>
  <c r="H42"/>
  <c r="H41"/>
  <c r="H55" s="1"/>
  <c r="H60" s="1"/>
  <c r="H113" s="1"/>
  <c r="H115" s="1"/>
  <c r="H38"/>
  <c r="H37"/>
  <c r="H36"/>
  <c r="H35"/>
  <c r="H34"/>
  <c r="H33"/>
  <c r="H32"/>
  <c r="H30"/>
  <c r="W31"/>
  <c r="T31"/>
  <c r="Q31"/>
  <c r="K31"/>
  <c r="H31"/>
  <c r="W16"/>
  <c r="W21" s="1"/>
  <c r="W27" s="1"/>
  <c r="T13"/>
  <c r="Q16"/>
  <c r="Q21" s="1"/>
  <c r="Q27" s="1"/>
  <c r="K16"/>
  <c r="K21" s="1"/>
  <c r="K27" s="1"/>
  <c r="E91"/>
  <c r="Z91" s="1"/>
  <c r="E83" i="1" s="1"/>
  <c r="K83" s="1"/>
  <c r="Q83" s="1"/>
  <c r="E87" i="9"/>
  <c r="E84"/>
  <c r="E82"/>
  <c r="Z82" s="1"/>
  <c r="E74" i="1" s="1"/>
  <c r="K74" s="1"/>
  <c r="Q74" s="1"/>
  <c r="E81" i="9"/>
  <c r="Z81" s="1"/>
  <c r="E73" i="1" s="1"/>
  <c r="K73" s="1"/>
  <c r="E80" i="9"/>
  <c r="Z80" s="1"/>
  <c r="E72" i="1" s="1"/>
  <c r="K72" s="1"/>
  <c r="Q72" s="1"/>
  <c r="E79" i="9"/>
  <c r="Z79" s="1"/>
  <c r="E78"/>
  <c r="E77"/>
  <c r="Z77" s="1"/>
  <c r="E69" i="1" s="1"/>
  <c r="K69" s="1"/>
  <c r="Q69" s="1"/>
  <c r="E76" i="9"/>
  <c r="Z76" s="1"/>
  <c r="E68" i="1" s="1"/>
  <c r="K68" s="1"/>
  <c r="Q68" s="1"/>
  <c r="E75" i="9"/>
  <c r="Z75" s="1"/>
  <c r="E67" i="1" s="1"/>
  <c r="K67" s="1"/>
  <c r="Q67" s="1"/>
  <c r="E74" i="9"/>
  <c r="E72"/>
  <c r="Z72" s="1"/>
  <c r="E64" i="1" s="1"/>
  <c r="K64" s="1"/>
  <c r="Q64" s="1"/>
  <c r="E71" i="9"/>
  <c r="E68"/>
  <c r="Z68" s="1"/>
  <c r="E60" i="1" s="1"/>
  <c r="K60" s="1"/>
  <c r="Q60" s="1"/>
  <c r="E67" i="9"/>
  <c r="E66"/>
  <c r="Z66" s="1"/>
  <c r="E58" i="1" s="1"/>
  <c r="K58" s="1"/>
  <c r="Q58" s="1"/>
  <c r="E65" i="9"/>
  <c r="Z65" s="1"/>
  <c r="E57" i="1" s="1"/>
  <c r="K57" s="1"/>
  <c r="Q57" s="1"/>
  <c r="E64" i="9"/>
  <c r="Z64" s="1"/>
  <c r="E56" i="1" s="1"/>
  <c r="K56" s="1"/>
  <c r="Q56" s="1"/>
  <c r="E63" i="9"/>
  <c r="Z63" s="1"/>
  <c r="E55" i="1" s="1"/>
  <c r="K55" s="1"/>
  <c r="Q55" s="1"/>
  <c r="E62" i="9"/>
  <c r="E58"/>
  <c r="Z58" s="1"/>
  <c r="E50" i="1" s="1"/>
  <c r="K50" s="1"/>
  <c r="Q50" s="1"/>
  <c r="E57" i="9"/>
  <c r="Z57" s="1"/>
  <c r="E49" i="1" s="1"/>
  <c r="K49" s="1"/>
  <c r="E56" i="9"/>
  <c r="E54"/>
  <c r="Z54" s="1"/>
  <c r="E46" i="1" s="1"/>
  <c r="K46" s="1"/>
  <c r="Q46" s="1"/>
  <c r="E53" i="9"/>
  <c r="Z53" s="1"/>
  <c r="E45" i="1" s="1"/>
  <c r="K45" s="1"/>
  <c r="Q45" s="1"/>
  <c r="E52" i="9"/>
  <c r="Z52" s="1"/>
  <c r="E44" i="1" s="1"/>
  <c r="K44" s="1"/>
  <c r="Q44" s="1"/>
  <c r="E51" i="9"/>
  <c r="Z51" s="1"/>
  <c r="E43" i="1" s="1"/>
  <c r="K43" s="1"/>
  <c r="Q43" s="1"/>
  <c r="E50" i="9"/>
  <c r="Z50" s="1"/>
  <c r="E42" i="1" s="1"/>
  <c r="K42" s="1"/>
  <c r="Q42" s="1"/>
  <c r="E49" i="9"/>
  <c r="Z49" s="1"/>
  <c r="E41" i="1" s="1"/>
  <c r="K41" s="1"/>
  <c r="Q41" s="1"/>
  <c r="E48" i="9"/>
  <c r="Z48" s="1"/>
  <c r="E40" i="1" s="1"/>
  <c r="K40" s="1"/>
  <c r="Q40" s="1"/>
  <c r="E47" i="9"/>
  <c r="Z47" s="1"/>
  <c r="E39" i="1" s="1"/>
  <c r="K39" s="1"/>
  <c r="Q39" s="1"/>
  <c r="E46" i="9"/>
  <c r="Z46" s="1"/>
  <c r="E38" i="1" s="1"/>
  <c r="K38" s="1"/>
  <c r="Q38" s="1"/>
  <c r="E45" i="9"/>
  <c r="Z45" s="1"/>
  <c r="E37" i="1" s="1"/>
  <c r="K37" s="1"/>
  <c r="Q37" s="1"/>
  <c r="E44" i="9"/>
  <c r="Z44" s="1"/>
  <c r="E36" i="1" s="1"/>
  <c r="K36" s="1"/>
  <c r="Q36" s="1"/>
  <c r="E43" i="9"/>
  <c r="Z43" s="1"/>
  <c r="E35" i="1" s="1"/>
  <c r="K35" s="1"/>
  <c r="Q35" s="1"/>
  <c r="E42" i="9"/>
  <c r="Z42" s="1"/>
  <c r="E34" i="1" s="1"/>
  <c r="K34" s="1"/>
  <c r="Q34" s="1"/>
  <c r="E41" i="9"/>
  <c r="E38"/>
  <c r="Z38" s="1"/>
  <c r="E37"/>
  <c r="Z37" s="1"/>
  <c r="E36"/>
  <c r="Z36" s="1"/>
  <c r="E35"/>
  <c r="Z35" s="1"/>
  <c r="E34"/>
  <c r="Z34" s="1"/>
  <c r="E33"/>
  <c r="Z33" s="1"/>
  <c r="E32"/>
  <c r="Z32" s="1"/>
  <c r="Z31" s="1"/>
  <c r="E30"/>
  <c r="E16"/>
  <c r="Z16" s="1"/>
  <c r="E17" i="1" s="1"/>
  <c r="E15" i="9"/>
  <c r="E95" i="2"/>
  <c r="E94"/>
  <c r="E93"/>
  <c r="E92"/>
  <c r="E64"/>
  <c r="E60"/>
  <c r="E59" s="1"/>
  <c r="E57"/>
  <c r="E56"/>
  <c r="E55"/>
  <c r="E54"/>
  <c r="E53"/>
  <c r="E52"/>
  <c r="E51"/>
  <c r="E50" s="1"/>
  <c r="E48"/>
  <c r="E47"/>
  <c r="E46"/>
  <c r="E45"/>
  <c r="E44"/>
  <c r="E43"/>
  <c r="E42"/>
  <c r="E41" s="1"/>
  <c r="E39"/>
  <c r="E38"/>
  <c r="E37"/>
  <c r="E36"/>
  <c r="E35"/>
  <c r="E34"/>
  <c r="E33"/>
  <c r="E32"/>
  <c r="E29"/>
  <c r="E28"/>
  <c r="E27"/>
  <c r="E26"/>
  <c r="E25"/>
  <c r="E24"/>
  <c r="E23"/>
  <c r="E20"/>
  <c r="E19"/>
  <c r="E18"/>
  <c r="E10"/>
  <c r="E11"/>
  <c r="E12"/>
  <c r="E13"/>
  <c r="E14"/>
  <c r="E15"/>
  <c r="E9"/>
  <c r="E6"/>
  <c r="E8" l="1"/>
  <c r="E17"/>
  <c r="E22"/>
  <c r="E31"/>
  <c r="N88" i="1"/>
  <c r="N87" s="1"/>
  <c r="H88"/>
  <c r="K88" s="1"/>
  <c r="Q88" s="1"/>
  <c r="Q87" s="1"/>
  <c r="H6" i="22" s="1"/>
  <c r="E93" i="10"/>
  <c r="C99"/>
  <c r="H93"/>
  <c r="K93"/>
  <c r="N93"/>
  <c r="Q93"/>
  <c r="Q99" s="1"/>
  <c r="H99"/>
  <c r="H114" s="1"/>
  <c r="H116" s="1"/>
  <c r="K99"/>
  <c r="K114" s="1"/>
  <c r="K116" s="1"/>
  <c r="N99"/>
  <c r="N114" s="1"/>
  <c r="N116" s="1"/>
  <c r="Q114"/>
  <c r="Q116" s="1"/>
  <c r="T96"/>
  <c r="E99"/>
  <c r="E63" i="2"/>
  <c r="E62" s="1"/>
  <c r="E84" s="1"/>
  <c r="N7" i="1" s="1"/>
  <c r="Q7" s="1"/>
  <c r="C62" i="2"/>
  <c r="E21" i="9"/>
  <c r="E27" s="1"/>
  <c r="Z15"/>
  <c r="E16" i="1" s="1"/>
  <c r="K16" s="1"/>
  <c r="Q16" s="1"/>
  <c r="Z30" i="9"/>
  <c r="Z29" s="1"/>
  <c r="Z39" s="1"/>
  <c r="E55"/>
  <c r="Z41"/>
  <c r="E59"/>
  <c r="Z56"/>
  <c r="E61"/>
  <c r="Z62"/>
  <c r="E70"/>
  <c r="Z67"/>
  <c r="E73"/>
  <c r="Z71"/>
  <c r="E83"/>
  <c r="Z74"/>
  <c r="E66" i="1" s="1"/>
  <c r="Z78" i="9"/>
  <c r="E71" i="1"/>
  <c r="E86" i="9"/>
  <c r="Z84"/>
  <c r="E92"/>
  <c r="Z87"/>
  <c r="Z13"/>
  <c r="T21"/>
  <c r="T27" s="1"/>
  <c r="T17" i="10"/>
  <c r="E22"/>
  <c r="E28" s="1"/>
  <c r="T31"/>
  <c r="C33"/>
  <c r="E34"/>
  <c r="T39"/>
  <c r="E53"/>
  <c r="T54"/>
  <c r="E57"/>
  <c r="E58" s="1"/>
  <c r="T60"/>
  <c r="E59"/>
  <c r="T65"/>
  <c r="E68"/>
  <c r="T69"/>
  <c r="E71"/>
  <c r="T72"/>
  <c r="E81"/>
  <c r="T76"/>
  <c r="H70" i="1" s="1"/>
  <c r="H71"/>
  <c r="T82" i="10"/>
  <c r="E84"/>
  <c r="T85"/>
  <c r="E90"/>
  <c r="E91" s="1"/>
  <c r="T93"/>
  <c r="H92" i="1"/>
  <c r="K92" s="1"/>
  <c r="K93"/>
  <c r="Q93" s="1"/>
  <c r="Q92" s="1"/>
  <c r="H8" i="22" s="1"/>
  <c r="B23" i="20" s="1"/>
  <c r="T100" i="10"/>
  <c r="E107"/>
  <c r="H34"/>
  <c r="H33" s="1"/>
  <c r="K34"/>
  <c r="K33" s="1"/>
  <c r="N34"/>
  <c r="N33" s="1"/>
  <c r="Q34"/>
  <c r="Q33" s="1"/>
  <c r="N49" i="1"/>
  <c r="N51" s="1"/>
  <c r="N52" s="1"/>
  <c r="L51"/>
  <c r="L52" s="1"/>
  <c r="N54"/>
  <c r="N53" s="1"/>
  <c r="L53"/>
  <c r="N73"/>
  <c r="N75" s="1"/>
  <c r="L75"/>
  <c r="N79"/>
  <c r="N84" s="1"/>
  <c r="L84"/>
  <c r="N97"/>
  <c r="Q49"/>
  <c r="Q73"/>
  <c r="H29" i="9"/>
  <c r="H39" s="1"/>
  <c r="H40" s="1"/>
  <c r="H117" s="1"/>
  <c r="K29"/>
  <c r="K39" s="1"/>
  <c r="K40" s="1"/>
  <c r="K117" s="1"/>
  <c r="N29"/>
  <c r="N39" s="1"/>
  <c r="N40" s="1"/>
  <c r="N117" s="1"/>
  <c r="Q29"/>
  <c r="Q39" s="1"/>
  <c r="Q40" s="1"/>
  <c r="Q117" s="1"/>
  <c r="T29"/>
  <c r="T39" s="1"/>
  <c r="W29"/>
  <c r="W39" s="1"/>
  <c r="W40" s="1"/>
  <c r="W117" s="1"/>
  <c r="H30" i="10"/>
  <c r="H37" s="1"/>
  <c r="H38" s="1"/>
  <c r="K30"/>
  <c r="K37" s="1"/>
  <c r="K38" s="1"/>
  <c r="N30"/>
  <c r="N37" s="1"/>
  <c r="N38" s="1"/>
  <c r="Q30"/>
  <c r="Q37" s="1"/>
  <c r="Q38" s="1"/>
  <c r="Q118" s="1"/>
  <c r="P112" i="1"/>
  <c r="P114" s="1"/>
  <c r="P116" s="1"/>
  <c r="G3" i="22"/>
  <c r="G10" s="1"/>
  <c r="G18" s="1"/>
  <c r="J112" i="1"/>
  <c r="J114" s="1"/>
  <c r="J116" s="1"/>
  <c r="E86" i="2" l="1"/>
  <c r="E4"/>
  <c r="L85" i="1"/>
  <c r="T99" i="10"/>
  <c r="H87" i="1"/>
  <c r="N118" i="10"/>
  <c r="K118"/>
  <c r="H118"/>
  <c r="T107"/>
  <c r="H98" i="1"/>
  <c r="H97"/>
  <c r="T90" i="10"/>
  <c r="H79" i="1"/>
  <c r="H84" s="1"/>
  <c r="T84" i="10"/>
  <c r="H76" i="1"/>
  <c r="H78" s="1"/>
  <c r="T81" i="10"/>
  <c r="H66" i="1"/>
  <c r="H75" s="1"/>
  <c r="T71" i="10"/>
  <c r="H63" i="1"/>
  <c r="H65" s="1"/>
  <c r="T68" i="10"/>
  <c r="T91" s="1"/>
  <c r="K86" i="1" s="1"/>
  <c r="Q86" s="1"/>
  <c r="H7" i="22" s="1"/>
  <c r="B22" i="20" s="1"/>
  <c r="H59" i="1"/>
  <c r="H62" s="1"/>
  <c r="H85" s="1"/>
  <c r="T59" i="10"/>
  <c r="H54" i="1"/>
  <c r="H53" s="1"/>
  <c r="T57" i="10"/>
  <c r="H48" i="1"/>
  <c r="H51" s="1"/>
  <c r="T53" i="10"/>
  <c r="T58" s="1"/>
  <c r="T114" s="1"/>
  <c r="T116" s="1"/>
  <c r="H33" i="1"/>
  <c r="H47" s="1"/>
  <c r="H52" s="1"/>
  <c r="T34" i="10"/>
  <c r="E33"/>
  <c r="T22"/>
  <c r="T28" s="1"/>
  <c r="H17" i="1"/>
  <c r="Z21" i="9"/>
  <c r="Z27" s="1"/>
  <c r="E14" i="1"/>
  <c r="Z92" i="9"/>
  <c r="E79" i="1"/>
  <c r="Z86" i="9"/>
  <c r="E76" i="1"/>
  <c r="Z83" i="9"/>
  <c r="E70" i="1"/>
  <c r="K70" s="1"/>
  <c r="Q70" s="1"/>
  <c r="E75"/>
  <c r="Z73" i="9"/>
  <c r="E63" i="1"/>
  <c r="Z70" i="9"/>
  <c r="E59" i="1"/>
  <c r="Z61" i="9"/>
  <c r="E54" i="1"/>
  <c r="Z59" i="9"/>
  <c r="E48" i="1"/>
  <c r="Z55" i="9"/>
  <c r="Z60" s="1"/>
  <c r="E33" i="1"/>
  <c r="Z40" i="9"/>
  <c r="E30" i="1"/>
  <c r="N85"/>
  <c r="N112" s="1"/>
  <c r="L112"/>
  <c r="E114" i="10"/>
  <c r="E116" s="1"/>
  <c r="T40" i="9"/>
  <c r="T117" s="1"/>
  <c r="K71" i="1"/>
  <c r="Q71" s="1"/>
  <c r="E93" i="9"/>
  <c r="E60"/>
  <c r="E113" s="1"/>
  <c r="E115" s="1"/>
  <c r="N4" i="1"/>
  <c r="N8" s="1"/>
  <c r="N28" s="1"/>
  <c r="N32" s="1"/>
  <c r="Q5"/>
  <c r="Q4" s="1"/>
  <c r="Q8" s="1"/>
  <c r="K66" l="1"/>
  <c r="K75" s="1"/>
  <c r="Q97"/>
  <c r="E31"/>
  <c r="K33"/>
  <c r="E47"/>
  <c r="K48"/>
  <c r="E51"/>
  <c r="E53"/>
  <c r="K54"/>
  <c r="K59"/>
  <c r="E62"/>
  <c r="K63"/>
  <c r="E65"/>
  <c r="Q66"/>
  <c r="Q75" s="1"/>
  <c r="K76"/>
  <c r="E78"/>
  <c r="K79"/>
  <c r="E84"/>
  <c r="K14"/>
  <c r="E22"/>
  <c r="E28" s="1"/>
  <c r="E32" s="1"/>
  <c r="H22"/>
  <c r="H28" s="1"/>
  <c r="K17"/>
  <c r="Q17" s="1"/>
  <c r="T33" i="10"/>
  <c r="T30" s="1"/>
  <c r="E30"/>
  <c r="E37" s="1"/>
  <c r="E38" s="1"/>
  <c r="E118" s="1"/>
  <c r="K87" i="1"/>
  <c r="K97" s="1"/>
  <c r="H105"/>
  <c r="K98"/>
  <c r="Z93" i="9"/>
  <c r="Z113" s="1"/>
  <c r="Z115" s="1"/>
  <c r="Z117" s="1"/>
  <c r="D2" i="22"/>
  <c r="B3" i="20" s="1"/>
  <c r="Q98" i="1" l="1"/>
  <c r="Q105" s="1"/>
  <c r="H12" i="22" s="1"/>
  <c r="K105" i="1"/>
  <c r="T37" i="10"/>
  <c r="T38" s="1"/>
  <c r="T118" s="1"/>
  <c r="H30" i="1"/>
  <c r="Q14"/>
  <c r="Q22" s="1"/>
  <c r="K22"/>
  <c r="K28" s="1"/>
  <c r="Q79"/>
  <c r="Q84" s="1"/>
  <c r="K84"/>
  <c r="Q76"/>
  <c r="Q78" s="1"/>
  <c r="K78"/>
  <c r="Q63"/>
  <c r="Q65" s="1"/>
  <c r="K65"/>
  <c r="Q59"/>
  <c r="Q62" s="1"/>
  <c r="Q85" s="1"/>
  <c r="H4" i="22" s="1"/>
  <c r="B20" i="20" s="1"/>
  <c r="K62" i="1"/>
  <c r="K85" s="1"/>
  <c r="K53"/>
  <c r="Q54"/>
  <c r="Q53" s="1"/>
  <c r="H3" i="22" s="1"/>
  <c r="B19" i="20" s="1"/>
  <c r="Q48" i="1"/>
  <c r="Q51" s="1"/>
  <c r="K51"/>
  <c r="Q33"/>
  <c r="Q47" s="1"/>
  <c r="Q52" s="1"/>
  <c r="K47"/>
  <c r="K52" s="1"/>
  <c r="H112"/>
  <c r="H114" s="1"/>
  <c r="E85"/>
  <c r="E52"/>
  <c r="E112" s="1"/>
  <c r="E114" s="1"/>
  <c r="E116" s="1"/>
  <c r="K112" l="1"/>
  <c r="K114" s="1"/>
  <c r="H17" i="22"/>
  <c r="B25" i="20"/>
  <c r="H2" i="22"/>
  <c r="B18" i="20" s="1"/>
  <c r="Q112" i="1"/>
  <c r="Q114" s="1"/>
  <c r="D3" i="22"/>
  <c r="Q28" i="1"/>
  <c r="Q32" s="1"/>
  <c r="Q116" s="1"/>
  <c r="H31"/>
  <c r="H32" s="1"/>
  <c r="K30"/>
  <c r="K31" s="1"/>
  <c r="K32" s="1"/>
  <c r="K116" s="1"/>
  <c r="H116"/>
  <c r="H10" i="22"/>
  <c r="H18" s="1"/>
  <c r="D10" l="1"/>
  <c r="D18" s="1"/>
  <c r="B4" i="20"/>
  <c r="C24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3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O24" s="1"/>
  <c r="N15"/>
  <c r="M14"/>
  <c r="M15" s="1"/>
  <c r="L14"/>
  <c r="L15" s="1"/>
  <c r="K14"/>
  <c r="K15" s="1"/>
  <c r="J14"/>
  <c r="J15" s="1"/>
  <c r="I14"/>
  <c r="I15" s="1"/>
  <c r="H15"/>
  <c r="G14"/>
  <c r="G15" s="1"/>
  <c r="E14"/>
  <c r="E15" s="1"/>
  <c r="D14"/>
  <c r="D15" s="1"/>
  <c r="O13"/>
  <c r="O12"/>
  <c r="B15"/>
  <c r="O9"/>
  <c r="O8"/>
  <c r="O7"/>
  <c r="O10" s="1"/>
  <c r="O5"/>
  <c r="O4"/>
  <c r="O6" l="1"/>
  <c r="O14"/>
  <c r="O15" s="1"/>
  <c r="C30"/>
  <c r="D30"/>
  <c r="E30"/>
  <c r="F30"/>
  <c r="G30"/>
  <c r="H30"/>
  <c r="I30"/>
  <c r="J30"/>
  <c r="K30"/>
  <c r="L30"/>
  <c r="M30"/>
  <c r="N30"/>
  <c r="C16"/>
  <c r="C32" s="1"/>
  <c r="D16"/>
  <c r="D32" s="1"/>
  <c r="E16"/>
  <c r="E32" s="1"/>
  <c r="F16"/>
  <c r="F32" s="1"/>
  <c r="G16"/>
  <c r="G32" s="1"/>
  <c r="H16"/>
  <c r="H32" s="1"/>
  <c r="I16"/>
  <c r="I32" s="1"/>
  <c r="J16"/>
  <c r="J32" s="1"/>
  <c r="K16"/>
  <c r="K32" s="1"/>
  <c r="L16"/>
  <c r="L32" s="1"/>
  <c r="M16"/>
  <c r="M32" s="1"/>
  <c r="N16"/>
  <c r="N32" s="1"/>
  <c r="O30"/>
  <c r="O16"/>
  <c r="O32" s="1"/>
  <c r="M31" i="21" l="1"/>
  <c r="L31"/>
  <c r="K31"/>
  <c r="J31"/>
  <c r="I31"/>
  <c r="I32"/>
  <c r="H32"/>
  <c r="G32"/>
  <c r="F32"/>
  <c r="E32"/>
  <c r="C32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M3"/>
  <c r="M11" s="1"/>
  <c r="L3"/>
  <c r="L11" s="1"/>
  <c r="K3"/>
  <c r="K11" s="1"/>
  <c r="J3"/>
  <c r="J11" s="1"/>
  <c r="I3"/>
  <c r="I11" s="1"/>
  <c r="H3"/>
  <c r="H11" s="1"/>
  <c r="G3"/>
  <c r="G11" s="1"/>
  <c r="F3"/>
  <c r="F11" s="1"/>
  <c r="E3"/>
  <c r="E11" s="1"/>
  <c r="D3"/>
  <c r="D11" s="1"/>
  <c r="C10"/>
  <c r="C9"/>
  <c r="C8"/>
  <c r="C7"/>
  <c r="C6"/>
  <c r="C5"/>
  <c r="C4"/>
  <c r="C3"/>
  <c r="C11" s="1"/>
  <c r="U133" i="9"/>
  <c r="V127" s="1"/>
  <c r="W127" s="1"/>
  <c r="X133"/>
  <c r="M36" i="21"/>
  <c r="M40" s="1"/>
  <c r="L36"/>
  <c r="L40" s="1"/>
  <c r="K36"/>
  <c r="K40" s="1"/>
  <c r="J36"/>
  <c r="J40" s="1"/>
  <c r="I36"/>
  <c r="H36"/>
  <c r="H40" s="1"/>
  <c r="G36"/>
  <c r="G40" s="1"/>
  <c r="F36"/>
  <c r="F40" s="1"/>
  <c r="E36"/>
  <c r="E40" s="1"/>
  <c r="D36"/>
  <c r="D40" s="1"/>
  <c r="C36"/>
  <c r="C40" s="1"/>
  <c r="K55" i="2"/>
  <c r="K54"/>
  <c r="K53"/>
  <c r="V126" i="9" l="1"/>
  <c r="V132"/>
  <c r="W132" s="1"/>
  <c r="V131"/>
  <c r="W131" s="1"/>
  <c r="V130"/>
  <c r="W130" s="1"/>
  <c r="V129"/>
  <c r="W129" s="1"/>
  <c r="V128"/>
  <c r="W128" s="1"/>
  <c r="Q130" i="10"/>
  <c r="N130"/>
  <c r="O129" s="1"/>
  <c r="P129" s="1"/>
  <c r="R98"/>
  <c r="F94" i="1" s="1"/>
  <c r="I94" s="1"/>
  <c r="O94" s="1"/>
  <c r="R97" i="10"/>
  <c r="F93" i="1" s="1"/>
  <c r="I96"/>
  <c r="O96" s="1"/>
  <c r="I95"/>
  <c r="C92"/>
  <c r="H45" i="21"/>
  <c r="G45"/>
  <c r="F45"/>
  <c r="E45"/>
  <c r="D45"/>
  <c r="M46"/>
  <c r="L46"/>
  <c r="K46"/>
  <c r="J46"/>
  <c r="I46"/>
  <c r="H44"/>
  <c r="H46" s="1"/>
  <c r="G44"/>
  <c r="G46" s="1"/>
  <c r="F44"/>
  <c r="F46" s="1"/>
  <c r="E44"/>
  <c r="E46" s="1"/>
  <c r="D44"/>
  <c r="D46" s="1"/>
  <c r="C45"/>
  <c r="C44"/>
  <c r="C46" s="1"/>
  <c r="L50" i="2"/>
  <c r="K46"/>
  <c r="K49"/>
  <c r="C41"/>
  <c r="L27" i="1"/>
  <c r="O26"/>
  <c r="O27" s="1"/>
  <c r="B13" i="22" s="1"/>
  <c r="O24" i="1"/>
  <c r="O25" s="1"/>
  <c r="B4" i="22" s="1"/>
  <c r="O23" i="1"/>
  <c r="O11"/>
  <c r="O10" s="1"/>
  <c r="O9"/>
  <c r="O12" s="1"/>
  <c r="B12" i="22" s="1"/>
  <c r="O5" i="1"/>
  <c r="O3"/>
  <c r="J75" i="2"/>
  <c r="J65"/>
  <c r="C59"/>
  <c r="M75"/>
  <c r="K69"/>
  <c r="L69" s="1"/>
  <c r="M65"/>
  <c r="K64"/>
  <c r="L64" s="1"/>
  <c r="K56"/>
  <c r="K60"/>
  <c r="L60" s="1"/>
  <c r="L56"/>
  <c r="J56"/>
  <c r="L40"/>
  <c r="K39"/>
  <c r="J40"/>
  <c r="K33"/>
  <c r="K34"/>
  <c r="K35"/>
  <c r="K36"/>
  <c r="K37"/>
  <c r="K38"/>
  <c r="K32"/>
  <c r="K40" s="1"/>
  <c r="M16"/>
  <c r="J16"/>
  <c r="K10" s="1"/>
  <c r="H8"/>
  <c r="I27" i="1"/>
  <c r="I25"/>
  <c r="F27"/>
  <c r="F25"/>
  <c r="C27"/>
  <c r="C25"/>
  <c r="C105" i="2"/>
  <c r="C103"/>
  <c r="C88"/>
  <c r="C90" s="1"/>
  <c r="C152" i="9"/>
  <c r="D147" s="1"/>
  <c r="O137" s="1"/>
  <c r="F133"/>
  <c r="C133"/>
  <c r="X33"/>
  <c r="X34"/>
  <c r="X35"/>
  <c r="X36"/>
  <c r="X32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E133" s="1"/>
  <c r="I93" i="1" l="1"/>
  <c r="O93" s="1"/>
  <c r="F92"/>
  <c r="C8" i="2"/>
  <c r="Q5" i="21"/>
  <c r="C31" i="2"/>
  <c r="C50"/>
  <c r="W126" i="9"/>
  <c r="W133" s="1"/>
  <c r="V133"/>
  <c r="X38"/>
  <c r="Q10" i="21" s="1"/>
  <c r="W10" s="1"/>
  <c r="Q8"/>
  <c r="Q6"/>
  <c r="Q7"/>
  <c r="S10"/>
  <c r="N10"/>
  <c r="O10" s="1"/>
  <c r="O126" i="10"/>
  <c r="P126" s="1"/>
  <c r="O127"/>
  <c r="P127" s="1"/>
  <c r="O128"/>
  <c r="P128" s="1"/>
  <c r="K43" i="2"/>
  <c r="K44"/>
  <c r="K45"/>
  <c r="K47"/>
  <c r="K48"/>
  <c r="X37" i="9"/>
  <c r="C22" i="2"/>
  <c r="K68"/>
  <c r="L68" s="1"/>
  <c r="K74"/>
  <c r="L74" s="1"/>
  <c r="K73"/>
  <c r="L73" s="1"/>
  <c r="K72"/>
  <c r="L72" s="1"/>
  <c r="K71"/>
  <c r="L71" s="1"/>
  <c r="K70"/>
  <c r="L70" s="1"/>
  <c r="K59"/>
  <c r="L59" s="1"/>
  <c r="K63"/>
  <c r="L63" s="1"/>
  <c r="K62"/>
  <c r="L62" s="1"/>
  <c r="K61"/>
  <c r="L61" s="1"/>
  <c r="K11"/>
  <c r="L11" s="1"/>
  <c r="K12"/>
  <c r="K13"/>
  <c r="K14"/>
  <c r="K15"/>
  <c r="K9"/>
  <c r="L10"/>
  <c r="L9"/>
  <c r="L15"/>
  <c r="L14"/>
  <c r="L13"/>
  <c r="L12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X20"/>
  <c r="C21" i="1" s="1"/>
  <c r="I21" s="1"/>
  <c r="O21" s="1"/>
  <c r="C99" i="2" s="1"/>
  <c r="X19" i="9"/>
  <c r="C20" i="1" s="1"/>
  <c r="I20" s="1"/>
  <c r="O20" s="1"/>
  <c r="C98" i="2" s="1"/>
  <c r="E98" s="1"/>
  <c r="X18" i="9"/>
  <c r="C19" i="1" s="1"/>
  <c r="I19" s="1"/>
  <c r="O19" s="1"/>
  <c r="X17" i="9"/>
  <c r="C18" i="1" s="1"/>
  <c r="I18" s="1"/>
  <c r="O18" s="1"/>
  <c r="X16" i="9"/>
  <c r="X15"/>
  <c r="X14"/>
  <c r="C15" i="1" s="1"/>
  <c r="I15" s="1"/>
  <c r="O15" s="1"/>
  <c r="X12" i="9"/>
  <c r="C13" i="1" s="1"/>
  <c r="I13" s="1"/>
  <c r="O13" s="1"/>
  <c r="X13" i="9"/>
  <c r="X114"/>
  <c r="C113" i="1" s="1"/>
  <c r="X112" i="9"/>
  <c r="C111" i="1" s="1"/>
  <c r="X110" i="9"/>
  <c r="C109" i="1" s="1"/>
  <c r="X109" i="9"/>
  <c r="C108" i="1" s="1"/>
  <c r="X108" i="9"/>
  <c r="C107" i="1" s="1"/>
  <c r="X107" i="9"/>
  <c r="C106" i="1" s="1"/>
  <c r="C110" s="1"/>
  <c r="X105" i="9"/>
  <c r="C104" i="1" s="1"/>
  <c r="X104" i="9"/>
  <c r="C103" i="1" s="1"/>
  <c r="X103" i="9"/>
  <c r="C102" i="1" s="1"/>
  <c r="X102" i="9"/>
  <c r="C101" i="1" s="1"/>
  <c r="X101" i="9"/>
  <c r="C100" i="1" s="1"/>
  <c r="X100" i="9"/>
  <c r="C99" i="1" s="1"/>
  <c r="X99" i="9"/>
  <c r="C98" i="1" s="1"/>
  <c r="C105" s="1"/>
  <c r="X97" i="9"/>
  <c r="X96"/>
  <c r="X91"/>
  <c r="C83" i="1" s="1"/>
  <c r="X90" i="9"/>
  <c r="C82" i="1" s="1"/>
  <c r="X89" i="9"/>
  <c r="C81" i="1" s="1"/>
  <c r="X88" i="9"/>
  <c r="C80" i="1" s="1"/>
  <c r="X87" i="9"/>
  <c r="C79" i="1" s="1"/>
  <c r="X85" i="9"/>
  <c r="C77" i="1" s="1"/>
  <c r="X84" i="9"/>
  <c r="C76" i="1" s="1"/>
  <c r="X82" i="9"/>
  <c r="C74" i="1" s="1"/>
  <c r="X81" i="9"/>
  <c r="C73" i="1" s="1"/>
  <c r="X80" i="9"/>
  <c r="C72" i="1" s="1"/>
  <c r="X79" i="9"/>
  <c r="C71" i="1" s="1"/>
  <c r="X77" i="9"/>
  <c r="C69" i="1" s="1"/>
  <c r="X76" i="9"/>
  <c r="C68" i="1" s="1"/>
  <c r="X75" i="9"/>
  <c r="C67" i="1" s="1"/>
  <c r="X74" i="9"/>
  <c r="C66" i="1" s="1"/>
  <c r="X72" i="9"/>
  <c r="C64" i="1" s="1"/>
  <c r="X71" i="9"/>
  <c r="C63" i="1" s="1"/>
  <c r="X69" i="9"/>
  <c r="C61" i="1" s="1"/>
  <c r="X68" i="9"/>
  <c r="C60" i="1" s="1"/>
  <c r="X67" i="9"/>
  <c r="C59" i="1" s="1"/>
  <c r="X66" i="9"/>
  <c r="C58" i="1" s="1"/>
  <c r="X65" i="9"/>
  <c r="C57" i="1" s="1"/>
  <c r="X64" i="9"/>
  <c r="C56" i="1" s="1"/>
  <c r="X63" i="9"/>
  <c r="C55" i="1" s="1"/>
  <c r="X62" i="9"/>
  <c r="X58"/>
  <c r="C50" i="1" s="1"/>
  <c r="X57" i="9"/>
  <c r="C49" i="1" s="1"/>
  <c r="X56" i="9"/>
  <c r="X42"/>
  <c r="C34" i="1" s="1"/>
  <c r="X43" i="9"/>
  <c r="C35" i="1" s="1"/>
  <c r="X44" i="9"/>
  <c r="C36" i="1" s="1"/>
  <c r="X45" i="9"/>
  <c r="C37" i="1" s="1"/>
  <c r="X46" i="9"/>
  <c r="C38" i="1" s="1"/>
  <c r="X47" i="9"/>
  <c r="C39" i="1" s="1"/>
  <c r="X48" i="9"/>
  <c r="C40" i="1" s="1"/>
  <c r="X49" i="9"/>
  <c r="C41" i="1" s="1"/>
  <c r="X50" i="9"/>
  <c r="C42" i="1" s="1"/>
  <c r="X51" i="9"/>
  <c r="C43" i="1" s="1"/>
  <c r="X52" i="9"/>
  <c r="C44" i="1" s="1"/>
  <c r="X53" i="9"/>
  <c r="C45" i="1" s="1"/>
  <c r="X54" i="9"/>
  <c r="C46" i="1" s="1"/>
  <c r="X41" i="9"/>
  <c r="X30"/>
  <c r="X111"/>
  <c r="X106"/>
  <c r="X95"/>
  <c r="X92"/>
  <c r="X86"/>
  <c r="X78"/>
  <c r="X73"/>
  <c r="X70"/>
  <c r="X31"/>
  <c r="X29" s="1"/>
  <c r="C30" i="1" s="1"/>
  <c r="X26" i="9"/>
  <c r="X24"/>
  <c r="X11"/>
  <c r="X7"/>
  <c r="C111"/>
  <c r="C106"/>
  <c r="C92"/>
  <c r="C86"/>
  <c r="C83"/>
  <c r="C73"/>
  <c r="C70"/>
  <c r="C59"/>
  <c r="C55"/>
  <c r="C60" s="1"/>
  <c r="E31"/>
  <c r="E29" s="1"/>
  <c r="E39" s="1"/>
  <c r="E40" s="1"/>
  <c r="E117" s="1"/>
  <c r="C39"/>
  <c r="C26"/>
  <c r="C24"/>
  <c r="C11"/>
  <c r="C7"/>
  <c r="C100" i="2" l="1"/>
  <c r="E99"/>
  <c r="E100" s="1"/>
  <c r="E106" s="1"/>
  <c r="E110" s="1"/>
  <c r="C89" i="1"/>
  <c r="I89" s="1"/>
  <c r="O89" s="1"/>
  <c r="X98" i="9"/>
  <c r="S7" i="21"/>
  <c r="W7"/>
  <c r="N7" s="1"/>
  <c r="S6"/>
  <c r="W6"/>
  <c r="S8"/>
  <c r="W8"/>
  <c r="S5"/>
  <c r="W5"/>
  <c r="X83" i="9"/>
  <c r="C70" i="1"/>
  <c r="C87"/>
  <c r="C97" s="1"/>
  <c r="X93" i="9"/>
  <c r="C16" i="1"/>
  <c r="I16" s="1"/>
  <c r="O16" s="1"/>
  <c r="C17"/>
  <c r="S36" i="21"/>
  <c r="P130" i="10"/>
  <c r="O130"/>
  <c r="K50" i="2"/>
  <c r="K75"/>
  <c r="K65"/>
  <c r="X55" i="9"/>
  <c r="C33" i="1"/>
  <c r="X59" i="9"/>
  <c r="C48" i="1"/>
  <c r="X61" i="9"/>
  <c r="C54" i="1"/>
  <c r="C31"/>
  <c r="C62"/>
  <c r="C65"/>
  <c r="C75"/>
  <c r="C78"/>
  <c r="C84"/>
  <c r="X21" i="9"/>
  <c r="C14" i="1"/>
  <c r="L75" i="2"/>
  <c r="L65"/>
  <c r="L16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L143" s="1"/>
  <c r="I136"/>
  <c r="I143" s="1"/>
  <c r="F136"/>
  <c r="F143" s="1"/>
  <c r="D143"/>
  <c r="C27"/>
  <c r="C93"/>
  <c r="X39"/>
  <c r="D152"/>
  <c r="C120"/>
  <c r="F120"/>
  <c r="I120"/>
  <c r="L120"/>
  <c r="O120"/>
  <c r="X27"/>
  <c r="X40" s="1"/>
  <c r="R120"/>
  <c r="U120"/>
  <c r="L117"/>
  <c r="I117"/>
  <c r="F117"/>
  <c r="C113"/>
  <c r="C115" s="1"/>
  <c r="C40"/>
  <c r="R35" i="10"/>
  <c r="R36"/>
  <c r="O122"/>
  <c r="L122"/>
  <c r="I122"/>
  <c r="F122"/>
  <c r="R29"/>
  <c r="R17"/>
  <c r="F17" i="1" s="1"/>
  <c r="F22" s="1"/>
  <c r="F28" s="1"/>
  <c r="R27" i="10"/>
  <c r="R25"/>
  <c r="R22"/>
  <c r="R12"/>
  <c r="R28"/>
  <c r="R94"/>
  <c r="C27"/>
  <c r="C25"/>
  <c r="C12"/>
  <c r="C8"/>
  <c r="C22"/>
  <c r="R93"/>
  <c r="C122"/>
  <c r="C68"/>
  <c r="S44" i="21" l="1"/>
  <c r="W44"/>
  <c r="S45"/>
  <c r="W45"/>
  <c r="F88" i="1"/>
  <c r="I88" s="1"/>
  <c r="O88" s="1"/>
  <c r="O87" s="1"/>
  <c r="F6" i="22" s="1"/>
  <c r="C109" i="2"/>
  <c r="F29" i="1"/>
  <c r="I29" s="1"/>
  <c r="O29" s="1"/>
  <c r="F87"/>
  <c r="Q9" i="21"/>
  <c r="Q4"/>
  <c r="O95" i="1"/>
  <c r="O92" s="1"/>
  <c r="Q46" i="21"/>
  <c r="C28" i="10"/>
  <c r="I17" i="1"/>
  <c r="O17" s="1"/>
  <c r="C53"/>
  <c r="C51"/>
  <c r="C47"/>
  <c r="C52" s="1"/>
  <c r="X60" i="9"/>
  <c r="X113" s="1"/>
  <c r="X115" s="1"/>
  <c r="X117" s="1"/>
  <c r="I14" i="1"/>
  <c r="C22"/>
  <c r="C85"/>
  <c r="C112" s="1"/>
  <c r="C114" s="1"/>
  <c r="C117" i="9"/>
  <c r="R34" i="10"/>
  <c r="R33"/>
  <c r="C107"/>
  <c r="E26" i="13"/>
  <c r="C28" i="1" l="1"/>
  <c r="C32" s="1"/>
  <c r="C116" s="1"/>
  <c r="S4" i="21"/>
  <c r="W4"/>
  <c r="S9"/>
  <c r="W9"/>
  <c r="B5" i="22"/>
  <c r="O31" i="1"/>
  <c r="I87"/>
  <c r="F97"/>
  <c r="C17" i="2"/>
  <c r="C84" s="1"/>
  <c r="Q3" i="21"/>
  <c r="I22" i="1"/>
  <c r="I28" s="1"/>
  <c r="O14"/>
  <c r="O22" s="1"/>
  <c r="R115" i="10"/>
  <c r="F113" i="1" s="1"/>
  <c r="I113" s="1"/>
  <c r="R113" i="10"/>
  <c r="F111" i="1" s="1"/>
  <c r="I111" s="1"/>
  <c r="O111" s="1"/>
  <c r="F14" i="22" s="1"/>
  <c r="R111" i="10"/>
  <c r="F109" i="1" s="1"/>
  <c r="I109" s="1"/>
  <c r="O109" s="1"/>
  <c r="R110" i="10"/>
  <c r="F108" i="1" s="1"/>
  <c r="I108" s="1"/>
  <c r="O108" s="1"/>
  <c r="R109" i="10"/>
  <c r="F107" i="1" s="1"/>
  <c r="I107" s="1"/>
  <c r="O107" s="1"/>
  <c r="R108" i="10"/>
  <c r="F106" i="1" s="1"/>
  <c r="R106" i="10"/>
  <c r="F104" i="1" s="1"/>
  <c r="I104" s="1"/>
  <c r="O104" s="1"/>
  <c r="R105" i="10"/>
  <c r="F103" i="1" s="1"/>
  <c r="I103" s="1"/>
  <c r="O103" s="1"/>
  <c r="R104" i="10"/>
  <c r="F102" i="1" s="1"/>
  <c r="I102" s="1"/>
  <c r="O102" s="1"/>
  <c r="R103" i="10"/>
  <c r="F101" i="1" s="1"/>
  <c r="R102" i="10"/>
  <c r="F100" i="1" s="1"/>
  <c r="I100" s="1"/>
  <c r="O100" s="1"/>
  <c r="R101" i="10"/>
  <c r="F99" i="1" s="1"/>
  <c r="I99" s="1"/>
  <c r="O99" s="1"/>
  <c r="R100" i="10"/>
  <c r="R96"/>
  <c r="R99" s="1"/>
  <c r="R89"/>
  <c r="F83" i="1" s="1"/>
  <c r="I83" s="1"/>
  <c r="O83" s="1"/>
  <c r="R88" i="10"/>
  <c r="F82" i="1" s="1"/>
  <c r="I82" s="1"/>
  <c r="O82" s="1"/>
  <c r="R87" i="10"/>
  <c r="F81" i="1" s="1"/>
  <c r="I81" s="1"/>
  <c r="O81" s="1"/>
  <c r="R86" i="10"/>
  <c r="F80" i="1" s="1"/>
  <c r="I80" s="1"/>
  <c r="O80" s="1"/>
  <c r="R85" i="10"/>
  <c r="F79" i="1" s="1"/>
  <c r="R83" i="10"/>
  <c r="F77" i="1" s="1"/>
  <c r="I77" s="1"/>
  <c r="O77" s="1"/>
  <c r="R82" i="10"/>
  <c r="F76" i="1" s="1"/>
  <c r="R80" i="10"/>
  <c r="F74" i="1" s="1"/>
  <c r="I74" s="1"/>
  <c r="O74" s="1"/>
  <c r="R79" i="10"/>
  <c r="F73" i="1" s="1"/>
  <c r="I73" s="1"/>
  <c r="O73" s="1"/>
  <c r="R78" i="10"/>
  <c r="F72" i="1" s="1"/>
  <c r="I72" s="1"/>
  <c r="O72" s="1"/>
  <c r="R77" i="10"/>
  <c r="F71" i="1" s="1"/>
  <c r="I71" s="1"/>
  <c r="O71" s="1"/>
  <c r="R75" i="10"/>
  <c r="F69" i="1" s="1"/>
  <c r="I69" s="1"/>
  <c r="O69" s="1"/>
  <c r="R74" i="10"/>
  <c r="F68" i="1" s="1"/>
  <c r="I68" s="1"/>
  <c r="O68" s="1"/>
  <c r="R73" i="10"/>
  <c r="F67" i="1" s="1"/>
  <c r="I67" s="1"/>
  <c r="O67" s="1"/>
  <c r="R72" i="10"/>
  <c r="F66" i="1" s="1"/>
  <c r="R70" i="10"/>
  <c r="F64" i="1" s="1"/>
  <c r="I64" s="1"/>
  <c r="O64" s="1"/>
  <c r="R69" i="10"/>
  <c r="F63" i="1" s="1"/>
  <c r="R67" i="10"/>
  <c r="F61" i="1" s="1"/>
  <c r="I61" s="1"/>
  <c r="O61" s="1"/>
  <c r="R66" i="10"/>
  <c r="F60" i="1" s="1"/>
  <c r="I60" s="1"/>
  <c r="O60" s="1"/>
  <c r="R65" i="10"/>
  <c r="F59" i="1" s="1"/>
  <c r="R112" i="10"/>
  <c r="R90"/>
  <c r="R84"/>
  <c r="R76"/>
  <c r="R71"/>
  <c r="R68"/>
  <c r="O120"/>
  <c r="L120"/>
  <c r="I120"/>
  <c r="F120"/>
  <c r="C112"/>
  <c r="C90"/>
  <c r="C84"/>
  <c r="C81"/>
  <c r="C71"/>
  <c r="R64"/>
  <c r="F58" i="1" s="1"/>
  <c r="I58" s="1"/>
  <c r="O58" s="1"/>
  <c r="R63" i="10"/>
  <c r="F57" i="1" s="1"/>
  <c r="I57" s="1"/>
  <c r="O57" s="1"/>
  <c r="R62" i="10"/>
  <c r="F56" i="1" s="1"/>
  <c r="I56" s="1"/>
  <c r="O56" s="1"/>
  <c r="R61" i="10"/>
  <c r="F55" i="1" s="1"/>
  <c r="I55" s="1"/>
  <c r="O55" s="1"/>
  <c r="R60" i="10"/>
  <c r="R56"/>
  <c r="F50" i="1" s="1"/>
  <c r="I50" s="1"/>
  <c r="O50" s="1"/>
  <c r="R55" i="10"/>
  <c r="F49" i="1" s="1"/>
  <c r="I49" s="1"/>
  <c r="O49" s="1"/>
  <c r="R54" i="10"/>
  <c r="R40"/>
  <c r="F34" i="1" s="1"/>
  <c r="I34" s="1"/>
  <c r="O34" s="1"/>
  <c r="R41" i="10"/>
  <c r="F35" i="1" s="1"/>
  <c r="I35" s="1"/>
  <c r="O35" s="1"/>
  <c r="R42" i="10"/>
  <c r="F36" i="1" s="1"/>
  <c r="I36" s="1"/>
  <c r="O36" s="1"/>
  <c r="R43" i="10"/>
  <c r="F37" i="1" s="1"/>
  <c r="I37" s="1"/>
  <c r="O37" s="1"/>
  <c r="R44" i="10"/>
  <c r="F38" i="1" s="1"/>
  <c r="I38" s="1"/>
  <c r="O38" s="1"/>
  <c r="R45" i="10"/>
  <c r="F39" i="1" s="1"/>
  <c r="I39" s="1"/>
  <c r="O39" s="1"/>
  <c r="R46" i="10"/>
  <c r="F40" i="1" s="1"/>
  <c r="I40" s="1"/>
  <c r="O40" s="1"/>
  <c r="R47" i="10"/>
  <c r="F41" i="1" s="1"/>
  <c r="I41" s="1"/>
  <c r="O41" s="1"/>
  <c r="R48" i="10"/>
  <c r="F42" i="1" s="1"/>
  <c r="I42" s="1"/>
  <c r="O42" s="1"/>
  <c r="R49" i="10"/>
  <c r="F43" i="1" s="1"/>
  <c r="I43" s="1"/>
  <c r="O43" s="1"/>
  <c r="R50" i="10"/>
  <c r="F44" i="1" s="1"/>
  <c r="I44" s="1"/>
  <c r="O44" s="1"/>
  <c r="R51" i="10"/>
  <c r="F45" i="1" s="1"/>
  <c r="I45" s="1"/>
  <c r="O45" s="1"/>
  <c r="R52" i="10"/>
  <c r="F46" i="1" s="1"/>
  <c r="I46" s="1"/>
  <c r="O46" s="1"/>
  <c r="R39" i="10"/>
  <c r="F118"/>
  <c r="Q31" i="21"/>
  <c r="C86" i="2" l="1"/>
  <c r="C106" s="1"/>
  <c r="C110" s="1"/>
  <c r="C4"/>
  <c r="L7" i="1"/>
  <c r="L4" s="1"/>
  <c r="L8" s="1"/>
  <c r="L28" s="1"/>
  <c r="L32" s="1"/>
  <c r="S31" i="21"/>
  <c r="W31"/>
  <c r="S3"/>
  <c r="W3"/>
  <c r="B3" i="22"/>
  <c r="R81" i="10"/>
  <c r="F70" i="1"/>
  <c r="I70" s="1"/>
  <c r="O70" s="1"/>
  <c r="F84"/>
  <c r="I79"/>
  <c r="R107" i="10"/>
  <c r="F98" i="1"/>
  <c r="I98" s="1"/>
  <c r="O98" s="1"/>
  <c r="F110"/>
  <c r="I106"/>
  <c r="R91" i="10"/>
  <c r="I86" i="1" s="1"/>
  <c r="O86" s="1"/>
  <c r="R53" i="10"/>
  <c r="F33" i="1"/>
  <c r="R57" i="10"/>
  <c r="F48" i="1"/>
  <c r="R59" i="10"/>
  <c r="F54" i="1"/>
  <c r="F62"/>
  <c r="I59"/>
  <c r="F65"/>
  <c r="I63"/>
  <c r="F75"/>
  <c r="I66"/>
  <c r="F78"/>
  <c r="I76"/>
  <c r="F105"/>
  <c r="I101"/>
  <c r="I118" i="10"/>
  <c r="L118"/>
  <c r="O118"/>
  <c r="C30"/>
  <c r="C37" s="1"/>
  <c r="C38" s="1"/>
  <c r="R31"/>
  <c r="R30" s="1"/>
  <c r="C91"/>
  <c r="C120" s="1"/>
  <c r="C53"/>
  <c r="C57"/>
  <c r="C59"/>
  <c r="F7" i="22" l="1"/>
  <c r="O97" i="1"/>
  <c r="O106"/>
  <c r="O110" s="1"/>
  <c r="F13" i="22" s="1"/>
  <c r="I110" i="1"/>
  <c r="O79"/>
  <c r="O84" s="1"/>
  <c r="I84"/>
  <c r="R37" i="10"/>
  <c r="R38" s="1"/>
  <c r="F30" i="1"/>
  <c r="O101"/>
  <c r="O105" s="1"/>
  <c r="F12" i="22" s="1"/>
  <c r="B28" i="20" s="1"/>
  <c r="I105" i="1"/>
  <c r="I78"/>
  <c r="O76"/>
  <c r="O78" s="1"/>
  <c r="I75"/>
  <c r="O66"/>
  <c r="O75" s="1"/>
  <c r="I65"/>
  <c r="O63"/>
  <c r="O65" s="1"/>
  <c r="I62"/>
  <c r="I85" s="1"/>
  <c r="O59"/>
  <c r="O62" s="1"/>
  <c r="O85" s="1"/>
  <c r="F4" i="22" s="1"/>
  <c r="F53" i="1"/>
  <c r="I54"/>
  <c r="F51"/>
  <c r="I48"/>
  <c r="F47"/>
  <c r="F52" s="1"/>
  <c r="F112" s="1"/>
  <c r="F114" s="1"/>
  <c r="I33"/>
  <c r="F85"/>
  <c r="R58" i="10"/>
  <c r="R114" s="1"/>
  <c r="R116" s="1"/>
  <c r="I92" i="1"/>
  <c r="I97" s="1"/>
  <c r="C58" i="10"/>
  <c r="C114" s="1"/>
  <c r="C116" s="1"/>
  <c r="C118" s="1"/>
  <c r="O7" i="1" l="1"/>
  <c r="O4" s="1"/>
  <c r="O8" s="1"/>
  <c r="I47"/>
  <c r="O33"/>
  <c r="O47" s="1"/>
  <c r="I51"/>
  <c r="O48"/>
  <c r="O51" s="1"/>
  <c r="I53"/>
  <c r="O54"/>
  <c r="O53" s="1"/>
  <c r="F3" i="22" s="1"/>
  <c r="F31" i="1"/>
  <c r="F32" s="1"/>
  <c r="I30"/>
  <c r="F116"/>
  <c r="R118" i="10"/>
  <c r="B6" i="20" l="1"/>
  <c r="B16" s="1"/>
  <c r="O28" i="1"/>
  <c r="B2" i="22"/>
  <c r="I31" i="1"/>
  <c r="I32" s="1"/>
  <c r="L113"/>
  <c r="O32"/>
  <c r="O52"/>
  <c r="F2" i="22" s="1"/>
  <c r="I52" i="1"/>
  <c r="I112" s="1"/>
  <c r="I114" s="1"/>
  <c r="I116" s="1"/>
  <c r="O112"/>
  <c r="F8" i="22"/>
  <c r="L114" i="1" l="1"/>
  <c r="L116" s="1"/>
  <c r="N113"/>
  <c r="N114" s="1"/>
  <c r="N116" s="1"/>
  <c r="B24" i="20"/>
  <c r="B30" s="1"/>
  <c r="B32" s="1"/>
  <c r="O114" i="1"/>
  <c r="O116" s="1"/>
  <c r="F17" i="22"/>
  <c r="B17"/>
  <c r="F10"/>
  <c r="B10"/>
  <c r="F18" l="1"/>
  <c r="B18"/>
  <c r="O45" i="21"/>
  <c r="N46"/>
  <c r="W36"/>
  <c r="N36" s="1"/>
  <c r="N40" s="1"/>
  <c r="N9"/>
  <c r="O9"/>
  <c r="N8"/>
  <c r="O8"/>
  <c r="O7"/>
  <c r="N6"/>
  <c r="O6" s="1"/>
  <c r="N4"/>
  <c r="O4" s="1"/>
  <c r="N5"/>
  <c r="O5" s="1"/>
  <c r="N3"/>
  <c r="N11" s="1"/>
  <c r="O3" l="1"/>
  <c r="O11" s="1"/>
  <c r="O36"/>
  <c r="O40" s="1"/>
  <c r="J32" l="1"/>
  <c r="K32"/>
  <c r="L32"/>
  <c r="M32"/>
  <c r="D32"/>
  <c r="N31"/>
  <c r="N32" l="1"/>
  <c r="N33" s="1"/>
  <c r="O31"/>
  <c r="O32" s="1"/>
  <c r="O33" s="1"/>
</calcChain>
</file>

<file path=xl/sharedStrings.xml><?xml version="1.0" encoding="utf-8"?>
<sst xmlns="http://schemas.openxmlformats.org/spreadsheetml/2006/main" count="1331" uniqueCount="510">
  <si>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</si>
  <si>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</si>
  <si>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</si>
  <si>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</si>
  <si>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</si>
  <si>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</si>
  <si>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</si>
  <si>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</si>
  <si>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</si>
  <si>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</si>
  <si>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</si>
  <si>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</si>
  <si>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GYERMEKJÓLÉTI SZOLGÁLAT</t>
  </si>
  <si>
    <t>HÁZI SEGÍTSÉGNYÚJTÁS</t>
  </si>
  <si>
    <t>CSALÁDSEGÍTÉS</t>
  </si>
  <si>
    <t>TÁMOGATÓ SZOLGÁLAT</t>
  </si>
  <si>
    <t>SEGÍTŐ SZOLGÁLAT EGYÜTT</t>
  </si>
  <si>
    <t>létszám</t>
  </si>
  <si>
    <t>GÉZENGÚZ TAGÓVODA</t>
  </si>
  <si>
    <t>KÖZPONTI IGAZGATÁS</t>
  </si>
  <si>
    <t>fajlagos összeg</t>
  </si>
  <si>
    <t>Ft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</si>
  <si>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</si>
  <si>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</si>
  <si>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</si>
  <si>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</si>
  <si>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</si>
  <si>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</si>
  <si>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</si>
  <si>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</si>
  <si>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</si>
  <si>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</si>
  <si>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</si>
  <si>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</si>
  <si>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</si>
  <si>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</si>
  <si>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</si>
  <si>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</si>
  <si>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</si>
  <si>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</si>
  <si>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Logopédus</t>
  </si>
  <si>
    <t>Óvodatitkár</t>
  </si>
  <si>
    <t>Státusz összesen</t>
  </si>
  <si>
    <t>mutató</t>
  </si>
  <si>
    <t>MOVI</t>
  </si>
  <si>
    <t>BOVI</t>
  </si>
  <si>
    <t>GYOVI</t>
  </si>
  <si>
    <t>TOVI</t>
  </si>
  <si>
    <t>fő</t>
  </si>
  <si>
    <t>működési hó</t>
  </si>
  <si>
    <t xml:space="preserve">     Támogató szolgálat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</si>
  <si>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</si>
  <si>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</si>
  <si>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</si>
  <si>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</si>
  <si>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</si>
  <si>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</si>
  <si>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</si>
  <si>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</si>
  <si>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</si>
  <si>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</si>
  <si>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</si>
  <si>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</si>
  <si>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</si>
  <si>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</si>
  <si>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</si>
  <si>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</si>
  <si>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</si>
  <si>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</si>
  <si>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</si>
  <si>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</si>
  <si>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</si>
  <si>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</si>
  <si>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</si>
  <si>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</si>
  <si>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</si>
  <si>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</si>
  <si>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</si>
  <si>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</si>
  <si>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</si>
  <si>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Mutatószám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</si>
  <si>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</si>
  <si>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</si>
  <si>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</si>
  <si>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</si>
  <si>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</si>
  <si>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</si>
  <si>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</si>
  <si>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 xml:space="preserve">     Családsegítés - társulási kiegészítés (300 Ft/fő)</t>
  </si>
  <si>
    <t xml:space="preserve">     Családsegítés (lakosság/5.000*3.950.000/2)</t>
  </si>
  <si>
    <t xml:space="preserve">     Gyermekjóléti szolgálat (lakosság/5.000*3.950.000/2)</t>
  </si>
  <si>
    <t>NRSZH támogatás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</si>
  <si>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</si>
  <si>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</si>
  <si>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</si>
  <si>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</si>
  <si>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</si>
  <si>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</si>
  <si>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</si>
  <si>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</si>
  <si>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működtetési támogatás Ft/fő/év</t>
  </si>
  <si>
    <t>KIK</t>
  </si>
  <si>
    <t>NRSZH TÁMOGATÁS ÖSSZESEN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</si>
  <si>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</si>
  <si>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</si>
  <si>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</si>
  <si>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</si>
  <si>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</si>
  <si>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</si>
  <si>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</si>
  <si>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</si>
  <si>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</si>
  <si>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</si>
  <si>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</si>
  <si>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</si>
  <si>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</si>
  <si>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</si>
  <si>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</si>
  <si>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</si>
  <si>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</si>
  <si>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8hónap</t>
  </si>
  <si>
    <t>4hónap</t>
  </si>
  <si>
    <t>Dajka létszám</t>
  </si>
  <si>
    <t>Óvi titkár</t>
  </si>
  <si>
    <t>Ped.asszisztens</t>
  </si>
  <si>
    <t>Óvoda ped.seg. bére:</t>
  </si>
  <si>
    <t>Összeg</t>
  </si>
  <si>
    <r>
      <t>Óvoda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</si>
  <si>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</si>
  <si>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</si>
  <si>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</si>
  <si>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</si>
  <si>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</si>
  <si>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</si>
  <si>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</si>
  <si>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</si>
  <si>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</si>
  <si>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</si>
  <si>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</si>
  <si>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</si>
  <si>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</si>
  <si>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</si>
  <si>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</si>
  <si>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</si>
  <si>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</si>
  <si>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</si>
  <si>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</si>
  <si>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</si>
  <si>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</si>
  <si>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</si>
  <si>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</si>
  <si>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</si>
  <si>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</si>
  <si>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</si>
  <si>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</si>
  <si>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</si>
  <si>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</si>
  <si>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</si>
  <si>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</si>
  <si>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</si>
  <si>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</si>
  <si>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</si>
  <si>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</si>
  <si>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</si>
  <si>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</si>
  <si>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</si>
  <si>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</si>
  <si>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</si>
  <si>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</si>
  <si>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</si>
  <si>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</si>
  <si>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</si>
  <si>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</si>
  <si>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</si>
  <si>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</si>
  <si>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</si>
  <si>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</si>
  <si>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</si>
  <si>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</si>
  <si>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</si>
  <si>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</si>
  <si>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</si>
  <si>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</si>
  <si>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</si>
  <si>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</si>
  <si>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</si>
  <si>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</si>
  <si>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</si>
  <si>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</si>
  <si>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</si>
  <si>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</si>
  <si>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</si>
  <si>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</si>
  <si>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</si>
  <si>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</si>
  <si>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</si>
  <si>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</si>
  <si>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</si>
  <si>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</si>
  <si>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</si>
  <si>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</si>
  <si>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</si>
  <si>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</si>
  <si>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</si>
  <si>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</si>
  <si>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</si>
  <si>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</si>
  <si>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</si>
  <si>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</si>
  <si>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</si>
  <si>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</si>
  <si>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</si>
  <si>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</si>
  <si>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</si>
  <si>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</si>
  <si>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</si>
  <si>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</si>
  <si>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</si>
  <si>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</si>
  <si>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</si>
  <si>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</si>
  <si>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</si>
  <si>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</si>
  <si>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</si>
  <si>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</si>
  <si>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</si>
  <si>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</si>
  <si>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</si>
  <si>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</si>
  <si>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</si>
  <si>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</si>
  <si>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</si>
  <si>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</si>
  <si>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</si>
  <si>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</si>
  <si>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</si>
  <si>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</si>
  <si>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</si>
  <si>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</si>
  <si>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</si>
  <si>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</si>
  <si>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</si>
  <si>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</si>
  <si>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</si>
  <si>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</si>
  <si>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</si>
  <si>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</si>
  <si>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</si>
  <si>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</si>
  <si>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</si>
  <si>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</si>
  <si>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</si>
  <si>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</si>
  <si>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</si>
  <si>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</si>
  <si>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</si>
  <si>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</si>
  <si>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</si>
  <si>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</si>
  <si>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</si>
  <si>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</si>
  <si>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</si>
  <si>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</si>
  <si>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</si>
  <si>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</si>
  <si>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</si>
  <si>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</si>
  <si>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</si>
  <si>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</si>
  <si>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</si>
  <si>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</si>
  <si>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</si>
  <si>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</si>
  <si>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</si>
  <si>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</si>
  <si>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</si>
  <si>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</si>
  <si>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</si>
  <si>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</si>
  <si>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</si>
  <si>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</si>
  <si>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</si>
  <si>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</si>
  <si>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</si>
  <si>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</si>
  <si>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</si>
  <si>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</si>
  <si>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</si>
  <si>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</si>
  <si>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</si>
  <si>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</si>
  <si>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</si>
  <si>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</si>
  <si>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</si>
  <si>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</si>
  <si>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</si>
  <si>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</si>
  <si>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</si>
  <si>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</si>
  <si>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</si>
  <si>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</si>
  <si>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</si>
  <si>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</si>
  <si>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</si>
  <si>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</si>
  <si>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</si>
  <si>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</si>
  <si>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</si>
  <si>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</si>
  <si>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</si>
  <si>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</si>
  <si>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</si>
  <si>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</si>
  <si>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</si>
  <si>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</si>
  <si>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</si>
  <si>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</si>
  <si>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</si>
  <si>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</si>
  <si>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</si>
  <si>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</si>
  <si>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</si>
  <si>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</si>
  <si>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</si>
  <si>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</si>
  <si>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</si>
  <si>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</si>
  <si>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</si>
  <si>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</si>
  <si>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2013/2014 8 hó</t>
  </si>
  <si>
    <t>2014/2015 4 hó</t>
  </si>
  <si>
    <t>Óvodaped pótlólagos bértám</t>
  </si>
  <si>
    <t>Étkeztetés bér alapútámogatása Ft/fő/év</t>
  </si>
  <si>
    <t>2014. évre</t>
  </si>
  <si>
    <t>Elismert Dolgozói létszám</t>
  </si>
  <si>
    <t>100% kedv 3*étk</t>
  </si>
  <si>
    <t>50% kedv 3*étk</t>
  </si>
  <si>
    <t>Nem kedvezményes</t>
  </si>
  <si>
    <t>Összes étkező</t>
  </si>
  <si>
    <t>Ellátottaktól függő osztószám</t>
  </si>
  <si>
    <t>301-1500:</t>
  </si>
  <si>
    <t>Feladatellátási hely tényezőszáma</t>
  </si>
  <si>
    <t>4-6 hely:</t>
  </si>
  <si>
    <t>Étkeztetés dologi kiadásra támogatás</t>
  </si>
  <si>
    <t>Összes kiadás</t>
  </si>
  <si>
    <t>Térítési díj</t>
  </si>
  <si>
    <t>Elvárt tér.díj</t>
  </si>
  <si>
    <t>Csökkentő tétel</t>
  </si>
  <si>
    <t>Támogatás alapja</t>
  </si>
  <si>
    <t>Támogatás (95%)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</si>
  <si>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</si>
  <si>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</si>
  <si>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</si>
  <si>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</si>
  <si>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</si>
  <si>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</si>
  <si>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</si>
  <si>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</si>
  <si>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</si>
  <si>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</si>
  <si>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</si>
  <si>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</si>
  <si>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</si>
  <si>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</si>
  <si>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</si>
  <si>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</si>
  <si>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</si>
  <si>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</si>
  <si>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</si>
  <si>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</si>
  <si>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</si>
  <si>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</si>
  <si>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</si>
  <si>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</si>
  <si>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</si>
  <si>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</si>
  <si>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</si>
  <si>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</si>
  <si>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</si>
  <si>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</si>
  <si>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</si>
  <si>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</si>
  <si>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</si>
  <si>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</si>
  <si>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</si>
  <si>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</si>
  <si>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</si>
  <si>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</si>
  <si>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</si>
  <si>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</si>
  <si>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</si>
  <si>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</si>
  <si>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</si>
  <si>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</si>
  <si>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</si>
  <si>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</si>
  <si>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</si>
  <si>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</si>
  <si>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</si>
  <si>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</si>
  <si>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</si>
  <si>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</si>
  <si>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</si>
  <si>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</si>
  <si>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</si>
  <si>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</si>
  <si>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</si>
  <si>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</si>
  <si>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</si>
  <si>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</si>
  <si>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</si>
  <si>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</si>
  <si>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</si>
  <si>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</si>
  <si>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</si>
  <si>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</si>
  <si>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</si>
  <si>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</si>
  <si>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</si>
  <si>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</si>
  <si>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</si>
  <si>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</si>
  <si>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</si>
  <si>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</si>
  <si>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</si>
  <si>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</si>
  <si>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</si>
  <si>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</si>
  <si>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</si>
  <si>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</si>
  <si>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</si>
  <si>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</si>
  <si>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</si>
  <si>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</si>
  <si>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</si>
  <si>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</si>
  <si>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</si>
  <si>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Önkormányzatok működési támogatásai (normatív)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</si>
  <si>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</si>
  <si>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</si>
  <si>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</si>
  <si>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</si>
  <si>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</si>
  <si>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</si>
  <si>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</si>
  <si>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Módosítás</t>
  </si>
  <si>
    <t>Bérkompenzáció</t>
  </si>
  <si>
    <t>Szociális ágazati pótlék</t>
  </si>
  <si>
    <t>Foglalkoztatottak egyéb személyi juttatásai (betegállomány, egyéb)</t>
  </si>
  <si>
    <t>K502</t>
  </si>
  <si>
    <t>Elvonások és befizetések (munkahelyvédelmi a.terv miatti befiz)</t>
  </si>
  <si>
    <t>Elvonások és befizetések</t>
  </si>
  <si>
    <t>I) Előző évi pénzmaradvány elvonás befizetése</t>
  </si>
  <si>
    <t>Szent László Völgye Bóbita Óvoda</t>
  </si>
  <si>
    <t>Szent László Völgye Segítő Szolgálat</t>
  </si>
  <si>
    <t>J) 2013. évi zárszámadás alapján</t>
  </si>
  <si>
    <t>ebből: pénzmaradvány felhasználás</t>
  </si>
  <si>
    <t>ebből: helyi önkormányzatok és költségvetési szerveik támogatása (TKT)</t>
  </si>
  <si>
    <t>ebből: helyi önkormányzatok és költségvetési szerveik támogatása (Baracska)</t>
  </si>
  <si>
    <t>K507</t>
  </si>
  <si>
    <t>ebből: helyi önkormányzatok és költségvetési szerveik (TKT)</t>
  </si>
  <si>
    <t>módosítás</t>
  </si>
  <si>
    <t>módosítás havi megb</t>
  </si>
  <si>
    <t>2013. évi zárszámadás elszámolás</t>
  </si>
  <si>
    <t>Baracska 2013. évi elmaradás (működési és felhalmozási)</t>
  </si>
  <si>
    <t>Martonvásár normatíva visszafizetés</t>
  </si>
  <si>
    <t>Baracska 2013. évi elszámolás visszaf.</t>
  </si>
  <si>
    <t>II. módosított előirányzat</t>
  </si>
  <si>
    <t>ebből: központi kezelési előirányzat (Autista pályázat)</t>
  </si>
  <si>
    <t>ebből: helyi önkormányzatok és költségvetési szerveik támogatása (Martonvásár - 2012.évi MÁK felülvizsgálat)</t>
  </si>
  <si>
    <t>ebből KÖZPONTI KEZELÉSI ELŐIRÁNYZAT (AUTISTA PÁLYÁZAT)</t>
  </si>
  <si>
    <t>JÚNIUSI MÓDOSÍTÁS</t>
  </si>
  <si>
    <t>Különbség</t>
  </si>
  <si>
    <t>Júniusi módosítás</t>
  </si>
  <si>
    <t>eredeti ei</t>
  </si>
  <si>
    <t>júniusi módosítás</t>
  </si>
  <si>
    <t>KÜLÖNBSÉG</t>
  </si>
  <si>
    <t>júniusi lemondás</t>
  </si>
  <si>
    <t>októberi lemondás</t>
  </si>
  <si>
    <t>júniusi lemondás Ft</t>
  </si>
  <si>
    <t>októberi lemondás Ft</t>
  </si>
  <si>
    <t xml:space="preserve">     Gyermekjóléti szolgálat - társulási kiegészítés (300 Ft/fő)</t>
  </si>
  <si>
    <t xml:space="preserve">     Falugondnoki feladatellátás (1.996.550 Ft)</t>
  </si>
  <si>
    <t xml:space="preserve">     Családi napközi ellátás (268.200 Ft/fő)</t>
  </si>
  <si>
    <t xml:space="preserve">     Családi napközi ellátás - társulási kiegészítés (600 Ft/fő)</t>
  </si>
  <si>
    <t>Szent László Völgye - Bóbita Óvoda</t>
  </si>
  <si>
    <t>Eredeti státusz</t>
  </si>
  <si>
    <t>Módosított státusz</t>
  </si>
  <si>
    <t>Pedagógiai asszisztens</t>
  </si>
  <si>
    <t xml:space="preserve">K) 2012.évi MÁK ellenőrzés </t>
  </si>
  <si>
    <t>Baracska (Kozma Ferenc Ált. Iskola)</t>
  </si>
  <si>
    <t>Baracska (Bóbita Óvoda)</t>
  </si>
  <si>
    <t>Tordas  (Mesevár Tagóvoda)</t>
  </si>
  <si>
    <t>Ráckeresztúr  (Mosoly Tagóvoda)</t>
  </si>
  <si>
    <t>Martonvásár 2012.évi MÁK ell. Bef.</t>
  </si>
  <si>
    <t>2012.évi MÁK ellenőrzés befizetése</t>
  </si>
  <si>
    <t>Tárgyévi előirányzat</t>
  </si>
  <si>
    <t>Baracska felhalmozási pe.átadás</t>
  </si>
  <si>
    <t>OKTÓBERI MÓDOSÍTÁS</t>
  </si>
  <si>
    <t>Októberi módosítás</t>
  </si>
  <si>
    <t>októberi módosítás</t>
  </si>
  <si>
    <t>Összeg Ft</t>
  </si>
  <si>
    <t>Júniusi Összeg Ft</t>
  </si>
  <si>
    <t>Októberi Összeg Ft</t>
  </si>
  <si>
    <t>III. módosított előirányzat</t>
  </si>
  <si>
    <t>ebből: táppénz hozzájárulás</t>
  </si>
  <si>
    <t>2014. évi III. módosított ei.</t>
  </si>
  <si>
    <t>2014. évi II. módosított ei.</t>
  </si>
  <si>
    <t>Belső ellenőrzés módosítása</t>
  </si>
  <si>
    <t>Óvodai túlfizetés visszafizetése</t>
  </si>
</sst>
</file>

<file path=xl/styles.xml><?xml version="1.0" encoding="utf-8"?>
<styleSheet xmlns="http://schemas.openxmlformats.org/spreadsheetml/2006/main">
  <numFmts count="11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0"/>
    <numFmt numFmtId="168" formatCode="#,##0.000"/>
    <numFmt numFmtId="169" formatCode="#,##0_ ;\-#,##0\ "/>
    <numFmt numFmtId="170" formatCode="0.000"/>
    <numFmt numFmtId="171" formatCode="#,##0\ _F_t"/>
    <numFmt numFmtId="172" formatCode="0.0000"/>
    <numFmt numFmtId="173" formatCode="0__"/>
  </numFmts>
  <fonts count="4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0" fontId="1" fillId="0" borderId="0"/>
  </cellStyleXfs>
  <cellXfs count="934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3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9" fontId="21" fillId="0" borderId="0" xfId="54" applyNumberFormat="1" applyFont="1" applyFill="1" applyAlignment="1">
      <alignment wrapText="1"/>
    </xf>
    <xf numFmtId="0" fontId="21" fillId="0" borderId="57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8" xfId="0" applyFont="1" applyFill="1" applyBorder="1"/>
    <xf numFmtId="0" fontId="28" fillId="0" borderId="14" xfId="0" applyFont="1" applyFill="1" applyBorder="1"/>
    <xf numFmtId="3" fontId="28" fillId="0" borderId="59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8" xfId="0" applyNumberFormat="1" applyFont="1" applyFill="1" applyBorder="1"/>
    <xf numFmtId="3" fontId="21" fillId="0" borderId="49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70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3" fontId="21" fillId="0" borderId="64" xfId="0" applyNumberFormat="1" applyFont="1" applyFill="1" applyBorder="1"/>
    <xf numFmtId="3" fontId="21" fillId="0" borderId="57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7" xfId="78" applyFont="1" applyFill="1" applyBorder="1"/>
    <xf numFmtId="0" fontId="26" fillId="0" borderId="48" xfId="78" applyFont="1" applyFill="1" applyBorder="1"/>
    <xf numFmtId="0" fontId="26" fillId="0" borderId="49" xfId="78" applyFont="1" applyFill="1" applyBorder="1"/>
    <xf numFmtId="168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9" xfId="0" applyNumberFormat="1" applyFont="1" applyFill="1" applyBorder="1" applyAlignment="1">
      <alignment horizontal="center" vertical="center" wrapText="1"/>
    </xf>
    <xf numFmtId="3" fontId="30" fillId="0" borderId="56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9" xfId="0" applyNumberFormat="1" applyFont="1" applyFill="1" applyBorder="1"/>
    <xf numFmtId="3" fontId="21" fillId="0" borderId="28" xfId="0" applyNumberFormat="1" applyFont="1" applyFill="1" applyBorder="1"/>
    <xf numFmtId="0" fontId="21" fillId="0" borderId="54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4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8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5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28" fillId="0" borderId="69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2" xfId="0" applyNumberFormat="1" applyFont="1" applyFill="1" applyBorder="1"/>
    <xf numFmtId="3" fontId="21" fillId="0" borderId="90" xfId="0" applyNumberFormat="1" applyFont="1" applyFill="1" applyBorder="1"/>
    <xf numFmtId="3" fontId="21" fillId="0" borderId="81" xfId="0" applyNumberFormat="1" applyFont="1" applyFill="1" applyBorder="1"/>
    <xf numFmtId="3" fontId="21" fillId="0" borderId="31" xfId="0" applyNumberFormat="1" applyFont="1" applyFill="1" applyBorder="1"/>
    <xf numFmtId="0" fontId="21" fillId="0" borderId="0" xfId="0" applyFont="1" applyFill="1" applyAlignment="1">
      <alignment horizontal="left" vertical="center"/>
    </xf>
    <xf numFmtId="3" fontId="21" fillId="0" borderId="101" xfId="0" applyNumberFormat="1" applyFont="1" applyFill="1" applyBorder="1"/>
    <xf numFmtId="3" fontId="28" fillId="0" borderId="77" xfId="0" applyNumberFormat="1" applyFont="1" applyFill="1" applyBorder="1"/>
    <xf numFmtId="0" fontId="28" fillId="0" borderId="77" xfId="0" applyFont="1" applyFill="1" applyBorder="1"/>
    <xf numFmtId="0" fontId="19" fillId="0" borderId="0" xfId="77" applyFont="1" applyBorder="1"/>
    <xf numFmtId="3" fontId="21" fillId="0" borderId="103" xfId="54" applyNumberFormat="1" applyFont="1" applyFill="1" applyBorder="1" applyAlignment="1">
      <alignment horizontal="right"/>
    </xf>
    <xf numFmtId="3" fontId="21" fillId="0" borderId="75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6" xfId="0" applyNumberFormat="1" applyFont="1" applyFill="1" applyBorder="1" applyAlignment="1">
      <alignment wrapText="1"/>
    </xf>
    <xf numFmtId="0" fontId="28" fillId="0" borderId="108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9" xfId="0" applyFont="1" applyFill="1" applyBorder="1" applyAlignment="1">
      <alignment horizontal="center" vertical="center" wrapText="1"/>
    </xf>
    <xf numFmtId="3" fontId="21" fillId="0" borderId="51" xfId="0" applyNumberFormat="1" applyFont="1" applyBorder="1"/>
    <xf numFmtId="3" fontId="21" fillId="0" borderId="67" xfId="0" applyNumberFormat="1" applyFont="1" applyBorder="1"/>
    <xf numFmtId="3" fontId="21" fillId="0" borderId="67" xfId="0" applyNumberFormat="1" applyFont="1" applyFill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0" fontId="21" fillId="27" borderId="18" xfId="0" applyFont="1" applyFill="1" applyBorder="1"/>
    <xf numFmtId="3" fontId="21" fillId="27" borderId="66" xfId="0" applyNumberFormat="1" applyFont="1" applyFill="1" applyBorder="1"/>
    <xf numFmtId="3" fontId="21" fillId="27" borderId="49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7" xfId="0" applyNumberFormat="1" applyFont="1" applyBorder="1" applyAlignment="1">
      <alignment wrapText="1"/>
    </xf>
    <xf numFmtId="0" fontId="35" fillId="27" borderId="66" xfId="0" applyFont="1" applyFill="1" applyBorder="1"/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9" fontId="21" fillId="0" borderId="51" xfId="54" applyNumberFormat="1" applyFont="1" applyBorder="1" applyAlignment="1"/>
    <xf numFmtId="169" fontId="21" fillId="0" borderId="67" xfId="54" applyNumberFormat="1" applyFont="1" applyBorder="1" applyAlignment="1"/>
    <xf numFmtId="169" fontId="21" fillId="0" borderId="67" xfId="54" applyNumberFormat="1" applyFont="1" applyBorder="1" applyAlignment="1">
      <alignment horizontal="right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9" fontId="28" fillId="28" borderId="37" xfId="54" applyNumberFormat="1" applyFont="1" applyFill="1" applyBorder="1" applyAlignment="1">
      <alignment vertical="center"/>
    </xf>
    <xf numFmtId="0" fontId="28" fillId="0" borderId="70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2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6" xfId="0" applyNumberFormat="1" applyFont="1" applyFill="1" applyBorder="1"/>
    <xf numFmtId="169" fontId="21" fillId="0" borderId="66" xfId="54" applyNumberFormat="1" applyFont="1" applyBorder="1" applyAlignment="1"/>
    <xf numFmtId="169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5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8" xfId="75" applyFont="1" applyFill="1" applyBorder="1" applyAlignment="1">
      <alignment vertical="center" wrapText="1"/>
    </xf>
    <xf numFmtId="173" fontId="38" fillId="0" borderId="48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0" fontId="29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6" xfId="0" applyFont="1" applyFill="1" applyBorder="1" applyAlignment="1">
      <alignment horizontal="left" vertical="center"/>
    </xf>
    <xf numFmtId="3" fontId="21" fillId="0" borderId="53" xfId="0" applyNumberFormat="1" applyFont="1" applyFill="1" applyBorder="1" applyAlignment="1">
      <alignment wrapText="1"/>
    </xf>
    <xf numFmtId="0" fontId="21" fillId="0" borderId="118" xfId="0" applyFont="1" applyFill="1" applyBorder="1" applyAlignment="1">
      <alignment horizontal="left" vertical="center"/>
    </xf>
    <xf numFmtId="3" fontId="21" fillId="0" borderId="76" xfId="54" applyNumberFormat="1" applyFont="1" applyFill="1" applyBorder="1" applyAlignment="1">
      <alignment horizontal="right"/>
    </xf>
    <xf numFmtId="0" fontId="36" fillId="0" borderId="47" xfId="75" applyFont="1" applyFill="1" applyBorder="1" applyAlignment="1">
      <alignment vertical="center" wrapText="1"/>
    </xf>
    <xf numFmtId="0" fontId="36" fillId="0" borderId="49" xfId="75" applyFont="1" applyFill="1" applyBorder="1" applyAlignment="1">
      <alignment vertical="center" wrapText="1"/>
    </xf>
    <xf numFmtId="0" fontId="37" fillId="0" borderId="71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0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103" xfId="0" applyNumberFormat="1" applyFont="1" applyFill="1" applyBorder="1" applyAlignment="1">
      <alignment wrapText="1"/>
    </xf>
    <xf numFmtId="0" fontId="28" fillId="0" borderId="120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3" xfId="54" applyNumberFormat="1" applyFont="1" applyFill="1" applyBorder="1" applyAlignment="1">
      <alignment wrapText="1"/>
    </xf>
    <xf numFmtId="173" fontId="38" fillId="0" borderId="47" xfId="75" applyNumberFormat="1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vertical="center" wrapText="1"/>
    </xf>
    <xf numFmtId="0" fontId="29" fillId="0" borderId="49" xfId="75" applyFont="1" applyFill="1" applyBorder="1" applyAlignment="1">
      <alignment horizontal="left" vertical="center" wrapText="1"/>
    </xf>
    <xf numFmtId="3" fontId="28" fillId="0" borderId="59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5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6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6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173" fontId="38" fillId="0" borderId="67" xfId="75" applyNumberFormat="1" applyFont="1" applyFill="1" applyBorder="1" applyAlignment="1">
      <alignment horizontal="left"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1" xfId="0" applyFont="1" applyFill="1" applyBorder="1" applyAlignment="1">
      <alignment horizontal="left" vertical="center" wrapText="1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left" vertical="center" wrapText="1" indent="5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horizontal="left"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03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8" xfId="0" applyFont="1" applyFill="1" applyBorder="1" applyAlignment="1">
      <alignment horizontal="left" vertical="center" wrapText="1"/>
    </xf>
    <xf numFmtId="0" fontId="36" fillId="0" borderId="51" xfId="75" applyFont="1" applyFill="1" applyBorder="1" applyAlignment="1">
      <alignment vertical="center" wrapText="1"/>
    </xf>
    <xf numFmtId="0" fontId="36" fillId="0" borderId="66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3" fontId="38" fillId="0" borderId="51" xfId="75" applyNumberFormat="1" applyFont="1" applyFill="1" applyBorder="1" applyAlignment="1">
      <alignment horizontal="left" vertical="center" wrapText="1"/>
    </xf>
    <xf numFmtId="0" fontId="29" fillId="0" borderId="66" xfId="75" applyFont="1" applyFill="1" applyBorder="1" applyAlignment="1">
      <alignment horizontal="left" vertical="center" wrapText="1"/>
    </xf>
    <xf numFmtId="0" fontId="37" fillId="0" borderId="118" xfId="0" applyFont="1" applyFill="1" applyBorder="1" applyAlignment="1">
      <alignment horizontal="left" vertical="center" wrapText="1"/>
    </xf>
    <xf numFmtId="0" fontId="28" fillId="0" borderId="94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0" fontId="28" fillId="0" borderId="120" xfId="0" applyFont="1" applyFill="1" applyBorder="1" applyAlignment="1">
      <alignment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42" xfId="54" applyNumberFormat="1" applyFont="1" applyFill="1" applyBorder="1" applyAlignment="1">
      <alignment horizontal="center" vertical="center" wrapText="1"/>
    </xf>
    <xf numFmtId="166" fontId="21" fillId="0" borderId="75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3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0" fontId="28" fillId="0" borderId="99" xfId="0" applyFont="1" applyFill="1" applyBorder="1" applyAlignment="1">
      <alignment horizontal="left" vertical="center"/>
    </xf>
    <xf numFmtId="0" fontId="21" fillId="0" borderId="62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0" fontId="28" fillId="0" borderId="97" xfId="0" applyFont="1" applyFill="1" applyBorder="1" applyAlignment="1">
      <alignment horizontal="left" vertical="center" wrapText="1"/>
    </xf>
    <xf numFmtId="0" fontId="28" fillId="0" borderId="162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3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63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9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5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3" xfId="0" applyNumberFormat="1" applyFont="1" applyFill="1" applyBorder="1" applyAlignment="1">
      <alignment vertical="center" wrapText="1"/>
    </xf>
    <xf numFmtId="3" fontId="28" fillId="0" borderId="76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0" fontId="36" fillId="0" borderId="61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8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3" fontId="21" fillId="0" borderId="36" xfId="54" applyNumberFormat="1" applyFont="1" applyFill="1" applyBorder="1"/>
    <xf numFmtId="3" fontId="21" fillId="0" borderId="124" xfId="54" applyNumberFormat="1" applyFont="1" applyFill="1" applyBorder="1"/>
    <xf numFmtId="3" fontId="21" fillId="0" borderId="72" xfId="54" applyNumberFormat="1" applyFont="1" applyFill="1" applyBorder="1"/>
    <xf numFmtId="3" fontId="29" fillId="0" borderId="72" xfId="54" applyNumberFormat="1" applyFont="1" applyFill="1" applyBorder="1"/>
    <xf numFmtId="3" fontId="21" fillId="0" borderId="137" xfId="54" applyNumberFormat="1" applyFont="1" applyFill="1" applyBorder="1"/>
    <xf numFmtId="3" fontId="21" fillId="0" borderId="34" xfId="0" applyNumberFormat="1" applyFont="1" applyFill="1" applyBorder="1"/>
    <xf numFmtId="3" fontId="21" fillId="0" borderId="53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7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1" xfId="54" applyNumberFormat="1" applyFont="1" applyFill="1" applyBorder="1" applyAlignment="1">
      <alignment vertical="center"/>
    </xf>
    <xf numFmtId="3" fontId="28" fillId="0" borderId="141" xfId="54" applyNumberFormat="1" applyFont="1" applyFill="1" applyBorder="1"/>
    <xf numFmtId="3" fontId="28" fillId="0" borderId="35" xfId="0" applyNumberFormat="1" applyFont="1" applyFill="1" applyBorder="1"/>
    <xf numFmtId="3" fontId="21" fillId="0" borderId="145" xfId="54" applyNumberFormat="1" applyFont="1" applyFill="1" applyBorder="1"/>
    <xf numFmtId="3" fontId="21" fillId="0" borderId="103" xfId="0" applyNumberFormat="1" applyFont="1" applyFill="1" applyBorder="1"/>
    <xf numFmtId="0" fontId="28" fillId="0" borderId="98" xfId="0" applyFont="1" applyFill="1" applyBorder="1" applyAlignment="1">
      <alignment horizontal="left" vertical="center"/>
    </xf>
    <xf numFmtId="3" fontId="28" fillId="0" borderId="169" xfId="54" applyNumberFormat="1" applyFont="1" applyFill="1" applyBorder="1"/>
    <xf numFmtId="3" fontId="28" fillId="0" borderId="63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6" xfId="0" applyFont="1" applyFill="1" applyBorder="1" applyAlignment="1">
      <alignment horizontal="left" vertical="center" wrapText="1" indent="2"/>
    </xf>
    <xf numFmtId="0" fontId="21" fillId="0" borderId="67" xfId="0" applyFont="1" applyBorder="1" applyAlignment="1">
      <alignment horizontal="left" indent="6"/>
    </xf>
    <xf numFmtId="0" fontId="21" fillId="0" borderId="66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3" xfId="54" applyNumberFormat="1" applyFont="1" applyFill="1" applyBorder="1" applyAlignment="1">
      <alignment horizontal="right"/>
    </xf>
    <xf numFmtId="3" fontId="28" fillId="0" borderId="76" xfId="54" applyNumberFormat="1" applyFont="1" applyFill="1" applyBorder="1" applyAlignment="1">
      <alignment horizontal="right"/>
    </xf>
    <xf numFmtId="3" fontId="28" fillId="0" borderId="26" xfId="54" applyNumberFormat="1" applyFont="1" applyFill="1" applyBorder="1" applyAlignment="1">
      <alignment horizontal="right"/>
    </xf>
    <xf numFmtId="3" fontId="28" fillId="0" borderId="59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6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6" xfId="0" applyFont="1" applyFill="1" applyBorder="1" applyAlignment="1">
      <alignment horizontal="left" vertical="center" wrapText="1" indent="2"/>
    </xf>
    <xf numFmtId="0" fontId="29" fillId="0" borderId="67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3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3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5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9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5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wrapText="1"/>
    </xf>
    <xf numFmtId="3" fontId="29" fillId="0" borderId="154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7" xfId="0" applyFont="1" applyFill="1" applyBorder="1" applyAlignment="1">
      <alignment horizontal="left" vertical="center" wrapText="1"/>
    </xf>
    <xf numFmtId="0" fontId="29" fillId="0" borderId="66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6" fillId="0" borderId="84" xfId="75" applyFont="1" applyFill="1" applyBorder="1" applyAlignment="1">
      <alignment horizontal="left" vertical="center" wrapText="1"/>
    </xf>
    <xf numFmtId="0" fontId="21" fillId="0" borderId="48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8" xfId="75" applyFont="1" applyFill="1" applyBorder="1" applyAlignment="1">
      <alignment horizontal="left" vertical="center" wrapText="1"/>
    </xf>
    <xf numFmtId="0" fontId="38" fillId="0" borderId="61" xfId="75" applyFont="1" applyFill="1" applyBorder="1" applyAlignment="1">
      <alignment horizontal="left" vertical="center" wrapText="1"/>
    </xf>
    <xf numFmtId="0" fontId="29" fillId="0" borderId="166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6" xfId="0" applyFont="1" applyFill="1" applyBorder="1" applyAlignment="1">
      <alignment horizontal="left" vertical="center" wrapText="1"/>
    </xf>
    <xf numFmtId="0" fontId="28" fillId="29" borderId="49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3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1" xfId="0" applyNumberFormat="1" applyFont="1" applyFill="1" applyBorder="1"/>
    <xf numFmtId="0" fontId="21" fillId="0" borderId="172" xfId="0" applyFont="1" applyFill="1" applyBorder="1"/>
    <xf numFmtId="3" fontId="21" fillId="0" borderId="21" xfId="0" applyNumberFormat="1" applyFont="1" applyFill="1" applyBorder="1"/>
    <xf numFmtId="0" fontId="28" fillId="0" borderId="29" xfId="0" applyFont="1" applyFill="1" applyBorder="1" applyAlignment="1">
      <alignment vertical="center"/>
    </xf>
    <xf numFmtId="3" fontId="28" fillId="0" borderId="173" xfId="0" applyNumberFormat="1" applyFont="1" applyFill="1" applyBorder="1" applyAlignment="1">
      <alignment vertical="center"/>
    </xf>
    <xf numFmtId="3" fontId="28" fillId="0" borderId="164" xfId="0" applyNumberFormat="1" applyFont="1" applyFill="1" applyBorder="1" applyAlignment="1">
      <alignment vertical="center"/>
    </xf>
    <xf numFmtId="0" fontId="28" fillId="0" borderId="174" xfId="0" applyFont="1" applyFill="1" applyBorder="1" applyAlignment="1">
      <alignment vertical="center"/>
    </xf>
    <xf numFmtId="3" fontId="28" fillId="0" borderId="80" xfId="0" applyNumberFormat="1" applyFont="1" applyFill="1" applyBorder="1" applyAlignment="1">
      <alignment vertical="center"/>
    </xf>
    <xf numFmtId="3" fontId="28" fillId="0" borderId="175" xfId="0" applyNumberFormat="1" applyFont="1" applyFill="1" applyBorder="1" applyAlignment="1">
      <alignment vertical="center"/>
    </xf>
    <xf numFmtId="3" fontId="28" fillId="0" borderId="170" xfId="0" applyNumberFormat="1" applyFont="1" applyFill="1" applyBorder="1" applyAlignment="1">
      <alignment vertical="center"/>
    </xf>
    <xf numFmtId="3" fontId="28" fillId="0" borderId="176" xfId="0" applyNumberFormat="1" applyFont="1" applyFill="1" applyBorder="1" applyAlignment="1">
      <alignment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4" xfId="91" applyNumberFormat="1" applyFont="1" applyFill="1" applyBorder="1" applyAlignment="1" applyProtection="1">
      <alignment vertical="center"/>
    </xf>
    <xf numFmtId="3" fontId="28" fillId="0" borderId="177" xfId="91" applyNumberFormat="1" applyFont="1" applyFill="1" applyBorder="1" applyAlignment="1" applyProtection="1">
      <alignment horizontal="center" vertical="center"/>
    </xf>
    <xf numFmtId="3" fontId="28" fillId="0" borderId="124" xfId="91" applyNumberFormat="1" applyFont="1" applyFill="1" applyBorder="1" applyAlignment="1" applyProtection="1">
      <alignment horizontal="center" vertical="center"/>
    </xf>
    <xf numFmtId="3" fontId="28" fillId="0" borderId="141" xfId="75" applyNumberFormat="1" applyFont="1" applyFill="1" applyBorder="1" applyAlignment="1">
      <alignment horizontal="right" vertical="center" wrapText="1"/>
    </xf>
    <xf numFmtId="3" fontId="28" fillId="0" borderId="51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5" xfId="91" applyNumberFormat="1" applyFont="1" applyFill="1" applyBorder="1" applyAlignment="1" applyProtection="1">
      <alignment horizontal="center" vertical="center"/>
    </xf>
    <xf numFmtId="3" fontId="28" fillId="0" borderId="142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7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1" xfId="91" applyNumberFormat="1" applyFont="1" applyFill="1" applyBorder="1" applyAlignment="1" applyProtection="1">
      <alignment horizontal="right" vertical="center"/>
      <protection locked="0"/>
    </xf>
    <xf numFmtId="3" fontId="21" fillId="0" borderId="66" xfId="0" applyNumberFormat="1" applyFont="1" applyFill="1" applyBorder="1" applyAlignment="1">
      <alignment horizontal="right" vertical="center"/>
    </xf>
    <xf numFmtId="3" fontId="21" fillId="0" borderId="137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8" fillId="0" borderId="68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1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2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1" xfId="0" applyNumberFormat="1" applyFont="1" applyFill="1" applyBorder="1" applyAlignment="1">
      <alignment horizontal="right" vertical="center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5" xfId="91" applyNumberFormat="1" applyFont="1" applyFill="1" applyBorder="1" applyAlignment="1" applyProtection="1">
      <alignment horizontal="right" vertical="center"/>
      <protection locked="0"/>
    </xf>
    <xf numFmtId="3" fontId="28" fillId="0" borderId="5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68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1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2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5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75" xfId="91" applyNumberFormat="1" applyFont="1" applyFill="1" applyBorder="1" applyAlignment="1" applyProtection="1">
      <alignment horizontal="right" vertical="center"/>
    </xf>
    <xf numFmtId="3" fontId="28" fillId="0" borderId="170" xfId="91" applyNumberFormat="1" applyFont="1" applyFill="1" applyBorder="1" applyAlignment="1" applyProtection="1">
      <alignment horizontal="right" vertical="center"/>
    </xf>
    <xf numFmtId="3" fontId="28" fillId="0" borderId="176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9" fontId="21" fillId="0" borderId="86" xfId="0" applyNumberFormat="1" applyFont="1" applyBorder="1"/>
    <xf numFmtId="9" fontId="21" fillId="0" borderId="88" xfId="0" applyNumberFormat="1" applyFont="1" applyBorder="1"/>
    <xf numFmtId="9" fontId="21" fillId="0" borderId="92" xfId="0" applyNumberFormat="1" applyFont="1" applyBorder="1"/>
    <xf numFmtId="0" fontId="28" fillId="0" borderId="116" xfId="0" applyFont="1" applyBorder="1" applyAlignment="1">
      <alignment horizontal="center" vertical="center"/>
    </xf>
    <xf numFmtId="0" fontId="21" fillId="0" borderId="95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6" xfId="0" applyFont="1" applyFill="1" applyBorder="1"/>
    <xf numFmtId="0" fontId="28" fillId="0" borderId="39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0" fontId="21" fillId="0" borderId="96" xfId="0" applyFont="1" applyBorder="1"/>
    <xf numFmtId="0" fontId="28" fillId="0" borderId="97" xfId="0" applyFont="1" applyBorder="1" applyAlignment="1">
      <alignment vertical="center"/>
    </xf>
    <xf numFmtId="3" fontId="28" fillId="28" borderId="65" xfId="0" applyNumberFormat="1" applyFont="1" applyFill="1" applyBorder="1" applyAlignment="1">
      <alignment horizontal="center" vertical="center"/>
    </xf>
    <xf numFmtId="3" fontId="32" fillId="0" borderId="89" xfId="0" applyNumberFormat="1" applyFont="1" applyFill="1" applyBorder="1" applyAlignment="1">
      <alignment horizontal="right" vertical="center"/>
    </xf>
    <xf numFmtId="3" fontId="28" fillId="0" borderId="135" xfId="54" applyNumberFormat="1" applyFont="1" applyFill="1" applyBorder="1" applyAlignment="1">
      <alignment horizontal="center" vertical="center" wrapText="1"/>
    </xf>
    <xf numFmtId="3" fontId="21" fillId="0" borderId="75" xfId="54" applyNumberFormat="1" applyFont="1" applyFill="1" applyBorder="1"/>
    <xf numFmtId="3" fontId="29" fillId="0" borderId="17" xfId="0" applyNumberFormat="1" applyFont="1" applyFill="1" applyBorder="1"/>
    <xf numFmtId="3" fontId="29" fillId="0" borderId="53" xfId="0" applyNumberFormat="1" applyFont="1" applyFill="1" applyBorder="1"/>
    <xf numFmtId="3" fontId="21" fillId="0" borderId="75" xfId="0" applyNumberFormat="1" applyFont="1" applyFill="1" applyBorder="1"/>
    <xf numFmtId="3" fontId="28" fillId="0" borderId="15" xfId="0" applyNumberFormat="1" applyFont="1" applyFill="1" applyBorder="1"/>
    <xf numFmtId="3" fontId="21" fillId="0" borderId="76" xfId="0" applyNumberFormat="1" applyFont="1" applyFill="1" applyBorder="1"/>
    <xf numFmtId="3" fontId="28" fillId="0" borderId="144" xfId="54" applyNumberFormat="1" applyFont="1" applyFill="1" applyBorder="1" applyAlignment="1">
      <alignment horizontal="center" vertical="center" wrapText="1"/>
    </xf>
    <xf numFmtId="0" fontId="36" fillId="0" borderId="96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3" fontId="21" fillId="0" borderId="52" xfId="0" applyNumberFormat="1" applyFont="1" applyBorder="1"/>
    <xf numFmtId="3" fontId="21" fillId="0" borderId="50" xfId="0" applyNumberFormat="1" applyFont="1" applyBorder="1" applyAlignment="1">
      <alignment wrapText="1"/>
    </xf>
    <xf numFmtId="3" fontId="21" fillId="0" borderId="50" xfId="0" applyNumberFormat="1" applyFont="1" applyBorder="1"/>
    <xf numFmtId="3" fontId="21" fillId="0" borderId="50" xfId="0" applyNumberFormat="1" applyFont="1" applyFill="1" applyBorder="1"/>
    <xf numFmtId="0" fontId="35" fillId="27" borderId="68" xfId="0" applyFont="1" applyFill="1" applyBorder="1"/>
    <xf numFmtId="3" fontId="28" fillId="0" borderId="41" xfId="0" applyNumberFormat="1" applyFont="1" applyBorder="1" applyAlignment="1">
      <alignment vertical="center"/>
    </xf>
    <xf numFmtId="3" fontId="28" fillId="0" borderId="43" xfId="0" applyNumberFormat="1" applyFont="1" applyBorder="1" applyAlignment="1">
      <alignment vertical="center"/>
    </xf>
    <xf numFmtId="169" fontId="21" fillId="0" borderId="52" xfId="54" applyNumberFormat="1" applyFont="1" applyBorder="1" applyAlignment="1"/>
    <xf numFmtId="169" fontId="21" fillId="0" borderId="50" xfId="54" applyNumberFormat="1" applyFont="1" applyBorder="1" applyAlignment="1"/>
    <xf numFmtId="169" fontId="21" fillId="0" borderId="50" xfId="54" applyNumberFormat="1" applyFont="1" applyBorder="1" applyAlignment="1">
      <alignment horizontal="right"/>
    </xf>
    <xf numFmtId="169" fontId="21" fillId="0" borderId="68" xfId="54" applyNumberFormat="1" applyFont="1" applyBorder="1" applyAlignment="1"/>
    <xf numFmtId="169" fontId="28" fillId="0" borderId="100" xfId="54" applyNumberFormat="1" applyFont="1" applyBorder="1" applyAlignment="1">
      <alignment vertical="center"/>
    </xf>
    <xf numFmtId="169" fontId="28" fillId="28" borderId="38" xfId="54" applyNumberFormat="1" applyFont="1" applyFill="1" applyBorder="1" applyAlignment="1">
      <alignment vertical="center"/>
    </xf>
    <xf numFmtId="3" fontId="21" fillId="0" borderId="160" xfId="54" applyNumberFormat="1" applyFont="1" applyFill="1" applyBorder="1" applyAlignment="1">
      <alignment horizontal="right"/>
    </xf>
    <xf numFmtId="3" fontId="21" fillId="0" borderId="158" xfId="54" applyNumberFormat="1" applyFont="1" applyFill="1" applyBorder="1" applyAlignment="1">
      <alignment horizontal="right"/>
    </xf>
    <xf numFmtId="3" fontId="21" fillId="0" borderId="161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15" xfId="0" applyNumberFormat="1" applyFont="1" applyFill="1" applyBorder="1" applyAlignment="1">
      <alignment vertical="center" wrapText="1"/>
    </xf>
    <xf numFmtId="3" fontId="28" fillId="29" borderId="103" xfId="0" applyNumberFormat="1" applyFont="1" applyFill="1" applyBorder="1" applyAlignment="1">
      <alignment vertical="center" wrapText="1"/>
    </xf>
    <xf numFmtId="3" fontId="28" fillId="29" borderId="76" xfId="0" applyNumberFormat="1" applyFont="1" applyFill="1" applyBorder="1" applyAlignment="1">
      <alignment vertical="center" wrapText="1"/>
    </xf>
    <xf numFmtId="3" fontId="28" fillId="29" borderId="103" xfId="54" applyNumberFormat="1" applyFont="1" applyFill="1" applyBorder="1" applyAlignment="1">
      <alignment horizontal="right"/>
    </xf>
    <xf numFmtId="3" fontId="28" fillId="29" borderId="76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3" fontId="28" fillId="29" borderId="53" xfId="54" applyNumberFormat="1" applyFont="1" applyFill="1" applyBorder="1" applyAlignment="1">
      <alignment horizontal="right"/>
    </xf>
    <xf numFmtId="3" fontId="21" fillId="0" borderId="180" xfId="54" applyNumberFormat="1" applyFont="1" applyFill="1" applyBorder="1"/>
    <xf numFmtId="3" fontId="21" fillId="0" borderId="181" xfId="54" applyNumberFormat="1" applyFont="1" applyFill="1" applyBorder="1"/>
    <xf numFmtId="3" fontId="28" fillId="0" borderId="182" xfId="54" applyNumberFormat="1" applyFont="1" applyFill="1" applyBorder="1" applyAlignment="1">
      <alignment vertical="center"/>
    </xf>
    <xf numFmtId="3" fontId="28" fillId="0" borderId="182" xfId="54" applyNumberFormat="1" applyFont="1" applyFill="1" applyBorder="1"/>
    <xf numFmtId="3" fontId="28" fillId="0" borderId="183" xfId="54" applyNumberFormat="1" applyFont="1" applyFill="1" applyBorder="1"/>
    <xf numFmtId="3" fontId="28" fillId="0" borderId="184" xfId="54" applyNumberFormat="1" applyFont="1" applyFill="1" applyBorder="1"/>
    <xf numFmtId="3" fontId="21" fillId="0" borderId="35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3" fontId="28" fillId="0" borderId="185" xfId="0" applyNumberFormat="1" applyFont="1" applyFill="1" applyBorder="1" applyAlignment="1">
      <alignment vertical="center" wrapText="1"/>
    </xf>
    <xf numFmtId="3" fontId="28" fillId="0" borderId="99" xfId="0" applyNumberFormat="1" applyFont="1" applyFill="1" applyBorder="1" applyAlignment="1">
      <alignment vertical="center" wrapText="1"/>
    </xf>
    <xf numFmtId="3" fontId="28" fillId="0" borderId="122" xfId="0" applyNumberFormat="1" applyFont="1" applyFill="1" applyBorder="1" applyAlignment="1">
      <alignment vertical="center" wrapText="1"/>
    </xf>
    <xf numFmtId="3" fontId="28" fillId="0" borderId="40" xfId="0" applyNumberFormat="1" applyFont="1" applyFill="1" applyBorder="1" applyAlignment="1">
      <alignment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21" fillId="0" borderId="51" xfId="75" applyFont="1" applyFill="1" applyBorder="1" applyAlignment="1">
      <alignment vertical="center" wrapText="1"/>
    </xf>
    <xf numFmtId="3" fontId="28" fillId="0" borderId="15" xfId="54" applyNumberFormat="1" applyFont="1" applyFill="1" applyBorder="1"/>
    <xf numFmtId="3" fontId="29" fillId="0" borderId="137" xfId="0" applyNumberFormat="1" applyFont="1" applyFill="1" applyBorder="1"/>
    <xf numFmtId="3" fontId="29" fillId="0" borderId="181" xfId="0" applyNumberFormat="1" applyFont="1" applyFill="1" applyBorder="1"/>
    <xf numFmtId="0" fontId="21" fillId="0" borderId="95" xfId="0" applyFont="1" applyFill="1" applyBorder="1" applyAlignment="1">
      <alignment horizontal="left" vertical="center" wrapText="1"/>
    </xf>
    <xf numFmtId="3" fontId="29" fillId="0" borderId="21" xfId="54" applyNumberFormat="1" applyFont="1" applyFill="1" applyBorder="1" applyAlignment="1">
      <alignment horizontal="right" vertical="center"/>
    </xf>
    <xf numFmtId="3" fontId="29" fillId="0" borderId="34" xfId="54" applyNumberFormat="1" applyFont="1" applyFill="1" applyBorder="1" applyAlignment="1">
      <alignment horizontal="right" vertical="center"/>
    </xf>
    <xf numFmtId="3" fontId="29" fillId="0" borderId="53" xfId="54" applyNumberFormat="1" applyFont="1" applyFill="1" applyBorder="1" applyAlignment="1">
      <alignment horizontal="right" vertical="center"/>
    </xf>
    <xf numFmtId="3" fontId="29" fillId="0" borderId="18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9" fillId="0" borderId="49" xfId="0" applyNumberFormat="1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/>
    </xf>
    <xf numFmtId="0" fontId="29" fillId="0" borderId="44" xfId="0" applyFont="1" applyFill="1" applyBorder="1" applyAlignment="1">
      <alignment horizontal="left" vertical="center" wrapText="1" indent="5"/>
    </xf>
    <xf numFmtId="3" fontId="29" fillId="0" borderId="155" xfId="54" applyNumberFormat="1" applyFont="1" applyFill="1" applyBorder="1"/>
    <xf numFmtId="3" fontId="29" fillId="0" borderId="153" xfId="0" applyNumberFormat="1" applyFont="1" applyFill="1" applyBorder="1"/>
    <xf numFmtId="3" fontId="29" fillId="0" borderId="154" xfId="0" applyNumberFormat="1" applyFont="1" applyFill="1" applyBorder="1"/>
    <xf numFmtId="0" fontId="21" fillId="0" borderId="22" xfId="0" applyFont="1" applyFill="1" applyBorder="1" applyAlignment="1"/>
    <xf numFmtId="3" fontId="21" fillId="0" borderId="178" xfId="0" applyNumberFormat="1" applyFont="1" applyFill="1" applyBorder="1" applyAlignment="1"/>
    <xf numFmtId="3" fontId="21" fillId="0" borderId="141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0" borderId="142" xfId="0" applyNumberFormat="1" applyFont="1" applyFill="1" applyBorder="1" applyAlignment="1"/>
    <xf numFmtId="3" fontId="21" fillId="0" borderId="172" xfId="0" applyNumberFormat="1" applyFont="1" applyFill="1" applyBorder="1"/>
    <xf numFmtId="3" fontId="21" fillId="0" borderId="137" xfId="0" applyNumberFormat="1" applyFont="1" applyFill="1" applyBorder="1"/>
    <xf numFmtId="3" fontId="21" fillId="0" borderId="138" xfId="0" applyNumberFormat="1" applyFont="1" applyFill="1" applyBorder="1"/>
    <xf numFmtId="0" fontId="28" fillId="0" borderId="22" xfId="0" applyFont="1" applyFill="1" applyBorder="1"/>
    <xf numFmtId="3" fontId="28" fillId="0" borderId="178" xfId="0" applyNumberFormat="1" applyFont="1" applyFill="1" applyBorder="1"/>
    <xf numFmtId="3" fontId="28" fillId="0" borderId="141" xfId="0" applyNumberFormat="1" applyFont="1" applyFill="1" applyBorder="1"/>
    <xf numFmtId="3" fontId="28" fillId="0" borderId="142" xfId="0" applyNumberFormat="1" applyFont="1" applyFill="1" applyBorder="1"/>
    <xf numFmtId="3" fontId="21" fillId="0" borderId="124" xfId="0" applyNumberFormat="1" applyFont="1" applyFill="1" applyBorder="1"/>
    <xf numFmtId="3" fontId="21" fillId="0" borderId="125" xfId="0" applyNumberFormat="1" applyFont="1" applyFill="1" applyBorder="1"/>
    <xf numFmtId="0" fontId="21" fillId="0" borderId="13" xfId="0" applyFont="1" applyFill="1" applyBorder="1" applyAlignment="1">
      <alignment wrapText="1"/>
    </xf>
    <xf numFmtId="3" fontId="21" fillId="0" borderId="20" xfId="0" applyNumberFormat="1" applyFont="1" applyFill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27" xfId="0" applyNumberFormat="1" applyFont="1" applyFill="1" applyBorder="1"/>
    <xf numFmtId="3" fontId="21" fillId="0" borderId="146" xfId="0" applyNumberFormat="1" applyFont="1" applyFill="1" applyBorder="1"/>
    <xf numFmtId="0" fontId="21" fillId="0" borderId="16" xfId="0" applyFont="1" applyFill="1" applyBorder="1" applyAlignment="1">
      <alignment vertical="center"/>
    </xf>
    <xf numFmtId="3" fontId="28" fillId="0" borderId="186" xfId="54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top" wrapText="1"/>
    </xf>
    <xf numFmtId="164" fontId="27" fillId="0" borderId="0" xfId="0" applyNumberFormat="1" applyFont="1" applyFill="1" applyAlignment="1">
      <alignment horizontal="center" vertical="top" wrapText="1"/>
    </xf>
    <xf numFmtId="3" fontId="27" fillId="0" borderId="0" xfId="0" applyNumberFormat="1" applyFont="1" applyFill="1" applyAlignment="1">
      <alignment horizontal="center" vertical="top"/>
    </xf>
    <xf numFmtId="164" fontId="21" fillId="0" borderId="0" xfId="0" applyNumberFormat="1" applyFont="1" applyFill="1"/>
    <xf numFmtId="0" fontId="28" fillId="0" borderId="0" xfId="0" applyFont="1" applyFill="1"/>
    <xf numFmtId="2" fontId="28" fillId="0" borderId="0" xfId="0" applyNumberFormat="1" applyFont="1" applyFill="1"/>
    <xf numFmtId="0" fontId="21" fillId="0" borderId="39" xfId="0" applyFont="1" applyFill="1" applyBorder="1"/>
    <xf numFmtId="0" fontId="21" fillId="0" borderId="97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center" vertical="center" wrapText="1"/>
    </xf>
    <xf numFmtId="0" fontId="21" fillId="0" borderId="99" xfId="0" applyFont="1" applyFill="1" applyBorder="1" applyAlignment="1">
      <alignment horizontal="center" vertical="center"/>
    </xf>
    <xf numFmtId="0" fontId="21" fillId="0" borderId="60" xfId="0" applyFont="1" applyFill="1" applyBorder="1"/>
    <xf numFmtId="3" fontId="21" fillId="0" borderId="51" xfId="0" applyNumberFormat="1" applyFont="1" applyFill="1" applyBorder="1"/>
    <xf numFmtId="3" fontId="21" fillId="0" borderId="87" xfId="0" applyNumberFormat="1" applyFont="1" applyFill="1" applyBorder="1"/>
    <xf numFmtId="3" fontId="21" fillId="0" borderId="52" xfId="0" applyNumberFormat="1" applyFont="1" applyFill="1" applyBorder="1"/>
    <xf numFmtId="17" fontId="21" fillId="0" borderId="61" xfId="0" applyNumberFormat="1" applyFont="1" applyFill="1" applyBorder="1"/>
    <xf numFmtId="3" fontId="21" fillId="0" borderId="44" xfId="0" applyNumberFormat="1" applyFont="1" applyFill="1" applyBorder="1"/>
    <xf numFmtId="3" fontId="21" fillId="0" borderId="120" xfId="0" applyNumberFormat="1" applyFont="1" applyFill="1" applyBorder="1"/>
    <xf numFmtId="3" fontId="21" fillId="0" borderId="68" xfId="0" applyNumberFormat="1" applyFont="1" applyFill="1" applyBorder="1"/>
    <xf numFmtId="3" fontId="21" fillId="0" borderId="40" xfId="0" applyNumberFormat="1" applyFont="1" applyFill="1" applyBorder="1"/>
    <xf numFmtId="3" fontId="21" fillId="0" borderId="89" xfId="0" applyNumberFormat="1" applyFont="1" applyFill="1" applyBorder="1"/>
    <xf numFmtId="3" fontId="21" fillId="0" borderId="41" xfId="0" applyNumberFormat="1" applyFont="1" applyFill="1" applyBorder="1"/>
    <xf numFmtId="0" fontId="21" fillId="0" borderId="95" xfId="0" applyFont="1" applyFill="1" applyBorder="1"/>
    <xf numFmtId="16" fontId="21" fillId="0" borderId="0" xfId="0" quotePrefix="1" applyNumberFormat="1" applyFont="1" applyFill="1"/>
    <xf numFmtId="3" fontId="21" fillId="0" borderId="85" xfId="0" applyNumberFormat="1" applyFont="1" applyFill="1" applyBorder="1"/>
    <xf numFmtId="164" fontId="21" fillId="0" borderId="0" xfId="0" applyNumberFormat="1" applyFont="1" applyFill="1" applyBorder="1"/>
    <xf numFmtId="0" fontId="21" fillId="0" borderId="62" xfId="0" applyFont="1" applyFill="1" applyBorder="1"/>
    <xf numFmtId="3" fontId="21" fillId="0" borderId="42" xfId="0" applyNumberFormat="1" applyFont="1" applyFill="1" applyBorder="1"/>
    <xf numFmtId="3" fontId="21" fillId="0" borderId="92" xfId="0" applyNumberFormat="1" applyFont="1" applyFill="1" applyBorder="1"/>
    <xf numFmtId="3" fontId="21" fillId="0" borderId="0" xfId="0" quotePrefix="1" applyNumberFormat="1" applyFont="1" applyFill="1"/>
    <xf numFmtId="0" fontId="21" fillId="0" borderId="46" xfId="0" applyFont="1" applyFill="1" applyBorder="1"/>
    <xf numFmtId="3" fontId="21" fillId="0" borderId="45" xfId="0" applyNumberFormat="1" applyFont="1" applyFill="1" applyBorder="1"/>
    <xf numFmtId="3" fontId="21" fillId="0" borderId="93" xfId="0" applyNumberFormat="1" applyFont="1" applyFill="1" applyBorder="1"/>
    <xf numFmtId="3" fontId="21" fillId="0" borderId="179" xfId="0" applyNumberFormat="1" applyFont="1" applyFill="1" applyBorder="1"/>
    <xf numFmtId="0" fontId="28" fillId="0" borderId="65" xfId="0" applyFont="1" applyFill="1" applyBorder="1" applyAlignment="1">
      <alignment wrapText="1"/>
    </xf>
    <xf numFmtId="3" fontId="28" fillId="0" borderId="37" xfId="0" applyNumberFormat="1" applyFont="1" applyFill="1" applyBorder="1"/>
    <xf numFmtId="3" fontId="28" fillId="0" borderId="38" xfId="0" applyNumberFormat="1" applyFont="1" applyFill="1" applyBorder="1"/>
    <xf numFmtId="165" fontId="21" fillId="0" borderId="0" xfId="0" applyNumberFormat="1" applyFont="1" applyFill="1" applyBorder="1"/>
    <xf numFmtId="165" fontId="21" fillId="0" borderId="0" xfId="0" applyNumberFormat="1" applyFont="1" applyFill="1"/>
    <xf numFmtId="165" fontId="21" fillId="0" borderId="0" xfId="0" applyNumberFormat="1" applyFont="1" applyFill="1" applyAlignment="1"/>
    <xf numFmtId="165" fontId="28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4" fontId="21" fillId="0" borderId="0" xfId="0" applyNumberFormat="1" applyFont="1" applyFill="1" applyAlignment="1"/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164" fontId="28" fillId="0" borderId="0" xfId="0" applyNumberFormat="1" applyFont="1" applyFill="1"/>
    <xf numFmtId="3" fontId="28" fillId="0" borderId="0" xfId="0" applyNumberFormat="1" applyFont="1" applyFill="1"/>
    <xf numFmtId="4" fontId="21" fillId="0" borderId="0" xfId="0" applyNumberFormat="1" applyFont="1" applyFill="1" applyAlignment="1">
      <alignment horizontal="right"/>
    </xf>
    <xf numFmtId="0" fontId="21" fillId="0" borderId="47" xfId="0" applyFont="1" applyFill="1" applyBorder="1"/>
    <xf numFmtId="3" fontId="21" fillId="0" borderId="47" xfId="0" applyNumberFormat="1" applyFont="1" applyFill="1" applyBorder="1"/>
    <xf numFmtId="4" fontId="21" fillId="0" borderId="47" xfId="0" applyNumberFormat="1" applyFont="1" applyFill="1" applyBorder="1"/>
    <xf numFmtId="0" fontId="21" fillId="0" borderId="48" xfId="0" applyFont="1" applyFill="1" applyBorder="1"/>
    <xf numFmtId="4" fontId="21" fillId="0" borderId="48" xfId="0" applyNumberFormat="1" applyFont="1" applyFill="1" applyBorder="1"/>
    <xf numFmtId="4" fontId="28" fillId="0" borderId="0" xfId="0" applyNumberFormat="1" applyFont="1" applyFill="1"/>
    <xf numFmtId="0" fontId="21" fillId="0" borderId="49" xfId="0" applyFont="1" applyFill="1" applyBorder="1"/>
    <xf numFmtId="4" fontId="21" fillId="0" borderId="49" xfId="0" applyNumberFormat="1" applyFont="1" applyFill="1" applyBorder="1"/>
    <xf numFmtId="165" fontId="21" fillId="0" borderId="0" xfId="0" applyNumberFormat="1" applyFont="1" applyFill="1" applyAlignment="1">
      <alignment horizontal="right"/>
    </xf>
    <xf numFmtId="0" fontId="32" fillId="0" borderId="108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164" fontId="26" fillId="0" borderId="143" xfId="0" applyNumberFormat="1" applyFont="1" applyFill="1" applyBorder="1" applyAlignment="1">
      <alignment horizontal="center" vertical="center" wrapText="1"/>
    </xf>
    <xf numFmtId="164" fontId="26" fillId="0" borderId="35" xfId="0" applyNumberFormat="1" applyFont="1" applyFill="1" applyBorder="1" applyAlignment="1">
      <alignment horizontal="center" vertical="center" wrapText="1"/>
    </xf>
    <xf numFmtId="164" fontId="26" fillId="0" borderId="144" xfId="0" applyNumberFormat="1" applyFont="1" applyFill="1" applyBorder="1" applyAlignment="1">
      <alignment horizontal="center" vertical="center" wrapText="1"/>
    </xf>
    <xf numFmtId="164" fontId="26" fillId="0" borderId="141" xfId="0" applyNumberFormat="1" applyFont="1" applyFill="1" applyBorder="1" applyAlignment="1">
      <alignment horizontal="center" vertical="center" wrapText="1"/>
    </xf>
    <xf numFmtId="164" fontId="26" fillId="0" borderId="15" xfId="0" applyNumberFormat="1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/>
    </xf>
    <xf numFmtId="164" fontId="32" fillId="0" borderId="126" xfId="0" applyNumberFormat="1" applyFont="1" applyFill="1" applyBorder="1" applyAlignment="1">
      <alignment horizontal="center" vertical="center" wrapText="1"/>
    </xf>
    <xf numFmtId="164" fontId="32" fillId="0" borderId="36" xfId="0" applyNumberFormat="1" applyFont="1" applyFill="1" applyBorder="1" applyAlignment="1">
      <alignment horizontal="center" vertical="center" wrapText="1"/>
    </xf>
    <xf numFmtId="164" fontId="32" fillId="0" borderId="127" xfId="0" applyNumberFormat="1" applyFont="1" applyFill="1" applyBorder="1" applyAlignment="1">
      <alignment horizontal="center" vertical="center" wrapText="1"/>
    </xf>
    <xf numFmtId="164" fontId="32" fillId="0" borderId="125" xfId="0" applyNumberFormat="1" applyFont="1" applyFill="1" applyBorder="1" applyAlignment="1">
      <alignment horizontal="center" vertical="center" wrapText="1"/>
    </xf>
    <xf numFmtId="164" fontId="32" fillId="0" borderId="47" xfId="0" applyNumberFormat="1" applyFont="1" applyFill="1" applyBorder="1" applyAlignment="1">
      <alignment horizontal="center" vertical="center" wrapText="1"/>
    </xf>
    <xf numFmtId="164" fontId="26" fillId="0" borderId="75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164" fontId="26" fillId="0" borderId="123" xfId="0" applyNumberFormat="1" applyFont="1" applyFill="1" applyBorder="1" applyAlignment="1">
      <alignment vertical="center"/>
    </xf>
    <xf numFmtId="164" fontId="26" fillId="0" borderId="33" xfId="0" applyNumberFormat="1" applyFont="1" applyFill="1" applyBorder="1" applyAlignment="1">
      <alignment vertical="center"/>
    </xf>
    <xf numFmtId="164" fontId="26" fillId="0" borderId="121" xfId="0" applyNumberFormat="1" applyFont="1" applyFill="1" applyBorder="1" applyAlignment="1">
      <alignment vertical="center"/>
    </xf>
    <xf numFmtId="164" fontId="26" fillId="0" borderId="81" xfId="0" applyNumberFormat="1" applyFont="1" applyFill="1" applyBorder="1" applyAlignment="1">
      <alignment vertical="center"/>
    </xf>
    <xf numFmtId="0" fontId="33" fillId="0" borderId="190" xfId="0" applyFont="1" applyFill="1" applyBorder="1" applyAlignment="1">
      <alignment vertical="center"/>
    </xf>
    <xf numFmtId="164" fontId="33" fillId="0" borderId="191" xfId="0" applyNumberFormat="1" applyFont="1" applyFill="1" applyBorder="1" applyAlignment="1">
      <alignment vertical="center"/>
    </xf>
    <xf numFmtId="164" fontId="33" fillId="0" borderId="82" xfId="0" applyNumberFormat="1" applyFont="1" applyFill="1" applyBorder="1" applyAlignment="1">
      <alignment vertical="center"/>
    </xf>
    <xf numFmtId="164" fontId="33" fillId="0" borderId="192" xfId="0" applyNumberFormat="1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32" fillId="0" borderId="151" xfId="0" applyNumberFormat="1" applyFont="1" applyFill="1" applyBorder="1" applyAlignment="1">
      <alignment vertical="center"/>
    </xf>
    <xf numFmtId="164" fontId="32" fillId="0" borderId="59" xfId="0" applyNumberFormat="1" applyFont="1" applyFill="1" applyBorder="1" applyAlignment="1">
      <alignment vertical="center"/>
    </xf>
    <xf numFmtId="164" fontId="32" fillId="0" borderId="149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vertical="center"/>
    </xf>
    <xf numFmtId="164" fontId="32" fillId="0" borderId="0" xfId="0" applyNumberFormat="1" applyFont="1" applyFill="1" applyBorder="1" applyAlignment="1">
      <alignment horizontal="right" vertical="center"/>
    </xf>
    <xf numFmtId="164" fontId="33" fillId="0" borderId="193" xfId="0" applyNumberFormat="1" applyFont="1" applyFill="1" applyBorder="1" applyAlignment="1">
      <alignment vertical="center"/>
    </xf>
    <xf numFmtId="164" fontId="32" fillId="0" borderId="150" xfId="0" applyNumberFormat="1" applyFont="1" applyFill="1" applyBorder="1" applyAlignment="1">
      <alignment vertical="center"/>
    </xf>
    <xf numFmtId="164" fontId="32" fillId="0" borderId="74" xfId="0" applyNumberFormat="1" applyFont="1" applyFill="1" applyBorder="1" applyAlignment="1">
      <alignment vertical="center"/>
    </xf>
    <xf numFmtId="164" fontId="26" fillId="0" borderId="123" xfId="0" applyNumberFormat="1" applyFont="1" applyFill="1" applyBorder="1" applyAlignment="1">
      <alignment vertical="center" wrapText="1"/>
    </xf>
    <xf numFmtId="164" fontId="32" fillId="0" borderId="33" xfId="0" applyNumberFormat="1" applyFont="1" applyFill="1" applyBorder="1" applyAlignment="1">
      <alignment vertical="center" wrapText="1"/>
    </xf>
    <xf numFmtId="164" fontId="26" fillId="0" borderId="121" xfId="0" applyNumberFormat="1" applyFont="1" applyFill="1" applyBorder="1" applyAlignment="1">
      <alignment vertical="center" wrapText="1"/>
    </xf>
    <xf numFmtId="164" fontId="32" fillId="0" borderId="123" xfId="0" applyNumberFormat="1" applyFont="1" applyFill="1" applyBorder="1" applyAlignment="1">
      <alignment vertical="center" wrapText="1"/>
    </xf>
    <xf numFmtId="164" fontId="32" fillId="0" borderId="81" xfId="0" applyNumberFormat="1" applyFont="1" applyFill="1" applyBorder="1" applyAlignment="1">
      <alignment vertical="center" wrapText="1"/>
    </xf>
    <xf numFmtId="164" fontId="32" fillId="0" borderId="121" xfId="0" applyNumberFormat="1" applyFont="1" applyFill="1" applyBorder="1" applyAlignment="1">
      <alignment vertical="center" wrapText="1"/>
    </xf>
    <xf numFmtId="164" fontId="32" fillId="0" borderId="48" xfId="0" applyNumberFormat="1" applyFont="1" applyFill="1" applyBorder="1" applyAlignment="1">
      <alignment vertical="center" wrapText="1"/>
    </xf>
    <xf numFmtId="164" fontId="26" fillId="0" borderId="17" xfId="0" applyNumberFormat="1" applyFont="1" applyFill="1" applyBorder="1" applyAlignment="1">
      <alignment vertical="center" wrapText="1"/>
    </xf>
    <xf numFmtId="164" fontId="33" fillId="0" borderId="123" xfId="0" applyNumberFormat="1" applyFont="1" applyFill="1" applyBorder="1" applyAlignment="1">
      <alignment vertical="center" wrapText="1"/>
    </xf>
    <xf numFmtId="164" fontId="33" fillId="0" borderId="33" xfId="0" applyNumberFormat="1" applyFont="1" applyFill="1" applyBorder="1" applyAlignment="1">
      <alignment vertical="center" wrapText="1"/>
    </xf>
    <xf numFmtId="164" fontId="33" fillId="0" borderId="121" xfId="0" applyNumberFormat="1" applyFont="1" applyFill="1" applyBorder="1" applyAlignment="1">
      <alignment vertical="center" wrapText="1"/>
    </xf>
    <xf numFmtId="164" fontId="33" fillId="0" borderId="81" xfId="0" applyNumberFormat="1" applyFont="1" applyFill="1" applyBorder="1" applyAlignment="1">
      <alignment vertical="center" wrapText="1"/>
    </xf>
    <xf numFmtId="164" fontId="32" fillId="0" borderId="32" xfId="0" applyNumberFormat="1" applyFont="1" applyFill="1" applyBorder="1" applyAlignment="1">
      <alignment vertical="center"/>
    </xf>
    <xf numFmtId="164" fontId="26" fillId="0" borderId="48" xfId="0" applyNumberFormat="1" applyFont="1" applyFill="1" applyBorder="1" applyAlignment="1">
      <alignment vertical="center" wrapText="1"/>
    </xf>
    <xf numFmtId="164" fontId="26" fillId="0" borderId="81" xfId="0" applyNumberFormat="1" applyFont="1" applyFill="1" applyBorder="1" applyAlignment="1">
      <alignment vertical="center" wrapText="1"/>
    </xf>
    <xf numFmtId="164" fontId="32" fillId="0" borderId="17" xfId="0" applyNumberFormat="1" applyFont="1" applyFill="1" applyBorder="1" applyAlignment="1">
      <alignment vertical="center" wrapText="1"/>
    </xf>
    <xf numFmtId="3" fontId="21" fillId="0" borderId="181" xfId="0" applyNumberFormat="1" applyFont="1" applyFill="1" applyBorder="1"/>
    <xf numFmtId="0" fontId="21" fillId="0" borderId="19" xfId="0" applyFont="1" applyBorder="1" applyAlignment="1">
      <alignment horizontal="left" indent="6"/>
    </xf>
    <xf numFmtId="3" fontId="21" fillId="0" borderId="72" xfId="77" applyNumberFormat="1" applyFont="1" applyFill="1" applyBorder="1"/>
    <xf numFmtId="0" fontId="21" fillId="0" borderId="0" xfId="0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3" fontId="21" fillId="0" borderId="88" xfId="0" applyNumberFormat="1" applyFont="1" applyFill="1" applyBorder="1"/>
    <xf numFmtId="3" fontId="28" fillId="0" borderId="195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37" xfId="0" applyFont="1" applyFill="1" applyBorder="1" applyAlignment="1">
      <alignment horizontal="center" vertical="center" wrapText="1"/>
    </xf>
    <xf numFmtId="1" fontId="26" fillId="0" borderId="37" xfId="0" applyNumberFormat="1" applyFont="1" applyFill="1" applyBorder="1" applyAlignment="1">
      <alignment horizontal="center" vertical="center" wrapText="1"/>
    </xf>
    <xf numFmtId="1" fontId="26" fillId="0" borderId="74" xfId="0" applyNumberFormat="1" applyFont="1" applyFill="1" applyBorder="1" applyAlignment="1">
      <alignment horizontal="center"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1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3" fontId="26" fillId="0" borderId="0" xfId="0" applyNumberFormat="1" applyFont="1" applyFill="1" applyAlignment="1">
      <alignment vertical="center"/>
    </xf>
    <xf numFmtId="0" fontId="32" fillId="0" borderId="69" xfId="0" applyFont="1" applyFill="1" applyBorder="1" applyAlignment="1">
      <alignment vertical="center" wrapText="1"/>
    </xf>
    <xf numFmtId="0" fontId="26" fillId="0" borderId="83" xfId="0" applyFont="1" applyFill="1" applyBorder="1" applyAlignment="1">
      <alignment horizontal="center" vertical="center"/>
    </xf>
    <xf numFmtId="4" fontId="26" fillId="0" borderId="83" xfId="0" applyNumberFormat="1" applyFont="1" applyFill="1" applyBorder="1" applyAlignment="1">
      <alignment horizontal="right" vertical="center"/>
    </xf>
    <xf numFmtId="3" fontId="26" fillId="0" borderId="196" xfId="0" applyNumberFormat="1" applyFont="1" applyFill="1" applyBorder="1" applyAlignment="1">
      <alignment horizontal="right" vertical="center"/>
    </xf>
    <xf numFmtId="3" fontId="26" fillId="0" borderId="197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Alignment="1">
      <alignment horizontal="center"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51" xfId="0" applyFont="1" applyFill="1" applyBorder="1" applyAlignment="1">
      <alignment horizontal="center" vertical="center"/>
    </xf>
    <xf numFmtId="167" fontId="26" fillId="0" borderId="51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3" fontId="26" fillId="0" borderId="52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vertical="center"/>
    </xf>
    <xf numFmtId="172" fontId="26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3" fontId="26" fillId="0" borderId="51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0" fontId="26" fillId="0" borderId="67" xfId="0" applyFont="1" applyFill="1" applyBorder="1" applyAlignment="1">
      <alignment horizontal="center" vertical="center"/>
    </xf>
    <xf numFmtId="167" fontId="26" fillId="0" borderId="67" xfId="0" applyNumberFormat="1" applyFont="1" applyFill="1" applyBorder="1" applyAlignment="1">
      <alignment horizontal="right" vertical="center"/>
    </xf>
    <xf numFmtId="3" fontId="26" fillId="0" borderId="67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165" fontId="26" fillId="0" borderId="0" xfId="0" applyNumberFormat="1" applyFont="1" applyFill="1" applyBorder="1" applyAlignment="1">
      <alignment vertical="center"/>
    </xf>
    <xf numFmtId="0" fontId="26" fillId="0" borderId="30" xfId="0" applyFont="1" applyFill="1" applyBorder="1" applyAlignment="1">
      <alignment vertical="center" wrapText="1"/>
    </xf>
    <xf numFmtId="0" fontId="26" fillId="0" borderId="94" xfId="0" applyFont="1" applyFill="1" applyBorder="1" applyAlignment="1">
      <alignment horizontal="center" vertical="center"/>
    </xf>
    <xf numFmtId="3" fontId="26" fillId="0" borderId="94" xfId="0" applyNumberFormat="1" applyFont="1" applyFill="1" applyBorder="1" applyAlignment="1">
      <alignment horizontal="right" vertical="center"/>
    </xf>
    <xf numFmtId="3" fontId="26" fillId="0" borderId="179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0" fontId="26" fillId="0" borderId="44" xfId="0" applyFont="1" applyFill="1" applyBorder="1" applyAlignment="1">
      <alignment horizontal="center" vertical="center"/>
    </xf>
    <xf numFmtId="3" fontId="26" fillId="0" borderId="44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3" fontId="26" fillId="0" borderId="68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0" fontId="32" fillId="0" borderId="198" xfId="0" applyFont="1" applyFill="1" applyBorder="1" applyAlignment="1">
      <alignment horizontal="center" vertical="center"/>
    </xf>
    <xf numFmtId="3" fontId="32" fillId="0" borderId="198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0" fontId="26" fillId="0" borderId="7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/>
    </xf>
    <xf numFmtId="4" fontId="26" fillId="0" borderId="42" xfId="0" applyNumberFormat="1" applyFont="1" applyFill="1" applyBorder="1" applyAlignment="1">
      <alignment horizontal="right" vertical="center"/>
    </xf>
    <xf numFmtId="3" fontId="26" fillId="0" borderId="102" xfId="0" applyNumberFormat="1" applyFont="1" applyFill="1" applyBorder="1" applyAlignment="1">
      <alignment horizontal="right" vertical="center"/>
    </xf>
    <xf numFmtId="3" fontId="26" fillId="0" borderId="43" xfId="0" applyNumberFormat="1" applyFont="1" applyFill="1" applyBorder="1" applyAlignment="1">
      <alignment horizontal="right" vertical="center"/>
    </xf>
    <xf numFmtId="171" fontId="32" fillId="0" borderId="0" xfId="0" applyNumberFormat="1" applyFont="1" applyFill="1" applyBorder="1" applyAlignment="1">
      <alignment vertical="center"/>
    </xf>
    <xf numFmtId="4" fontId="26" fillId="0" borderId="67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171" fontId="26" fillId="0" borderId="0" xfId="0" applyNumberFormat="1" applyFont="1" applyFill="1" applyBorder="1" applyAlignment="1">
      <alignment vertical="center"/>
    </xf>
    <xf numFmtId="0" fontId="32" fillId="0" borderId="40" xfId="0" applyFont="1" applyFill="1" applyBorder="1" applyAlignment="1">
      <alignment horizontal="center" vertical="center"/>
    </xf>
    <xf numFmtId="4" fontId="32" fillId="0" borderId="40" xfId="0" applyNumberFormat="1" applyFont="1" applyFill="1" applyBorder="1" applyAlignment="1">
      <alignment horizontal="right" vertical="center"/>
    </xf>
    <xf numFmtId="3" fontId="32" fillId="0" borderId="71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Alignment="1">
      <alignment vertical="center"/>
    </xf>
    <xf numFmtId="4" fontId="26" fillId="0" borderId="94" xfId="0" applyNumberFormat="1" applyFont="1" applyFill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0" fontId="32" fillId="0" borderId="37" xfId="0" applyFont="1" applyFill="1" applyBorder="1" applyAlignment="1">
      <alignment horizontal="center" vertical="center"/>
    </xf>
    <xf numFmtId="4" fontId="32" fillId="0" borderId="37" xfId="0" applyNumberFormat="1" applyFont="1" applyFill="1" applyBorder="1" applyAlignment="1">
      <alignment horizontal="right" vertical="center"/>
    </xf>
    <xf numFmtId="3" fontId="32" fillId="0" borderId="74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4" fontId="26" fillId="0" borderId="47" xfId="0" applyNumberFormat="1" applyFont="1" applyFill="1" applyBorder="1" applyAlignment="1">
      <alignment horizontal="right" vertical="center"/>
    </xf>
    <xf numFmtId="171" fontId="26" fillId="0" borderId="47" xfId="0" applyNumberFormat="1" applyFont="1" applyFill="1" applyBorder="1" applyAlignment="1">
      <alignment vertical="center"/>
    </xf>
    <xf numFmtId="0" fontId="26" fillId="0" borderId="48" xfId="0" applyFont="1" applyFill="1" applyBorder="1" applyAlignment="1">
      <alignment vertical="center" wrapText="1"/>
    </xf>
    <xf numFmtId="0" fontId="26" fillId="0" borderId="48" xfId="0" applyFont="1" applyFill="1" applyBorder="1" applyAlignment="1">
      <alignment horizontal="center" vertical="center"/>
    </xf>
    <xf numFmtId="4" fontId="26" fillId="0" borderId="48" xfId="0" applyNumberFormat="1" applyFont="1" applyFill="1" applyBorder="1" applyAlignment="1">
      <alignment horizontal="right" vertical="center"/>
    </xf>
    <xf numFmtId="171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4" fontId="26" fillId="0" borderId="49" xfId="0" applyNumberFormat="1" applyFont="1" applyFill="1" applyBorder="1" applyAlignment="1">
      <alignment horizontal="right" vertical="center"/>
    </xf>
    <xf numFmtId="171" fontId="26" fillId="0" borderId="49" xfId="0" applyNumberFormat="1" applyFont="1" applyFill="1" applyBorder="1" applyAlignment="1">
      <alignment vertical="center"/>
    </xf>
    <xf numFmtId="171" fontId="26" fillId="0" borderId="0" xfId="0" applyNumberFormat="1" applyFont="1" applyFill="1" applyAlignment="1">
      <alignment vertical="center"/>
    </xf>
    <xf numFmtId="1" fontId="26" fillId="0" borderId="195" xfId="0" applyNumberFormat="1" applyFont="1" applyFill="1" applyBorder="1" applyAlignment="1">
      <alignment horizontal="center" vertical="center" wrapText="1"/>
    </xf>
    <xf numFmtId="3" fontId="26" fillId="0" borderId="199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26" fillId="0" borderId="120" xfId="0" applyNumberFormat="1" applyFont="1" applyFill="1" applyBorder="1" applyAlignment="1">
      <alignment horizontal="right" vertical="center"/>
    </xf>
    <xf numFmtId="3" fontId="26" fillId="0" borderId="88" xfId="0" applyNumberFormat="1" applyFont="1" applyFill="1" applyBorder="1" applyAlignment="1">
      <alignment horizontal="right" vertical="center"/>
    </xf>
    <xf numFmtId="3" fontId="26" fillId="0" borderId="92" xfId="0" applyNumberFormat="1" applyFont="1" applyFill="1" applyBorder="1" applyAlignment="1">
      <alignment horizontal="right" vertical="center"/>
    </xf>
    <xf numFmtId="3" fontId="26" fillId="0" borderId="86" xfId="0" applyNumberFormat="1" applyFont="1" applyFill="1" applyBorder="1" applyAlignment="1">
      <alignment horizontal="right" vertical="center"/>
    </xf>
    <xf numFmtId="3" fontId="32" fillId="0" borderId="195" xfId="0" applyNumberFormat="1" applyFont="1" applyFill="1" applyBorder="1" applyAlignment="1">
      <alignment horizontal="right" vertical="center"/>
    </xf>
    <xf numFmtId="3" fontId="28" fillId="0" borderId="169" xfId="0" applyNumberFormat="1" applyFont="1" applyFill="1" applyBorder="1" applyAlignment="1">
      <alignment vertical="center" wrapText="1"/>
    </xf>
    <xf numFmtId="0" fontId="21" fillId="0" borderId="61" xfId="0" applyFont="1" applyFill="1" applyBorder="1" applyAlignment="1">
      <alignment horizontal="left" vertical="center" wrapText="1"/>
    </xf>
    <xf numFmtId="0" fontId="21" fillId="0" borderId="85" xfId="0" applyFont="1" applyFill="1" applyBorder="1" applyAlignment="1">
      <alignment horizontal="left" vertical="center" wrapText="1"/>
    </xf>
    <xf numFmtId="173" fontId="36" fillId="0" borderId="87" xfId="75" applyNumberFormat="1" applyFont="1" applyFill="1" applyBorder="1" applyAlignment="1">
      <alignment horizontal="left" vertical="center" wrapText="1"/>
    </xf>
    <xf numFmtId="173" fontId="36" fillId="0" borderId="86" xfId="75" applyNumberFormat="1" applyFont="1" applyFill="1" applyBorder="1" applyAlignment="1">
      <alignment horizontal="left" vertical="center" wrapText="1"/>
    </xf>
    <xf numFmtId="3" fontId="21" fillId="0" borderId="178" xfId="0" applyNumberFormat="1" applyFont="1" applyFill="1" applyBorder="1"/>
    <xf numFmtId="0" fontId="28" fillId="0" borderId="178" xfId="0" applyFont="1" applyFill="1" applyBorder="1"/>
    <xf numFmtId="3" fontId="28" fillId="0" borderId="78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8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4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0" fontId="28" fillId="0" borderId="117" xfId="0" applyFont="1" applyFill="1" applyBorder="1" applyAlignment="1">
      <alignment horizontal="center" vertical="center"/>
    </xf>
    <xf numFmtId="3" fontId="28" fillId="0" borderId="136" xfId="54" applyNumberFormat="1" applyFont="1" applyFill="1" applyBorder="1" applyAlignment="1">
      <alignment horizontal="center" vertical="center" wrapText="1"/>
    </xf>
    <xf numFmtId="0" fontId="28" fillId="0" borderId="60" xfId="75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/>
    </xf>
    <xf numFmtId="0" fontId="28" fillId="0" borderId="168" xfId="0" applyFont="1" applyFill="1" applyBorder="1" applyAlignment="1">
      <alignment horizontal="center" vertical="center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55" xfId="54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8" xfId="0" applyFont="1" applyFill="1" applyBorder="1" applyAlignment="1">
      <alignment horizontal="center" vertical="center" wrapText="1"/>
    </xf>
    <xf numFmtId="0" fontId="28" fillId="0" borderId="129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28" xfId="0" applyNumberFormat="1" applyFont="1" applyFill="1" applyBorder="1" applyAlignment="1">
      <alignment horizontal="center" vertical="center" wrapText="1"/>
    </xf>
    <xf numFmtId="166" fontId="28" fillId="0" borderId="129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2" xfId="0" applyNumberFormat="1" applyFont="1" applyFill="1" applyBorder="1" applyAlignment="1">
      <alignment horizontal="center" vertical="center" wrapText="1"/>
    </xf>
    <xf numFmtId="3" fontId="28" fillId="0" borderId="129" xfId="0" applyNumberFormat="1" applyFont="1" applyFill="1" applyBorder="1" applyAlignment="1">
      <alignment horizontal="center" vertical="center" wrapText="1"/>
    </xf>
    <xf numFmtId="3" fontId="28" fillId="0" borderId="131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5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wrapText="1"/>
    </xf>
    <xf numFmtId="164" fontId="2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3" fontId="21" fillId="0" borderId="108" xfId="0" applyNumberFormat="1" applyFont="1" applyFill="1" applyBorder="1" applyAlignment="1">
      <alignment horizontal="center" vertical="center"/>
    </xf>
    <xf numFmtId="3" fontId="21" fillId="0" borderId="110" xfId="0" applyNumberFormat="1" applyFont="1" applyFill="1" applyBorder="1" applyAlignment="1">
      <alignment horizontal="center" vertical="center"/>
    </xf>
    <xf numFmtId="3" fontId="21" fillId="0" borderId="177" xfId="0" applyNumberFormat="1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0" fontId="21" fillId="0" borderId="177" xfId="0" applyFont="1" applyFill="1" applyBorder="1" applyAlignment="1">
      <alignment horizontal="center" vertical="center"/>
    </xf>
    <xf numFmtId="4" fontId="21" fillId="0" borderId="113" xfId="0" applyNumberFormat="1" applyFont="1" applyFill="1" applyBorder="1" applyAlignment="1">
      <alignment horizontal="center" vertical="center"/>
    </xf>
    <xf numFmtId="4" fontId="21" fillId="0" borderId="110" xfId="0" applyNumberFormat="1" applyFont="1" applyFill="1" applyBorder="1" applyAlignment="1">
      <alignment horizontal="center" vertical="center"/>
    </xf>
    <xf numFmtId="4" fontId="21" fillId="0" borderId="177" xfId="0" applyNumberFormat="1" applyFont="1" applyFill="1" applyBorder="1" applyAlignment="1">
      <alignment horizontal="center" vertical="center"/>
    </xf>
    <xf numFmtId="0" fontId="21" fillId="0" borderId="119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18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187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1" fillId="0" borderId="119" xfId="0" applyFont="1" applyFill="1" applyBorder="1" applyAlignment="1">
      <alignment horizontal="center" vertical="center" wrapText="1"/>
    </xf>
    <xf numFmtId="0" fontId="21" fillId="0" borderId="194" xfId="0" applyFont="1" applyFill="1" applyBorder="1" applyAlignment="1">
      <alignment horizontal="center" vertical="center" wrapText="1"/>
    </xf>
    <xf numFmtId="0" fontId="21" fillId="0" borderId="189" xfId="0" applyFont="1" applyFill="1" applyBorder="1" applyAlignment="1">
      <alignment horizontal="center" vertical="center" wrapText="1"/>
    </xf>
    <xf numFmtId="0" fontId="21" fillId="0" borderId="1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3" fontId="28" fillId="0" borderId="0" xfId="0" applyNumberFormat="1" applyFont="1" applyFill="1" applyAlignment="1">
      <alignment horizontal="center"/>
    </xf>
    <xf numFmtId="0" fontId="32" fillId="0" borderId="113" xfId="0" applyFont="1" applyFill="1" applyBorder="1" applyAlignment="1">
      <alignment horizontal="center" vertical="center" wrapText="1"/>
    </xf>
    <xf numFmtId="0" fontId="32" fillId="0" borderId="110" xfId="0" applyFont="1" applyFill="1" applyBorder="1" applyAlignment="1">
      <alignment horizontal="center" vertical="center" wrapText="1"/>
    </xf>
    <xf numFmtId="0" fontId="32" fillId="0" borderId="177" xfId="0" applyFont="1" applyFill="1" applyBorder="1" applyAlignment="1">
      <alignment horizontal="center" vertical="center" wrapText="1"/>
    </xf>
    <xf numFmtId="0" fontId="32" fillId="0" borderId="112" xfId="0" applyFont="1" applyFill="1" applyBorder="1" applyAlignment="1">
      <alignment horizontal="center" vertical="center" wrapText="1"/>
    </xf>
  </cellXfs>
  <cellStyles count="9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5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iroda\K&#246;lts&#233;gvet&#233;s\2014\2014.&#233;vi%20eredeti%20kv\Szent%20L&#225;szl&#243;%20V&#246;lgye%20TKT%202014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iroda\K&#246;lts&#233;gvet&#233;s\2014\2014.II.m&#243;d.kv\Szent%20L&#225;szl&#243;%20V&#246;lgye%20TKT%202014.&#233;vi%20II.kv.m&#243;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ajnalka\Local%20Settings\Temporary%20Internet%20Files\Content.IE5\P94R4ZJH\Ei.%20m&#243;d.%20nyilv&#225;ntart&#225;s%202014.II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iroda\K&#246;lts&#233;gvet&#233;s\2014\2014.&#233;vi%20I.m&#243;d.kv\Szent%20L&#225;szl&#243;%20V&#246;lgye%20TKT%202014.&#233;vi%20I.kv.m&#243;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5">
          <cell r="L5">
            <v>27960</v>
          </cell>
        </row>
        <row r="9">
          <cell r="L9">
            <v>0</v>
          </cell>
        </row>
      </sheetData>
      <sheetData sheetId="2">
        <row r="5">
          <cell r="D5">
            <v>27960</v>
          </cell>
        </row>
      </sheetData>
      <sheetData sheetId="3">
        <row r="13">
          <cell r="R13">
            <v>500</v>
          </cell>
        </row>
      </sheetData>
      <sheetData sheetId="4">
        <row r="16">
          <cell r="C16">
            <v>3393</v>
          </cell>
        </row>
      </sheetData>
      <sheetData sheetId="5"/>
      <sheetData sheetId="6"/>
      <sheetData sheetId="7">
        <row r="3">
          <cell r="O3">
            <v>11871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29">
          <cell r="N29">
            <v>8980</v>
          </cell>
        </row>
        <row r="49">
          <cell r="N49">
            <v>1708</v>
          </cell>
        </row>
        <row r="54">
          <cell r="N54">
            <v>461</v>
          </cell>
        </row>
        <row r="73">
          <cell r="N73">
            <v>41736</v>
          </cell>
        </row>
        <row r="74">
          <cell r="N74">
            <v>522</v>
          </cell>
        </row>
        <row r="79">
          <cell r="N79">
            <v>610</v>
          </cell>
        </row>
        <row r="88">
          <cell r="N88">
            <v>13757</v>
          </cell>
        </row>
        <row r="90">
          <cell r="N90">
            <v>2763</v>
          </cell>
        </row>
        <row r="91">
          <cell r="N91">
            <v>1884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3443</v>
          </cell>
        </row>
      </sheetData>
      <sheetData sheetId="2">
        <row r="6">
          <cell r="E6">
            <v>409</v>
          </cell>
        </row>
        <row r="60">
          <cell r="E60">
            <v>2169</v>
          </cell>
        </row>
        <row r="63">
          <cell r="E63">
            <v>148946</v>
          </cell>
        </row>
        <row r="64">
          <cell r="E64">
            <v>61396</v>
          </cell>
        </row>
        <row r="65">
          <cell r="E65">
            <v>3215</v>
          </cell>
        </row>
        <row r="66">
          <cell r="E66">
            <v>3804</v>
          </cell>
        </row>
        <row r="79">
          <cell r="E79">
            <v>123</v>
          </cell>
        </row>
        <row r="80">
          <cell r="E80">
            <v>734</v>
          </cell>
        </row>
        <row r="81">
          <cell r="E81">
            <v>1498</v>
          </cell>
        </row>
        <row r="82">
          <cell r="E82">
            <v>408</v>
          </cell>
        </row>
        <row r="92">
          <cell r="E92">
            <v>1823</v>
          </cell>
        </row>
        <row r="93">
          <cell r="E93">
            <v>10</v>
          </cell>
        </row>
        <row r="94">
          <cell r="E94">
            <v>0</v>
          </cell>
        </row>
        <row r="95">
          <cell r="E95">
            <v>8779</v>
          </cell>
        </row>
        <row r="107">
          <cell r="E107">
            <v>10098</v>
          </cell>
        </row>
      </sheetData>
      <sheetData sheetId="3">
        <row r="13">
          <cell r="E13">
            <v>1260</v>
          </cell>
          <cell r="Q13">
            <v>63</v>
          </cell>
          <cell r="T13">
            <v>500</v>
          </cell>
        </row>
        <row r="14">
          <cell r="H14">
            <v>9</v>
          </cell>
          <cell r="Q14">
            <v>1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</row>
        <row r="16">
          <cell r="E16">
            <v>1000</v>
          </cell>
          <cell r="H16">
            <v>0</v>
          </cell>
          <cell r="K16">
            <v>1135</v>
          </cell>
          <cell r="N16">
            <v>0</v>
          </cell>
          <cell r="Q16">
            <v>1200</v>
          </cell>
          <cell r="T16">
            <v>0</v>
          </cell>
          <cell r="W16">
            <v>2051</v>
          </cell>
        </row>
        <row r="20">
          <cell r="N20">
            <v>60</v>
          </cell>
        </row>
        <row r="28">
          <cell r="N28">
            <v>350</v>
          </cell>
        </row>
        <row r="30">
          <cell r="E30">
            <v>1821</v>
          </cell>
          <cell r="H30">
            <v>12985</v>
          </cell>
          <cell r="K30">
            <v>24795</v>
          </cell>
          <cell r="N30">
            <v>13917</v>
          </cell>
          <cell r="Q30">
            <v>9401</v>
          </cell>
          <cell r="T30">
            <v>2769</v>
          </cell>
          <cell r="W30">
            <v>1608</v>
          </cell>
        </row>
        <row r="32">
          <cell r="E32">
            <v>252</v>
          </cell>
          <cell r="H32">
            <v>666</v>
          </cell>
          <cell r="K32">
            <v>925</v>
          </cell>
          <cell r="N32">
            <v>133</v>
          </cell>
          <cell r="Q32">
            <v>398</v>
          </cell>
          <cell r="T32">
            <v>2009</v>
          </cell>
          <cell r="W32">
            <v>0</v>
          </cell>
        </row>
        <row r="33">
          <cell r="E33">
            <v>0</v>
          </cell>
          <cell r="H33">
            <v>301</v>
          </cell>
          <cell r="K33">
            <v>419</v>
          </cell>
          <cell r="N33">
            <v>60</v>
          </cell>
          <cell r="Q33">
            <v>180</v>
          </cell>
          <cell r="T33">
            <v>0</v>
          </cell>
          <cell r="W33">
            <v>0</v>
          </cell>
        </row>
        <row r="34">
          <cell r="E34">
            <v>252</v>
          </cell>
          <cell r="H34">
            <v>258</v>
          </cell>
          <cell r="K34">
            <v>359</v>
          </cell>
          <cell r="N34">
            <v>51</v>
          </cell>
          <cell r="Q34">
            <v>154</v>
          </cell>
          <cell r="T34">
            <v>0</v>
          </cell>
          <cell r="W34">
            <v>0</v>
          </cell>
        </row>
        <row r="35">
          <cell r="E35">
            <v>1760</v>
          </cell>
          <cell r="H35">
            <v>1372</v>
          </cell>
          <cell r="K35">
            <v>1906</v>
          </cell>
          <cell r="N35">
            <v>273</v>
          </cell>
          <cell r="Q35">
            <v>819</v>
          </cell>
          <cell r="T35">
            <v>0</v>
          </cell>
          <cell r="W35">
            <v>0</v>
          </cell>
        </row>
        <row r="36">
          <cell r="E36">
            <v>252</v>
          </cell>
          <cell r="H36">
            <v>821</v>
          </cell>
          <cell r="K36">
            <v>1141</v>
          </cell>
          <cell r="N36">
            <v>163</v>
          </cell>
          <cell r="Q36">
            <v>491</v>
          </cell>
          <cell r="T36">
            <v>0</v>
          </cell>
          <cell r="W36">
            <v>0</v>
          </cell>
        </row>
        <row r="37">
          <cell r="E37">
            <v>0</v>
          </cell>
          <cell r="H37">
            <v>495</v>
          </cell>
          <cell r="K37">
            <v>687</v>
          </cell>
          <cell r="N37">
            <v>98</v>
          </cell>
          <cell r="Q37">
            <v>295</v>
          </cell>
          <cell r="T37">
            <v>0</v>
          </cell>
          <cell r="W37">
            <v>0</v>
          </cell>
        </row>
        <row r="38">
          <cell r="E38">
            <v>0</v>
          </cell>
          <cell r="H38">
            <v>614</v>
          </cell>
          <cell r="K38">
            <v>852</v>
          </cell>
          <cell r="N38">
            <v>122</v>
          </cell>
          <cell r="Q38">
            <v>0</v>
          </cell>
          <cell r="T38">
            <v>0</v>
          </cell>
          <cell r="W38">
            <v>0</v>
          </cell>
        </row>
        <row r="41">
          <cell r="E41">
            <v>2936</v>
          </cell>
          <cell r="H41">
            <v>10455</v>
          </cell>
          <cell r="K41">
            <v>21768</v>
          </cell>
          <cell r="N41">
            <v>7376</v>
          </cell>
          <cell r="Q41">
            <v>6654</v>
          </cell>
          <cell r="T41">
            <v>1844</v>
          </cell>
          <cell r="W41">
            <v>2307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</row>
        <row r="44">
          <cell r="E44">
            <v>50</v>
          </cell>
          <cell r="H44">
            <v>88</v>
          </cell>
          <cell r="K44">
            <v>100</v>
          </cell>
          <cell r="N44">
            <v>0</v>
          </cell>
          <cell r="Q44">
            <v>50</v>
          </cell>
          <cell r="T44">
            <v>0</v>
          </cell>
          <cell r="W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496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</row>
        <row r="47">
          <cell r="E47">
            <v>90</v>
          </cell>
          <cell r="H47">
            <v>270</v>
          </cell>
          <cell r="K47">
            <v>810</v>
          </cell>
          <cell r="N47">
            <v>210</v>
          </cell>
          <cell r="Q47">
            <v>210</v>
          </cell>
          <cell r="T47">
            <v>60</v>
          </cell>
          <cell r="W47">
            <v>60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</row>
        <row r="49">
          <cell r="E49">
            <v>11</v>
          </cell>
          <cell r="H49">
            <v>195</v>
          </cell>
          <cell r="K49">
            <v>51</v>
          </cell>
          <cell r="N49">
            <v>20</v>
          </cell>
          <cell r="Q49">
            <v>255</v>
          </cell>
          <cell r="T49">
            <v>0</v>
          </cell>
          <cell r="W49">
            <v>11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  <cell r="T50">
            <v>0</v>
          </cell>
          <cell r="W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</row>
        <row r="53">
          <cell r="E53">
            <v>56</v>
          </cell>
          <cell r="H53">
            <v>130</v>
          </cell>
          <cell r="K53">
            <v>95</v>
          </cell>
          <cell r="N53">
            <v>50</v>
          </cell>
          <cell r="Q53">
            <v>30</v>
          </cell>
          <cell r="T53">
            <v>0</v>
          </cell>
          <cell r="W53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  <cell r="T54">
            <v>0</v>
          </cell>
          <cell r="W54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Q56">
            <v>0</v>
          </cell>
          <cell r="T56">
            <v>0</v>
          </cell>
          <cell r="W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163</v>
          </cell>
          <cell r="T57">
            <v>150</v>
          </cell>
          <cell r="W57">
            <v>0</v>
          </cell>
        </row>
        <row r="58">
          <cell r="E58">
            <v>5</v>
          </cell>
          <cell r="H58">
            <v>25</v>
          </cell>
          <cell r="K58">
            <v>0</v>
          </cell>
          <cell r="N58">
            <v>50</v>
          </cell>
          <cell r="Q58">
            <v>10</v>
          </cell>
          <cell r="T58">
            <v>0</v>
          </cell>
          <cell r="W58">
            <v>0</v>
          </cell>
        </row>
        <row r="62">
          <cell r="E62">
            <v>733</v>
          </cell>
          <cell r="H62">
            <v>3016</v>
          </cell>
          <cell r="K62">
            <v>5769</v>
          </cell>
          <cell r="N62">
            <v>1838</v>
          </cell>
          <cell r="Q62">
            <v>1688</v>
          </cell>
          <cell r="T62">
            <v>364</v>
          </cell>
          <cell r="W62">
            <v>535</v>
          </cell>
        </row>
        <row r="63">
          <cell r="E63">
            <v>34</v>
          </cell>
          <cell r="H63">
            <v>301</v>
          </cell>
          <cell r="K63">
            <v>704</v>
          </cell>
          <cell r="N63">
            <v>241</v>
          </cell>
          <cell r="Q63">
            <v>211</v>
          </cell>
          <cell r="T63">
            <v>60</v>
          </cell>
          <cell r="W63">
            <v>151</v>
          </cell>
        </row>
        <row r="64">
          <cell r="E64">
            <v>17</v>
          </cell>
          <cell r="H64">
            <v>53</v>
          </cell>
          <cell r="K64">
            <v>135</v>
          </cell>
          <cell r="N64">
            <v>51</v>
          </cell>
          <cell r="Q64">
            <v>38</v>
          </cell>
          <cell r="T64">
            <v>10</v>
          </cell>
          <cell r="W64">
            <v>10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  <cell r="T65">
            <v>0</v>
          </cell>
          <cell r="W65">
            <v>0</v>
          </cell>
        </row>
        <row r="66">
          <cell r="E66">
            <v>18</v>
          </cell>
          <cell r="H66">
            <v>56</v>
          </cell>
          <cell r="K66">
            <v>154</v>
          </cell>
          <cell r="N66">
            <v>50</v>
          </cell>
          <cell r="Q66">
            <v>42</v>
          </cell>
          <cell r="T66">
            <v>12</v>
          </cell>
          <cell r="W66">
            <v>11</v>
          </cell>
        </row>
        <row r="67">
          <cell r="E67">
            <v>17</v>
          </cell>
          <cell r="H67">
            <v>8</v>
          </cell>
          <cell r="K67">
            <v>0</v>
          </cell>
          <cell r="N67">
            <v>0</v>
          </cell>
          <cell r="Q67">
            <v>0</v>
          </cell>
          <cell r="T67">
            <v>0</v>
          </cell>
          <cell r="W67">
            <v>17</v>
          </cell>
        </row>
        <row r="68">
          <cell r="E68">
            <v>401</v>
          </cell>
          <cell r="H68">
            <v>155</v>
          </cell>
          <cell r="K68">
            <v>655</v>
          </cell>
          <cell r="N68">
            <v>140</v>
          </cell>
          <cell r="Q68">
            <v>1245</v>
          </cell>
          <cell r="T68">
            <v>1242</v>
          </cell>
          <cell r="W68">
            <v>50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0</v>
          </cell>
          <cell r="T69">
            <v>0</v>
          </cell>
          <cell r="W69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300</v>
          </cell>
          <cell r="Q71">
            <v>0</v>
          </cell>
          <cell r="T71">
            <v>0</v>
          </cell>
          <cell r="W71">
            <v>0</v>
          </cell>
        </row>
        <row r="72">
          <cell r="E72">
            <v>50</v>
          </cell>
          <cell r="H72">
            <v>140</v>
          </cell>
          <cell r="K72">
            <v>50</v>
          </cell>
          <cell r="N72">
            <v>140</v>
          </cell>
          <cell r="Q72">
            <v>55</v>
          </cell>
          <cell r="T72">
            <v>12</v>
          </cell>
          <cell r="W72">
            <v>50</v>
          </cell>
        </row>
        <row r="74">
          <cell r="E74">
            <v>536</v>
          </cell>
          <cell r="H74">
            <v>430</v>
          </cell>
          <cell r="K74">
            <v>429</v>
          </cell>
          <cell r="N74">
            <v>430</v>
          </cell>
          <cell r="Q74">
            <v>429</v>
          </cell>
          <cell r="T74">
            <v>0</v>
          </cell>
          <cell r="W74">
            <v>76</v>
          </cell>
        </row>
        <row r="75">
          <cell r="E75">
            <v>250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  <cell r="T75">
            <v>0</v>
          </cell>
          <cell r="W75">
            <v>100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</row>
        <row r="77">
          <cell r="E77">
            <v>60</v>
          </cell>
          <cell r="H77">
            <v>2</v>
          </cell>
          <cell r="K77">
            <v>120</v>
          </cell>
          <cell r="N77">
            <v>207</v>
          </cell>
          <cell r="Q77">
            <v>300</v>
          </cell>
          <cell r="T77">
            <v>400</v>
          </cell>
          <cell r="W77">
            <v>0</v>
          </cell>
        </row>
        <row r="78">
          <cell r="E78">
            <v>0</v>
          </cell>
          <cell r="H78">
            <v>7</v>
          </cell>
          <cell r="K78">
            <v>0</v>
          </cell>
          <cell r="N78">
            <v>0</v>
          </cell>
          <cell r="Q78">
            <v>0</v>
          </cell>
          <cell r="T78">
            <v>0</v>
          </cell>
          <cell r="W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</row>
        <row r="80">
          <cell r="E80">
            <v>0</v>
          </cell>
          <cell r="H80">
            <v>7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</row>
        <row r="81">
          <cell r="E81">
            <v>0</v>
          </cell>
          <cell r="H81">
            <v>471</v>
          </cell>
          <cell r="K81">
            <v>0</v>
          </cell>
          <cell r="N81">
            <v>1087</v>
          </cell>
          <cell r="Q81">
            <v>194</v>
          </cell>
          <cell r="T81">
            <v>0</v>
          </cell>
          <cell r="W81">
            <v>0</v>
          </cell>
        </row>
        <row r="82">
          <cell r="E82">
            <v>700</v>
          </cell>
          <cell r="H82">
            <v>543</v>
          </cell>
          <cell r="K82">
            <v>576</v>
          </cell>
          <cell r="N82">
            <v>1207</v>
          </cell>
          <cell r="Q82">
            <v>531</v>
          </cell>
          <cell r="T82">
            <v>30</v>
          </cell>
          <cell r="W82">
            <v>103</v>
          </cell>
        </row>
        <row r="84">
          <cell r="E84">
            <v>10</v>
          </cell>
          <cell r="H84">
            <v>330</v>
          </cell>
          <cell r="K84">
            <v>130</v>
          </cell>
          <cell r="N84">
            <v>280</v>
          </cell>
          <cell r="Q84">
            <v>90</v>
          </cell>
          <cell r="T84">
            <v>0</v>
          </cell>
          <cell r="W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  <cell r="T85">
            <v>0</v>
          </cell>
          <cell r="W85">
            <v>0</v>
          </cell>
        </row>
        <row r="87">
          <cell r="E87">
            <v>505</v>
          </cell>
          <cell r="H87">
            <v>350</v>
          </cell>
          <cell r="K87">
            <v>469</v>
          </cell>
          <cell r="N87">
            <v>876</v>
          </cell>
          <cell r="Q87">
            <v>693</v>
          </cell>
          <cell r="T87">
            <v>446</v>
          </cell>
          <cell r="W87">
            <v>90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  <cell r="T88">
            <v>0</v>
          </cell>
          <cell r="W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</row>
        <row r="91">
          <cell r="E91">
            <v>30</v>
          </cell>
          <cell r="H91">
            <v>0</v>
          </cell>
          <cell r="K91">
            <v>44</v>
          </cell>
          <cell r="N91">
            <v>150</v>
          </cell>
          <cell r="Q91">
            <v>70</v>
          </cell>
          <cell r="T91">
            <v>470</v>
          </cell>
          <cell r="W91">
            <v>0</v>
          </cell>
        </row>
        <row r="94">
          <cell r="E94">
            <v>88</v>
          </cell>
          <cell r="H94">
            <v>0</v>
          </cell>
          <cell r="K94">
            <v>160</v>
          </cell>
          <cell r="N94">
            <v>174</v>
          </cell>
          <cell r="Q94">
            <v>44</v>
          </cell>
          <cell r="T94">
            <v>174</v>
          </cell>
          <cell r="W94">
            <v>88</v>
          </cell>
        </row>
        <row r="95">
          <cell r="N95">
            <v>350</v>
          </cell>
        </row>
        <row r="96">
          <cell r="N96">
            <v>350</v>
          </cell>
        </row>
        <row r="102">
          <cell r="T102">
            <v>3</v>
          </cell>
        </row>
        <row r="105">
          <cell r="T105">
            <v>1</v>
          </cell>
        </row>
      </sheetData>
      <sheetData sheetId="4">
        <row r="6">
          <cell r="H6">
            <v>207</v>
          </cell>
          <cell r="N6">
            <v>202</v>
          </cell>
        </row>
        <row r="17">
          <cell r="E17">
            <v>3393</v>
          </cell>
        </row>
        <row r="29">
          <cell r="Q29">
            <v>768</v>
          </cell>
        </row>
        <row r="31">
          <cell r="E31">
            <v>29047</v>
          </cell>
          <cell r="H31">
            <v>47606</v>
          </cell>
          <cell r="K31">
            <v>25261</v>
          </cell>
          <cell r="N31">
            <v>43995</v>
          </cell>
          <cell r="Q31">
            <v>4156</v>
          </cell>
        </row>
        <row r="32">
          <cell r="H32">
            <v>735</v>
          </cell>
          <cell r="Q32">
            <v>1500</v>
          </cell>
        </row>
        <row r="34">
          <cell r="E34">
            <v>0</v>
          </cell>
          <cell r="H34">
            <v>1834</v>
          </cell>
          <cell r="K34">
            <v>0</v>
          </cell>
          <cell r="N34">
            <v>0</v>
          </cell>
          <cell r="Q34">
            <v>1981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Q35">
            <v>990</v>
          </cell>
        </row>
        <row r="36">
          <cell r="E36">
            <v>0</v>
          </cell>
          <cell r="H36">
            <v>0</v>
          </cell>
          <cell r="K36">
            <v>0</v>
          </cell>
          <cell r="N36">
            <v>0</v>
          </cell>
          <cell r="Q36">
            <v>1981</v>
          </cell>
        </row>
        <row r="39">
          <cell r="E39">
            <v>14400</v>
          </cell>
          <cell r="H39">
            <v>26475</v>
          </cell>
          <cell r="K39">
            <v>13821</v>
          </cell>
          <cell r="N39">
            <v>24779</v>
          </cell>
          <cell r="Q39">
            <v>5596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Q41">
            <v>0</v>
          </cell>
        </row>
        <row r="42">
          <cell r="E42">
            <v>302</v>
          </cell>
          <cell r="H42">
            <v>615</v>
          </cell>
          <cell r="K42">
            <v>2103</v>
          </cell>
          <cell r="N42">
            <v>554</v>
          </cell>
          <cell r="Q42">
            <v>91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</row>
        <row r="44">
          <cell r="E44">
            <v>0</v>
          </cell>
          <cell r="H44">
            <v>0</v>
          </cell>
          <cell r="K44">
            <v>570</v>
          </cell>
          <cell r="N44">
            <v>0</v>
          </cell>
          <cell r="Q44">
            <v>0</v>
          </cell>
        </row>
        <row r="45">
          <cell r="E45">
            <v>624</v>
          </cell>
          <cell r="H45">
            <v>1164</v>
          </cell>
          <cell r="K45">
            <v>546</v>
          </cell>
          <cell r="N45">
            <v>1088</v>
          </cell>
          <cell r="Q45">
            <v>180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</row>
        <row r="47">
          <cell r="E47">
            <v>78</v>
          </cell>
          <cell r="H47">
            <v>316</v>
          </cell>
          <cell r="K47">
            <v>153</v>
          </cell>
          <cell r="N47">
            <v>223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</row>
        <row r="51">
          <cell r="E51">
            <v>30</v>
          </cell>
          <cell r="H51">
            <v>260</v>
          </cell>
          <cell r="K51">
            <v>230</v>
          </cell>
          <cell r="N51">
            <v>230</v>
          </cell>
          <cell r="Q51">
            <v>240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</row>
        <row r="55">
          <cell r="E55">
            <v>280</v>
          </cell>
          <cell r="H55">
            <v>1500</v>
          </cell>
          <cell r="K55">
            <v>280</v>
          </cell>
          <cell r="N55">
            <v>840</v>
          </cell>
          <cell r="Q55">
            <v>0</v>
          </cell>
        </row>
        <row r="56">
          <cell r="E56">
            <v>20</v>
          </cell>
          <cell r="H56">
            <v>22</v>
          </cell>
          <cell r="K56">
            <v>0</v>
          </cell>
          <cell r="N56">
            <v>0</v>
          </cell>
          <cell r="Q56">
            <v>20</v>
          </cell>
        </row>
        <row r="60">
          <cell r="E60">
            <v>3858</v>
          </cell>
          <cell r="H60">
            <v>8244</v>
          </cell>
          <cell r="K60">
            <v>4312</v>
          </cell>
          <cell r="N60">
            <v>6965</v>
          </cell>
          <cell r="Q60">
            <v>1572</v>
          </cell>
        </row>
        <row r="61">
          <cell r="E61">
            <v>167</v>
          </cell>
          <cell r="H61">
            <v>314</v>
          </cell>
          <cell r="K61">
            <v>154</v>
          </cell>
          <cell r="N61">
            <v>283</v>
          </cell>
          <cell r="Q61">
            <v>46</v>
          </cell>
        </row>
        <row r="62">
          <cell r="E62">
            <v>71</v>
          </cell>
          <cell r="H62">
            <v>128</v>
          </cell>
          <cell r="K62">
            <v>60</v>
          </cell>
          <cell r="N62">
            <v>110</v>
          </cell>
          <cell r="Q62">
            <v>25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Q63">
            <v>0</v>
          </cell>
        </row>
        <row r="64">
          <cell r="E64">
            <v>161</v>
          </cell>
          <cell r="H64">
            <v>289</v>
          </cell>
          <cell r="K64">
            <v>135</v>
          </cell>
          <cell r="N64">
            <v>271</v>
          </cell>
          <cell r="Q64">
            <v>50</v>
          </cell>
        </row>
        <row r="65">
          <cell r="E65">
            <v>260</v>
          </cell>
          <cell r="H65">
            <v>712</v>
          </cell>
          <cell r="K65">
            <v>0</v>
          </cell>
          <cell r="N65">
            <v>87</v>
          </cell>
          <cell r="Q65">
            <v>91</v>
          </cell>
        </row>
        <row r="66">
          <cell r="E66">
            <v>239</v>
          </cell>
          <cell r="H66">
            <v>661</v>
          </cell>
          <cell r="K66">
            <v>0</v>
          </cell>
          <cell r="N66">
            <v>0</v>
          </cell>
          <cell r="Q66">
            <v>161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Q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180</v>
          </cell>
        </row>
        <row r="70">
          <cell r="E70">
            <v>150</v>
          </cell>
          <cell r="H70">
            <v>140</v>
          </cell>
          <cell r="K70">
            <v>38</v>
          </cell>
          <cell r="N70">
            <v>40</v>
          </cell>
          <cell r="Q70">
            <v>100</v>
          </cell>
        </row>
        <row r="72">
          <cell r="E72">
            <v>747</v>
          </cell>
          <cell r="H72">
            <v>3200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5581</v>
          </cell>
          <cell r="H73">
            <v>0</v>
          </cell>
          <cell r="K73">
            <v>0</v>
          </cell>
          <cell r="N73">
            <v>0</v>
          </cell>
          <cell r="Q73">
            <v>0</v>
          </cell>
        </row>
        <row r="74">
          <cell r="E74">
            <v>0</v>
          </cell>
          <cell r="H74">
            <v>0</v>
          </cell>
          <cell r="K74">
            <v>0</v>
          </cell>
          <cell r="N74">
            <v>0</v>
          </cell>
          <cell r="Q74">
            <v>0</v>
          </cell>
        </row>
        <row r="75">
          <cell r="E75">
            <v>250</v>
          </cell>
          <cell r="H75">
            <v>510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Q78">
            <v>0</v>
          </cell>
        </row>
        <row r="79">
          <cell r="E79">
            <v>100</v>
          </cell>
          <cell r="H79">
            <v>657</v>
          </cell>
          <cell r="K79">
            <v>2</v>
          </cell>
          <cell r="N79">
            <v>97</v>
          </cell>
          <cell r="Q79">
            <v>150</v>
          </cell>
        </row>
        <row r="80">
          <cell r="E80">
            <v>120</v>
          </cell>
          <cell r="H80">
            <v>300</v>
          </cell>
          <cell r="K80">
            <v>0</v>
          </cell>
          <cell r="N80">
            <v>0</v>
          </cell>
          <cell r="Q80">
            <v>800</v>
          </cell>
        </row>
        <row r="82">
          <cell r="E82">
            <v>32</v>
          </cell>
          <cell r="H82">
            <v>50</v>
          </cell>
          <cell r="K82">
            <v>0</v>
          </cell>
          <cell r="N82">
            <v>14</v>
          </cell>
          <cell r="Q82">
            <v>50</v>
          </cell>
        </row>
        <row r="83">
          <cell r="E83">
            <v>0</v>
          </cell>
          <cell r="H83">
            <v>0</v>
          </cell>
          <cell r="K83">
            <v>0</v>
          </cell>
          <cell r="N83">
            <v>0</v>
          </cell>
          <cell r="Q83">
            <v>0</v>
          </cell>
        </row>
        <row r="85">
          <cell r="E85">
            <v>2020</v>
          </cell>
          <cell r="H85">
            <v>1621</v>
          </cell>
          <cell r="K85">
            <v>11</v>
          </cell>
          <cell r="N85">
            <v>29</v>
          </cell>
          <cell r="Q85">
            <v>365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</row>
        <row r="92">
          <cell r="E92">
            <v>282</v>
          </cell>
          <cell r="H92">
            <v>0</v>
          </cell>
          <cell r="K92">
            <v>348</v>
          </cell>
          <cell r="N92">
            <v>324</v>
          </cell>
          <cell r="Q92">
            <v>0</v>
          </cell>
        </row>
        <row r="93">
          <cell r="E93">
            <v>0</v>
          </cell>
          <cell r="H93">
            <v>735</v>
          </cell>
          <cell r="K93">
            <v>2498</v>
          </cell>
          <cell r="N93">
            <v>8263</v>
          </cell>
          <cell r="Q93">
            <v>768</v>
          </cell>
        </row>
        <row r="94">
          <cell r="E94">
            <v>0</v>
          </cell>
          <cell r="H94">
            <v>735</v>
          </cell>
          <cell r="K94">
            <v>2498</v>
          </cell>
          <cell r="N94">
            <v>8263</v>
          </cell>
          <cell r="Q94">
            <v>0</v>
          </cell>
        </row>
        <row r="95">
          <cell r="Q95">
            <v>768</v>
          </cell>
        </row>
        <row r="96">
          <cell r="E96">
            <v>0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300</v>
          </cell>
          <cell r="K102">
            <v>0</v>
          </cell>
          <cell r="N102">
            <v>0</v>
          </cell>
          <cell r="Q102">
            <v>250</v>
          </cell>
        </row>
        <row r="103">
          <cell r="E103">
            <v>724</v>
          </cell>
          <cell r="H103">
            <v>312</v>
          </cell>
          <cell r="K103">
            <v>0</v>
          </cell>
          <cell r="N103">
            <v>0</v>
          </cell>
          <cell r="Q103">
            <v>50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</row>
        <row r="106">
          <cell r="E106">
            <v>195</v>
          </cell>
          <cell r="H106">
            <v>165</v>
          </cell>
          <cell r="K106">
            <v>0</v>
          </cell>
          <cell r="N106">
            <v>0</v>
          </cell>
          <cell r="Q106">
            <v>82</v>
          </cell>
        </row>
        <row r="108">
          <cell r="E108">
            <v>597</v>
          </cell>
          <cell r="H108">
            <v>545</v>
          </cell>
          <cell r="K108">
            <v>0</v>
          </cell>
          <cell r="N108">
            <v>0</v>
          </cell>
          <cell r="Q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</row>
        <row r="111">
          <cell r="E111">
            <v>161</v>
          </cell>
          <cell r="H111">
            <v>147</v>
          </cell>
          <cell r="K111">
            <v>0</v>
          </cell>
          <cell r="N111">
            <v>0</v>
          </cell>
          <cell r="Q111">
            <v>0</v>
          </cell>
        </row>
        <row r="113">
          <cell r="H113">
            <v>1000</v>
          </cell>
          <cell r="Q113">
            <v>1500</v>
          </cell>
        </row>
      </sheetData>
      <sheetData sheetId="5"/>
      <sheetData sheetId="6"/>
      <sheetData sheetId="7">
        <row r="3">
          <cell r="O3">
            <v>11871</v>
          </cell>
        </row>
        <row r="4">
          <cell r="O4">
            <v>3864</v>
          </cell>
        </row>
        <row r="5">
          <cell r="O5">
            <v>5216</v>
          </cell>
        </row>
        <row r="6">
          <cell r="O6">
            <v>2217</v>
          </cell>
        </row>
        <row r="7">
          <cell r="O7">
            <v>12292</v>
          </cell>
        </row>
        <row r="8">
          <cell r="O8">
            <v>5735</v>
          </cell>
        </row>
        <row r="9">
          <cell r="O9">
            <v>6705</v>
          </cell>
        </row>
        <row r="10">
          <cell r="O10">
            <v>2639</v>
          </cell>
        </row>
        <row r="12">
          <cell r="O12">
            <v>308</v>
          </cell>
        </row>
        <row r="13">
          <cell r="O13">
            <v>1995</v>
          </cell>
        </row>
        <row r="14">
          <cell r="O14">
            <v>771</v>
          </cell>
        </row>
        <row r="15">
          <cell r="O15">
            <v>49</v>
          </cell>
        </row>
        <row r="17">
          <cell r="O17">
            <v>857</v>
          </cell>
        </row>
        <row r="18">
          <cell r="O18">
            <v>1498</v>
          </cell>
        </row>
        <row r="19">
          <cell r="O19">
            <v>408</v>
          </cell>
        </row>
        <row r="21">
          <cell r="O21">
            <v>217361</v>
          </cell>
        </row>
        <row r="26">
          <cell r="O26">
            <v>5884</v>
          </cell>
        </row>
        <row r="27">
          <cell r="O27">
            <v>7873</v>
          </cell>
        </row>
        <row r="28">
          <cell r="O28">
            <v>2763</v>
          </cell>
        </row>
        <row r="29">
          <cell r="O29">
            <v>1884</v>
          </cell>
        </row>
        <row r="32">
          <cell r="O32">
            <v>2235</v>
          </cell>
        </row>
        <row r="33">
          <cell r="O33">
            <v>1000</v>
          </cell>
        </row>
        <row r="34">
          <cell r="O34">
            <v>2498</v>
          </cell>
        </row>
        <row r="35">
          <cell r="O35">
            <v>8263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  <sheetName val="Munka2"/>
    </sheetNames>
    <sheetDataSet>
      <sheetData sheetId="0"/>
      <sheetData sheetId="1">
        <row r="4">
          <cell r="Z4">
            <v>980</v>
          </cell>
        </row>
        <row r="7">
          <cell r="Z7">
            <v>662</v>
          </cell>
        </row>
        <row r="9">
          <cell r="I9">
            <v>136</v>
          </cell>
          <cell r="J9">
            <v>38</v>
          </cell>
        </row>
        <row r="10">
          <cell r="I10">
            <v>144</v>
          </cell>
          <cell r="J10">
            <v>39</v>
          </cell>
        </row>
        <row r="11">
          <cell r="Z11">
            <v>29</v>
          </cell>
        </row>
        <row r="12">
          <cell r="Z12">
            <v>29</v>
          </cell>
        </row>
        <row r="13">
          <cell r="Z13">
            <v>29</v>
          </cell>
        </row>
        <row r="14">
          <cell r="Z14">
            <v>29</v>
          </cell>
        </row>
        <row r="15">
          <cell r="Z15">
            <v>29</v>
          </cell>
        </row>
        <row r="16">
          <cell r="Z16">
            <v>29</v>
          </cell>
        </row>
        <row r="17">
          <cell r="Z17">
            <v>183</v>
          </cell>
        </row>
        <row r="18">
          <cell r="I18">
            <v>53</v>
          </cell>
        </row>
        <row r="19">
          <cell r="R19">
            <v>-53</v>
          </cell>
        </row>
        <row r="21">
          <cell r="Z21">
            <v>-12</v>
          </cell>
        </row>
      </sheetData>
      <sheetData sheetId="2">
        <row r="5">
          <cell r="E5">
            <v>46</v>
          </cell>
          <cell r="F5">
            <v>13</v>
          </cell>
          <cell r="V5">
            <v>59</v>
          </cell>
        </row>
        <row r="6">
          <cell r="E6">
            <v>79</v>
          </cell>
          <cell r="F6">
            <v>22</v>
          </cell>
          <cell r="V6">
            <v>101</v>
          </cell>
        </row>
        <row r="7">
          <cell r="E7">
            <v>183</v>
          </cell>
          <cell r="F7">
            <v>49</v>
          </cell>
          <cell r="V7">
            <v>232</v>
          </cell>
        </row>
        <row r="8">
          <cell r="E8">
            <v>123</v>
          </cell>
          <cell r="F8">
            <v>33</v>
          </cell>
          <cell r="V8">
            <v>156</v>
          </cell>
        </row>
        <row r="9">
          <cell r="E9">
            <v>71</v>
          </cell>
          <cell r="F9">
            <v>19</v>
          </cell>
          <cell r="V9">
            <v>90</v>
          </cell>
        </row>
        <row r="10">
          <cell r="E10">
            <v>30</v>
          </cell>
          <cell r="F10">
            <v>8</v>
          </cell>
          <cell r="V10">
            <v>38</v>
          </cell>
        </row>
        <row r="11">
          <cell r="W11">
            <v>150</v>
          </cell>
        </row>
        <row r="12">
          <cell r="E12">
            <v>123</v>
          </cell>
        </row>
        <row r="13">
          <cell r="E13">
            <v>-50</v>
          </cell>
        </row>
        <row r="14">
          <cell r="E14">
            <v>17</v>
          </cell>
        </row>
        <row r="15">
          <cell r="E15">
            <v>11</v>
          </cell>
        </row>
        <row r="16">
          <cell r="F16">
            <v>148</v>
          </cell>
        </row>
        <row r="17">
          <cell r="F17">
            <v>-123</v>
          </cell>
        </row>
        <row r="18">
          <cell r="H18">
            <v>21</v>
          </cell>
        </row>
        <row r="19">
          <cell r="I19">
            <v>2</v>
          </cell>
        </row>
        <row r="20">
          <cell r="I20">
            <v>1</v>
          </cell>
        </row>
        <row r="21">
          <cell r="G21">
            <v>46</v>
          </cell>
        </row>
        <row r="22">
          <cell r="I22">
            <v>6</v>
          </cell>
        </row>
        <row r="23">
          <cell r="I23">
            <v>5</v>
          </cell>
        </row>
        <row r="24">
          <cell r="I24">
            <v>-57</v>
          </cell>
        </row>
        <row r="25">
          <cell r="E25">
            <v>120</v>
          </cell>
        </row>
        <row r="26">
          <cell r="F26">
            <v>33</v>
          </cell>
        </row>
        <row r="27">
          <cell r="F27">
            <v>-100</v>
          </cell>
        </row>
        <row r="28">
          <cell r="I28">
            <v>17</v>
          </cell>
        </row>
        <row r="29">
          <cell r="I29">
            <v>15</v>
          </cell>
        </row>
        <row r="30">
          <cell r="G30">
            <v>-29</v>
          </cell>
        </row>
        <row r="31">
          <cell r="I31">
            <v>-22</v>
          </cell>
        </row>
        <row r="32">
          <cell r="I32">
            <v>-5</v>
          </cell>
        </row>
        <row r="33">
          <cell r="J33">
            <v>-29</v>
          </cell>
        </row>
        <row r="34">
          <cell r="E34">
            <v>276</v>
          </cell>
        </row>
        <row r="35">
          <cell r="E35">
            <v>-88</v>
          </cell>
        </row>
        <row r="36">
          <cell r="E36">
            <v>-8</v>
          </cell>
        </row>
        <row r="37">
          <cell r="E37">
            <v>15</v>
          </cell>
        </row>
        <row r="38">
          <cell r="E38">
            <v>-25</v>
          </cell>
        </row>
        <row r="39">
          <cell r="F39">
            <v>83</v>
          </cell>
        </row>
        <row r="40">
          <cell r="F40">
            <v>-186</v>
          </cell>
        </row>
        <row r="41">
          <cell r="F41">
            <v>11</v>
          </cell>
        </row>
        <row r="42">
          <cell r="H42">
            <v>14</v>
          </cell>
        </row>
        <row r="43">
          <cell r="I43">
            <v>77</v>
          </cell>
        </row>
        <row r="44">
          <cell r="I44">
            <v>19</v>
          </cell>
        </row>
        <row r="45">
          <cell r="I45">
            <v>91</v>
          </cell>
        </row>
        <row r="46">
          <cell r="I46">
            <v>-78</v>
          </cell>
        </row>
        <row r="47">
          <cell r="I47">
            <v>-114</v>
          </cell>
        </row>
        <row r="48">
          <cell r="I48">
            <v>-28</v>
          </cell>
        </row>
        <row r="49">
          <cell r="J49">
            <v>-59</v>
          </cell>
        </row>
        <row r="50">
          <cell r="W50">
            <v>107</v>
          </cell>
        </row>
        <row r="51">
          <cell r="E51">
            <v>5</v>
          </cell>
        </row>
        <row r="52">
          <cell r="E52">
            <v>14</v>
          </cell>
        </row>
        <row r="53">
          <cell r="H53">
            <v>2</v>
          </cell>
        </row>
        <row r="54">
          <cell r="I54">
            <v>62</v>
          </cell>
        </row>
        <row r="55">
          <cell r="I55">
            <v>13</v>
          </cell>
        </row>
        <row r="56">
          <cell r="G56">
            <v>11</v>
          </cell>
        </row>
        <row r="57">
          <cell r="E57">
            <v>74</v>
          </cell>
        </row>
        <row r="58">
          <cell r="E58">
            <v>15</v>
          </cell>
        </row>
        <row r="59">
          <cell r="F59">
            <v>11</v>
          </cell>
        </row>
        <row r="60">
          <cell r="F60">
            <v>-150</v>
          </cell>
        </row>
        <row r="61">
          <cell r="H61">
            <v>20</v>
          </cell>
        </row>
        <row r="62">
          <cell r="I62">
            <v>50</v>
          </cell>
        </row>
        <row r="63">
          <cell r="I63">
            <v>172</v>
          </cell>
        </row>
        <row r="64">
          <cell r="K64">
            <v>-150</v>
          </cell>
        </row>
        <row r="65">
          <cell r="J65">
            <v>-41</v>
          </cell>
        </row>
        <row r="66">
          <cell r="Y66">
            <v>1</v>
          </cell>
        </row>
        <row r="67">
          <cell r="W67">
            <v>30</v>
          </cell>
        </row>
        <row r="68">
          <cell r="E68">
            <v>1</v>
          </cell>
        </row>
        <row r="69">
          <cell r="E69">
            <v>26</v>
          </cell>
        </row>
        <row r="70">
          <cell r="F70">
            <v>3</v>
          </cell>
        </row>
        <row r="71">
          <cell r="E71">
            <v>-4</v>
          </cell>
          <cell r="F71">
            <v>-1</v>
          </cell>
          <cell r="V71">
            <v>-5</v>
          </cell>
        </row>
        <row r="72">
          <cell r="E72">
            <v>-5</v>
          </cell>
          <cell r="F72">
            <v>-2</v>
          </cell>
          <cell r="V72">
            <v>-7</v>
          </cell>
        </row>
      </sheetData>
      <sheetData sheetId="3">
        <row r="4">
          <cell r="E4">
            <v>72</v>
          </cell>
          <cell r="F4">
            <v>20</v>
          </cell>
        </row>
        <row r="5">
          <cell r="Z5">
            <v>92</v>
          </cell>
        </row>
        <row r="6">
          <cell r="E6">
            <v>-216</v>
          </cell>
        </row>
        <row r="7">
          <cell r="E7">
            <v>212</v>
          </cell>
        </row>
        <row r="8">
          <cell r="E8">
            <v>4</v>
          </cell>
        </row>
        <row r="9">
          <cell r="F9">
            <v>-53</v>
          </cell>
        </row>
        <row r="10">
          <cell r="F10">
            <v>41</v>
          </cell>
        </row>
        <row r="11">
          <cell r="F11">
            <v>12</v>
          </cell>
        </row>
        <row r="12">
          <cell r="G12">
            <v>-26</v>
          </cell>
        </row>
        <row r="13">
          <cell r="G13">
            <v>26</v>
          </cell>
        </row>
        <row r="14">
          <cell r="I14">
            <v>-29</v>
          </cell>
        </row>
        <row r="15">
          <cell r="H15">
            <v>4</v>
          </cell>
        </row>
        <row r="16">
          <cell r="I16">
            <v>7</v>
          </cell>
        </row>
        <row r="17">
          <cell r="I17">
            <v>18</v>
          </cell>
        </row>
        <row r="18">
          <cell r="E18">
            <v>-11</v>
          </cell>
        </row>
        <row r="19">
          <cell r="I19">
            <v>11</v>
          </cell>
        </row>
      </sheetData>
      <sheetData sheetId="4">
        <row r="4">
          <cell r="E4">
            <v>39</v>
          </cell>
          <cell r="F4">
            <v>11</v>
          </cell>
        </row>
        <row r="5">
          <cell r="Z5">
            <v>50</v>
          </cell>
        </row>
        <row r="6">
          <cell r="E6">
            <v>-40</v>
          </cell>
        </row>
        <row r="7">
          <cell r="E7">
            <v>8</v>
          </cell>
        </row>
        <row r="8">
          <cell r="E8">
            <v>32</v>
          </cell>
        </row>
        <row r="9">
          <cell r="F9">
            <v>-86</v>
          </cell>
        </row>
        <row r="10">
          <cell r="F10">
            <v>78</v>
          </cell>
        </row>
        <row r="11">
          <cell r="F11">
            <v>3</v>
          </cell>
        </row>
        <row r="12">
          <cell r="F12">
            <v>3</v>
          </cell>
        </row>
        <row r="13">
          <cell r="F13">
            <v>2</v>
          </cell>
        </row>
        <row r="14">
          <cell r="G14">
            <v>154</v>
          </cell>
        </row>
        <row r="15">
          <cell r="G15">
            <v>-224</v>
          </cell>
        </row>
        <row r="16">
          <cell r="I16">
            <v>11</v>
          </cell>
        </row>
        <row r="17">
          <cell r="E17">
            <v>-50</v>
          </cell>
        </row>
        <row r="18">
          <cell r="I18">
            <v>50</v>
          </cell>
        </row>
        <row r="19">
          <cell r="Q19">
            <v>-150</v>
          </cell>
        </row>
        <row r="20">
          <cell r="Q20">
            <v>209</v>
          </cell>
        </row>
        <row r="21">
          <cell r="J21">
            <v>-10</v>
          </cell>
        </row>
        <row r="22">
          <cell r="Q22">
            <v>10</v>
          </cell>
        </row>
      </sheetData>
      <sheetData sheetId="5">
        <row r="4">
          <cell r="E4">
            <v>43</v>
          </cell>
          <cell r="F4">
            <v>12</v>
          </cell>
        </row>
        <row r="5">
          <cell r="Z5">
            <v>55</v>
          </cell>
        </row>
        <row r="6">
          <cell r="E6">
            <v>-42</v>
          </cell>
        </row>
        <row r="7">
          <cell r="E7">
            <v>40</v>
          </cell>
        </row>
        <row r="8">
          <cell r="F8">
            <v>-40</v>
          </cell>
        </row>
        <row r="9">
          <cell r="F9">
            <v>38</v>
          </cell>
        </row>
        <row r="10">
          <cell r="F10">
            <v>2</v>
          </cell>
        </row>
        <row r="11">
          <cell r="I11">
            <v>2</v>
          </cell>
        </row>
        <row r="12">
          <cell r="O12">
            <v>662</v>
          </cell>
        </row>
        <row r="13">
          <cell r="Z13">
            <v>662</v>
          </cell>
        </row>
      </sheetData>
      <sheetData sheetId="6">
        <row r="4">
          <cell r="E4">
            <v>69</v>
          </cell>
          <cell r="F4">
            <v>19</v>
          </cell>
        </row>
        <row r="5">
          <cell r="Z5">
            <v>88</v>
          </cell>
        </row>
        <row r="6">
          <cell r="E6">
            <v>-14</v>
          </cell>
        </row>
        <row r="7">
          <cell r="E7">
            <v>13</v>
          </cell>
        </row>
        <row r="8">
          <cell r="E8">
            <v>1</v>
          </cell>
        </row>
        <row r="9">
          <cell r="F9">
            <v>-95</v>
          </cell>
        </row>
        <row r="10">
          <cell r="F10">
            <v>69</v>
          </cell>
        </row>
        <row r="11">
          <cell r="F11">
            <v>26</v>
          </cell>
        </row>
        <row r="12">
          <cell r="E12">
            <v>-67</v>
          </cell>
        </row>
        <row r="13">
          <cell r="I13">
            <v>67</v>
          </cell>
        </row>
      </sheetData>
      <sheetData sheetId="7">
        <row r="4">
          <cell r="E4">
            <v>15</v>
          </cell>
          <cell r="F4">
            <v>4</v>
          </cell>
        </row>
        <row r="5">
          <cell r="Z5">
            <v>19</v>
          </cell>
        </row>
        <row r="6">
          <cell r="E6">
            <v>-75</v>
          </cell>
        </row>
        <row r="7">
          <cell r="E7">
            <v>58</v>
          </cell>
        </row>
        <row r="8">
          <cell r="F8">
            <v>10</v>
          </cell>
        </row>
        <row r="9">
          <cell r="F9">
            <v>17</v>
          </cell>
        </row>
        <row r="10">
          <cell r="F10">
            <v>-7</v>
          </cell>
        </row>
        <row r="11">
          <cell r="F11">
            <v>3</v>
          </cell>
        </row>
        <row r="12">
          <cell r="F12">
            <v>-6</v>
          </cell>
        </row>
        <row r="13">
          <cell r="Q13">
            <v>-24</v>
          </cell>
        </row>
        <row r="14">
          <cell r="Q14">
            <v>24</v>
          </cell>
        </row>
        <row r="15">
          <cell r="I15">
            <v>-122</v>
          </cell>
        </row>
        <row r="16">
          <cell r="I16">
            <v>-12</v>
          </cell>
        </row>
        <row r="17">
          <cell r="J17">
            <v>-230</v>
          </cell>
        </row>
        <row r="18">
          <cell r="I18">
            <v>364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28">
          <cell r="N28">
            <v>8980</v>
          </cell>
        </row>
      </sheetData>
      <sheetData sheetId="2">
        <row r="5">
          <cell r="E5">
            <v>27960</v>
          </cell>
        </row>
        <row r="8">
          <cell r="E8">
            <v>1279</v>
          </cell>
        </row>
        <row r="9">
          <cell r="E9">
            <v>3999</v>
          </cell>
        </row>
        <row r="10">
          <cell r="E10">
            <v>579</v>
          </cell>
        </row>
        <row r="11">
          <cell r="E11">
            <v>500</v>
          </cell>
        </row>
        <row r="12">
          <cell r="E12">
            <v>2635</v>
          </cell>
        </row>
        <row r="13">
          <cell r="E13">
            <v>1578</v>
          </cell>
        </row>
        <row r="14">
          <cell r="E14">
            <v>950</v>
          </cell>
        </row>
        <row r="17">
          <cell r="E17">
            <v>3815</v>
          </cell>
        </row>
        <row r="18">
          <cell r="E18">
            <v>990</v>
          </cell>
        </row>
        <row r="20">
          <cell r="E20">
            <v>1981</v>
          </cell>
        </row>
        <row r="23">
          <cell r="E23">
            <v>4383</v>
          </cell>
        </row>
        <row r="24">
          <cell r="E24">
            <v>960</v>
          </cell>
        </row>
        <row r="25">
          <cell r="E25">
            <v>1074</v>
          </cell>
        </row>
        <row r="26">
          <cell r="E26">
            <v>6130</v>
          </cell>
        </row>
        <row r="27">
          <cell r="E27">
            <v>2868</v>
          </cell>
        </row>
        <row r="28">
          <cell r="E28">
            <v>1575</v>
          </cell>
        </row>
        <row r="29">
          <cell r="E29">
            <v>1588</v>
          </cell>
        </row>
        <row r="32">
          <cell r="E32">
            <v>275</v>
          </cell>
        </row>
        <row r="33">
          <cell r="E33">
            <v>862</v>
          </cell>
        </row>
        <row r="34">
          <cell r="E34">
            <v>125</v>
          </cell>
        </row>
        <row r="35">
          <cell r="E35">
            <v>107</v>
          </cell>
        </row>
        <row r="36">
          <cell r="E36">
            <v>568</v>
          </cell>
        </row>
        <row r="37">
          <cell r="E37">
            <v>340</v>
          </cell>
        </row>
        <row r="38">
          <cell r="E38">
            <v>205</v>
          </cell>
        </row>
        <row r="39">
          <cell r="E39">
            <v>254</v>
          </cell>
        </row>
        <row r="42">
          <cell r="E42">
            <v>346</v>
          </cell>
        </row>
        <row r="43">
          <cell r="E43">
            <v>346</v>
          </cell>
        </row>
        <row r="44">
          <cell r="E44">
            <v>346</v>
          </cell>
        </row>
        <row r="45">
          <cell r="E45">
            <v>790</v>
          </cell>
        </row>
        <row r="46">
          <cell r="E46">
            <v>346</v>
          </cell>
        </row>
        <row r="47">
          <cell r="E47">
            <v>346</v>
          </cell>
        </row>
        <row r="48">
          <cell r="E48">
            <v>346</v>
          </cell>
        </row>
        <row r="51">
          <cell r="E51">
            <v>1773</v>
          </cell>
        </row>
        <row r="52">
          <cell r="E52">
            <v>355</v>
          </cell>
        </row>
        <row r="53">
          <cell r="E53">
            <v>864</v>
          </cell>
        </row>
        <row r="54">
          <cell r="E54">
            <v>190</v>
          </cell>
        </row>
        <row r="55">
          <cell r="E55">
            <v>603</v>
          </cell>
        </row>
        <row r="56">
          <cell r="E56">
            <v>1648</v>
          </cell>
        </row>
        <row r="57">
          <cell r="E57">
            <v>451</v>
          </cell>
        </row>
        <row r="69">
          <cell r="E69">
            <v>768</v>
          </cell>
        </row>
        <row r="70">
          <cell r="E70">
            <v>350</v>
          </cell>
        </row>
        <row r="73">
          <cell r="E73">
            <v>308</v>
          </cell>
        </row>
        <row r="74">
          <cell r="E74">
            <v>1995</v>
          </cell>
        </row>
        <row r="75">
          <cell r="E75">
            <v>771</v>
          </cell>
        </row>
        <row r="76">
          <cell r="E76">
            <v>49</v>
          </cell>
        </row>
      </sheetData>
      <sheetData sheetId="3">
        <row r="13">
          <cell r="E13">
            <v>1260</v>
          </cell>
        </row>
      </sheetData>
      <sheetData sheetId="4">
        <row r="16">
          <cell r="E16">
            <v>3393</v>
          </cell>
        </row>
      </sheetData>
      <sheetData sheetId="5">
        <row r="32">
          <cell r="C32">
            <v>13373333.333333332</v>
          </cell>
        </row>
      </sheetData>
      <sheetData sheetId="6">
        <row r="3">
          <cell r="E3">
            <v>7400325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I27"/>
  <sheetViews>
    <sheetView tabSelected="1" workbookViewId="0">
      <selection activeCell="G8" sqref="G8"/>
    </sheetView>
  </sheetViews>
  <sheetFormatPr defaultRowHeight="12.75"/>
  <cols>
    <col min="1" max="1" width="37.7109375" style="92" customWidth="1"/>
    <col min="2" max="4" width="11.28515625" style="92" customWidth="1"/>
    <col min="5" max="5" width="37.7109375" style="92" customWidth="1"/>
    <col min="6" max="8" width="11.28515625" style="92" customWidth="1"/>
    <col min="9" max="16384" width="9.140625" style="92"/>
  </cols>
  <sheetData>
    <row r="1" spans="1:9" ht="42.75" customHeight="1">
      <c r="A1" s="118" t="s">
        <v>52</v>
      </c>
      <c r="B1" s="121" t="s">
        <v>467</v>
      </c>
      <c r="C1" s="125" t="s">
        <v>445</v>
      </c>
      <c r="D1" s="540" t="s">
        <v>504</v>
      </c>
      <c r="E1" s="544" t="s">
        <v>104</v>
      </c>
      <c r="F1" s="121" t="s">
        <v>467</v>
      </c>
      <c r="G1" s="125" t="s">
        <v>445</v>
      </c>
      <c r="H1" s="134" t="s">
        <v>504</v>
      </c>
    </row>
    <row r="2" spans="1:9" ht="16.149999999999999" customHeight="1">
      <c r="A2" s="119" t="s">
        <v>130</v>
      </c>
      <c r="B2" s="122">
        <f>+'1.1.SZ.TÁBL. BEV - KIAD'!O8</f>
        <v>303273</v>
      </c>
      <c r="C2" s="122">
        <f>+'1.1.SZ.TÁBL. BEV - KIAD'!P8</f>
        <v>1987</v>
      </c>
      <c r="D2" s="122">
        <f>+'1.1.SZ.TÁBL. BEV - KIAD'!Q8</f>
        <v>305260</v>
      </c>
      <c r="E2" s="545" t="s">
        <v>68</v>
      </c>
      <c r="F2" s="122">
        <f>+'1.1.SZ.TÁBL. BEV - KIAD'!O52</f>
        <v>156479</v>
      </c>
      <c r="G2" s="122">
        <f>+'1.1.SZ.TÁBL. BEV - KIAD'!P52</f>
        <v>1140</v>
      </c>
      <c r="H2" s="565">
        <f>+'1.1.SZ.TÁBL. BEV - KIAD'!Q52</f>
        <v>157619</v>
      </c>
    </row>
    <row r="3" spans="1:9" ht="16.149999999999999" customHeight="1">
      <c r="A3" s="120" t="s">
        <v>132</v>
      </c>
      <c r="B3" s="123">
        <f>+'1.1.SZ.TÁBL. BEV - KIAD'!O22</f>
        <v>10672</v>
      </c>
      <c r="C3" s="123">
        <f>+'1.1.SZ.TÁBL. BEV - KIAD'!P22</f>
        <v>288</v>
      </c>
      <c r="D3" s="123">
        <f>+'1.1.SZ.TÁBL. BEV - KIAD'!Q22</f>
        <v>10960</v>
      </c>
      <c r="E3" s="546" t="s">
        <v>131</v>
      </c>
      <c r="F3" s="132">
        <f>+'1.1.SZ.TÁBL. BEV - KIAD'!O53</f>
        <v>43978</v>
      </c>
      <c r="G3" s="132">
        <f>+'1.1.SZ.TÁBL. BEV - KIAD'!P53</f>
        <v>-46</v>
      </c>
      <c r="H3" s="566">
        <f>+'1.1.SZ.TÁBL. BEV - KIAD'!Q53</f>
        <v>43932</v>
      </c>
    </row>
    <row r="4" spans="1:9" ht="16.149999999999999" customHeight="1">
      <c r="A4" s="120" t="s">
        <v>407</v>
      </c>
      <c r="B4" s="124">
        <f>+'1.1.SZ.TÁBL. BEV - KIAD'!O25</f>
        <v>0</v>
      </c>
      <c r="C4" s="124">
        <f>+'1.1.SZ.TÁBL. BEV - KIAD'!P25</f>
        <v>0</v>
      </c>
      <c r="D4" s="124">
        <f>+'1.1.SZ.TÁBL. BEV - KIAD'!Q25</f>
        <v>0</v>
      </c>
      <c r="E4" s="546" t="s">
        <v>133</v>
      </c>
      <c r="F4" s="123">
        <f>+'1.1.SZ.TÁBL. BEV - KIAD'!O85</f>
        <v>81411</v>
      </c>
      <c r="G4" s="123">
        <f>+'1.1.SZ.TÁBL. BEV - KIAD'!P85</f>
        <v>503</v>
      </c>
      <c r="H4" s="567">
        <f>+'1.1.SZ.TÁBL. BEV - KIAD'!Q85</f>
        <v>81914</v>
      </c>
    </row>
    <row r="5" spans="1:9" ht="16.149999999999999" customHeight="1">
      <c r="A5" s="120" t="s">
        <v>135</v>
      </c>
      <c r="B5" s="124">
        <f>+'1.1.SZ.TÁBL. BEV - KIAD'!O29</f>
        <v>10098</v>
      </c>
      <c r="C5" s="124">
        <f>+'1.1.SZ.TÁBL. BEV - KIAD'!P29</f>
        <v>0</v>
      </c>
      <c r="D5" s="124">
        <f>+'1.1.SZ.TÁBL. BEV - KIAD'!Q29</f>
        <v>10098</v>
      </c>
      <c r="E5" s="547" t="s">
        <v>134</v>
      </c>
      <c r="F5" s="124"/>
      <c r="G5" s="124"/>
      <c r="H5" s="568"/>
    </row>
    <row r="6" spans="1:9" ht="16.149999999999999" customHeight="1">
      <c r="A6" s="120"/>
      <c r="B6" s="124"/>
      <c r="C6" s="44"/>
      <c r="D6" s="541"/>
      <c r="E6" s="546" t="s">
        <v>136</v>
      </c>
      <c r="F6" s="123">
        <f>+'1.1.SZ.TÁBL. BEV - KIAD'!O87</f>
        <v>31018</v>
      </c>
      <c r="G6" s="123">
        <f>+'1.1.SZ.TÁBL. BEV - KIAD'!P87</f>
        <v>662</v>
      </c>
      <c r="H6" s="567">
        <f>+'1.1.SZ.TÁBL. BEV - KIAD'!Q87</f>
        <v>31680</v>
      </c>
    </row>
    <row r="7" spans="1:9" ht="16.149999999999999" customHeight="1">
      <c r="A7" s="120"/>
      <c r="B7" s="124"/>
      <c r="C7" s="44"/>
      <c r="D7" s="541"/>
      <c r="E7" s="546" t="s">
        <v>451</v>
      </c>
      <c r="F7" s="123">
        <f>+'1.1.SZ.TÁBL. BEV - KIAD'!O86</f>
        <v>1682</v>
      </c>
      <c r="G7" s="123">
        <f>+'1.1.SZ.TÁBL. BEV - KIAD'!P86</f>
        <v>0</v>
      </c>
      <c r="H7" s="567">
        <f>+'1.1.SZ.TÁBL. BEV - KIAD'!Q86</f>
        <v>1682</v>
      </c>
    </row>
    <row r="8" spans="1:9" ht="16.149999999999999" customHeight="1">
      <c r="A8" s="120"/>
      <c r="B8" s="124"/>
      <c r="C8" s="44"/>
      <c r="D8" s="541"/>
      <c r="E8" s="547" t="s">
        <v>137</v>
      </c>
      <c r="F8" s="124">
        <f>+'1.1.SZ.TÁBL. BEV - KIAD'!O92</f>
        <v>3443</v>
      </c>
      <c r="G8" s="124">
        <f>+'1.1.SZ.TÁBL. BEV - KIAD'!P92</f>
        <v>-53</v>
      </c>
      <c r="H8" s="568">
        <f>+'1.1.SZ.TÁBL. BEV - KIAD'!Q92</f>
        <v>3390</v>
      </c>
    </row>
    <row r="9" spans="1:9" ht="16.149999999999999" customHeight="1">
      <c r="A9" s="127"/>
      <c r="B9" s="128"/>
      <c r="C9" s="129"/>
      <c r="D9" s="542"/>
      <c r="E9" s="548"/>
      <c r="F9" s="133"/>
      <c r="G9" s="133"/>
      <c r="H9" s="569"/>
    </row>
    <row r="10" spans="1:9" ht="16.149999999999999" customHeight="1">
      <c r="A10" s="135" t="s">
        <v>145</v>
      </c>
      <c r="B10" s="136">
        <f>SUM(B2:B9)</f>
        <v>324043</v>
      </c>
      <c r="C10" s="136">
        <f t="shared" ref="C10:D10" si="0">SUM(C2:C9)</f>
        <v>2275</v>
      </c>
      <c r="D10" s="136">
        <f t="shared" si="0"/>
        <v>326318</v>
      </c>
      <c r="E10" s="549" t="s">
        <v>147</v>
      </c>
      <c r="F10" s="136">
        <f>SUM(F2:F8)</f>
        <v>318011</v>
      </c>
      <c r="G10" s="136">
        <f t="shared" ref="G10:H10" si="1">SUM(G2:G8)</f>
        <v>2206</v>
      </c>
      <c r="H10" s="570">
        <f t="shared" si="1"/>
        <v>320217</v>
      </c>
    </row>
    <row r="11" spans="1:9" ht="16.149999999999999" customHeight="1">
      <c r="A11" s="144"/>
      <c r="B11" s="145"/>
      <c r="C11" s="146"/>
      <c r="D11" s="543"/>
      <c r="E11" s="550"/>
      <c r="F11" s="145"/>
      <c r="G11" s="145"/>
      <c r="H11" s="571"/>
    </row>
    <row r="12" spans="1:9" ht="16.149999999999999" customHeight="1">
      <c r="A12" s="119" t="s">
        <v>138</v>
      </c>
      <c r="B12" s="122">
        <f>+'1.1.SZ.TÁBL. BEV - KIAD'!O12</f>
        <v>0</v>
      </c>
      <c r="C12" s="122">
        <f>+'1.1.SZ.TÁBL. BEV - KIAD'!P12</f>
        <v>0</v>
      </c>
      <c r="D12" s="122">
        <f>+'1.1.SZ.TÁBL. BEV - KIAD'!Q12</f>
        <v>0</v>
      </c>
      <c r="E12" s="545" t="s">
        <v>139</v>
      </c>
      <c r="F12" s="138">
        <f>+'1.1.SZ.TÁBL. BEV - KIAD'!O105</f>
        <v>2082</v>
      </c>
      <c r="G12" s="138">
        <f>+'1.1.SZ.TÁBL. BEV - KIAD'!P105</f>
        <v>69</v>
      </c>
      <c r="H12" s="572">
        <f>+'1.1.SZ.TÁBL. BEV - KIAD'!Q105</f>
        <v>2151</v>
      </c>
      <c r="I12" s="113"/>
    </row>
    <row r="13" spans="1:9" ht="16.149999999999999" customHeight="1">
      <c r="A13" s="137" t="s">
        <v>408</v>
      </c>
      <c r="B13" s="123">
        <f>+'1.1.SZ.TÁBL. BEV - KIAD'!O27</f>
        <v>0</v>
      </c>
      <c r="C13" s="123">
        <f>+'1.1.SZ.TÁBL. BEV - KIAD'!P27</f>
        <v>0</v>
      </c>
      <c r="D13" s="123">
        <f>+'1.1.SZ.TÁBL. BEV - KIAD'!Q27</f>
        <v>0</v>
      </c>
      <c r="E13" s="546" t="s">
        <v>140</v>
      </c>
      <c r="F13" s="139">
        <f>+'1.1.SZ.TÁBL. BEV - KIAD'!O110</f>
        <v>1450</v>
      </c>
      <c r="G13" s="139">
        <f>+'1.1.SZ.TÁBL. BEV - KIAD'!P110</f>
        <v>0</v>
      </c>
      <c r="H13" s="573">
        <f>+'1.1.SZ.TÁBL. BEV - KIAD'!Q110</f>
        <v>1450</v>
      </c>
      <c r="I13" s="113"/>
    </row>
    <row r="14" spans="1:9" ht="16.149999999999999" customHeight="1">
      <c r="A14" s="120" t="s">
        <v>141</v>
      </c>
      <c r="B14" s="123"/>
      <c r="C14" s="126"/>
      <c r="D14" s="541"/>
      <c r="E14" s="546" t="s">
        <v>142</v>
      </c>
      <c r="F14" s="139">
        <f>+'1.1.SZ.TÁBL. BEV - KIAD'!O111</f>
        <v>2500</v>
      </c>
      <c r="G14" s="139">
        <f>+'1.1.SZ.TÁBL. BEV - KIAD'!P111</f>
        <v>0</v>
      </c>
      <c r="H14" s="573">
        <f>+'1.1.SZ.TÁBL. BEV - KIAD'!Q111</f>
        <v>2500</v>
      </c>
      <c r="I14" s="113"/>
    </row>
    <row r="15" spans="1:9" ht="16.149999999999999" customHeight="1">
      <c r="A15" s="120"/>
      <c r="B15" s="124"/>
      <c r="C15" s="44"/>
      <c r="D15" s="541"/>
      <c r="E15" s="546" t="s">
        <v>143</v>
      </c>
      <c r="F15" s="140"/>
      <c r="G15" s="140"/>
      <c r="H15" s="574"/>
      <c r="I15" s="113"/>
    </row>
    <row r="16" spans="1:9" ht="16.149999999999999" customHeight="1">
      <c r="A16" s="147"/>
      <c r="B16" s="148"/>
      <c r="C16" s="45"/>
      <c r="D16" s="542"/>
      <c r="E16" s="551"/>
      <c r="F16" s="149"/>
      <c r="G16" s="149"/>
      <c r="H16" s="575"/>
    </row>
    <row r="17" spans="1:9" ht="16.149999999999999" customHeight="1" thickBot="1">
      <c r="A17" s="130" t="s">
        <v>146</v>
      </c>
      <c r="B17" s="131">
        <f>SUM(B12:B16)</f>
        <v>0</v>
      </c>
      <c r="C17" s="131">
        <f t="shared" ref="C17:D17" si="2">SUM(C12:C16)</f>
        <v>0</v>
      </c>
      <c r="D17" s="131">
        <f t="shared" si="2"/>
        <v>0</v>
      </c>
      <c r="E17" s="552" t="s">
        <v>148</v>
      </c>
      <c r="F17" s="150">
        <f>SUM(F12:F16)</f>
        <v>6032</v>
      </c>
      <c r="G17" s="150">
        <f t="shared" ref="G17:H17" si="3">SUM(G12:G16)</f>
        <v>69</v>
      </c>
      <c r="H17" s="576">
        <f t="shared" si="3"/>
        <v>6101</v>
      </c>
    </row>
    <row r="18" spans="1:9" ht="16.149999999999999" customHeight="1" thickBot="1">
      <c r="A18" s="141" t="s">
        <v>144</v>
      </c>
      <c r="B18" s="142">
        <f>B10+B17</f>
        <v>324043</v>
      </c>
      <c r="C18" s="142">
        <f t="shared" ref="C18:D18" si="4">C10+C17</f>
        <v>2275</v>
      </c>
      <c r="D18" s="142">
        <f t="shared" si="4"/>
        <v>326318</v>
      </c>
      <c r="E18" s="553" t="s">
        <v>144</v>
      </c>
      <c r="F18" s="143">
        <f>F10+F17</f>
        <v>324043</v>
      </c>
      <c r="G18" s="143">
        <f t="shared" ref="G18:H18" si="5">G10+G17</f>
        <v>2275</v>
      </c>
      <c r="H18" s="577">
        <f t="shared" si="5"/>
        <v>326318</v>
      </c>
      <c r="I18" s="113"/>
    </row>
    <row r="19" spans="1:9" ht="16.149999999999999" customHeight="1"/>
    <row r="20" spans="1:9" ht="16.149999999999999" customHeight="1"/>
    <row r="21" spans="1:9" ht="16.149999999999999" customHeight="1"/>
    <row r="22" spans="1:9" ht="16.149999999999999" customHeight="1"/>
    <row r="23" spans="1:9" ht="16.149999999999999" customHeight="1"/>
    <row r="24" spans="1:9" ht="16.149999999999999" customHeight="1"/>
    <row r="25" spans="1:9" ht="16.149999999999999" customHeight="1"/>
    <row r="26" spans="1:9" ht="16.149999999999999" customHeight="1"/>
    <row r="27" spans="1:9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5" orientation="landscape" r:id="rId1"/>
  <headerFooter>
    <oddHeader>&amp;L&amp;"Times New Roman,Félkövér"&amp;13Szent László Völgye TKT&amp;C&amp;"Times New Roman,Félkövér"&amp;16 2014. ÉVI III. KÖLTSÉGVETÉS MÓDOSÍTÁS&amp;R1.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K82"/>
  <sheetViews>
    <sheetView workbookViewId="0">
      <selection activeCell="A35" sqref="A35"/>
    </sheetView>
  </sheetViews>
  <sheetFormatPr defaultRowHeight="15"/>
  <cols>
    <col min="1" max="1" width="31.7109375" style="96" customWidth="1"/>
    <col min="2" max="10" width="11.28515625" style="96" customWidth="1"/>
    <col min="11" max="16384" width="9.140625" style="96"/>
  </cols>
  <sheetData>
    <row r="1" spans="1:10" s="97" customFormat="1" ht="31.5" customHeight="1">
      <c r="A1" s="697" t="s">
        <v>24</v>
      </c>
      <c r="B1" s="930" t="s">
        <v>454</v>
      </c>
      <c r="C1" s="931"/>
      <c r="D1" s="932"/>
      <c r="E1" s="930" t="s">
        <v>485</v>
      </c>
      <c r="F1" s="931"/>
      <c r="G1" s="932"/>
      <c r="H1" s="931" t="s">
        <v>25</v>
      </c>
      <c r="I1" s="931"/>
      <c r="J1" s="933"/>
    </row>
    <row r="2" spans="1:10" ht="31.5" customHeight="1">
      <c r="A2" s="698" t="s">
        <v>26</v>
      </c>
      <c r="B2" s="699" t="s">
        <v>486</v>
      </c>
      <c r="C2" s="700" t="s">
        <v>445</v>
      </c>
      <c r="D2" s="701" t="s">
        <v>487</v>
      </c>
      <c r="E2" s="699" t="s">
        <v>486</v>
      </c>
      <c r="F2" s="700" t="s">
        <v>445</v>
      </c>
      <c r="G2" s="701" t="s">
        <v>487</v>
      </c>
      <c r="H2" s="702" t="s">
        <v>486</v>
      </c>
      <c r="I2" s="700" t="s">
        <v>445</v>
      </c>
      <c r="J2" s="703" t="s">
        <v>487</v>
      </c>
    </row>
    <row r="3" spans="1:10" s="97" customFormat="1" ht="16.5" customHeight="1">
      <c r="A3" s="704" t="s">
        <v>27</v>
      </c>
      <c r="B3" s="705"/>
      <c r="C3" s="706"/>
      <c r="D3" s="707"/>
      <c r="E3" s="705"/>
      <c r="F3" s="708"/>
      <c r="G3" s="707"/>
      <c r="H3" s="709"/>
      <c r="I3" s="708"/>
      <c r="J3" s="710"/>
    </row>
    <row r="4" spans="1:10" s="97" customFormat="1" ht="16.5" customHeight="1">
      <c r="A4" s="711" t="s">
        <v>28</v>
      </c>
      <c r="B4" s="733">
        <v>1</v>
      </c>
      <c r="C4" s="734"/>
      <c r="D4" s="735">
        <f>+B4+C4</f>
        <v>1</v>
      </c>
      <c r="E4" s="736"/>
      <c r="F4" s="737"/>
      <c r="G4" s="738"/>
      <c r="H4" s="746">
        <f>+B4+E4</f>
        <v>1</v>
      </c>
      <c r="I4" s="747">
        <f>+C4+F4</f>
        <v>0</v>
      </c>
      <c r="J4" s="740">
        <f>+D4+G4</f>
        <v>1</v>
      </c>
    </row>
    <row r="5" spans="1:10" s="97" customFormat="1" ht="16.5" customHeight="1">
      <c r="A5" s="711" t="s">
        <v>29</v>
      </c>
      <c r="B5" s="733">
        <v>1</v>
      </c>
      <c r="C5" s="734"/>
      <c r="D5" s="735">
        <f t="shared" ref="D5:D15" si="0">+B5+C5</f>
        <v>1</v>
      </c>
      <c r="E5" s="736"/>
      <c r="F5" s="737"/>
      <c r="G5" s="738"/>
      <c r="H5" s="746">
        <f t="shared" ref="H5:H25" si="1">+B5+E5</f>
        <v>1</v>
      </c>
      <c r="I5" s="747">
        <f t="shared" ref="I5:I25" si="2">+C5+F5</f>
        <v>0</v>
      </c>
      <c r="J5" s="740">
        <f t="shared" ref="J5:J25" si="3">+D5+G5</f>
        <v>1</v>
      </c>
    </row>
    <row r="6" spans="1:10" s="97" customFormat="1" ht="16.5" customHeight="1">
      <c r="A6" s="711" t="s">
        <v>30</v>
      </c>
      <c r="B6" s="733">
        <v>1</v>
      </c>
      <c r="C6" s="734"/>
      <c r="D6" s="735">
        <f t="shared" si="0"/>
        <v>1</v>
      </c>
      <c r="E6" s="736"/>
      <c r="F6" s="737"/>
      <c r="G6" s="738"/>
      <c r="H6" s="746">
        <f t="shared" si="1"/>
        <v>1</v>
      </c>
      <c r="I6" s="747">
        <f t="shared" si="2"/>
        <v>0</v>
      </c>
      <c r="J6" s="740">
        <f t="shared" si="3"/>
        <v>1</v>
      </c>
    </row>
    <row r="7" spans="1:10" s="97" customFormat="1" ht="16.5" customHeight="1">
      <c r="A7" s="711" t="s">
        <v>31</v>
      </c>
      <c r="B7" s="733">
        <v>1</v>
      </c>
      <c r="C7" s="734"/>
      <c r="D7" s="735">
        <f t="shared" si="0"/>
        <v>1</v>
      </c>
      <c r="E7" s="736"/>
      <c r="F7" s="737"/>
      <c r="G7" s="738"/>
      <c r="H7" s="746">
        <f t="shared" si="1"/>
        <v>1</v>
      </c>
      <c r="I7" s="747">
        <f t="shared" si="2"/>
        <v>0</v>
      </c>
      <c r="J7" s="740">
        <f t="shared" si="3"/>
        <v>1</v>
      </c>
    </row>
    <row r="8" spans="1:10" s="97" customFormat="1" ht="16.5" customHeight="1">
      <c r="A8" s="711" t="s">
        <v>32</v>
      </c>
      <c r="B8" s="733">
        <v>0.5</v>
      </c>
      <c r="C8" s="734"/>
      <c r="D8" s="735">
        <f t="shared" si="0"/>
        <v>0.5</v>
      </c>
      <c r="E8" s="736"/>
      <c r="F8" s="737"/>
      <c r="G8" s="738"/>
      <c r="H8" s="746">
        <f t="shared" si="1"/>
        <v>0.5</v>
      </c>
      <c r="I8" s="747">
        <f t="shared" si="2"/>
        <v>0</v>
      </c>
      <c r="J8" s="740">
        <f t="shared" si="3"/>
        <v>0.5</v>
      </c>
    </row>
    <row r="9" spans="1:10" s="97" customFormat="1" ht="16.5" customHeight="1">
      <c r="A9" s="711" t="s">
        <v>82</v>
      </c>
      <c r="B9" s="733">
        <v>0.5</v>
      </c>
      <c r="C9" s="734"/>
      <c r="D9" s="735">
        <f t="shared" si="0"/>
        <v>0.5</v>
      </c>
      <c r="E9" s="736"/>
      <c r="F9" s="737"/>
      <c r="G9" s="738"/>
      <c r="H9" s="746">
        <f t="shared" si="1"/>
        <v>0.5</v>
      </c>
      <c r="I9" s="747">
        <f t="shared" si="2"/>
        <v>0</v>
      </c>
      <c r="J9" s="740">
        <f t="shared" si="3"/>
        <v>0.5</v>
      </c>
    </row>
    <row r="10" spans="1:10" s="97" customFormat="1" ht="16.5" customHeight="1">
      <c r="A10" s="711" t="s">
        <v>33</v>
      </c>
      <c r="B10" s="733">
        <v>1.5</v>
      </c>
      <c r="C10" s="734"/>
      <c r="D10" s="735">
        <f t="shared" si="0"/>
        <v>1.5</v>
      </c>
      <c r="E10" s="736"/>
      <c r="F10" s="737"/>
      <c r="G10" s="738"/>
      <c r="H10" s="746">
        <f t="shared" si="1"/>
        <v>1.5</v>
      </c>
      <c r="I10" s="747">
        <f t="shared" si="2"/>
        <v>0</v>
      </c>
      <c r="J10" s="740">
        <f t="shared" si="3"/>
        <v>1.5</v>
      </c>
    </row>
    <row r="11" spans="1:10" s="97" customFormat="1" ht="16.5" customHeight="1">
      <c r="A11" s="711" t="s">
        <v>34</v>
      </c>
      <c r="B11" s="733">
        <v>5</v>
      </c>
      <c r="C11" s="734"/>
      <c r="D11" s="735">
        <f t="shared" si="0"/>
        <v>5</v>
      </c>
      <c r="E11" s="736"/>
      <c r="F11" s="737"/>
      <c r="G11" s="738"/>
      <c r="H11" s="746">
        <f t="shared" si="1"/>
        <v>5</v>
      </c>
      <c r="I11" s="747">
        <f t="shared" si="2"/>
        <v>0</v>
      </c>
      <c r="J11" s="740">
        <f t="shared" si="3"/>
        <v>5</v>
      </c>
    </row>
    <row r="12" spans="1:10" s="97" customFormat="1" ht="16.5" customHeight="1">
      <c r="A12" s="711" t="s">
        <v>83</v>
      </c>
      <c r="B12" s="733">
        <v>2</v>
      </c>
      <c r="C12" s="734"/>
      <c r="D12" s="735">
        <f t="shared" si="0"/>
        <v>2</v>
      </c>
      <c r="E12" s="736"/>
      <c r="F12" s="737"/>
      <c r="G12" s="738"/>
      <c r="H12" s="746">
        <f t="shared" si="1"/>
        <v>2</v>
      </c>
      <c r="I12" s="747">
        <f t="shared" si="2"/>
        <v>0</v>
      </c>
      <c r="J12" s="740">
        <f t="shared" si="3"/>
        <v>2</v>
      </c>
    </row>
    <row r="13" spans="1:10" s="97" customFormat="1" ht="16.5" customHeight="1">
      <c r="A13" s="711" t="s">
        <v>35</v>
      </c>
      <c r="B13" s="733">
        <v>14.5</v>
      </c>
      <c r="C13" s="734"/>
      <c r="D13" s="735">
        <f t="shared" si="0"/>
        <v>14.5</v>
      </c>
      <c r="E13" s="736"/>
      <c r="F13" s="737"/>
      <c r="G13" s="738"/>
      <c r="H13" s="746">
        <f t="shared" si="1"/>
        <v>14.5</v>
      </c>
      <c r="I13" s="747">
        <f t="shared" si="2"/>
        <v>0</v>
      </c>
      <c r="J13" s="740">
        <f t="shared" si="3"/>
        <v>14.5</v>
      </c>
    </row>
    <row r="14" spans="1:10" s="97" customFormat="1" ht="16.5" customHeight="1">
      <c r="A14" s="711" t="s">
        <v>36</v>
      </c>
      <c r="B14" s="733">
        <v>2</v>
      </c>
      <c r="C14" s="734"/>
      <c r="D14" s="735">
        <f t="shared" si="0"/>
        <v>2</v>
      </c>
      <c r="E14" s="736"/>
      <c r="F14" s="737"/>
      <c r="G14" s="738"/>
      <c r="H14" s="746">
        <f t="shared" si="1"/>
        <v>2</v>
      </c>
      <c r="I14" s="747">
        <f t="shared" si="2"/>
        <v>0</v>
      </c>
      <c r="J14" s="740">
        <f t="shared" si="3"/>
        <v>2</v>
      </c>
    </row>
    <row r="15" spans="1:10" s="97" customFormat="1" ht="16.5" customHeight="1">
      <c r="A15" s="711" t="s">
        <v>103</v>
      </c>
      <c r="B15" s="733">
        <v>1</v>
      </c>
      <c r="C15" s="734"/>
      <c r="D15" s="735">
        <f t="shared" si="0"/>
        <v>1</v>
      </c>
      <c r="E15" s="736"/>
      <c r="F15" s="737"/>
      <c r="G15" s="738"/>
      <c r="H15" s="746">
        <f t="shared" si="1"/>
        <v>1</v>
      </c>
      <c r="I15" s="747">
        <f t="shared" si="2"/>
        <v>0</v>
      </c>
      <c r="J15" s="740">
        <f t="shared" si="3"/>
        <v>1</v>
      </c>
    </row>
    <row r="16" spans="1:10" s="97" customFormat="1" ht="16.5" customHeight="1">
      <c r="A16" s="712" t="s">
        <v>37</v>
      </c>
      <c r="B16" s="741">
        <f>SUM(B4:B15)</f>
        <v>31</v>
      </c>
      <c r="C16" s="742">
        <f t="shared" ref="C16:D16" si="4">SUM(C4:C15)</f>
        <v>0</v>
      </c>
      <c r="D16" s="743">
        <f t="shared" si="4"/>
        <v>31</v>
      </c>
      <c r="E16" s="741"/>
      <c r="F16" s="744"/>
      <c r="G16" s="743"/>
      <c r="H16" s="739">
        <f>+SUM(H4:H15)</f>
        <v>31</v>
      </c>
      <c r="I16" s="737">
        <f>+SUM(I4:I15)</f>
        <v>0</v>
      </c>
      <c r="J16" s="748">
        <f>+SUM(J4:J15)</f>
        <v>31</v>
      </c>
    </row>
    <row r="17" spans="1:10" s="97" customFormat="1" ht="16.5" customHeight="1">
      <c r="A17" s="713" t="s">
        <v>361</v>
      </c>
      <c r="B17" s="736"/>
      <c r="C17" s="734"/>
      <c r="D17" s="738"/>
      <c r="E17" s="736"/>
      <c r="F17" s="737"/>
      <c r="G17" s="738"/>
      <c r="H17" s="739"/>
      <c r="I17" s="737"/>
      <c r="J17" s="740"/>
    </row>
    <row r="18" spans="1:10" ht="16.5" customHeight="1">
      <c r="A18" s="714" t="s">
        <v>28</v>
      </c>
      <c r="B18" s="715"/>
      <c r="C18" s="716"/>
      <c r="D18" s="717"/>
      <c r="E18" s="715">
        <v>1</v>
      </c>
      <c r="F18" s="718"/>
      <c r="G18" s="717">
        <f>+E18+F18</f>
        <v>1</v>
      </c>
      <c r="H18" s="746">
        <f t="shared" si="1"/>
        <v>1</v>
      </c>
      <c r="I18" s="747">
        <f t="shared" si="2"/>
        <v>0</v>
      </c>
      <c r="J18" s="740">
        <f t="shared" si="3"/>
        <v>1</v>
      </c>
    </row>
    <row r="19" spans="1:10" ht="16.5" customHeight="1">
      <c r="A19" s="714" t="s">
        <v>444</v>
      </c>
      <c r="B19" s="715"/>
      <c r="C19" s="716"/>
      <c r="D19" s="717"/>
      <c r="E19" s="715">
        <v>2</v>
      </c>
      <c r="F19" s="718"/>
      <c r="G19" s="717">
        <f t="shared" ref="G19:G25" si="5">+E19+F19</f>
        <v>2</v>
      </c>
      <c r="H19" s="746">
        <f t="shared" si="1"/>
        <v>2</v>
      </c>
      <c r="I19" s="747">
        <f t="shared" si="2"/>
        <v>0</v>
      </c>
      <c r="J19" s="740">
        <f t="shared" si="3"/>
        <v>2</v>
      </c>
    </row>
    <row r="20" spans="1:10" ht="16.5" customHeight="1">
      <c r="A20" s="714" t="s">
        <v>38</v>
      </c>
      <c r="B20" s="715"/>
      <c r="C20" s="716"/>
      <c r="D20" s="717"/>
      <c r="E20" s="715">
        <v>3</v>
      </c>
      <c r="F20" s="718"/>
      <c r="G20" s="717">
        <f t="shared" si="5"/>
        <v>3</v>
      </c>
      <c r="H20" s="746">
        <f t="shared" si="1"/>
        <v>3</v>
      </c>
      <c r="I20" s="747">
        <f t="shared" si="2"/>
        <v>0</v>
      </c>
      <c r="J20" s="740">
        <f t="shared" si="3"/>
        <v>3</v>
      </c>
    </row>
    <row r="21" spans="1:10" ht="16.5" customHeight="1">
      <c r="A21" s="714" t="s">
        <v>39</v>
      </c>
      <c r="B21" s="715"/>
      <c r="C21" s="716"/>
      <c r="D21" s="717"/>
      <c r="E21" s="715">
        <v>18</v>
      </c>
      <c r="F21" s="718"/>
      <c r="G21" s="717">
        <f t="shared" si="5"/>
        <v>18</v>
      </c>
      <c r="H21" s="746">
        <f t="shared" si="1"/>
        <v>18</v>
      </c>
      <c r="I21" s="747">
        <f t="shared" si="2"/>
        <v>0</v>
      </c>
      <c r="J21" s="740">
        <f t="shared" si="3"/>
        <v>18</v>
      </c>
    </row>
    <row r="22" spans="1:10" ht="16.5" customHeight="1">
      <c r="A22" s="714" t="s">
        <v>360</v>
      </c>
      <c r="B22" s="715"/>
      <c r="C22" s="716"/>
      <c r="D22" s="717"/>
      <c r="E22" s="715">
        <v>12.5</v>
      </c>
      <c r="F22" s="718"/>
      <c r="G22" s="717">
        <f t="shared" si="5"/>
        <v>12.5</v>
      </c>
      <c r="H22" s="746">
        <f t="shared" si="1"/>
        <v>12.5</v>
      </c>
      <c r="I22" s="747">
        <f t="shared" si="2"/>
        <v>0</v>
      </c>
      <c r="J22" s="740">
        <f t="shared" si="3"/>
        <v>12.5</v>
      </c>
    </row>
    <row r="23" spans="1:10" ht="16.5" customHeight="1">
      <c r="A23" s="714" t="s">
        <v>40</v>
      </c>
      <c r="B23" s="715"/>
      <c r="C23" s="716"/>
      <c r="D23" s="717"/>
      <c r="E23" s="715">
        <v>1</v>
      </c>
      <c r="F23" s="718">
        <v>-1</v>
      </c>
      <c r="G23" s="717">
        <f t="shared" si="5"/>
        <v>0</v>
      </c>
      <c r="H23" s="746">
        <f t="shared" si="1"/>
        <v>1</v>
      </c>
      <c r="I23" s="747">
        <f t="shared" si="2"/>
        <v>-1</v>
      </c>
      <c r="J23" s="740">
        <f t="shared" si="3"/>
        <v>0</v>
      </c>
    </row>
    <row r="24" spans="1:10" ht="16.5" customHeight="1">
      <c r="A24" s="714" t="s">
        <v>488</v>
      </c>
      <c r="B24" s="715"/>
      <c r="C24" s="716"/>
      <c r="D24" s="717"/>
      <c r="E24" s="715"/>
      <c r="F24" s="718">
        <v>2</v>
      </c>
      <c r="G24" s="717">
        <f t="shared" si="5"/>
        <v>2</v>
      </c>
      <c r="H24" s="746">
        <f t="shared" si="1"/>
        <v>0</v>
      </c>
      <c r="I24" s="747">
        <f t="shared" si="2"/>
        <v>2</v>
      </c>
      <c r="J24" s="740">
        <f t="shared" si="3"/>
        <v>2</v>
      </c>
    </row>
    <row r="25" spans="1:10" ht="16.5" customHeight="1">
      <c r="A25" s="714" t="s">
        <v>41</v>
      </c>
      <c r="B25" s="715"/>
      <c r="C25" s="716"/>
      <c r="D25" s="717"/>
      <c r="E25" s="715">
        <v>1</v>
      </c>
      <c r="F25" s="718"/>
      <c r="G25" s="717">
        <f t="shared" si="5"/>
        <v>1</v>
      </c>
      <c r="H25" s="746">
        <f t="shared" si="1"/>
        <v>1</v>
      </c>
      <c r="I25" s="747">
        <f t="shared" si="2"/>
        <v>0</v>
      </c>
      <c r="J25" s="740">
        <f t="shared" si="3"/>
        <v>1</v>
      </c>
    </row>
    <row r="26" spans="1:10" ht="16.5" customHeight="1" thickBot="1">
      <c r="A26" s="719" t="s">
        <v>362</v>
      </c>
      <c r="B26" s="720"/>
      <c r="C26" s="721"/>
      <c r="D26" s="722"/>
      <c r="E26" s="730">
        <f>SUM(E18:E25)</f>
        <v>38.5</v>
      </c>
      <c r="F26" s="721">
        <f>SUM(F18:F25)</f>
        <v>1</v>
      </c>
      <c r="G26" s="722">
        <f>SUM(G18:G25)</f>
        <v>39.5</v>
      </c>
      <c r="H26" s="739">
        <f>+SUM(H18:H25)</f>
        <v>38.5</v>
      </c>
      <c r="I26" s="737">
        <f>+SUM(I18:I25)</f>
        <v>1</v>
      </c>
      <c r="J26" s="748">
        <f>+SUM(J18:J25)</f>
        <v>39.5</v>
      </c>
    </row>
    <row r="27" spans="1:10" ht="15.75" thickBot="1">
      <c r="A27" s="723" t="s">
        <v>42</v>
      </c>
      <c r="B27" s="724">
        <f>SUM(B16+B26)</f>
        <v>31</v>
      </c>
      <c r="C27" s="725">
        <f t="shared" ref="C27:D27" si="6">SUM(C16+C26)</f>
        <v>0</v>
      </c>
      <c r="D27" s="726">
        <f t="shared" si="6"/>
        <v>31</v>
      </c>
      <c r="E27" s="724">
        <f>SUM(E16+E26)</f>
        <v>38.5</v>
      </c>
      <c r="F27" s="731">
        <f t="shared" ref="F27:G27" si="7">SUM(F16+F26)</f>
        <v>1</v>
      </c>
      <c r="G27" s="726">
        <f t="shared" si="7"/>
        <v>39.5</v>
      </c>
      <c r="H27" s="732">
        <f>+H16+H26</f>
        <v>69.5</v>
      </c>
      <c r="I27" s="731">
        <f>+I16+I26</f>
        <v>1</v>
      </c>
      <c r="J27" s="745">
        <f>+J16+J26</f>
        <v>70.5</v>
      </c>
    </row>
    <row r="28" spans="1:10">
      <c r="A28" s="727"/>
      <c r="B28" s="728"/>
      <c r="C28" s="728"/>
      <c r="D28" s="728"/>
      <c r="E28" s="728"/>
      <c r="F28" s="728"/>
      <c r="G28" s="728"/>
      <c r="H28" s="728"/>
      <c r="I28" s="728"/>
      <c r="J28" s="729"/>
    </row>
    <row r="78" spans="1:1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</row>
    <row r="79" spans="1:11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</row>
    <row r="80" spans="1:11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</row>
    <row r="81" spans="1:1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</row>
    <row r="82" spans="1:1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</sheetData>
  <mergeCells count="3">
    <mergeCell ref="B1:D1"/>
    <mergeCell ref="E1:G1"/>
    <mergeCell ref="H1:J1"/>
  </mergeCells>
  <phoneticPr fontId="25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FF00"/>
  </sheetPr>
  <dimension ref="A1:AC118"/>
  <sheetViews>
    <sheetView workbookViewId="0">
      <pane xSplit="2" ySplit="2" topLeftCell="C3" activePane="bottomRight" state="frozen"/>
      <selection activeCell="A35" sqref="A35"/>
      <selection pane="topRight" activeCell="A35" sqref="A35"/>
      <selection pane="bottomLeft" activeCell="A35" sqref="A35"/>
      <selection pane="bottomRight" activeCell="P22" sqref="P22"/>
    </sheetView>
  </sheetViews>
  <sheetFormatPr defaultColWidth="8.85546875" defaultRowHeight="12.75"/>
  <cols>
    <col min="1" max="1" width="6.28515625" style="1" customWidth="1"/>
    <col min="2" max="2" width="55.7109375" style="33" customWidth="1"/>
    <col min="3" max="5" width="12" style="34" customWidth="1"/>
    <col min="6" max="8" width="12" style="33" customWidth="1"/>
    <col min="9" max="11" width="12" style="35" customWidth="1"/>
    <col min="12" max="16" width="12" style="15" customWidth="1"/>
    <col min="17" max="17" width="12" style="33" customWidth="1"/>
    <col min="18" max="18" width="8.85546875" style="1"/>
    <col min="19" max="19" width="10.85546875" style="2" bestFit="1" customWidth="1"/>
    <col min="20" max="16384" width="8.85546875" style="1"/>
  </cols>
  <sheetData>
    <row r="1" spans="1:19" s="153" customFormat="1" ht="45.75" customHeight="1">
      <c r="A1" s="869" t="s">
        <v>189</v>
      </c>
      <c r="B1" s="871" t="s">
        <v>214</v>
      </c>
      <c r="C1" s="860" t="s">
        <v>128</v>
      </c>
      <c r="D1" s="861"/>
      <c r="E1" s="862"/>
      <c r="F1" s="857" t="s">
        <v>149</v>
      </c>
      <c r="G1" s="858"/>
      <c r="H1" s="859"/>
      <c r="I1" s="857" t="s">
        <v>84</v>
      </c>
      <c r="J1" s="858"/>
      <c r="K1" s="859"/>
      <c r="L1" s="857" t="s">
        <v>129</v>
      </c>
      <c r="M1" s="858"/>
      <c r="N1" s="859"/>
      <c r="O1" s="857" t="s">
        <v>85</v>
      </c>
      <c r="P1" s="858"/>
      <c r="Q1" s="859"/>
      <c r="S1" s="154"/>
    </row>
    <row r="2" spans="1:19" s="155" customFormat="1" ht="29.45" customHeight="1">
      <c r="A2" s="870"/>
      <c r="B2" s="872"/>
      <c r="C2" s="163" t="s">
        <v>467</v>
      </c>
      <c r="D2" s="164" t="s">
        <v>445</v>
      </c>
      <c r="E2" s="160" t="s">
        <v>504</v>
      </c>
      <c r="F2" s="163" t="s">
        <v>467</v>
      </c>
      <c r="G2" s="164" t="s">
        <v>445</v>
      </c>
      <c r="H2" s="160" t="s">
        <v>504</v>
      </c>
      <c r="I2" s="163" t="s">
        <v>467</v>
      </c>
      <c r="J2" s="164" t="s">
        <v>445</v>
      </c>
      <c r="K2" s="160" t="s">
        <v>504</v>
      </c>
      <c r="L2" s="163" t="s">
        <v>467</v>
      </c>
      <c r="M2" s="164" t="s">
        <v>445</v>
      </c>
      <c r="N2" s="160" t="s">
        <v>504</v>
      </c>
      <c r="O2" s="163" t="s">
        <v>467</v>
      </c>
      <c r="P2" s="164" t="s">
        <v>445</v>
      </c>
      <c r="Q2" s="160" t="s">
        <v>504</v>
      </c>
      <c r="S2" s="156"/>
    </row>
    <row r="3" spans="1:19" ht="13.5" customHeight="1">
      <c r="A3" s="165" t="s">
        <v>190</v>
      </c>
      <c r="B3" s="183" t="s">
        <v>150</v>
      </c>
      <c r="C3" s="70"/>
      <c r="D3" s="93"/>
      <c r="E3" s="115"/>
      <c r="F3" s="70"/>
      <c r="G3" s="93"/>
      <c r="H3" s="115"/>
      <c r="I3" s="70"/>
      <c r="J3" s="93"/>
      <c r="K3" s="115"/>
      <c r="L3" s="70"/>
      <c r="M3" s="93"/>
      <c r="N3" s="115"/>
      <c r="O3" s="578">
        <f>+I3+L3</f>
        <v>0</v>
      </c>
      <c r="P3" s="579">
        <f t="shared" ref="P3:Q3" si="0">+J3+M3</f>
        <v>0</v>
      </c>
      <c r="Q3" s="580">
        <f t="shared" si="0"/>
        <v>0</v>
      </c>
    </row>
    <row r="4" spans="1:19" ht="13.5" customHeight="1">
      <c r="A4" s="166" t="s">
        <v>191</v>
      </c>
      <c r="B4" s="184" t="s">
        <v>151</v>
      </c>
      <c r="C4" s="70">
        <f>+SUM(C5:C7)</f>
        <v>0</v>
      </c>
      <c r="D4" s="93">
        <f t="shared" ref="D4" si="1">+SUM(D5:D7)</f>
        <v>0</v>
      </c>
      <c r="E4" s="115">
        <f t="shared" ref="E4" si="2">+SUM(E5:E7)</f>
        <v>0</v>
      </c>
      <c r="F4" s="70">
        <f>+SUM(F5:F7)</f>
        <v>409</v>
      </c>
      <c r="G4" s="93">
        <f t="shared" ref="G4" si="3">+SUM(G5:G7)</f>
        <v>0</v>
      </c>
      <c r="H4" s="115">
        <f t="shared" ref="H4" si="4">+SUM(H5:H7)</f>
        <v>409</v>
      </c>
      <c r="I4" s="70">
        <f>+SUM(I5:I7)</f>
        <v>409</v>
      </c>
      <c r="J4" s="93">
        <f t="shared" ref="J4" si="5">+SUM(J5:J7)</f>
        <v>0</v>
      </c>
      <c r="K4" s="115">
        <f t="shared" ref="K4" si="6">+SUM(K5:K7)</f>
        <v>409</v>
      </c>
      <c r="L4" s="70">
        <f>+SUM(L5:L7)</f>
        <v>302864</v>
      </c>
      <c r="M4" s="93">
        <f t="shared" ref="M4" si="7">+SUM(M5:M7)</f>
        <v>1987</v>
      </c>
      <c r="N4" s="115">
        <f t="shared" ref="N4" si="8">+SUM(N5:N7)</f>
        <v>304851</v>
      </c>
      <c r="O4" s="70">
        <f>+SUM(O5:O7)</f>
        <v>303273</v>
      </c>
      <c r="P4" s="93">
        <f t="shared" ref="P4:Q4" si="9">+SUM(P5:P7)</f>
        <v>1987</v>
      </c>
      <c r="Q4" s="115">
        <f t="shared" si="9"/>
        <v>305260</v>
      </c>
    </row>
    <row r="5" spans="1:19" s="287" customFormat="1" ht="13.5" customHeight="1">
      <c r="A5" s="168"/>
      <c r="B5" s="169" t="s">
        <v>152</v>
      </c>
      <c r="C5" s="380"/>
      <c r="D5" s="381"/>
      <c r="E5" s="382"/>
      <c r="F5" s="380"/>
      <c r="G5" s="381"/>
      <c r="H5" s="382"/>
      <c r="I5" s="72">
        <f t="shared" ref="I5:I7" si="10">+C5+F5</f>
        <v>0</v>
      </c>
      <c r="J5" s="88">
        <f t="shared" ref="J5:J7" si="11">+D5+G5</f>
        <v>0</v>
      </c>
      <c r="K5" s="28">
        <f t="shared" ref="K5:K7" si="12">+E5+H5</f>
        <v>0</v>
      </c>
      <c r="L5" s="72">
        <f>+'2.SZ.TÁBL. BEVÉTELEK'!C5</f>
        <v>27960</v>
      </c>
      <c r="M5" s="88">
        <f>+'2.SZ.TÁBL. BEVÉTELEK'!D5</f>
        <v>0</v>
      </c>
      <c r="N5" s="28">
        <f>+'2.SZ.TÁBL. BEVÉTELEK'!E5</f>
        <v>27960</v>
      </c>
      <c r="O5" s="383">
        <f t="shared" ref="O5:O7" si="13">+I5+L5</f>
        <v>27960</v>
      </c>
      <c r="P5" s="394">
        <f t="shared" ref="P5:P7" si="14">+J5+M5</f>
        <v>0</v>
      </c>
      <c r="Q5" s="395">
        <f t="shared" ref="Q5:Q7" si="15">+K5+N5</f>
        <v>27960</v>
      </c>
      <c r="S5" s="384"/>
    </row>
    <row r="6" spans="1:19" s="280" customFormat="1" ht="13.5" customHeight="1">
      <c r="A6" s="173"/>
      <c r="B6" s="185" t="s">
        <v>468</v>
      </c>
      <c r="C6" s="385"/>
      <c r="D6" s="386"/>
      <c r="E6" s="387"/>
      <c r="F6" s="385">
        <f>+'4.SZ.TÁBL. ÓVODA'!R6</f>
        <v>409</v>
      </c>
      <c r="G6" s="386">
        <f>+'4.SZ.TÁBL. ÓVODA'!S6</f>
        <v>0</v>
      </c>
      <c r="H6" s="387">
        <f>+'4.SZ.TÁBL. ÓVODA'!T6</f>
        <v>409</v>
      </c>
      <c r="I6" s="72">
        <f t="shared" si="10"/>
        <v>409</v>
      </c>
      <c r="J6" s="88">
        <f t="shared" si="11"/>
        <v>0</v>
      </c>
      <c r="K6" s="28">
        <f t="shared" si="12"/>
        <v>409</v>
      </c>
      <c r="L6" s="73">
        <v>0</v>
      </c>
      <c r="M6" s="89">
        <v>0</v>
      </c>
      <c r="N6" s="29">
        <v>0</v>
      </c>
      <c r="O6" s="383">
        <f>+I6+L6</f>
        <v>409</v>
      </c>
      <c r="P6" s="394">
        <f t="shared" ref="P6" si="16">+J6+M6</f>
        <v>0</v>
      </c>
      <c r="Q6" s="395">
        <f t="shared" ref="Q6" si="17">+K6+N6</f>
        <v>409</v>
      </c>
      <c r="R6" s="388"/>
      <c r="S6" s="388"/>
    </row>
    <row r="7" spans="1:19" s="280" customFormat="1" ht="13.5" customHeight="1">
      <c r="A7" s="173"/>
      <c r="B7" s="185" t="s">
        <v>153</v>
      </c>
      <c r="C7" s="385"/>
      <c r="D7" s="386"/>
      <c r="E7" s="387"/>
      <c r="F7" s="385"/>
      <c r="G7" s="386"/>
      <c r="H7" s="387"/>
      <c r="I7" s="72">
        <f t="shared" si="10"/>
        <v>0</v>
      </c>
      <c r="J7" s="88">
        <f t="shared" si="11"/>
        <v>0</v>
      </c>
      <c r="K7" s="28">
        <f t="shared" si="12"/>
        <v>0</v>
      </c>
      <c r="L7" s="73">
        <f>+'2.SZ.TÁBL. BEVÉTELEK'!C84</f>
        <v>274904</v>
      </c>
      <c r="M7" s="89">
        <f>+'2.SZ.TÁBL. BEVÉTELEK'!D84</f>
        <v>1987</v>
      </c>
      <c r="N7" s="29">
        <f>+'2.SZ.TÁBL. BEVÉTELEK'!E84</f>
        <v>276891</v>
      </c>
      <c r="O7" s="383">
        <f t="shared" si="13"/>
        <v>274904</v>
      </c>
      <c r="P7" s="394">
        <f t="shared" si="14"/>
        <v>1987</v>
      </c>
      <c r="Q7" s="395">
        <f t="shared" si="15"/>
        <v>276891</v>
      </c>
      <c r="R7" s="388"/>
      <c r="S7" s="388"/>
    </row>
    <row r="8" spans="1:19" s="3" customFormat="1" ht="13.5" customHeight="1">
      <c r="A8" s="157" t="s">
        <v>192</v>
      </c>
      <c r="B8" s="152" t="s">
        <v>154</v>
      </c>
      <c r="C8" s="400">
        <f>+C3+C4</f>
        <v>0</v>
      </c>
      <c r="D8" s="401">
        <f t="shared" ref="D8:E8" si="18">+D3+D4</f>
        <v>0</v>
      </c>
      <c r="E8" s="402">
        <f t="shared" si="18"/>
        <v>0</v>
      </c>
      <c r="F8" s="400">
        <f>+F3+F4</f>
        <v>409</v>
      </c>
      <c r="G8" s="401">
        <f t="shared" ref="G8:H8" si="19">+G3+G4</f>
        <v>0</v>
      </c>
      <c r="H8" s="402">
        <f t="shared" si="19"/>
        <v>409</v>
      </c>
      <c r="I8" s="400">
        <f>+I3+I4</f>
        <v>409</v>
      </c>
      <c r="J8" s="401">
        <f t="shared" ref="J8:K8" si="20">+J3+J4</f>
        <v>0</v>
      </c>
      <c r="K8" s="402">
        <f t="shared" si="20"/>
        <v>409</v>
      </c>
      <c r="L8" s="400">
        <f>+L3+L4</f>
        <v>302864</v>
      </c>
      <c r="M8" s="401">
        <f t="shared" ref="M8:N8" si="21">+M3+M4</f>
        <v>1987</v>
      </c>
      <c r="N8" s="402">
        <f t="shared" si="21"/>
        <v>304851</v>
      </c>
      <c r="O8" s="400">
        <f>+O3+O4</f>
        <v>303273</v>
      </c>
      <c r="P8" s="401">
        <f t="shared" ref="P8:Q8" si="22">+P3+P4</f>
        <v>1987</v>
      </c>
      <c r="Q8" s="402">
        <f t="shared" si="22"/>
        <v>305260</v>
      </c>
      <c r="S8" s="4"/>
    </row>
    <row r="9" spans="1:19" ht="13.5" customHeight="1">
      <c r="A9" s="174" t="s">
        <v>193</v>
      </c>
      <c r="B9" s="186" t="s">
        <v>188</v>
      </c>
      <c r="C9" s="70"/>
      <c r="D9" s="93"/>
      <c r="E9" s="115"/>
      <c r="F9" s="70"/>
      <c r="G9" s="17"/>
      <c r="H9" s="159"/>
      <c r="I9" s="70"/>
      <c r="J9" s="93"/>
      <c r="K9" s="115"/>
      <c r="L9" s="6"/>
      <c r="M9" s="90"/>
      <c r="N9" s="91"/>
      <c r="O9" s="70">
        <f>+I9+L9</f>
        <v>0</v>
      </c>
      <c r="P9" s="93">
        <f t="shared" ref="P9:Q9" si="23">+J9+M9</f>
        <v>0</v>
      </c>
      <c r="Q9" s="115">
        <f t="shared" si="23"/>
        <v>0</v>
      </c>
    </row>
    <row r="10" spans="1:19" ht="13.5" customHeight="1">
      <c r="A10" s="166" t="s">
        <v>194</v>
      </c>
      <c r="B10" s="184" t="s">
        <v>155</v>
      </c>
      <c r="C10" s="72"/>
      <c r="D10" s="88"/>
      <c r="E10" s="28"/>
      <c r="F10" s="72"/>
      <c r="G10" s="16"/>
      <c r="H10" s="116"/>
      <c r="I10" s="72"/>
      <c r="J10" s="88"/>
      <c r="K10" s="28"/>
      <c r="L10" s="72">
        <f>+'[3]1.1.SZ.TÁBL. BEV - KIAD'!$L9</f>
        <v>0</v>
      </c>
      <c r="M10" s="151"/>
      <c r="N10" s="5"/>
      <c r="O10" s="70">
        <f>+SUM(O11)</f>
        <v>0</v>
      </c>
      <c r="P10" s="93">
        <f t="shared" ref="P10:Q10" si="24">+SUM(P11)</f>
        <v>0</v>
      </c>
      <c r="Q10" s="115">
        <f t="shared" si="24"/>
        <v>0</v>
      </c>
    </row>
    <row r="11" spans="1:19" s="287" customFormat="1" ht="13.5" customHeight="1">
      <c r="A11" s="173"/>
      <c r="B11" s="185" t="s">
        <v>153</v>
      </c>
      <c r="C11" s="385"/>
      <c r="D11" s="386"/>
      <c r="E11" s="387"/>
      <c r="F11" s="385"/>
      <c r="G11" s="389"/>
      <c r="H11" s="390"/>
      <c r="I11" s="385"/>
      <c r="J11" s="386"/>
      <c r="K11" s="387"/>
      <c r="L11" s="391"/>
      <c r="M11" s="392"/>
      <c r="N11" s="393"/>
      <c r="O11" s="383">
        <f t="shared" ref="O11" si="25">+I11+L11</f>
        <v>0</v>
      </c>
      <c r="P11" s="394">
        <f t="shared" ref="P11" si="26">+J11+M11</f>
        <v>0</v>
      </c>
      <c r="Q11" s="395">
        <f t="shared" ref="Q11" si="27">+K11+N11</f>
        <v>0</v>
      </c>
      <c r="S11" s="384"/>
    </row>
    <row r="12" spans="1:19" s="3" customFormat="1" ht="13.5" customHeight="1">
      <c r="A12" s="157" t="s">
        <v>195</v>
      </c>
      <c r="B12" s="152" t="s">
        <v>156</v>
      </c>
      <c r="C12" s="400"/>
      <c r="D12" s="401"/>
      <c r="E12" s="402"/>
      <c r="F12" s="400"/>
      <c r="G12" s="403"/>
      <c r="H12" s="404"/>
      <c r="I12" s="400"/>
      <c r="J12" s="401"/>
      <c r="K12" s="402"/>
      <c r="L12" s="400">
        <f>+L9+L10</f>
        <v>0</v>
      </c>
      <c r="M12" s="401">
        <f t="shared" ref="M12:N12" si="28">+M9+M10</f>
        <v>0</v>
      </c>
      <c r="N12" s="402">
        <f t="shared" si="28"/>
        <v>0</v>
      </c>
      <c r="O12" s="400">
        <f>+O9+O10</f>
        <v>0</v>
      </c>
      <c r="P12" s="401">
        <f t="shared" ref="P12:Q12" si="29">+P9+P10</f>
        <v>0</v>
      </c>
      <c r="Q12" s="402">
        <f t="shared" si="29"/>
        <v>0</v>
      </c>
      <c r="S12" s="4"/>
    </row>
    <row r="13" spans="1:19" ht="13.5" customHeight="1">
      <c r="A13" s="174" t="s">
        <v>196</v>
      </c>
      <c r="B13" s="186" t="s">
        <v>157</v>
      </c>
      <c r="C13" s="578">
        <f>+'3.SZ.TÁBL. SEGÍTŐ SZOLGÁLAT'!X12</f>
        <v>0</v>
      </c>
      <c r="D13" s="579">
        <f>+'3.SZ.TÁBL. SEGÍTŐ SZOLGÁLAT'!Y12</f>
        <v>0</v>
      </c>
      <c r="E13" s="580">
        <f>+'3.SZ.TÁBL. SEGÍTŐ SZOLGÁLAT'!Z12</f>
        <v>0</v>
      </c>
      <c r="F13" s="578"/>
      <c r="G13" s="579"/>
      <c r="H13" s="580"/>
      <c r="I13" s="578">
        <f>+C13+F13</f>
        <v>0</v>
      </c>
      <c r="J13" s="579">
        <f t="shared" ref="J13:K21" si="30">+D13+G13</f>
        <v>0</v>
      </c>
      <c r="K13" s="580">
        <f t="shared" si="30"/>
        <v>0</v>
      </c>
      <c r="L13" s="6"/>
      <c r="M13" s="93"/>
      <c r="N13" s="115"/>
      <c r="O13" s="70">
        <f t="shared" ref="O13:O76" si="31">+I13+L13</f>
        <v>0</v>
      </c>
      <c r="P13" s="93">
        <f t="shared" ref="P13:P21" si="32">+J13+M13</f>
        <v>0</v>
      </c>
      <c r="Q13" s="115">
        <f t="shared" ref="Q13:Q21" si="33">+K13+N13</f>
        <v>0</v>
      </c>
    </row>
    <row r="14" spans="1:19" ht="13.5" customHeight="1">
      <c r="A14" s="166" t="s">
        <v>197</v>
      </c>
      <c r="B14" s="184" t="s">
        <v>158</v>
      </c>
      <c r="C14" s="72">
        <f>+'3.SZ.TÁBL. SEGÍTŐ SZOLGÁLAT'!X13</f>
        <v>1823</v>
      </c>
      <c r="D14" s="88">
        <f>+'3.SZ.TÁBL. SEGÍTŐ SZOLGÁLAT'!Y13</f>
        <v>30</v>
      </c>
      <c r="E14" s="28">
        <f>+'3.SZ.TÁBL. SEGÍTŐ SZOLGÁLAT'!Z13</f>
        <v>1853</v>
      </c>
      <c r="F14" s="72"/>
      <c r="G14" s="88"/>
      <c r="H14" s="28"/>
      <c r="I14" s="72">
        <f t="shared" ref="I14:I21" si="34">+C14+F14</f>
        <v>1823</v>
      </c>
      <c r="J14" s="88">
        <f t="shared" si="30"/>
        <v>30</v>
      </c>
      <c r="K14" s="28">
        <f t="shared" si="30"/>
        <v>1853</v>
      </c>
      <c r="L14" s="7"/>
      <c r="M14" s="151"/>
      <c r="N14" s="5"/>
      <c r="O14" s="72">
        <f t="shared" si="31"/>
        <v>1823</v>
      </c>
      <c r="P14" s="88">
        <f t="shared" si="32"/>
        <v>30</v>
      </c>
      <c r="Q14" s="28">
        <f t="shared" si="33"/>
        <v>1853</v>
      </c>
    </row>
    <row r="15" spans="1:19" ht="13.5" customHeight="1">
      <c r="A15" s="166" t="s">
        <v>198</v>
      </c>
      <c r="B15" s="184" t="s">
        <v>159</v>
      </c>
      <c r="C15" s="72">
        <f>+'3.SZ.TÁBL. SEGÍTŐ SZOLGÁLAT'!X14</f>
        <v>10</v>
      </c>
      <c r="D15" s="88">
        <f>+'3.SZ.TÁBL. SEGÍTŐ SZOLGÁLAT'!Y14</f>
        <v>0</v>
      </c>
      <c r="E15" s="28">
        <f>+'3.SZ.TÁBL. SEGÍTŐ SZOLGÁLAT'!Z14</f>
        <v>10</v>
      </c>
      <c r="F15" s="72"/>
      <c r="G15" s="88"/>
      <c r="H15" s="28"/>
      <c r="I15" s="72">
        <f t="shared" si="34"/>
        <v>10</v>
      </c>
      <c r="J15" s="88">
        <f t="shared" si="30"/>
        <v>0</v>
      </c>
      <c r="K15" s="28">
        <f t="shared" si="30"/>
        <v>10</v>
      </c>
      <c r="L15" s="7"/>
      <c r="M15" s="88"/>
      <c r="N15" s="28"/>
      <c r="O15" s="72">
        <f t="shared" si="31"/>
        <v>10</v>
      </c>
      <c r="P15" s="88">
        <f t="shared" si="32"/>
        <v>0</v>
      </c>
      <c r="Q15" s="28">
        <f t="shared" si="33"/>
        <v>10</v>
      </c>
    </row>
    <row r="16" spans="1:19" ht="13.5" customHeight="1">
      <c r="A16" s="166" t="s">
        <v>199</v>
      </c>
      <c r="B16" s="184" t="s">
        <v>160</v>
      </c>
      <c r="C16" s="72">
        <f>+'3.SZ.TÁBL. SEGÍTŐ SZOLGÁLAT'!X15</f>
        <v>0</v>
      </c>
      <c r="D16" s="88">
        <f>+'3.SZ.TÁBL. SEGÍTŐ SZOLGÁLAT'!Y15</f>
        <v>0</v>
      </c>
      <c r="E16" s="28">
        <f>+'3.SZ.TÁBL. SEGÍTŐ SZOLGÁLAT'!Z15</f>
        <v>0</v>
      </c>
      <c r="F16" s="72"/>
      <c r="G16" s="88"/>
      <c r="H16" s="28"/>
      <c r="I16" s="72">
        <f t="shared" si="34"/>
        <v>0</v>
      </c>
      <c r="J16" s="88">
        <f t="shared" si="30"/>
        <v>0</v>
      </c>
      <c r="K16" s="28">
        <f t="shared" si="30"/>
        <v>0</v>
      </c>
      <c r="L16" s="7"/>
      <c r="M16" s="151"/>
      <c r="N16" s="5"/>
      <c r="O16" s="72">
        <f t="shared" si="31"/>
        <v>0</v>
      </c>
      <c r="P16" s="88">
        <f t="shared" si="32"/>
        <v>0</v>
      </c>
      <c r="Q16" s="28">
        <f t="shared" si="33"/>
        <v>0</v>
      </c>
    </row>
    <row r="17" spans="1:19" ht="13.5" customHeight="1">
      <c r="A17" s="166" t="s">
        <v>200</v>
      </c>
      <c r="B17" s="184" t="s">
        <v>161</v>
      </c>
      <c r="C17" s="72">
        <f>+'3.SZ.TÁBL. SEGÍTŐ SZOLGÁLAT'!X16</f>
        <v>5386</v>
      </c>
      <c r="D17" s="88">
        <f>+'3.SZ.TÁBL. SEGÍTŐ SZOLGÁLAT'!Y16</f>
        <v>257</v>
      </c>
      <c r="E17" s="28">
        <f>+'3.SZ.TÁBL. SEGÍTŐ SZOLGÁLAT'!Z16</f>
        <v>5643</v>
      </c>
      <c r="F17" s="72">
        <f>+'4.SZ.TÁBL. ÓVODA'!R17</f>
        <v>3393</v>
      </c>
      <c r="G17" s="88">
        <f>+'4.SZ.TÁBL. ÓVODA'!S17</f>
        <v>0</v>
      </c>
      <c r="H17" s="28">
        <f>+'4.SZ.TÁBL. ÓVODA'!T17</f>
        <v>3393</v>
      </c>
      <c r="I17" s="72">
        <f t="shared" si="34"/>
        <v>8779</v>
      </c>
      <c r="J17" s="88">
        <f t="shared" si="30"/>
        <v>257</v>
      </c>
      <c r="K17" s="28">
        <f t="shared" si="30"/>
        <v>9036</v>
      </c>
      <c r="L17" s="7"/>
      <c r="M17" s="151"/>
      <c r="N17" s="5"/>
      <c r="O17" s="72">
        <f t="shared" si="31"/>
        <v>8779</v>
      </c>
      <c r="P17" s="88">
        <f t="shared" si="32"/>
        <v>257</v>
      </c>
      <c r="Q17" s="28">
        <f t="shared" si="33"/>
        <v>9036</v>
      </c>
    </row>
    <row r="18" spans="1:19" ht="13.5" customHeight="1">
      <c r="A18" s="166" t="s">
        <v>201</v>
      </c>
      <c r="B18" s="184" t="s">
        <v>162</v>
      </c>
      <c r="C18" s="72">
        <f>+'3.SZ.TÁBL. SEGÍTŐ SZOLGÁLAT'!X17</f>
        <v>0</v>
      </c>
      <c r="D18" s="88">
        <f>+'3.SZ.TÁBL. SEGÍTŐ SZOLGÁLAT'!Y17</f>
        <v>0</v>
      </c>
      <c r="E18" s="28">
        <f>+'3.SZ.TÁBL. SEGÍTŐ SZOLGÁLAT'!Z17</f>
        <v>0</v>
      </c>
      <c r="F18" s="72"/>
      <c r="G18" s="88"/>
      <c r="H18" s="28"/>
      <c r="I18" s="72">
        <f t="shared" si="34"/>
        <v>0</v>
      </c>
      <c r="J18" s="88">
        <f t="shared" si="30"/>
        <v>0</v>
      </c>
      <c r="K18" s="28">
        <f t="shared" si="30"/>
        <v>0</v>
      </c>
      <c r="L18" s="7"/>
      <c r="M18" s="151"/>
      <c r="N18" s="5"/>
      <c r="O18" s="72">
        <f t="shared" si="31"/>
        <v>0</v>
      </c>
      <c r="P18" s="88">
        <f t="shared" si="32"/>
        <v>0</v>
      </c>
      <c r="Q18" s="28">
        <f t="shared" si="33"/>
        <v>0</v>
      </c>
    </row>
    <row r="19" spans="1:19" ht="13.5" customHeight="1">
      <c r="A19" s="166" t="s">
        <v>202</v>
      </c>
      <c r="B19" s="184" t="s">
        <v>163</v>
      </c>
      <c r="C19" s="72">
        <f>+'3.SZ.TÁBL. SEGÍTŐ SZOLGÁLAT'!X18</f>
        <v>0</v>
      </c>
      <c r="D19" s="88">
        <f>+'3.SZ.TÁBL. SEGÍTŐ SZOLGÁLAT'!Y18</f>
        <v>0</v>
      </c>
      <c r="E19" s="28">
        <f>+'3.SZ.TÁBL. SEGÍTŐ SZOLGÁLAT'!Z18</f>
        <v>0</v>
      </c>
      <c r="F19" s="72"/>
      <c r="G19" s="88"/>
      <c r="H19" s="28"/>
      <c r="I19" s="72">
        <f t="shared" si="34"/>
        <v>0</v>
      </c>
      <c r="J19" s="88">
        <f t="shared" si="30"/>
        <v>0</v>
      </c>
      <c r="K19" s="28">
        <f t="shared" si="30"/>
        <v>0</v>
      </c>
      <c r="L19" s="7"/>
      <c r="M19" s="151"/>
      <c r="N19" s="5"/>
      <c r="O19" s="72">
        <f t="shared" si="31"/>
        <v>0</v>
      </c>
      <c r="P19" s="88">
        <f t="shared" si="32"/>
        <v>0</v>
      </c>
      <c r="Q19" s="28">
        <f t="shared" si="33"/>
        <v>0</v>
      </c>
    </row>
    <row r="20" spans="1:19" ht="13.5" customHeight="1">
      <c r="A20" s="166" t="s">
        <v>203</v>
      </c>
      <c r="B20" s="184" t="s">
        <v>164</v>
      </c>
      <c r="C20" s="72">
        <f>+'3.SZ.TÁBL. SEGÍTŐ SZOLGÁLAT'!X19</f>
        <v>0</v>
      </c>
      <c r="D20" s="88">
        <f>+'3.SZ.TÁBL. SEGÍTŐ SZOLGÁLAT'!Y19</f>
        <v>1</v>
      </c>
      <c r="E20" s="28">
        <f>+'3.SZ.TÁBL. SEGÍTŐ SZOLGÁLAT'!Z19</f>
        <v>1</v>
      </c>
      <c r="F20" s="72"/>
      <c r="G20" s="88"/>
      <c r="H20" s="28"/>
      <c r="I20" s="72">
        <f t="shared" si="34"/>
        <v>0</v>
      </c>
      <c r="J20" s="88">
        <f t="shared" si="30"/>
        <v>1</v>
      </c>
      <c r="K20" s="28">
        <f t="shared" si="30"/>
        <v>1</v>
      </c>
      <c r="L20" s="7"/>
      <c r="M20" s="151"/>
      <c r="N20" s="5"/>
      <c r="O20" s="72">
        <f t="shared" si="31"/>
        <v>0</v>
      </c>
      <c r="P20" s="88">
        <f t="shared" si="32"/>
        <v>1</v>
      </c>
      <c r="Q20" s="28">
        <f t="shared" si="33"/>
        <v>1</v>
      </c>
    </row>
    <row r="21" spans="1:19" ht="13.5" customHeight="1">
      <c r="A21" s="176" t="s">
        <v>204</v>
      </c>
      <c r="B21" s="187" t="s">
        <v>165</v>
      </c>
      <c r="C21" s="73">
        <f>+'3.SZ.TÁBL. SEGÍTŐ SZOLGÁLAT'!X20</f>
        <v>60</v>
      </c>
      <c r="D21" s="89">
        <f>+'3.SZ.TÁBL. SEGÍTŐ SZOLGÁLAT'!Y20</f>
        <v>0</v>
      </c>
      <c r="E21" s="29">
        <f>+'3.SZ.TÁBL. SEGÍTŐ SZOLGÁLAT'!Z20</f>
        <v>60</v>
      </c>
      <c r="F21" s="73"/>
      <c r="G21" s="89"/>
      <c r="H21" s="29"/>
      <c r="I21" s="73">
        <f t="shared" si="34"/>
        <v>60</v>
      </c>
      <c r="J21" s="89">
        <f t="shared" si="30"/>
        <v>0</v>
      </c>
      <c r="K21" s="29">
        <f t="shared" si="30"/>
        <v>60</v>
      </c>
      <c r="L21" s="175"/>
      <c r="M21" s="189"/>
      <c r="N21" s="177"/>
      <c r="O21" s="73">
        <f t="shared" si="31"/>
        <v>60</v>
      </c>
      <c r="P21" s="89">
        <f t="shared" si="32"/>
        <v>0</v>
      </c>
      <c r="Q21" s="29">
        <f t="shared" si="33"/>
        <v>60</v>
      </c>
    </row>
    <row r="22" spans="1:19" s="3" customFormat="1" ht="13.5" customHeight="1">
      <c r="A22" s="157" t="s">
        <v>205</v>
      </c>
      <c r="B22" s="152" t="s">
        <v>166</v>
      </c>
      <c r="C22" s="288">
        <f>SUM(C13:C21)</f>
        <v>7279</v>
      </c>
      <c r="D22" s="292">
        <f>SUM(D13:D21)</f>
        <v>288</v>
      </c>
      <c r="E22" s="293">
        <f t="shared" ref="E22" si="35">SUM(E13:E21)</f>
        <v>7567</v>
      </c>
      <c r="F22" s="288">
        <f>SUM(F13:F21)</f>
        <v>3393</v>
      </c>
      <c r="G22" s="292">
        <f t="shared" ref="G22:H22" si="36">SUM(G13:G21)</f>
        <v>0</v>
      </c>
      <c r="H22" s="293">
        <f t="shared" si="36"/>
        <v>3393</v>
      </c>
      <c r="I22" s="288">
        <f>SUM(I13:I21)</f>
        <v>10672</v>
      </c>
      <c r="J22" s="292">
        <f t="shared" ref="J22:K22" si="37">SUM(J13:J21)</f>
        <v>288</v>
      </c>
      <c r="K22" s="293">
        <f t="shared" si="37"/>
        <v>10960</v>
      </c>
      <c r="L22" s="400">
        <f>SUM(L13:L21)</f>
        <v>0</v>
      </c>
      <c r="M22" s="401">
        <f t="shared" ref="M22" si="38">SUM(M13:M21)</f>
        <v>0</v>
      </c>
      <c r="N22" s="402">
        <f t="shared" ref="N22" si="39">SUM(N13:N21)</f>
        <v>0</v>
      </c>
      <c r="O22" s="400">
        <f>SUM(O13:O21)</f>
        <v>10672</v>
      </c>
      <c r="P22" s="401">
        <f t="shared" ref="P22:Q22" si="40">SUM(P13:P21)</f>
        <v>288</v>
      </c>
      <c r="Q22" s="402">
        <f t="shared" si="40"/>
        <v>10960</v>
      </c>
      <c r="S22" s="4"/>
    </row>
    <row r="23" spans="1:19" s="3" customFormat="1" ht="13.5" customHeight="1">
      <c r="A23" s="157" t="s">
        <v>206</v>
      </c>
      <c r="B23" s="152" t="s">
        <v>167</v>
      </c>
      <c r="C23" s="288"/>
      <c r="D23" s="292"/>
      <c r="E23" s="293"/>
      <c r="F23" s="288"/>
      <c r="G23" s="292"/>
      <c r="H23" s="293"/>
      <c r="I23" s="288"/>
      <c r="J23" s="292"/>
      <c r="K23" s="293"/>
      <c r="L23" s="405"/>
      <c r="M23" s="406"/>
      <c r="N23" s="407"/>
      <c r="O23" s="400">
        <f t="shared" si="31"/>
        <v>0</v>
      </c>
      <c r="P23" s="401">
        <f t="shared" ref="P23:P24" si="41">+J23+M23</f>
        <v>0</v>
      </c>
      <c r="Q23" s="402">
        <f t="shared" ref="Q23:Q24" si="42">+K23+N23</f>
        <v>0</v>
      </c>
      <c r="S23" s="4"/>
    </row>
    <row r="24" spans="1:19" ht="13.5" customHeight="1">
      <c r="A24" s="178" t="s">
        <v>207</v>
      </c>
      <c r="B24" s="188" t="s">
        <v>168</v>
      </c>
      <c r="C24" s="243"/>
      <c r="D24" s="239"/>
      <c r="E24" s="244"/>
      <c r="F24" s="243"/>
      <c r="G24" s="239"/>
      <c r="H24" s="244"/>
      <c r="I24" s="243"/>
      <c r="J24" s="239"/>
      <c r="K24" s="244"/>
      <c r="L24" s="8"/>
      <c r="M24" s="190"/>
      <c r="N24" s="117"/>
      <c r="O24" s="71">
        <f t="shared" si="31"/>
        <v>0</v>
      </c>
      <c r="P24" s="114">
        <f t="shared" si="41"/>
        <v>0</v>
      </c>
      <c r="Q24" s="179">
        <f t="shared" si="42"/>
        <v>0</v>
      </c>
    </row>
    <row r="25" spans="1:19" s="3" customFormat="1" ht="13.5" customHeight="1">
      <c r="A25" s="157" t="s">
        <v>208</v>
      </c>
      <c r="B25" s="152" t="s">
        <v>327</v>
      </c>
      <c r="C25" s="288">
        <f>+C24</f>
        <v>0</v>
      </c>
      <c r="D25" s="292">
        <f t="shared" ref="D25:E25" si="43">+D24</f>
        <v>0</v>
      </c>
      <c r="E25" s="293">
        <f t="shared" si="43"/>
        <v>0</v>
      </c>
      <c r="F25" s="288">
        <f>+F24</f>
        <v>0</v>
      </c>
      <c r="G25" s="292">
        <f t="shared" ref="G25:H25" si="44">+G24</f>
        <v>0</v>
      </c>
      <c r="H25" s="293">
        <f t="shared" si="44"/>
        <v>0</v>
      </c>
      <c r="I25" s="288">
        <f>+I24</f>
        <v>0</v>
      </c>
      <c r="J25" s="292">
        <f t="shared" ref="J25:K25" si="45">+J24</f>
        <v>0</v>
      </c>
      <c r="K25" s="293">
        <f t="shared" si="45"/>
        <v>0</v>
      </c>
      <c r="L25" s="400">
        <f>+L24</f>
        <v>0</v>
      </c>
      <c r="M25" s="401">
        <f t="shared" ref="M25" si="46">+M24</f>
        <v>0</v>
      </c>
      <c r="N25" s="402">
        <f t="shared" ref="N25" si="47">+N24</f>
        <v>0</v>
      </c>
      <c r="O25" s="400">
        <f>+O24</f>
        <v>0</v>
      </c>
      <c r="P25" s="401">
        <f t="shared" ref="P25:Q25" si="48">+P24</f>
        <v>0</v>
      </c>
      <c r="Q25" s="402">
        <f t="shared" si="48"/>
        <v>0</v>
      </c>
      <c r="S25" s="4"/>
    </row>
    <row r="26" spans="1:19" ht="13.5" customHeight="1">
      <c r="A26" s="178" t="s">
        <v>209</v>
      </c>
      <c r="B26" s="188" t="s">
        <v>169</v>
      </c>
      <c r="C26" s="243"/>
      <c r="D26" s="239"/>
      <c r="E26" s="244"/>
      <c r="F26" s="243"/>
      <c r="G26" s="239"/>
      <c r="H26" s="244"/>
      <c r="I26" s="243"/>
      <c r="J26" s="239"/>
      <c r="K26" s="244"/>
      <c r="L26" s="8"/>
      <c r="M26" s="190"/>
      <c r="N26" s="117"/>
      <c r="O26" s="71">
        <f t="shared" si="31"/>
        <v>0</v>
      </c>
      <c r="P26" s="114">
        <f t="shared" ref="P26" si="49">+J26+M26</f>
        <v>0</v>
      </c>
      <c r="Q26" s="179">
        <f t="shared" ref="Q26" si="50">+K26+N26</f>
        <v>0</v>
      </c>
    </row>
    <row r="27" spans="1:19" s="3" customFormat="1" ht="13.5" customHeight="1">
      <c r="A27" s="157" t="s">
        <v>210</v>
      </c>
      <c r="B27" s="152" t="s">
        <v>328</v>
      </c>
      <c r="C27" s="288">
        <f>+C26</f>
        <v>0</v>
      </c>
      <c r="D27" s="292">
        <f t="shared" ref="D27:E27" si="51">+D26</f>
        <v>0</v>
      </c>
      <c r="E27" s="293">
        <f t="shared" si="51"/>
        <v>0</v>
      </c>
      <c r="F27" s="288">
        <f>+F26</f>
        <v>0</v>
      </c>
      <c r="G27" s="292">
        <f t="shared" ref="G27:H27" si="52">+G26</f>
        <v>0</v>
      </c>
      <c r="H27" s="293">
        <f t="shared" si="52"/>
        <v>0</v>
      </c>
      <c r="I27" s="288">
        <f>+I26</f>
        <v>0</v>
      </c>
      <c r="J27" s="292">
        <f t="shared" ref="J27:K27" si="53">+J26</f>
        <v>0</v>
      </c>
      <c r="K27" s="293">
        <f t="shared" si="53"/>
        <v>0</v>
      </c>
      <c r="L27" s="288">
        <f>+L26</f>
        <v>0</v>
      </c>
      <c r="M27" s="406"/>
      <c r="N27" s="407"/>
      <c r="O27" s="400">
        <f>+O26</f>
        <v>0</v>
      </c>
      <c r="P27" s="401">
        <f t="shared" ref="P27:Q27" si="54">+P26</f>
        <v>0</v>
      </c>
      <c r="Q27" s="402">
        <f t="shared" si="54"/>
        <v>0</v>
      </c>
      <c r="S27" s="4"/>
    </row>
    <row r="28" spans="1:19" s="3" customFormat="1" ht="13.5" customHeight="1">
      <c r="A28" s="157" t="s">
        <v>211</v>
      </c>
      <c r="B28" s="152" t="s">
        <v>170</v>
      </c>
      <c r="C28" s="288">
        <f>+C8+C12+C22+C23+C25+C27</f>
        <v>7279</v>
      </c>
      <c r="D28" s="292">
        <f t="shared" ref="D28:E28" si="55">+D8+D12+D22+D23+D25+D27</f>
        <v>288</v>
      </c>
      <c r="E28" s="293">
        <f t="shared" si="55"/>
        <v>7567</v>
      </c>
      <c r="F28" s="288">
        <f>+F8+F12+F22+F23+F25+F27</f>
        <v>3802</v>
      </c>
      <c r="G28" s="292">
        <f t="shared" ref="G28:H28" si="56">+G8+G12+G22+G23+G25+G27</f>
        <v>0</v>
      </c>
      <c r="H28" s="293">
        <f t="shared" si="56"/>
        <v>3802</v>
      </c>
      <c r="I28" s="288">
        <f>+I8+I12+I22+I23+I25+I27</f>
        <v>11081</v>
      </c>
      <c r="J28" s="292">
        <f t="shared" ref="J28:K28" si="57">+J8+J12+J22+J23+J25+J27</f>
        <v>288</v>
      </c>
      <c r="K28" s="293">
        <f t="shared" si="57"/>
        <v>11369</v>
      </c>
      <c r="L28" s="400">
        <f>+L8+L12+L22+L23+L25+L27</f>
        <v>302864</v>
      </c>
      <c r="M28" s="401">
        <f>+M8+M12+M22+M23+M25+M27</f>
        <v>1987</v>
      </c>
      <c r="N28" s="402">
        <f t="shared" ref="N28" si="58">+N8+N12+N22+N23+N25+N27</f>
        <v>304851</v>
      </c>
      <c r="O28" s="400">
        <f>+O8+O12+O22+O23+O25+O27</f>
        <v>313945</v>
      </c>
      <c r="P28" s="401">
        <f t="shared" ref="P28:Q28" si="59">+P8+P12+P22+P23+P25+P27</f>
        <v>2275</v>
      </c>
      <c r="Q28" s="402">
        <f t="shared" si="59"/>
        <v>316220</v>
      </c>
      <c r="S28" s="4"/>
    </row>
    <row r="29" spans="1:19" s="3" customFormat="1" ht="13.5" customHeight="1">
      <c r="A29" s="158" t="s">
        <v>212</v>
      </c>
      <c r="B29" s="152" t="s">
        <v>171</v>
      </c>
      <c r="C29" s="288">
        <f>+'3.SZ.TÁBL. SEGÍTŐ SZOLGÁLAT'!X28</f>
        <v>350</v>
      </c>
      <c r="D29" s="292">
        <f>+'3.SZ.TÁBL. SEGÍTŐ SZOLGÁLAT'!Y28</f>
        <v>0</v>
      </c>
      <c r="E29" s="293">
        <f>+'3.SZ.TÁBL. SEGÍTŐ SZOLGÁLAT'!Z28</f>
        <v>350</v>
      </c>
      <c r="F29" s="288">
        <f>+'4.SZ.TÁBL. ÓVODA'!R29</f>
        <v>768</v>
      </c>
      <c r="G29" s="292">
        <f>+'4.SZ.TÁBL. ÓVODA'!S29</f>
        <v>0</v>
      </c>
      <c r="H29" s="293">
        <f>+'4.SZ.TÁBL. ÓVODA'!T29</f>
        <v>768</v>
      </c>
      <c r="I29" s="400">
        <f>+C29+F29</f>
        <v>1118</v>
      </c>
      <c r="J29" s="401">
        <f t="shared" ref="J29:K30" si="60">+D29+G29</f>
        <v>0</v>
      </c>
      <c r="K29" s="402">
        <f>+E29+H29</f>
        <v>1118</v>
      </c>
      <c r="L29" s="405">
        <f>+'[4]1.1.SZ.TÁBL. BEV - KIAD'!$N$29</f>
        <v>8980</v>
      </c>
      <c r="M29" s="406"/>
      <c r="N29" s="407">
        <f>+L29+M29</f>
        <v>8980</v>
      </c>
      <c r="O29" s="400">
        <f t="shared" si="31"/>
        <v>10098</v>
      </c>
      <c r="P29" s="401">
        <f t="shared" ref="P29" si="61">+J29+M29</f>
        <v>0</v>
      </c>
      <c r="Q29" s="402">
        <f t="shared" ref="Q29" si="62">+K29+N29</f>
        <v>10098</v>
      </c>
      <c r="S29" s="4"/>
    </row>
    <row r="30" spans="1:19" s="3" customFormat="1" ht="13.5" customHeight="1">
      <c r="A30" s="435" t="s">
        <v>325</v>
      </c>
      <c r="B30" s="436" t="s">
        <v>326</v>
      </c>
      <c r="C30" s="437">
        <f>+'3.SZ.TÁBL. SEGÍTŐ SZOLGÁLAT'!X29</f>
        <v>85874</v>
      </c>
      <c r="D30" s="581">
        <f>+'3.SZ.TÁBL. SEGÍTŐ SZOLGÁLAT'!Y29</f>
        <v>664</v>
      </c>
      <c r="E30" s="582">
        <f>+'3.SZ.TÁBL. SEGÍTŐ SZOLGÁLAT'!Z29</f>
        <v>86538</v>
      </c>
      <c r="F30" s="437">
        <f>+'4.SZ.TÁBL. ÓVODA'!R30</f>
        <v>159086</v>
      </c>
      <c r="G30" s="581">
        <f>+'4.SZ.TÁBL. ÓVODA'!S30</f>
        <v>966</v>
      </c>
      <c r="H30" s="582">
        <f>+'4.SZ.TÁBL. ÓVODA'!T30</f>
        <v>160052</v>
      </c>
      <c r="I30" s="440">
        <f>+C30+F30</f>
        <v>244960</v>
      </c>
      <c r="J30" s="438">
        <f t="shared" si="60"/>
        <v>1630</v>
      </c>
      <c r="K30" s="439">
        <f t="shared" si="60"/>
        <v>246590</v>
      </c>
      <c r="L30" s="441"/>
      <c r="M30" s="442"/>
      <c r="N30" s="443"/>
      <c r="O30" s="440"/>
      <c r="P30" s="438"/>
      <c r="Q30" s="439"/>
      <c r="S30" s="4"/>
    </row>
    <row r="31" spans="1:19" s="3" customFormat="1" ht="13.5" customHeight="1" thickBot="1">
      <c r="A31" s="161" t="s">
        <v>213</v>
      </c>
      <c r="B31" s="191" t="s">
        <v>172</v>
      </c>
      <c r="C31" s="358">
        <f>SUM(C29:C30)</f>
        <v>86224</v>
      </c>
      <c r="D31" s="359">
        <f t="shared" ref="D31:E31" si="63">SUM(D29:D30)</f>
        <v>664</v>
      </c>
      <c r="E31" s="360">
        <f t="shared" si="63"/>
        <v>86888</v>
      </c>
      <c r="F31" s="358">
        <f>SUM(F29:F30)</f>
        <v>159854</v>
      </c>
      <c r="G31" s="359">
        <f t="shared" ref="G31:H31" si="64">SUM(G29:G30)</f>
        <v>966</v>
      </c>
      <c r="H31" s="360">
        <f t="shared" si="64"/>
        <v>160820</v>
      </c>
      <c r="I31" s="358">
        <f>SUM(I29:I30)</f>
        <v>246078</v>
      </c>
      <c r="J31" s="359">
        <f t="shared" ref="J31:Q31" si="65">SUM(J29:J30)</f>
        <v>1630</v>
      </c>
      <c r="K31" s="360">
        <f t="shared" si="65"/>
        <v>247708</v>
      </c>
      <c r="L31" s="358">
        <f>SUM(L29:L30)</f>
        <v>8980</v>
      </c>
      <c r="M31" s="359">
        <f t="shared" si="65"/>
        <v>0</v>
      </c>
      <c r="N31" s="360">
        <f t="shared" si="65"/>
        <v>8980</v>
      </c>
      <c r="O31" s="358">
        <f>SUM(O29:O30)</f>
        <v>10098</v>
      </c>
      <c r="P31" s="359">
        <f t="shared" si="65"/>
        <v>0</v>
      </c>
      <c r="Q31" s="360">
        <f t="shared" si="65"/>
        <v>10098</v>
      </c>
      <c r="S31" s="4"/>
    </row>
    <row r="32" spans="1:19" s="3" customFormat="1" ht="13.5" customHeight="1" thickBot="1">
      <c r="A32" s="865" t="s">
        <v>0</v>
      </c>
      <c r="B32" s="866"/>
      <c r="C32" s="361">
        <f>+C28+C31</f>
        <v>93503</v>
      </c>
      <c r="D32" s="362">
        <f t="shared" ref="D32:E32" si="66">+D28+D31</f>
        <v>952</v>
      </c>
      <c r="E32" s="363">
        <f t="shared" si="66"/>
        <v>94455</v>
      </c>
      <c r="F32" s="361">
        <f>+F28+F31</f>
        <v>163656</v>
      </c>
      <c r="G32" s="362">
        <f t="shared" ref="G32:H32" si="67">+G28+G31</f>
        <v>966</v>
      </c>
      <c r="H32" s="363">
        <f t="shared" si="67"/>
        <v>164622</v>
      </c>
      <c r="I32" s="361">
        <f>+I28+I31</f>
        <v>257159</v>
      </c>
      <c r="J32" s="362">
        <f t="shared" ref="J32:K32" si="68">+J28+J31</f>
        <v>1918</v>
      </c>
      <c r="K32" s="363">
        <f t="shared" si="68"/>
        <v>259077</v>
      </c>
      <c r="L32" s="361">
        <f>+L28+L31</f>
        <v>311844</v>
      </c>
      <c r="M32" s="362">
        <f>+M28+M31</f>
        <v>1987</v>
      </c>
      <c r="N32" s="363">
        <f t="shared" ref="N32" si="69">+N28+N31</f>
        <v>313831</v>
      </c>
      <c r="O32" s="361">
        <f>+O28+O31</f>
        <v>324043</v>
      </c>
      <c r="P32" s="362">
        <f t="shared" ref="P32:Q32" si="70">+P28+P31</f>
        <v>2275</v>
      </c>
      <c r="Q32" s="363">
        <f t="shared" si="70"/>
        <v>326318</v>
      </c>
      <c r="S32" s="4"/>
    </row>
    <row r="33" spans="1:19" ht="13.5" customHeight="1">
      <c r="A33" s="199" t="s">
        <v>231</v>
      </c>
      <c r="B33" s="180" t="s">
        <v>232</v>
      </c>
      <c r="C33" s="222">
        <f>+'3.SZ.TÁBL. SEGÍTŐ SZOLGÁLAT'!X41</f>
        <v>53340</v>
      </c>
      <c r="D33" s="218">
        <f>+'3.SZ.TÁBL. SEGÍTŐ SZOLGÁLAT'!Y41</f>
        <v>1117</v>
      </c>
      <c r="E33" s="223">
        <f>+'3.SZ.TÁBL. SEGÍTŐ SZOLGÁLAT'!Z41</f>
        <v>54457</v>
      </c>
      <c r="F33" s="222">
        <f>+'4.SZ.TÁBL. ÓVODA'!R39</f>
        <v>85071</v>
      </c>
      <c r="G33" s="218">
        <f>+'4.SZ.TÁBL. ÓVODA'!S39</f>
        <v>279</v>
      </c>
      <c r="H33" s="223">
        <f>+'4.SZ.TÁBL. ÓVODA'!T39</f>
        <v>85350</v>
      </c>
      <c r="I33" s="70">
        <f t="shared" ref="I33:I46" si="71">+C33+F33</f>
        <v>138411</v>
      </c>
      <c r="J33" s="93">
        <f t="shared" ref="J33:J46" si="72">+D33+G33</f>
        <v>1396</v>
      </c>
      <c r="K33" s="115">
        <f t="shared" ref="K33:K46" si="73">+E33+H33</f>
        <v>139807</v>
      </c>
      <c r="L33" s="6"/>
      <c r="M33" s="90"/>
      <c r="N33" s="91"/>
      <c r="O33" s="70">
        <f t="shared" si="31"/>
        <v>138411</v>
      </c>
      <c r="P33" s="93">
        <f t="shared" ref="P33:P46" si="74">+J33+M33</f>
        <v>1396</v>
      </c>
      <c r="Q33" s="115">
        <f t="shared" ref="Q33:Q46" si="75">+K33+N33</f>
        <v>139807</v>
      </c>
    </row>
    <row r="34" spans="1:19" ht="13.5" customHeight="1">
      <c r="A34" s="200" t="s">
        <v>233</v>
      </c>
      <c r="B34" s="170" t="s">
        <v>234</v>
      </c>
      <c r="C34" s="215">
        <f>+'3.SZ.TÁBL. SEGÍTŐ SZOLGÁLAT'!X42</f>
        <v>0</v>
      </c>
      <c r="D34" s="207">
        <f>+'3.SZ.TÁBL. SEGÍTŐ SZOLGÁLAT'!Y42</f>
        <v>0</v>
      </c>
      <c r="E34" s="208">
        <f>+'3.SZ.TÁBL. SEGÍTŐ SZOLGÁLAT'!Z42</f>
        <v>0</v>
      </c>
      <c r="F34" s="215">
        <f>+'4.SZ.TÁBL. ÓVODA'!R40</f>
        <v>0</v>
      </c>
      <c r="G34" s="207">
        <f>+'4.SZ.TÁBL. ÓVODA'!S40</f>
        <v>0</v>
      </c>
      <c r="H34" s="208">
        <f>+'4.SZ.TÁBL. ÓVODA'!T40</f>
        <v>0</v>
      </c>
      <c r="I34" s="72">
        <f t="shared" si="71"/>
        <v>0</v>
      </c>
      <c r="J34" s="88">
        <f t="shared" si="72"/>
        <v>0</v>
      </c>
      <c r="K34" s="28">
        <f t="shared" si="73"/>
        <v>0</v>
      </c>
      <c r="L34" s="7"/>
      <c r="M34" s="151"/>
      <c r="N34" s="5"/>
      <c r="O34" s="72">
        <f t="shared" si="31"/>
        <v>0</v>
      </c>
      <c r="P34" s="88">
        <f t="shared" si="74"/>
        <v>0</v>
      </c>
      <c r="Q34" s="28">
        <f t="shared" si="75"/>
        <v>0</v>
      </c>
    </row>
    <row r="35" spans="1:19" ht="13.5" customHeight="1">
      <c r="A35" s="200" t="s">
        <v>235</v>
      </c>
      <c r="B35" s="170" t="s">
        <v>236</v>
      </c>
      <c r="C35" s="215">
        <f>+'3.SZ.TÁBL. SEGÍTŐ SZOLGÁLAT'!X43</f>
        <v>0</v>
      </c>
      <c r="D35" s="207">
        <f>+'3.SZ.TÁBL. SEGÍTŐ SZOLGÁLAT'!Y43</f>
        <v>0</v>
      </c>
      <c r="E35" s="208">
        <f>+'3.SZ.TÁBL. SEGÍTŐ SZOLGÁLAT'!Z43</f>
        <v>0</v>
      </c>
      <c r="F35" s="215">
        <f>+'4.SZ.TÁBL. ÓVODA'!R41</f>
        <v>0</v>
      </c>
      <c r="G35" s="207">
        <f>+'4.SZ.TÁBL. ÓVODA'!S41</f>
        <v>0</v>
      </c>
      <c r="H35" s="208">
        <f>+'4.SZ.TÁBL. ÓVODA'!T41</f>
        <v>0</v>
      </c>
      <c r="I35" s="72">
        <f t="shared" si="71"/>
        <v>0</v>
      </c>
      <c r="J35" s="88">
        <f t="shared" si="72"/>
        <v>0</v>
      </c>
      <c r="K35" s="28">
        <f t="shared" si="73"/>
        <v>0</v>
      </c>
      <c r="L35" s="7"/>
      <c r="M35" s="151"/>
      <c r="N35" s="5"/>
      <c r="O35" s="72">
        <f t="shared" si="31"/>
        <v>0</v>
      </c>
      <c r="P35" s="88">
        <f t="shared" si="74"/>
        <v>0</v>
      </c>
      <c r="Q35" s="28">
        <f t="shared" si="75"/>
        <v>0</v>
      </c>
    </row>
    <row r="36" spans="1:19" ht="13.5" customHeight="1">
      <c r="A36" s="200" t="s">
        <v>237</v>
      </c>
      <c r="B36" s="170" t="s">
        <v>238</v>
      </c>
      <c r="C36" s="215">
        <f>+'3.SZ.TÁBL. SEGÍTŐ SZOLGÁLAT'!X44</f>
        <v>288</v>
      </c>
      <c r="D36" s="207">
        <f>+'3.SZ.TÁBL. SEGÍTŐ SZOLGÁLAT'!Y44</f>
        <v>-138</v>
      </c>
      <c r="E36" s="208">
        <f>+'3.SZ.TÁBL. SEGÍTŐ SZOLGÁLAT'!Z44</f>
        <v>150</v>
      </c>
      <c r="F36" s="215">
        <f>+'4.SZ.TÁBL. ÓVODA'!R42</f>
        <v>3665</v>
      </c>
      <c r="G36" s="207">
        <f>+'4.SZ.TÁBL. ÓVODA'!S42</f>
        <v>-163</v>
      </c>
      <c r="H36" s="208">
        <f>+'4.SZ.TÁBL. ÓVODA'!T42</f>
        <v>3502</v>
      </c>
      <c r="I36" s="72">
        <f t="shared" si="71"/>
        <v>3953</v>
      </c>
      <c r="J36" s="88">
        <f t="shared" si="72"/>
        <v>-301</v>
      </c>
      <c r="K36" s="28">
        <f t="shared" si="73"/>
        <v>3652</v>
      </c>
      <c r="L36" s="7"/>
      <c r="M36" s="151"/>
      <c r="N36" s="5"/>
      <c r="O36" s="72">
        <f t="shared" si="31"/>
        <v>3953</v>
      </c>
      <c r="P36" s="88">
        <f t="shared" si="74"/>
        <v>-301</v>
      </c>
      <c r="Q36" s="28">
        <f t="shared" si="75"/>
        <v>3652</v>
      </c>
    </row>
    <row r="37" spans="1:19" ht="13.5" customHeight="1">
      <c r="A37" s="200" t="s">
        <v>239</v>
      </c>
      <c r="B37" s="170" t="s">
        <v>240</v>
      </c>
      <c r="C37" s="215">
        <f>+'3.SZ.TÁBL. SEGÍTŐ SZOLGÁLAT'!X45</f>
        <v>0</v>
      </c>
      <c r="D37" s="207">
        <f>+'3.SZ.TÁBL. SEGÍTŐ SZOLGÁLAT'!Y45</f>
        <v>0</v>
      </c>
      <c r="E37" s="208">
        <f>+'3.SZ.TÁBL. SEGÍTŐ SZOLGÁLAT'!Z45</f>
        <v>0</v>
      </c>
      <c r="F37" s="215">
        <f>+'4.SZ.TÁBL. ÓVODA'!R43</f>
        <v>0</v>
      </c>
      <c r="G37" s="207">
        <f>+'4.SZ.TÁBL. ÓVODA'!S43</f>
        <v>0</v>
      </c>
      <c r="H37" s="208">
        <f>+'4.SZ.TÁBL. ÓVODA'!T43</f>
        <v>0</v>
      </c>
      <c r="I37" s="72">
        <f t="shared" si="71"/>
        <v>0</v>
      </c>
      <c r="J37" s="88">
        <f t="shared" si="72"/>
        <v>0</v>
      </c>
      <c r="K37" s="28">
        <f t="shared" si="73"/>
        <v>0</v>
      </c>
      <c r="L37" s="7"/>
      <c r="M37" s="88"/>
      <c r="N37" s="28"/>
      <c r="O37" s="72">
        <f t="shared" si="31"/>
        <v>0</v>
      </c>
      <c r="P37" s="88">
        <f t="shared" si="74"/>
        <v>0</v>
      </c>
      <c r="Q37" s="28">
        <f t="shared" si="75"/>
        <v>0</v>
      </c>
    </row>
    <row r="38" spans="1:19" ht="13.5" customHeight="1">
      <c r="A38" s="200" t="s">
        <v>241</v>
      </c>
      <c r="B38" s="170" t="s">
        <v>1</v>
      </c>
      <c r="C38" s="215">
        <f>+'3.SZ.TÁBL. SEGÍTŐ SZOLGÁLAT'!X46</f>
        <v>496</v>
      </c>
      <c r="D38" s="207">
        <f>+'3.SZ.TÁBL. SEGÍTŐ SZOLGÁLAT'!Y46</f>
        <v>0</v>
      </c>
      <c r="E38" s="208">
        <f>+'3.SZ.TÁBL. SEGÍTŐ SZOLGÁLAT'!Z46</f>
        <v>496</v>
      </c>
      <c r="F38" s="215">
        <f>+'4.SZ.TÁBL. ÓVODA'!R44</f>
        <v>570</v>
      </c>
      <c r="G38" s="207">
        <f>+'4.SZ.TÁBL. ÓVODA'!S44</f>
        <v>0</v>
      </c>
      <c r="H38" s="208">
        <f>+'4.SZ.TÁBL. ÓVODA'!T44</f>
        <v>570</v>
      </c>
      <c r="I38" s="72">
        <f t="shared" si="71"/>
        <v>1066</v>
      </c>
      <c r="J38" s="88">
        <f t="shared" si="72"/>
        <v>0</v>
      </c>
      <c r="K38" s="28">
        <f t="shared" si="73"/>
        <v>1066</v>
      </c>
      <c r="L38" s="7"/>
      <c r="M38" s="151"/>
      <c r="N38" s="5"/>
      <c r="O38" s="72">
        <f t="shared" si="31"/>
        <v>1066</v>
      </c>
      <c r="P38" s="88">
        <f t="shared" si="74"/>
        <v>0</v>
      </c>
      <c r="Q38" s="28">
        <f t="shared" si="75"/>
        <v>1066</v>
      </c>
    </row>
    <row r="39" spans="1:19" ht="13.5" customHeight="1">
      <c r="A39" s="200" t="s">
        <v>242</v>
      </c>
      <c r="B39" s="170" t="s">
        <v>243</v>
      </c>
      <c r="C39" s="215">
        <f>+'3.SZ.TÁBL. SEGÍTŐ SZOLGÁLAT'!X47</f>
        <v>1710</v>
      </c>
      <c r="D39" s="207">
        <f>+'3.SZ.TÁBL. SEGÍTŐ SZOLGÁLAT'!Y47</f>
        <v>15</v>
      </c>
      <c r="E39" s="208">
        <f>+'3.SZ.TÁBL. SEGÍTŐ SZOLGÁLAT'!Z47</f>
        <v>1725</v>
      </c>
      <c r="F39" s="215">
        <f>+'4.SZ.TÁBL. ÓVODA'!R45</f>
        <v>3602</v>
      </c>
      <c r="G39" s="207">
        <f>+'4.SZ.TÁBL. ÓVODA'!S45</f>
        <v>8</v>
      </c>
      <c r="H39" s="208">
        <f>+'4.SZ.TÁBL. ÓVODA'!T45</f>
        <v>3610</v>
      </c>
      <c r="I39" s="72">
        <f t="shared" si="71"/>
        <v>5312</v>
      </c>
      <c r="J39" s="88">
        <f t="shared" si="72"/>
        <v>23</v>
      </c>
      <c r="K39" s="28">
        <f t="shared" si="73"/>
        <v>5335</v>
      </c>
      <c r="L39" s="7"/>
      <c r="M39" s="151"/>
      <c r="N39" s="5"/>
      <c r="O39" s="72">
        <f t="shared" si="31"/>
        <v>5312</v>
      </c>
      <c r="P39" s="88">
        <f t="shared" si="74"/>
        <v>23</v>
      </c>
      <c r="Q39" s="28">
        <f t="shared" si="75"/>
        <v>5335</v>
      </c>
    </row>
    <row r="40" spans="1:19" ht="13.5" customHeight="1">
      <c r="A40" s="200" t="s">
        <v>244</v>
      </c>
      <c r="B40" s="170" t="s">
        <v>245</v>
      </c>
      <c r="C40" s="215">
        <f>+'3.SZ.TÁBL. SEGÍTŐ SZOLGÁLAT'!X48</f>
        <v>0</v>
      </c>
      <c r="D40" s="207">
        <f>+'3.SZ.TÁBL. SEGÍTŐ SZOLGÁLAT'!Y48</f>
        <v>0</v>
      </c>
      <c r="E40" s="208">
        <f>+'3.SZ.TÁBL. SEGÍTŐ SZOLGÁLAT'!Z48</f>
        <v>0</v>
      </c>
      <c r="F40" s="215">
        <f>+'4.SZ.TÁBL. ÓVODA'!R46</f>
        <v>0</v>
      </c>
      <c r="G40" s="207">
        <f>+'4.SZ.TÁBL. ÓVODA'!S46</f>
        <v>0</v>
      </c>
      <c r="H40" s="208">
        <f>+'4.SZ.TÁBL. ÓVODA'!T46</f>
        <v>0</v>
      </c>
      <c r="I40" s="72">
        <f t="shared" si="71"/>
        <v>0</v>
      </c>
      <c r="J40" s="88">
        <f t="shared" si="72"/>
        <v>0</v>
      </c>
      <c r="K40" s="28">
        <f t="shared" si="73"/>
        <v>0</v>
      </c>
      <c r="L40" s="7"/>
      <c r="M40" s="151"/>
      <c r="N40" s="5"/>
      <c r="O40" s="72">
        <f t="shared" si="31"/>
        <v>0</v>
      </c>
      <c r="P40" s="88">
        <f t="shared" si="74"/>
        <v>0</v>
      </c>
      <c r="Q40" s="28">
        <f t="shared" si="75"/>
        <v>0</v>
      </c>
    </row>
    <row r="41" spans="1:19" ht="13.5" customHeight="1">
      <c r="A41" s="200" t="s">
        <v>246</v>
      </c>
      <c r="B41" s="170" t="s">
        <v>2</v>
      </c>
      <c r="C41" s="215">
        <f>+'3.SZ.TÁBL. SEGÍTŐ SZOLGÁLAT'!X49</f>
        <v>543</v>
      </c>
      <c r="D41" s="207">
        <f>+'3.SZ.TÁBL. SEGÍTŐ SZOLGÁLAT'!Y49</f>
        <v>14</v>
      </c>
      <c r="E41" s="208">
        <f>+'3.SZ.TÁBL. SEGÍTŐ SZOLGÁLAT'!Z49</f>
        <v>557</v>
      </c>
      <c r="F41" s="215">
        <f>+'4.SZ.TÁBL. ÓVODA'!R47</f>
        <v>770</v>
      </c>
      <c r="G41" s="207">
        <f>+'4.SZ.TÁBL. ÓVODA'!S47</f>
        <v>1</v>
      </c>
      <c r="H41" s="208">
        <f>+'4.SZ.TÁBL. ÓVODA'!T47</f>
        <v>771</v>
      </c>
      <c r="I41" s="72">
        <f t="shared" si="71"/>
        <v>1313</v>
      </c>
      <c r="J41" s="88">
        <f t="shared" si="72"/>
        <v>15</v>
      </c>
      <c r="K41" s="28">
        <f t="shared" si="73"/>
        <v>1328</v>
      </c>
      <c r="L41" s="7"/>
      <c r="M41" s="88"/>
      <c r="N41" s="28"/>
      <c r="O41" s="72">
        <f t="shared" si="31"/>
        <v>1313</v>
      </c>
      <c r="P41" s="88">
        <f t="shared" si="74"/>
        <v>15</v>
      </c>
      <c r="Q41" s="28">
        <f t="shared" si="75"/>
        <v>1328</v>
      </c>
    </row>
    <row r="42" spans="1:19" ht="13.5" customHeight="1">
      <c r="A42" s="200" t="s">
        <v>247</v>
      </c>
      <c r="B42" s="170" t="s">
        <v>248</v>
      </c>
      <c r="C42" s="215">
        <f>+'3.SZ.TÁBL. SEGÍTŐ SZOLGÁLAT'!X50</f>
        <v>0</v>
      </c>
      <c r="D42" s="207">
        <f>+'3.SZ.TÁBL. SEGÍTŐ SZOLGÁLAT'!Y50</f>
        <v>0</v>
      </c>
      <c r="E42" s="208">
        <f>+'3.SZ.TÁBL. SEGÍTŐ SZOLGÁLAT'!Z50</f>
        <v>0</v>
      </c>
      <c r="F42" s="215">
        <f>+'4.SZ.TÁBL. ÓVODA'!R48</f>
        <v>0</v>
      </c>
      <c r="G42" s="207">
        <f>+'4.SZ.TÁBL. ÓVODA'!S48</f>
        <v>0</v>
      </c>
      <c r="H42" s="208">
        <f>+'4.SZ.TÁBL. ÓVODA'!T48</f>
        <v>0</v>
      </c>
      <c r="I42" s="72">
        <f t="shared" si="71"/>
        <v>0</v>
      </c>
      <c r="J42" s="88">
        <f t="shared" si="72"/>
        <v>0</v>
      </c>
      <c r="K42" s="28">
        <f t="shared" si="73"/>
        <v>0</v>
      </c>
      <c r="L42" s="7"/>
      <c r="M42" s="88"/>
      <c r="N42" s="28"/>
      <c r="O42" s="72">
        <f t="shared" si="31"/>
        <v>0</v>
      </c>
      <c r="P42" s="88">
        <f t="shared" si="74"/>
        <v>0</v>
      </c>
      <c r="Q42" s="28">
        <f t="shared" si="75"/>
        <v>0</v>
      </c>
    </row>
    <row r="43" spans="1:19" ht="13.5" customHeight="1">
      <c r="A43" s="200" t="s">
        <v>249</v>
      </c>
      <c r="B43" s="170" t="s">
        <v>250</v>
      </c>
      <c r="C43" s="215">
        <f>+'3.SZ.TÁBL. SEGÍTŐ SZOLGÁLAT'!X51</f>
        <v>0</v>
      </c>
      <c r="D43" s="207">
        <f>+'3.SZ.TÁBL. SEGÍTŐ SZOLGÁLAT'!Y51</f>
        <v>0</v>
      </c>
      <c r="E43" s="208">
        <f>+'3.SZ.TÁBL. SEGÍTŐ SZOLGÁLAT'!Z51</f>
        <v>0</v>
      </c>
      <c r="F43" s="215">
        <f>+'4.SZ.TÁBL. ÓVODA'!R49</f>
        <v>0</v>
      </c>
      <c r="G43" s="207">
        <f>+'4.SZ.TÁBL. ÓVODA'!S49</f>
        <v>0</v>
      </c>
      <c r="H43" s="208">
        <f>+'4.SZ.TÁBL. ÓVODA'!T49</f>
        <v>0</v>
      </c>
      <c r="I43" s="72">
        <f t="shared" si="71"/>
        <v>0</v>
      </c>
      <c r="J43" s="88">
        <f t="shared" si="72"/>
        <v>0</v>
      </c>
      <c r="K43" s="28">
        <f t="shared" si="73"/>
        <v>0</v>
      </c>
      <c r="L43" s="7"/>
      <c r="M43" s="151"/>
      <c r="N43" s="5"/>
      <c r="O43" s="72">
        <f t="shared" si="31"/>
        <v>0</v>
      </c>
      <c r="P43" s="88">
        <f t="shared" si="74"/>
        <v>0</v>
      </c>
      <c r="Q43" s="28">
        <f t="shared" si="75"/>
        <v>0</v>
      </c>
    </row>
    <row r="44" spans="1:19" ht="13.5" customHeight="1">
      <c r="A44" s="200" t="s">
        <v>251</v>
      </c>
      <c r="B44" s="170" t="s">
        <v>252</v>
      </c>
      <c r="C44" s="215">
        <f>+'3.SZ.TÁBL. SEGÍTŐ SZOLGÁLAT'!X52</f>
        <v>0</v>
      </c>
      <c r="D44" s="207">
        <f>+'3.SZ.TÁBL. SEGÍTŐ SZOLGÁLAT'!Y52</f>
        <v>0</v>
      </c>
      <c r="E44" s="208">
        <f>+'3.SZ.TÁBL. SEGÍTŐ SZOLGÁLAT'!Z52</f>
        <v>0</v>
      </c>
      <c r="F44" s="215">
        <f>+'4.SZ.TÁBL. ÓVODA'!R50</f>
        <v>0</v>
      </c>
      <c r="G44" s="207">
        <f>+'4.SZ.TÁBL. ÓVODA'!S50</f>
        <v>0</v>
      </c>
      <c r="H44" s="208">
        <f>+'4.SZ.TÁBL. ÓVODA'!T50</f>
        <v>0</v>
      </c>
      <c r="I44" s="72">
        <f t="shared" si="71"/>
        <v>0</v>
      </c>
      <c r="J44" s="88">
        <f t="shared" si="72"/>
        <v>0</v>
      </c>
      <c r="K44" s="28">
        <f t="shared" si="73"/>
        <v>0</v>
      </c>
      <c r="L44" s="7"/>
      <c r="M44" s="151"/>
      <c r="N44" s="5"/>
      <c r="O44" s="72">
        <f t="shared" si="31"/>
        <v>0</v>
      </c>
      <c r="P44" s="88">
        <f t="shared" si="74"/>
        <v>0</v>
      </c>
      <c r="Q44" s="28">
        <f t="shared" si="75"/>
        <v>0</v>
      </c>
    </row>
    <row r="45" spans="1:19" ht="13.5" customHeight="1">
      <c r="A45" s="200" t="s">
        <v>253</v>
      </c>
      <c r="B45" s="170" t="s">
        <v>448</v>
      </c>
      <c r="C45" s="215">
        <f>+'3.SZ.TÁBL. SEGÍTŐ SZOLGÁLAT'!X53</f>
        <v>361</v>
      </c>
      <c r="D45" s="207">
        <f>+'3.SZ.TÁBL. SEGÍTŐ SZOLGÁLAT'!Y53</f>
        <v>29</v>
      </c>
      <c r="E45" s="208">
        <f>+'3.SZ.TÁBL. SEGÍTŐ SZOLGÁLAT'!Z53</f>
        <v>390</v>
      </c>
      <c r="F45" s="215">
        <f>+'4.SZ.TÁBL. ÓVODA'!R51</f>
        <v>990</v>
      </c>
      <c r="G45" s="207">
        <f>+'4.SZ.TÁBL. ÓVODA'!S51</f>
        <v>94</v>
      </c>
      <c r="H45" s="208">
        <f>+'4.SZ.TÁBL. ÓVODA'!T51</f>
        <v>1084</v>
      </c>
      <c r="I45" s="72">
        <f t="shared" si="71"/>
        <v>1351</v>
      </c>
      <c r="J45" s="88">
        <f t="shared" si="72"/>
        <v>123</v>
      </c>
      <c r="K45" s="28">
        <f t="shared" si="73"/>
        <v>1474</v>
      </c>
      <c r="L45" s="7"/>
      <c r="M45" s="151"/>
      <c r="N45" s="5"/>
      <c r="O45" s="72">
        <f t="shared" si="31"/>
        <v>1351</v>
      </c>
      <c r="P45" s="88">
        <f t="shared" si="74"/>
        <v>123</v>
      </c>
      <c r="Q45" s="28">
        <f t="shared" si="75"/>
        <v>1474</v>
      </c>
    </row>
    <row r="46" spans="1:19" ht="13.5" customHeight="1">
      <c r="A46" s="201" t="s">
        <v>253</v>
      </c>
      <c r="B46" s="181" t="s">
        <v>254</v>
      </c>
      <c r="C46" s="232">
        <f>+'3.SZ.TÁBL. SEGÍTŐ SZOLGÁLAT'!X54</f>
        <v>0</v>
      </c>
      <c r="D46" s="228">
        <f>+'3.SZ.TÁBL. SEGÍTŐ SZOLGÁLAT'!Y54</f>
        <v>0</v>
      </c>
      <c r="E46" s="233">
        <f>+'3.SZ.TÁBL. SEGÍTŐ SZOLGÁLAT'!Z54</f>
        <v>0</v>
      </c>
      <c r="F46" s="232">
        <f>+'4.SZ.TÁBL. ÓVODA'!R52</f>
        <v>0</v>
      </c>
      <c r="G46" s="228">
        <f>+'4.SZ.TÁBL. ÓVODA'!S52</f>
        <v>0</v>
      </c>
      <c r="H46" s="233">
        <f>+'4.SZ.TÁBL. ÓVODA'!T52</f>
        <v>0</v>
      </c>
      <c r="I46" s="73">
        <f t="shared" si="71"/>
        <v>0</v>
      </c>
      <c r="J46" s="89">
        <f t="shared" si="72"/>
        <v>0</v>
      </c>
      <c r="K46" s="29">
        <f t="shared" si="73"/>
        <v>0</v>
      </c>
      <c r="L46" s="175"/>
      <c r="M46" s="89"/>
      <c r="N46" s="29"/>
      <c r="O46" s="73">
        <f t="shared" si="31"/>
        <v>0</v>
      </c>
      <c r="P46" s="89">
        <f t="shared" si="74"/>
        <v>0</v>
      </c>
      <c r="Q46" s="29">
        <f t="shared" si="75"/>
        <v>0</v>
      </c>
    </row>
    <row r="47" spans="1:19" s="3" customFormat="1" ht="13.5" customHeight="1">
      <c r="A47" s="202" t="s">
        <v>215</v>
      </c>
      <c r="B47" s="182" t="s">
        <v>173</v>
      </c>
      <c r="C47" s="288">
        <f>+SUM(C33:C45)</f>
        <v>56738</v>
      </c>
      <c r="D47" s="292">
        <f t="shared" ref="D47:E47" si="76">+SUM(D33:D45)</f>
        <v>1037</v>
      </c>
      <c r="E47" s="293">
        <f t="shared" si="76"/>
        <v>57775</v>
      </c>
      <c r="F47" s="288">
        <f>+SUM(F33:F45)</f>
        <v>94668</v>
      </c>
      <c r="G47" s="292">
        <f t="shared" ref="G47:H47" si="77">+SUM(G33:G45)</f>
        <v>219</v>
      </c>
      <c r="H47" s="293">
        <f t="shared" si="77"/>
        <v>94887</v>
      </c>
      <c r="I47" s="288">
        <f>+SUM(I33:I45)</f>
        <v>151406</v>
      </c>
      <c r="J47" s="292">
        <f t="shared" ref="J47:K47" si="78">+SUM(J33:J45)</f>
        <v>1256</v>
      </c>
      <c r="K47" s="293">
        <f t="shared" si="78"/>
        <v>152662</v>
      </c>
      <c r="L47" s="405"/>
      <c r="M47" s="406"/>
      <c r="N47" s="407"/>
      <c r="O47" s="400">
        <f>SUM(O33:O46)</f>
        <v>151406</v>
      </c>
      <c r="P47" s="401">
        <f t="shared" ref="P47:Q47" si="79">SUM(P33:P46)</f>
        <v>1256</v>
      </c>
      <c r="Q47" s="402">
        <f t="shared" si="79"/>
        <v>152662</v>
      </c>
      <c r="S47" s="4"/>
    </row>
    <row r="48" spans="1:19" ht="13.5" customHeight="1">
      <c r="A48" s="199" t="s">
        <v>255</v>
      </c>
      <c r="B48" s="180" t="s">
        <v>256</v>
      </c>
      <c r="C48" s="222">
        <f>+'3.SZ.TÁBL. SEGÍTŐ SZOLGÁLAT'!X56</f>
        <v>0</v>
      </c>
      <c r="D48" s="218">
        <f>+'3.SZ.TÁBL. SEGÍTŐ SZOLGÁLAT'!Y56</f>
        <v>0</v>
      </c>
      <c r="E48" s="223">
        <f>+'3.SZ.TÁBL. SEGÍTŐ SZOLGÁLAT'!Z56</f>
        <v>0</v>
      </c>
      <c r="F48" s="222">
        <f>+'4.SZ.TÁBL. ÓVODA'!R54</f>
        <v>0</v>
      </c>
      <c r="G48" s="218">
        <f>+'4.SZ.TÁBL. ÓVODA'!S54</f>
        <v>0</v>
      </c>
      <c r="H48" s="223">
        <f>+'4.SZ.TÁBL. ÓVODA'!T54</f>
        <v>0</v>
      </c>
      <c r="I48" s="70">
        <f t="shared" ref="I48:I50" si="80">+C48+F48</f>
        <v>0</v>
      </c>
      <c r="J48" s="93">
        <f t="shared" ref="J48:J50" si="81">+D48+G48</f>
        <v>0</v>
      </c>
      <c r="K48" s="115">
        <f t="shared" ref="K48:K50" si="82">+E48+H48</f>
        <v>0</v>
      </c>
      <c r="L48" s="6"/>
      <c r="M48" s="93"/>
      <c r="N48" s="115"/>
      <c r="O48" s="70">
        <f t="shared" si="31"/>
        <v>0</v>
      </c>
      <c r="P48" s="93">
        <f t="shared" ref="P48:P50" si="83">+J48+M48</f>
        <v>0</v>
      </c>
      <c r="Q48" s="115">
        <f t="shared" ref="Q48:Q50" si="84">+K48+N48</f>
        <v>0</v>
      </c>
    </row>
    <row r="49" spans="1:29" ht="13.5" customHeight="1">
      <c r="A49" s="200" t="s">
        <v>257</v>
      </c>
      <c r="B49" s="170" t="s">
        <v>258</v>
      </c>
      <c r="C49" s="215">
        <f>+'3.SZ.TÁBL. SEGÍTŐ SZOLGÁLAT'!X57</f>
        <v>313</v>
      </c>
      <c r="D49" s="207">
        <f>+'3.SZ.TÁBL. SEGÍTŐ SZOLGÁLAT'!Y57</f>
        <v>37</v>
      </c>
      <c r="E49" s="208">
        <f>+'3.SZ.TÁBL. SEGÍTŐ SZOLGÁLAT'!Z57</f>
        <v>350</v>
      </c>
      <c r="F49" s="215">
        <f>+'4.SZ.TÁBL. ÓVODA'!R55</f>
        <v>2900</v>
      </c>
      <c r="G49" s="207">
        <f>+'4.SZ.TÁBL. ÓVODA'!S55</f>
        <v>-128</v>
      </c>
      <c r="H49" s="208">
        <f>+'4.SZ.TÁBL. ÓVODA'!T55</f>
        <v>2772</v>
      </c>
      <c r="I49" s="72">
        <f t="shared" si="80"/>
        <v>3213</v>
      </c>
      <c r="J49" s="88">
        <f t="shared" si="81"/>
        <v>-91</v>
      </c>
      <c r="K49" s="28">
        <f t="shared" si="82"/>
        <v>3122</v>
      </c>
      <c r="L49" s="72">
        <f>+'[4]1.1.SZ.TÁBL. BEV - KIAD'!$N$49</f>
        <v>1708</v>
      </c>
      <c r="M49" s="151"/>
      <c r="N49" s="5">
        <f>+L49+M49</f>
        <v>1708</v>
      </c>
      <c r="O49" s="72">
        <f t="shared" si="31"/>
        <v>4921</v>
      </c>
      <c r="P49" s="88">
        <f t="shared" si="83"/>
        <v>-91</v>
      </c>
      <c r="Q49" s="28">
        <f t="shared" si="84"/>
        <v>4830</v>
      </c>
    </row>
    <row r="50" spans="1:29" ht="13.5" customHeight="1">
      <c r="A50" s="201" t="s">
        <v>259</v>
      </c>
      <c r="B50" s="181" t="s">
        <v>260</v>
      </c>
      <c r="C50" s="232">
        <f>+'3.SZ.TÁBL. SEGÍTŐ SZOLGÁLAT'!X58</f>
        <v>90</v>
      </c>
      <c r="D50" s="228">
        <f>+'3.SZ.TÁBL. SEGÍTŐ SZOLGÁLAT'!Y58</f>
        <v>-25</v>
      </c>
      <c r="E50" s="233">
        <f>+'3.SZ.TÁBL. SEGÍTŐ SZOLGÁLAT'!Z58</f>
        <v>65</v>
      </c>
      <c r="F50" s="232">
        <f>+'4.SZ.TÁBL. ÓVODA'!R56</f>
        <v>62</v>
      </c>
      <c r="G50" s="228">
        <f>+'4.SZ.TÁBL. ÓVODA'!S56</f>
        <v>0</v>
      </c>
      <c r="H50" s="233">
        <f>+'4.SZ.TÁBL. ÓVODA'!T56</f>
        <v>62</v>
      </c>
      <c r="I50" s="73">
        <f t="shared" si="80"/>
        <v>152</v>
      </c>
      <c r="J50" s="89">
        <f t="shared" si="81"/>
        <v>-25</v>
      </c>
      <c r="K50" s="29">
        <f t="shared" si="82"/>
        <v>127</v>
      </c>
      <c r="L50" s="175"/>
      <c r="M50" s="192"/>
      <c r="N50" s="193"/>
      <c r="O50" s="73">
        <f t="shared" si="31"/>
        <v>152</v>
      </c>
      <c r="P50" s="89">
        <f t="shared" si="83"/>
        <v>-25</v>
      </c>
      <c r="Q50" s="29">
        <f t="shared" si="84"/>
        <v>127</v>
      </c>
      <c r="R50" s="2"/>
      <c r="T50" s="2"/>
      <c r="U50" s="2"/>
      <c r="V50" s="2"/>
      <c r="W50" s="2"/>
      <c r="Y50" s="2"/>
      <c r="Z50" s="2"/>
      <c r="AA50" s="2"/>
      <c r="AB50" s="2"/>
      <c r="AC50" s="2"/>
    </row>
    <row r="51" spans="1:29" s="3" customFormat="1" ht="13.5" customHeight="1">
      <c r="A51" s="202" t="s">
        <v>216</v>
      </c>
      <c r="B51" s="182" t="s">
        <v>174</v>
      </c>
      <c r="C51" s="288">
        <f>SUM(C48:C50)</f>
        <v>403</v>
      </c>
      <c r="D51" s="292">
        <f t="shared" ref="D51:E51" si="85">SUM(D48:D50)</f>
        <v>12</v>
      </c>
      <c r="E51" s="293">
        <f t="shared" si="85"/>
        <v>415</v>
      </c>
      <c r="F51" s="288">
        <f>SUM(F48:F50)</f>
        <v>2962</v>
      </c>
      <c r="G51" s="292">
        <f t="shared" ref="G51:H51" si="86">SUM(G48:G50)</f>
        <v>-128</v>
      </c>
      <c r="H51" s="293">
        <f t="shared" si="86"/>
        <v>2834</v>
      </c>
      <c r="I51" s="288">
        <f>SUM(I48:I50)</f>
        <v>3365</v>
      </c>
      <c r="J51" s="292">
        <f t="shared" ref="J51:K51" si="87">SUM(J48:J50)</f>
        <v>-116</v>
      </c>
      <c r="K51" s="293">
        <f t="shared" si="87"/>
        <v>3249</v>
      </c>
      <c r="L51" s="400">
        <f>SUM(L48:L50)</f>
        <v>1708</v>
      </c>
      <c r="M51" s="401">
        <f t="shared" ref="M51" si="88">SUM(M48:M50)</f>
        <v>0</v>
      </c>
      <c r="N51" s="402">
        <f t="shared" ref="N51" si="89">SUM(N48:N50)</f>
        <v>1708</v>
      </c>
      <c r="O51" s="400">
        <f>SUM(O48:O50)</f>
        <v>5073</v>
      </c>
      <c r="P51" s="401">
        <f t="shared" ref="P51:Q51" si="90">SUM(P48:P50)</f>
        <v>-116</v>
      </c>
      <c r="Q51" s="402">
        <f t="shared" si="90"/>
        <v>4957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02" t="s">
        <v>217</v>
      </c>
      <c r="B52" s="182" t="s">
        <v>175</v>
      </c>
      <c r="C52" s="288">
        <f>+C47+C51</f>
        <v>57141</v>
      </c>
      <c r="D52" s="292">
        <f t="shared" ref="D52:E52" si="91">+D47+D51</f>
        <v>1049</v>
      </c>
      <c r="E52" s="293">
        <f t="shared" si="91"/>
        <v>58190</v>
      </c>
      <c r="F52" s="288">
        <f>+F47+F51</f>
        <v>97630</v>
      </c>
      <c r="G52" s="292">
        <f t="shared" ref="G52:H52" si="92">+G47+G51</f>
        <v>91</v>
      </c>
      <c r="H52" s="293">
        <f t="shared" si="92"/>
        <v>97721</v>
      </c>
      <c r="I52" s="288">
        <f>+I47+I51</f>
        <v>154771</v>
      </c>
      <c r="J52" s="292">
        <f t="shared" ref="J52:K52" si="93">+J47+J51</f>
        <v>1140</v>
      </c>
      <c r="K52" s="293">
        <f t="shared" si="93"/>
        <v>155911</v>
      </c>
      <c r="L52" s="400">
        <f>+L47+L51</f>
        <v>1708</v>
      </c>
      <c r="M52" s="401">
        <f t="shared" ref="M52" si="94">+M47+M51</f>
        <v>0</v>
      </c>
      <c r="N52" s="402">
        <f t="shared" ref="N52" si="95">+N47+N51</f>
        <v>1708</v>
      </c>
      <c r="O52" s="400">
        <f>+O47+O51</f>
        <v>156479</v>
      </c>
      <c r="P52" s="401">
        <f t="shared" ref="P52:Q52" si="96">+P47+P51</f>
        <v>1140</v>
      </c>
      <c r="Q52" s="402">
        <f t="shared" si="96"/>
        <v>157619</v>
      </c>
      <c r="R52" s="4"/>
      <c r="S52" s="4"/>
      <c r="T52" s="4"/>
      <c r="U52" s="4"/>
      <c r="V52" s="4"/>
      <c r="W52" s="4"/>
      <c r="Y52" s="4"/>
      <c r="Z52" s="4"/>
      <c r="AA52" s="4"/>
      <c r="AB52" s="4"/>
      <c r="AC52" s="4"/>
    </row>
    <row r="53" spans="1:29" s="3" customFormat="1" ht="13.5" customHeight="1">
      <c r="A53" s="202" t="s">
        <v>218</v>
      </c>
      <c r="B53" s="182" t="s">
        <v>176</v>
      </c>
      <c r="C53" s="288">
        <f>+SUM(C54:C58)</f>
        <v>16302</v>
      </c>
      <c r="D53" s="292">
        <f t="shared" ref="D53:E53" si="97">+SUM(D54:D58)</f>
        <v>-129</v>
      </c>
      <c r="E53" s="293">
        <f t="shared" si="97"/>
        <v>16173</v>
      </c>
      <c r="F53" s="288">
        <f>+SUM(F54:F58)</f>
        <v>27215</v>
      </c>
      <c r="G53" s="292">
        <f t="shared" ref="G53:H53" si="98">+SUM(G54:G58)</f>
        <v>83</v>
      </c>
      <c r="H53" s="293">
        <f t="shared" si="98"/>
        <v>27298</v>
      </c>
      <c r="I53" s="288">
        <f>+SUM(I54:I58)</f>
        <v>43517</v>
      </c>
      <c r="J53" s="292">
        <f t="shared" ref="J53:K53" si="99">+SUM(J54:J58)</f>
        <v>-46</v>
      </c>
      <c r="K53" s="293">
        <f t="shared" si="99"/>
        <v>43471</v>
      </c>
      <c r="L53" s="400">
        <f>+SUM(L54:L58)</f>
        <v>461</v>
      </c>
      <c r="M53" s="401">
        <f t="shared" ref="M53" si="100">+SUM(M54:M58)</f>
        <v>0</v>
      </c>
      <c r="N53" s="402">
        <f t="shared" ref="N53" si="101">+SUM(N54:N58)</f>
        <v>461</v>
      </c>
      <c r="O53" s="400">
        <f>+SUM(O54:O58)</f>
        <v>43978</v>
      </c>
      <c r="P53" s="401">
        <f t="shared" ref="P53:Q53" si="102">+SUM(P54:P58)</f>
        <v>-46</v>
      </c>
      <c r="Q53" s="402">
        <f t="shared" si="102"/>
        <v>43932</v>
      </c>
      <c r="S53" s="4"/>
    </row>
    <row r="54" spans="1:29" s="287" customFormat="1" ht="13.5" customHeight="1">
      <c r="A54" s="203" t="s">
        <v>218</v>
      </c>
      <c r="B54" s="194" t="s">
        <v>319</v>
      </c>
      <c r="C54" s="304">
        <f>+'3.SZ.TÁBL. SEGÍTŐ SZOLGÁLAT'!X62</f>
        <v>13943</v>
      </c>
      <c r="D54" s="305">
        <f>+'3.SZ.TÁBL. SEGÍTŐ SZOLGÁLAT'!Y62</f>
        <v>419</v>
      </c>
      <c r="E54" s="306">
        <f>+'3.SZ.TÁBL. SEGÍTŐ SZOLGÁLAT'!Z62</f>
        <v>14362</v>
      </c>
      <c r="F54" s="304">
        <f>+'4.SZ.TÁBL. ÓVODA'!R60</f>
        <v>24951</v>
      </c>
      <c r="G54" s="305">
        <f>+'4.SZ.TÁBL. ÓVODA'!S60</f>
        <v>-198</v>
      </c>
      <c r="H54" s="306">
        <f>+'4.SZ.TÁBL. ÓVODA'!T60</f>
        <v>24753</v>
      </c>
      <c r="I54" s="383">
        <f t="shared" ref="I54:I61" si="103">+C54+F54</f>
        <v>38894</v>
      </c>
      <c r="J54" s="394">
        <f t="shared" ref="J54:J61" si="104">+D54+G54</f>
        <v>221</v>
      </c>
      <c r="K54" s="395">
        <f t="shared" ref="K54:K61" si="105">+E54+H54</f>
        <v>39115</v>
      </c>
      <c r="L54" s="70">
        <f>+'[4]1.1.SZ.TÁBL. BEV - KIAD'!$N$54</f>
        <v>461</v>
      </c>
      <c r="M54" s="396"/>
      <c r="N54" s="91">
        <f>+L54+M54</f>
        <v>461</v>
      </c>
      <c r="O54" s="383">
        <f t="shared" si="31"/>
        <v>39355</v>
      </c>
      <c r="P54" s="394">
        <f t="shared" ref="P54:P61" si="106">+J54+M54</f>
        <v>221</v>
      </c>
      <c r="Q54" s="395">
        <f t="shared" ref="Q54:Q61" si="107">+K54+N54</f>
        <v>39576</v>
      </c>
      <c r="S54" s="384"/>
    </row>
    <row r="55" spans="1:29" s="287" customFormat="1" ht="13.5" customHeight="1">
      <c r="A55" s="204" t="s">
        <v>218</v>
      </c>
      <c r="B55" s="171" t="s">
        <v>320</v>
      </c>
      <c r="C55" s="278">
        <f>+'3.SZ.TÁBL. SEGÍTŐ SZOLGÁLAT'!X63</f>
        <v>1702</v>
      </c>
      <c r="D55" s="277">
        <f>+'3.SZ.TÁBL. SEGÍTŐ SZOLGÁLAT'!Y63</f>
        <v>-559</v>
      </c>
      <c r="E55" s="279">
        <f>+'3.SZ.TÁBL. SEGÍTŐ SZOLGÁLAT'!Z63</f>
        <v>1143</v>
      </c>
      <c r="F55" s="278">
        <f>+'4.SZ.TÁBL. ÓVODA'!R61</f>
        <v>964</v>
      </c>
      <c r="G55" s="277">
        <f>+'4.SZ.TÁBL. ÓVODA'!S61</f>
        <v>243</v>
      </c>
      <c r="H55" s="279">
        <f>+'4.SZ.TÁBL. ÓVODA'!T61</f>
        <v>1207</v>
      </c>
      <c r="I55" s="380">
        <f t="shared" si="103"/>
        <v>2666</v>
      </c>
      <c r="J55" s="381">
        <f t="shared" si="104"/>
        <v>-316</v>
      </c>
      <c r="K55" s="382">
        <f t="shared" si="105"/>
        <v>2350</v>
      </c>
      <c r="L55" s="397"/>
      <c r="M55" s="398"/>
      <c r="N55" s="399"/>
      <c r="O55" s="380">
        <f t="shared" si="31"/>
        <v>2666</v>
      </c>
      <c r="P55" s="381">
        <f t="shared" si="106"/>
        <v>-316</v>
      </c>
      <c r="Q55" s="382">
        <f t="shared" si="107"/>
        <v>2350</v>
      </c>
      <c r="S55" s="384"/>
    </row>
    <row r="56" spans="1:29" s="287" customFormat="1" ht="13.5" customHeight="1">
      <c r="A56" s="204" t="s">
        <v>218</v>
      </c>
      <c r="B56" s="171" t="s">
        <v>321</v>
      </c>
      <c r="C56" s="278">
        <f>+'3.SZ.TÁBL. SEGÍTŐ SZOLGÁLAT'!X64</f>
        <v>314</v>
      </c>
      <c r="D56" s="277">
        <f>+'3.SZ.TÁBL. SEGÍTŐ SZOLGÁLAT'!Y64</f>
        <v>0</v>
      </c>
      <c r="E56" s="279">
        <f>+'3.SZ.TÁBL. SEGÍTŐ SZOLGÁLAT'!Z64</f>
        <v>314</v>
      </c>
      <c r="F56" s="278">
        <f>+'4.SZ.TÁBL. ÓVODA'!R62</f>
        <v>394</v>
      </c>
      <c r="G56" s="277">
        <f>+'4.SZ.TÁBL. ÓVODA'!S62</f>
        <v>-4</v>
      </c>
      <c r="H56" s="279">
        <f>+'4.SZ.TÁBL. ÓVODA'!T62</f>
        <v>390</v>
      </c>
      <c r="I56" s="380">
        <f t="shared" si="103"/>
        <v>708</v>
      </c>
      <c r="J56" s="381">
        <f t="shared" si="104"/>
        <v>-4</v>
      </c>
      <c r="K56" s="382">
        <f t="shared" si="105"/>
        <v>704</v>
      </c>
      <c r="L56" s="397"/>
      <c r="M56" s="398"/>
      <c r="N56" s="399"/>
      <c r="O56" s="380">
        <f t="shared" si="31"/>
        <v>708</v>
      </c>
      <c r="P56" s="381">
        <f t="shared" si="106"/>
        <v>-4</v>
      </c>
      <c r="Q56" s="382">
        <f t="shared" si="107"/>
        <v>704</v>
      </c>
      <c r="S56" s="384"/>
    </row>
    <row r="57" spans="1:29" s="287" customFormat="1" ht="13.5" customHeight="1">
      <c r="A57" s="204" t="s">
        <v>218</v>
      </c>
      <c r="B57" s="171" t="s">
        <v>505</v>
      </c>
      <c r="C57" s="278">
        <f>+'3.SZ.TÁBL. SEGÍTŐ SZOLGÁLAT'!X65</f>
        <v>0</v>
      </c>
      <c r="D57" s="277">
        <f>+'3.SZ.TÁBL. SEGÍTŐ SZOLGÁLAT'!Y65</f>
        <v>11</v>
      </c>
      <c r="E57" s="279">
        <f>+'3.SZ.TÁBL. SEGÍTŐ SZOLGÁLAT'!Z65</f>
        <v>11</v>
      </c>
      <c r="F57" s="278">
        <f>+'4.SZ.TÁBL. ÓVODA'!R63</f>
        <v>0</v>
      </c>
      <c r="G57" s="277">
        <f>+'4.SZ.TÁBL. ÓVODA'!S63</f>
        <v>46</v>
      </c>
      <c r="H57" s="279">
        <f>+'4.SZ.TÁBL. ÓVODA'!T63</f>
        <v>46</v>
      </c>
      <c r="I57" s="380">
        <f t="shared" si="103"/>
        <v>0</v>
      </c>
      <c r="J57" s="381">
        <f t="shared" si="104"/>
        <v>57</v>
      </c>
      <c r="K57" s="382">
        <f t="shared" si="105"/>
        <v>57</v>
      </c>
      <c r="L57" s="397"/>
      <c r="M57" s="398"/>
      <c r="N57" s="399"/>
      <c r="O57" s="380">
        <f t="shared" si="31"/>
        <v>0</v>
      </c>
      <c r="P57" s="381">
        <f t="shared" si="106"/>
        <v>57</v>
      </c>
      <c r="Q57" s="382">
        <f t="shared" si="107"/>
        <v>57</v>
      </c>
      <c r="S57" s="384"/>
    </row>
    <row r="58" spans="1:29" s="287" customFormat="1" ht="13.5" customHeight="1">
      <c r="A58" s="204" t="s">
        <v>218</v>
      </c>
      <c r="B58" s="171" t="s">
        <v>322</v>
      </c>
      <c r="C58" s="278">
        <f>+'3.SZ.TÁBL. SEGÍTŐ SZOLGÁLAT'!X66</f>
        <v>343</v>
      </c>
      <c r="D58" s="277">
        <f>+'3.SZ.TÁBL. SEGÍTŐ SZOLGÁLAT'!Y66</f>
        <v>0</v>
      </c>
      <c r="E58" s="279">
        <f>+'3.SZ.TÁBL. SEGÍTŐ SZOLGÁLAT'!Z66</f>
        <v>343</v>
      </c>
      <c r="F58" s="278">
        <f>+'4.SZ.TÁBL. ÓVODA'!R64</f>
        <v>906</v>
      </c>
      <c r="G58" s="277">
        <f>+'4.SZ.TÁBL. ÓVODA'!S64</f>
        <v>-4</v>
      </c>
      <c r="H58" s="279">
        <f>+'4.SZ.TÁBL. ÓVODA'!T64</f>
        <v>902</v>
      </c>
      <c r="I58" s="380">
        <f t="shared" si="103"/>
        <v>1249</v>
      </c>
      <c r="J58" s="381">
        <f t="shared" si="104"/>
        <v>-4</v>
      </c>
      <c r="K58" s="382">
        <f t="shared" si="105"/>
        <v>1245</v>
      </c>
      <c r="L58" s="397"/>
      <c r="M58" s="398"/>
      <c r="N58" s="399"/>
      <c r="O58" s="380">
        <f t="shared" si="31"/>
        <v>1249</v>
      </c>
      <c r="P58" s="381">
        <f t="shared" si="106"/>
        <v>-4</v>
      </c>
      <c r="Q58" s="382">
        <f t="shared" si="107"/>
        <v>1245</v>
      </c>
      <c r="S58" s="384"/>
    </row>
    <row r="59" spans="1:29" ht="13.5" customHeight="1">
      <c r="A59" s="200" t="s">
        <v>261</v>
      </c>
      <c r="B59" s="170" t="s">
        <v>262</v>
      </c>
      <c r="C59" s="222">
        <f>+'3.SZ.TÁBL. SEGÍTŐ SZOLGÁLAT'!X67</f>
        <v>42</v>
      </c>
      <c r="D59" s="218">
        <f>+'3.SZ.TÁBL. SEGÍTŐ SZOLGÁLAT'!Y67</f>
        <v>0</v>
      </c>
      <c r="E59" s="223">
        <f>+'3.SZ.TÁBL. SEGÍTŐ SZOLGÁLAT'!Z67</f>
        <v>42</v>
      </c>
      <c r="F59" s="222">
        <f>+'4.SZ.TÁBL. ÓVODA'!R65</f>
        <v>1150</v>
      </c>
      <c r="G59" s="218">
        <f>+'4.SZ.TÁBL. ÓVODA'!S65</f>
        <v>128</v>
      </c>
      <c r="H59" s="223">
        <f>+'4.SZ.TÁBL. ÓVODA'!T65</f>
        <v>1278</v>
      </c>
      <c r="I59" s="70">
        <f t="shared" si="103"/>
        <v>1192</v>
      </c>
      <c r="J59" s="93">
        <f t="shared" si="104"/>
        <v>128</v>
      </c>
      <c r="K59" s="115">
        <f t="shared" si="105"/>
        <v>1320</v>
      </c>
      <c r="L59" s="7"/>
      <c r="M59" s="151"/>
      <c r="N59" s="5"/>
      <c r="O59" s="72">
        <f t="shared" si="31"/>
        <v>1192</v>
      </c>
      <c r="P59" s="88">
        <f t="shared" si="106"/>
        <v>128</v>
      </c>
      <c r="Q59" s="28">
        <f t="shared" si="107"/>
        <v>1320</v>
      </c>
    </row>
    <row r="60" spans="1:29" ht="13.5" customHeight="1">
      <c r="A60" s="200" t="s">
        <v>263</v>
      </c>
      <c r="B60" s="170" t="s">
        <v>264</v>
      </c>
      <c r="C60" s="215">
        <f>+'3.SZ.TÁBL. SEGÍTŐ SZOLGÁLAT'!X68</f>
        <v>3888</v>
      </c>
      <c r="D60" s="207">
        <f>+'3.SZ.TÁBL. SEGÍTŐ SZOLGÁLAT'!Y68</f>
        <v>28</v>
      </c>
      <c r="E60" s="208">
        <f>+'3.SZ.TÁBL. SEGÍTŐ SZOLGÁLAT'!Z68</f>
        <v>3916</v>
      </c>
      <c r="F60" s="215">
        <f>+'4.SZ.TÁBL. ÓVODA'!R66</f>
        <v>1061</v>
      </c>
      <c r="G60" s="207">
        <f>+'4.SZ.TÁBL. ÓVODA'!S66</f>
        <v>-198</v>
      </c>
      <c r="H60" s="208">
        <f>+'4.SZ.TÁBL. ÓVODA'!T66</f>
        <v>863</v>
      </c>
      <c r="I60" s="72">
        <f t="shared" si="103"/>
        <v>4949</v>
      </c>
      <c r="J60" s="88">
        <f t="shared" si="104"/>
        <v>-170</v>
      </c>
      <c r="K60" s="28">
        <f t="shared" si="105"/>
        <v>4779</v>
      </c>
      <c r="L60" s="7"/>
      <c r="M60" s="151"/>
      <c r="N60" s="5"/>
      <c r="O60" s="72">
        <f t="shared" si="31"/>
        <v>4949</v>
      </c>
      <c r="P60" s="88">
        <f t="shared" si="106"/>
        <v>-170</v>
      </c>
      <c r="Q60" s="28">
        <f t="shared" si="107"/>
        <v>4779</v>
      </c>
    </row>
    <row r="61" spans="1:29" ht="13.5" customHeight="1">
      <c r="A61" s="201" t="s">
        <v>265</v>
      </c>
      <c r="B61" s="181" t="s">
        <v>266</v>
      </c>
      <c r="C61" s="232">
        <f>+'3.SZ.TÁBL. SEGÍTŐ SZOLGÁLAT'!X69</f>
        <v>0</v>
      </c>
      <c r="D61" s="228">
        <f>+'3.SZ.TÁBL. SEGÍTŐ SZOLGÁLAT'!Y69</f>
        <v>0</v>
      </c>
      <c r="E61" s="233">
        <f>+'3.SZ.TÁBL. SEGÍTŐ SZOLGÁLAT'!Z69</f>
        <v>0</v>
      </c>
      <c r="F61" s="232">
        <f>+'4.SZ.TÁBL. ÓVODA'!R67</f>
        <v>0</v>
      </c>
      <c r="G61" s="228">
        <f>+'4.SZ.TÁBL. ÓVODA'!S67</f>
        <v>0</v>
      </c>
      <c r="H61" s="233">
        <f>+'4.SZ.TÁBL. ÓVODA'!T67</f>
        <v>0</v>
      </c>
      <c r="I61" s="73">
        <f t="shared" si="103"/>
        <v>0</v>
      </c>
      <c r="J61" s="89">
        <f t="shared" si="104"/>
        <v>0</v>
      </c>
      <c r="K61" s="29">
        <f t="shared" si="105"/>
        <v>0</v>
      </c>
      <c r="L61" s="175"/>
      <c r="M61" s="189"/>
      <c r="N61" s="177"/>
      <c r="O61" s="73">
        <f t="shared" si="31"/>
        <v>0</v>
      </c>
      <c r="P61" s="89">
        <f t="shared" si="106"/>
        <v>0</v>
      </c>
      <c r="Q61" s="29">
        <f t="shared" si="107"/>
        <v>0</v>
      </c>
    </row>
    <row r="62" spans="1:29" s="3" customFormat="1" ht="13.5" customHeight="1">
      <c r="A62" s="202" t="s">
        <v>219</v>
      </c>
      <c r="B62" s="182" t="s">
        <v>177</v>
      </c>
      <c r="C62" s="288">
        <f>SUM(C59:C61)</f>
        <v>3930</v>
      </c>
      <c r="D62" s="292">
        <f t="shared" ref="D62:E62" si="108">SUM(D59:D61)</f>
        <v>28</v>
      </c>
      <c r="E62" s="293">
        <f t="shared" si="108"/>
        <v>3958</v>
      </c>
      <c r="F62" s="288">
        <f>SUM(F59:F61)</f>
        <v>2211</v>
      </c>
      <c r="G62" s="292">
        <f t="shared" ref="G62:H62" si="109">SUM(G59:G61)</f>
        <v>-70</v>
      </c>
      <c r="H62" s="293">
        <f t="shared" si="109"/>
        <v>2141</v>
      </c>
      <c r="I62" s="288">
        <f>SUM(I59:I61)</f>
        <v>6141</v>
      </c>
      <c r="J62" s="292">
        <f t="shared" ref="J62:K62" si="110">SUM(J59:J61)</f>
        <v>-42</v>
      </c>
      <c r="K62" s="293">
        <f t="shared" si="110"/>
        <v>6099</v>
      </c>
      <c r="L62" s="400">
        <f>+SUM(L59:L61)</f>
        <v>0</v>
      </c>
      <c r="M62" s="401">
        <f t="shared" ref="M62" si="111">+SUM(M59:M61)</f>
        <v>0</v>
      </c>
      <c r="N62" s="402">
        <f t="shared" ref="N62" si="112">+SUM(N59:N61)</f>
        <v>0</v>
      </c>
      <c r="O62" s="400">
        <f>+SUM(O59:O61)</f>
        <v>6141</v>
      </c>
      <c r="P62" s="401">
        <f t="shared" ref="P62:Q62" si="113">+SUM(P59:P61)</f>
        <v>-42</v>
      </c>
      <c r="Q62" s="402">
        <f t="shared" si="113"/>
        <v>6099</v>
      </c>
      <c r="S62" s="4"/>
    </row>
    <row r="63" spans="1:29" ht="13.5" customHeight="1">
      <c r="A63" s="199" t="s">
        <v>267</v>
      </c>
      <c r="B63" s="180" t="s">
        <v>268</v>
      </c>
      <c r="C63" s="222">
        <f>+'3.SZ.TÁBL. SEGÍTŐ SZOLGÁLAT'!X71</f>
        <v>300</v>
      </c>
      <c r="D63" s="218">
        <f>+'3.SZ.TÁBL. SEGÍTŐ SZOLGÁLAT'!Y71</f>
        <v>20</v>
      </c>
      <c r="E63" s="223">
        <f>+'3.SZ.TÁBL. SEGÍTŐ SZOLGÁLAT'!Z71</f>
        <v>320</v>
      </c>
      <c r="F63" s="222">
        <f>+'4.SZ.TÁBL. ÓVODA'!R69</f>
        <v>180</v>
      </c>
      <c r="G63" s="218">
        <f>+'4.SZ.TÁBL. ÓVODA'!S69</f>
        <v>0</v>
      </c>
      <c r="H63" s="223">
        <f>+'4.SZ.TÁBL. ÓVODA'!T69</f>
        <v>180</v>
      </c>
      <c r="I63" s="70">
        <f t="shared" ref="I63:I64" si="114">+C63+F63</f>
        <v>480</v>
      </c>
      <c r="J63" s="93">
        <f t="shared" ref="J63:J64" si="115">+D63+G63</f>
        <v>20</v>
      </c>
      <c r="K63" s="115">
        <f t="shared" ref="K63:K64" si="116">+E63+H63</f>
        <v>500</v>
      </c>
      <c r="L63" s="6"/>
      <c r="M63" s="90"/>
      <c r="N63" s="91"/>
      <c r="O63" s="70">
        <f t="shared" si="31"/>
        <v>480</v>
      </c>
      <c r="P63" s="93">
        <f t="shared" ref="P63:P64" si="117">+J63+M63</f>
        <v>20</v>
      </c>
      <c r="Q63" s="115">
        <f t="shared" ref="Q63:Q64" si="118">+K63+N63</f>
        <v>500</v>
      </c>
    </row>
    <row r="64" spans="1:29" ht="13.5" customHeight="1">
      <c r="A64" s="201" t="s">
        <v>269</v>
      </c>
      <c r="B64" s="181" t="s">
        <v>270</v>
      </c>
      <c r="C64" s="232">
        <f>+'3.SZ.TÁBL. SEGÍTŐ SZOLGÁLAT'!X72</f>
        <v>497</v>
      </c>
      <c r="D64" s="228">
        <f>+'3.SZ.TÁBL. SEGÍTŐ SZOLGÁLAT'!Y72</f>
        <v>37</v>
      </c>
      <c r="E64" s="233">
        <f>+'3.SZ.TÁBL. SEGÍTŐ SZOLGÁLAT'!Z72</f>
        <v>534</v>
      </c>
      <c r="F64" s="232">
        <f>+'4.SZ.TÁBL. ÓVODA'!R70</f>
        <v>468</v>
      </c>
      <c r="G64" s="228">
        <f>+'4.SZ.TÁBL. ÓVODA'!S70</f>
        <v>4</v>
      </c>
      <c r="H64" s="233">
        <f>+'4.SZ.TÁBL. ÓVODA'!T70</f>
        <v>472</v>
      </c>
      <c r="I64" s="73">
        <f t="shared" si="114"/>
        <v>965</v>
      </c>
      <c r="J64" s="89">
        <f t="shared" si="115"/>
        <v>41</v>
      </c>
      <c r="K64" s="29">
        <f t="shared" si="116"/>
        <v>1006</v>
      </c>
      <c r="L64" s="175"/>
      <c r="M64" s="189"/>
      <c r="N64" s="177"/>
      <c r="O64" s="73">
        <f t="shared" si="31"/>
        <v>965</v>
      </c>
      <c r="P64" s="89">
        <f t="shared" si="117"/>
        <v>41</v>
      </c>
      <c r="Q64" s="29">
        <f t="shared" si="118"/>
        <v>1006</v>
      </c>
    </row>
    <row r="65" spans="1:19" s="3" customFormat="1" ht="13.5" customHeight="1">
      <c r="A65" s="202" t="s">
        <v>220</v>
      </c>
      <c r="B65" s="182" t="s">
        <v>178</v>
      </c>
      <c r="C65" s="288">
        <f>SUM(C63:C64)</f>
        <v>797</v>
      </c>
      <c r="D65" s="292">
        <f t="shared" ref="D65:E65" si="119">SUM(D63:D64)</f>
        <v>57</v>
      </c>
      <c r="E65" s="293">
        <f t="shared" si="119"/>
        <v>854</v>
      </c>
      <c r="F65" s="288">
        <f>SUM(F63:F64)</f>
        <v>648</v>
      </c>
      <c r="G65" s="292">
        <f t="shared" ref="G65:H65" si="120">SUM(G63:G64)</f>
        <v>4</v>
      </c>
      <c r="H65" s="293">
        <f t="shared" si="120"/>
        <v>652</v>
      </c>
      <c r="I65" s="288">
        <f>SUM(I63:I64)</f>
        <v>1445</v>
      </c>
      <c r="J65" s="292">
        <f t="shared" ref="J65:K65" si="121">SUM(J63:J64)</f>
        <v>61</v>
      </c>
      <c r="K65" s="293">
        <f t="shared" si="121"/>
        <v>1506</v>
      </c>
      <c r="L65" s="400">
        <f>+SUM(L63:L64)</f>
        <v>0</v>
      </c>
      <c r="M65" s="401">
        <f t="shared" ref="M65" si="122">+SUM(M63:M64)</f>
        <v>0</v>
      </c>
      <c r="N65" s="402">
        <f t="shared" ref="N65" si="123">+SUM(N63:N64)</f>
        <v>0</v>
      </c>
      <c r="O65" s="400">
        <f>+SUM(O63:O64)</f>
        <v>1445</v>
      </c>
      <c r="P65" s="401">
        <f t="shared" ref="P65:Q65" si="124">+SUM(P63:P64)</f>
        <v>61</v>
      </c>
      <c r="Q65" s="402">
        <f t="shared" si="124"/>
        <v>1506</v>
      </c>
      <c r="S65" s="4"/>
    </row>
    <row r="66" spans="1:19" ht="13.5" customHeight="1">
      <c r="A66" s="199" t="s">
        <v>271</v>
      </c>
      <c r="B66" s="180" t="s">
        <v>272</v>
      </c>
      <c r="C66" s="222">
        <f>+'3.SZ.TÁBL. SEGÍTŐ SZOLGÁLAT'!X74</f>
        <v>2330</v>
      </c>
      <c r="D66" s="218">
        <f>+'3.SZ.TÁBL. SEGÍTŐ SZOLGÁLAT'!Y74</f>
        <v>-304</v>
      </c>
      <c r="E66" s="223">
        <f>+'3.SZ.TÁBL. SEGÍTŐ SZOLGÁLAT'!Z74</f>
        <v>2026</v>
      </c>
      <c r="F66" s="222">
        <f>+'4.SZ.TÁBL. ÓVODA'!R72</f>
        <v>3947</v>
      </c>
      <c r="G66" s="218">
        <f>+'4.SZ.TÁBL. ÓVODA'!S72</f>
        <v>-4</v>
      </c>
      <c r="H66" s="223">
        <f>+'4.SZ.TÁBL. ÓVODA'!T72</f>
        <v>3943</v>
      </c>
      <c r="I66" s="70">
        <f t="shared" ref="I66:I74" si="125">+C66+F66</f>
        <v>6277</v>
      </c>
      <c r="J66" s="93">
        <f t="shared" ref="J66:J74" si="126">+D66+G66</f>
        <v>-308</v>
      </c>
      <c r="K66" s="115">
        <f t="shared" ref="K66:K74" si="127">+E66+H66</f>
        <v>5969</v>
      </c>
      <c r="L66" s="6"/>
      <c r="M66" s="90"/>
      <c r="N66" s="91"/>
      <c r="O66" s="70">
        <f t="shared" si="31"/>
        <v>6277</v>
      </c>
      <c r="P66" s="93">
        <f t="shared" ref="P66:P74" si="128">+J66+M66</f>
        <v>-308</v>
      </c>
      <c r="Q66" s="115">
        <f t="shared" ref="Q66:Q74" si="129">+K66+N66</f>
        <v>5969</v>
      </c>
    </row>
    <row r="67" spans="1:19" ht="13.5" customHeight="1">
      <c r="A67" s="200" t="s">
        <v>273</v>
      </c>
      <c r="B67" s="170" t="s">
        <v>3</v>
      </c>
      <c r="C67" s="215">
        <f>+'3.SZ.TÁBL. SEGÍTŐ SZOLGÁLAT'!X75</f>
        <v>350</v>
      </c>
      <c r="D67" s="207">
        <f>+'3.SZ.TÁBL. SEGÍTŐ SZOLGÁLAT'!Y75</f>
        <v>6</v>
      </c>
      <c r="E67" s="208">
        <f>+'3.SZ.TÁBL. SEGÍTŐ SZOLGÁLAT'!Z75</f>
        <v>356</v>
      </c>
      <c r="F67" s="215">
        <f>+'4.SZ.TÁBL. ÓVODA'!R73</f>
        <v>5581</v>
      </c>
      <c r="G67" s="207">
        <f>+'4.SZ.TÁBL. ÓVODA'!S73</f>
        <v>0</v>
      </c>
      <c r="H67" s="208">
        <f>+'4.SZ.TÁBL. ÓVODA'!T73</f>
        <v>5581</v>
      </c>
      <c r="I67" s="72">
        <f t="shared" si="125"/>
        <v>5931</v>
      </c>
      <c r="J67" s="88">
        <f t="shared" si="126"/>
        <v>6</v>
      </c>
      <c r="K67" s="28">
        <f t="shared" si="127"/>
        <v>5937</v>
      </c>
      <c r="L67" s="7"/>
      <c r="M67" s="151"/>
      <c r="N67" s="5"/>
      <c r="O67" s="72">
        <f t="shared" si="31"/>
        <v>5931</v>
      </c>
      <c r="P67" s="88">
        <f t="shared" si="128"/>
        <v>6</v>
      </c>
      <c r="Q67" s="28">
        <f t="shared" si="129"/>
        <v>5937</v>
      </c>
    </row>
    <row r="68" spans="1:19" ht="13.5" customHeight="1">
      <c r="A68" s="200" t="s">
        <v>274</v>
      </c>
      <c r="B68" s="170" t="s">
        <v>275</v>
      </c>
      <c r="C68" s="215">
        <f>+'3.SZ.TÁBL. SEGÍTŐ SZOLGÁLAT'!X76</f>
        <v>0</v>
      </c>
      <c r="D68" s="207">
        <f>+'3.SZ.TÁBL. SEGÍTŐ SZOLGÁLAT'!Y76</f>
        <v>0</v>
      </c>
      <c r="E68" s="208">
        <f>+'3.SZ.TÁBL. SEGÍTŐ SZOLGÁLAT'!Z76</f>
        <v>0</v>
      </c>
      <c r="F68" s="215">
        <f>+'4.SZ.TÁBL. ÓVODA'!R74</f>
        <v>0</v>
      </c>
      <c r="G68" s="207">
        <f>+'4.SZ.TÁBL. ÓVODA'!S74</f>
        <v>0</v>
      </c>
      <c r="H68" s="208">
        <f>+'4.SZ.TÁBL. ÓVODA'!T74</f>
        <v>0</v>
      </c>
      <c r="I68" s="72">
        <f t="shared" si="125"/>
        <v>0</v>
      </c>
      <c r="J68" s="88">
        <f t="shared" si="126"/>
        <v>0</v>
      </c>
      <c r="K68" s="28">
        <f t="shared" si="127"/>
        <v>0</v>
      </c>
      <c r="L68" s="7"/>
      <c r="M68" s="151"/>
      <c r="N68" s="5"/>
      <c r="O68" s="72">
        <f t="shared" si="31"/>
        <v>0</v>
      </c>
      <c r="P68" s="88">
        <f t="shared" si="128"/>
        <v>0</v>
      </c>
      <c r="Q68" s="28">
        <f t="shared" si="129"/>
        <v>0</v>
      </c>
    </row>
    <row r="69" spans="1:19" ht="13.5" customHeight="1">
      <c r="A69" s="200" t="s">
        <v>276</v>
      </c>
      <c r="B69" s="170" t="s">
        <v>277</v>
      </c>
      <c r="C69" s="215">
        <f>+'3.SZ.TÁBL. SEGÍTŐ SZOLGÁLAT'!X77</f>
        <v>1089</v>
      </c>
      <c r="D69" s="207">
        <f>+'3.SZ.TÁBL. SEGÍTŐ SZOLGÁLAT'!Y77</f>
        <v>0</v>
      </c>
      <c r="E69" s="208">
        <f>+'3.SZ.TÁBL. SEGÍTŐ SZOLGÁLAT'!Z77</f>
        <v>1089</v>
      </c>
      <c r="F69" s="215">
        <f>+'4.SZ.TÁBL. ÓVODA'!R75</f>
        <v>760</v>
      </c>
      <c r="G69" s="207">
        <f>+'4.SZ.TÁBL. ÓVODA'!S75</f>
        <v>11</v>
      </c>
      <c r="H69" s="208">
        <f>+'4.SZ.TÁBL. ÓVODA'!T75</f>
        <v>771</v>
      </c>
      <c r="I69" s="72">
        <f t="shared" si="125"/>
        <v>1849</v>
      </c>
      <c r="J69" s="88">
        <f t="shared" si="126"/>
        <v>11</v>
      </c>
      <c r="K69" s="28">
        <f t="shared" si="127"/>
        <v>1860</v>
      </c>
      <c r="L69" s="7"/>
      <c r="M69" s="151"/>
      <c r="N69" s="5"/>
      <c r="O69" s="72">
        <f t="shared" si="31"/>
        <v>1849</v>
      </c>
      <c r="P69" s="88">
        <f t="shared" si="128"/>
        <v>11</v>
      </c>
      <c r="Q69" s="28">
        <f t="shared" si="129"/>
        <v>1860</v>
      </c>
    </row>
    <row r="70" spans="1:19" ht="13.5" customHeight="1">
      <c r="A70" s="200" t="s">
        <v>278</v>
      </c>
      <c r="B70" s="170" t="s">
        <v>279</v>
      </c>
      <c r="C70" s="215">
        <f>+'3.SZ.TÁBL. SEGÍTŐ SZOLGÁLAT'!X78</f>
        <v>7</v>
      </c>
      <c r="D70" s="207">
        <f>+'3.SZ.TÁBL. SEGÍTŐ SZOLGÁLAT'!Y78</f>
        <v>0</v>
      </c>
      <c r="E70" s="208">
        <f>+'3.SZ.TÁBL. SEGÍTŐ SZOLGÁLAT'!Z78</f>
        <v>7</v>
      </c>
      <c r="F70" s="215">
        <f>+'4.SZ.TÁBL. ÓVODA'!R76</f>
        <v>0</v>
      </c>
      <c r="G70" s="207">
        <f>+'4.SZ.TÁBL. ÓVODA'!S76</f>
        <v>0</v>
      </c>
      <c r="H70" s="208">
        <f>+'4.SZ.TÁBL. ÓVODA'!T76</f>
        <v>0</v>
      </c>
      <c r="I70" s="72">
        <f t="shared" si="125"/>
        <v>7</v>
      </c>
      <c r="J70" s="88">
        <f t="shared" si="126"/>
        <v>0</v>
      </c>
      <c r="K70" s="28">
        <f t="shared" si="127"/>
        <v>7</v>
      </c>
      <c r="L70" s="7"/>
      <c r="M70" s="151"/>
      <c r="N70" s="5"/>
      <c r="O70" s="72">
        <f t="shared" si="31"/>
        <v>7</v>
      </c>
      <c r="P70" s="88">
        <f t="shared" si="128"/>
        <v>0</v>
      </c>
      <c r="Q70" s="28">
        <f t="shared" si="129"/>
        <v>7</v>
      </c>
    </row>
    <row r="71" spans="1:19" s="287" customFormat="1" ht="13.5" customHeight="1">
      <c r="A71" s="204" t="s">
        <v>278</v>
      </c>
      <c r="B71" s="171" t="s">
        <v>323</v>
      </c>
      <c r="C71" s="278">
        <f>+'3.SZ.TÁBL. SEGÍTŐ SZOLGÁLAT'!X79</f>
        <v>0</v>
      </c>
      <c r="D71" s="277">
        <f>+'3.SZ.TÁBL. SEGÍTŐ SZOLGÁLAT'!Y79</f>
        <v>0</v>
      </c>
      <c r="E71" s="279">
        <f>+'3.SZ.TÁBL. SEGÍTŐ SZOLGÁLAT'!Z79</f>
        <v>0</v>
      </c>
      <c r="F71" s="278">
        <f>+'4.SZ.TÁBL. ÓVODA'!R77</f>
        <v>0</v>
      </c>
      <c r="G71" s="277">
        <f>+'4.SZ.TÁBL. ÓVODA'!S77</f>
        <v>0</v>
      </c>
      <c r="H71" s="279">
        <f>+'4.SZ.TÁBL. ÓVODA'!T77</f>
        <v>0</v>
      </c>
      <c r="I71" s="380">
        <f t="shared" si="125"/>
        <v>0</v>
      </c>
      <c r="J71" s="381">
        <f t="shared" si="126"/>
        <v>0</v>
      </c>
      <c r="K71" s="382">
        <f t="shared" si="127"/>
        <v>0</v>
      </c>
      <c r="L71" s="397"/>
      <c r="M71" s="398"/>
      <c r="N71" s="399"/>
      <c r="O71" s="380">
        <f t="shared" si="31"/>
        <v>0</v>
      </c>
      <c r="P71" s="381">
        <f t="shared" si="128"/>
        <v>0</v>
      </c>
      <c r="Q71" s="382">
        <f t="shared" si="129"/>
        <v>0</v>
      </c>
      <c r="S71" s="384"/>
    </row>
    <row r="72" spans="1:19" s="287" customFormat="1" ht="13.5" customHeight="1">
      <c r="A72" s="204" t="s">
        <v>278</v>
      </c>
      <c r="B72" s="171" t="s">
        <v>324</v>
      </c>
      <c r="C72" s="278">
        <f>+'3.SZ.TÁBL. SEGÍTŐ SZOLGÁLAT'!X80</f>
        <v>7</v>
      </c>
      <c r="D72" s="277">
        <f>+'3.SZ.TÁBL. SEGÍTŐ SZOLGÁLAT'!Y80</f>
        <v>0</v>
      </c>
      <c r="E72" s="279">
        <f>+'3.SZ.TÁBL. SEGÍTŐ SZOLGÁLAT'!Z80</f>
        <v>7</v>
      </c>
      <c r="F72" s="278">
        <f>+'4.SZ.TÁBL. ÓVODA'!R78</f>
        <v>0</v>
      </c>
      <c r="G72" s="277">
        <f>+'4.SZ.TÁBL. ÓVODA'!S78</f>
        <v>0</v>
      </c>
      <c r="H72" s="279">
        <f>+'4.SZ.TÁBL. ÓVODA'!T78</f>
        <v>0</v>
      </c>
      <c r="I72" s="380">
        <f t="shared" si="125"/>
        <v>7</v>
      </c>
      <c r="J72" s="381">
        <f t="shared" si="126"/>
        <v>0</v>
      </c>
      <c r="K72" s="382">
        <f t="shared" si="127"/>
        <v>7</v>
      </c>
      <c r="L72" s="397"/>
      <c r="M72" s="398"/>
      <c r="N72" s="399"/>
      <c r="O72" s="380">
        <f t="shared" si="31"/>
        <v>7</v>
      </c>
      <c r="P72" s="381">
        <f t="shared" si="128"/>
        <v>0</v>
      </c>
      <c r="Q72" s="382">
        <f t="shared" si="129"/>
        <v>7</v>
      </c>
      <c r="S72" s="384"/>
    </row>
    <row r="73" spans="1:19" ht="13.5" customHeight="1">
      <c r="A73" s="200" t="s">
        <v>280</v>
      </c>
      <c r="B73" s="170" t="s">
        <v>281</v>
      </c>
      <c r="C73" s="215">
        <f>+'3.SZ.TÁBL. SEGÍTŐ SZOLGÁLAT'!X81</f>
        <v>1752</v>
      </c>
      <c r="D73" s="207">
        <f>+'3.SZ.TÁBL. SEGÍTŐ SZOLGÁLAT'!Y81</f>
        <v>127</v>
      </c>
      <c r="E73" s="208">
        <f>+'3.SZ.TÁBL. SEGÍTŐ SZOLGÁLAT'!Z81</f>
        <v>1879</v>
      </c>
      <c r="F73" s="215">
        <f>+'4.SZ.TÁBL. ÓVODA'!R79</f>
        <v>1006</v>
      </c>
      <c r="G73" s="207">
        <f>+'4.SZ.TÁBL. ÓVODA'!S79</f>
        <v>6</v>
      </c>
      <c r="H73" s="208">
        <f>+'4.SZ.TÁBL. ÓVODA'!T79</f>
        <v>1012</v>
      </c>
      <c r="I73" s="72">
        <f t="shared" si="125"/>
        <v>2758</v>
      </c>
      <c r="J73" s="88">
        <f t="shared" si="126"/>
        <v>133</v>
      </c>
      <c r="K73" s="28">
        <f t="shared" si="127"/>
        <v>2891</v>
      </c>
      <c r="L73" s="72">
        <f>+'[4]1.1.SZ.TÁBL. BEV - KIAD'!$N$73</f>
        <v>41736</v>
      </c>
      <c r="M73" s="151">
        <f>+[5]Társulás!$I$9+[5]Társulás!$I$10</f>
        <v>280</v>
      </c>
      <c r="N73" s="5">
        <f>+L73+M73</f>
        <v>42016</v>
      </c>
      <c r="O73" s="72">
        <f t="shared" si="31"/>
        <v>44494</v>
      </c>
      <c r="P73" s="88">
        <f t="shared" si="128"/>
        <v>413</v>
      </c>
      <c r="Q73" s="28">
        <f t="shared" si="129"/>
        <v>44907</v>
      </c>
    </row>
    <row r="74" spans="1:19" ht="29.25" customHeight="1">
      <c r="A74" s="201" t="s">
        <v>282</v>
      </c>
      <c r="B74" s="181" t="s">
        <v>438</v>
      </c>
      <c r="C74" s="232">
        <f>+'3.SZ.TÁBL. SEGÍTŐ SZOLGÁLAT'!X82</f>
        <v>3690</v>
      </c>
      <c r="D74" s="228">
        <f>+'3.SZ.TÁBL. SEGÍTŐ SZOLGÁLAT'!Y82</f>
        <v>272</v>
      </c>
      <c r="E74" s="233">
        <f>+'3.SZ.TÁBL. SEGÍTŐ SZOLGÁLAT'!Z82</f>
        <v>3962</v>
      </c>
      <c r="F74" s="232">
        <f>+'4.SZ.TÁBL. ÓVODA'!R80</f>
        <v>1220</v>
      </c>
      <c r="G74" s="228">
        <f>+'4.SZ.TÁBL. ÓVODA'!S80</f>
        <v>364</v>
      </c>
      <c r="H74" s="233">
        <f>+'4.SZ.TÁBL. ÓVODA'!T80</f>
        <v>1584</v>
      </c>
      <c r="I74" s="73">
        <f t="shared" si="125"/>
        <v>4910</v>
      </c>
      <c r="J74" s="89">
        <f t="shared" si="126"/>
        <v>636</v>
      </c>
      <c r="K74" s="29">
        <f t="shared" si="127"/>
        <v>5546</v>
      </c>
      <c r="L74" s="73">
        <f>+'[4]1.1.SZ.TÁBL. BEV - KIAD'!$N$74</f>
        <v>522</v>
      </c>
      <c r="M74" s="189">
        <f>+[5]Társulás!$I$18</f>
        <v>53</v>
      </c>
      <c r="N74" s="5">
        <f>+L74+M74</f>
        <v>575</v>
      </c>
      <c r="O74" s="73">
        <f t="shared" si="31"/>
        <v>5432</v>
      </c>
      <c r="P74" s="89">
        <f t="shared" si="128"/>
        <v>689</v>
      </c>
      <c r="Q74" s="29">
        <f t="shared" si="129"/>
        <v>6121</v>
      </c>
    </row>
    <row r="75" spans="1:19" s="3" customFormat="1" ht="13.5" customHeight="1">
      <c r="A75" s="202" t="s">
        <v>221</v>
      </c>
      <c r="B75" s="182" t="s">
        <v>179</v>
      </c>
      <c r="C75" s="288">
        <f>+SUM(C66:C70,C73:C74)</f>
        <v>9218</v>
      </c>
      <c r="D75" s="292">
        <f t="shared" ref="D75:E75" si="130">+SUM(D66:D70,D73:D74)</f>
        <v>101</v>
      </c>
      <c r="E75" s="293">
        <f t="shared" si="130"/>
        <v>9319</v>
      </c>
      <c r="F75" s="288">
        <f>+SUM(F66:F70,F73:F74)</f>
        <v>12514</v>
      </c>
      <c r="G75" s="292">
        <f t="shared" ref="G75:H75" si="131">+SUM(G66:G70,G73:G74)</f>
        <v>377</v>
      </c>
      <c r="H75" s="293">
        <f t="shared" si="131"/>
        <v>12891</v>
      </c>
      <c r="I75" s="288">
        <f>+SUM(I66:I70,I73:I74)</f>
        <v>21732</v>
      </c>
      <c r="J75" s="292">
        <f t="shared" ref="J75" si="132">+SUM(J66:J70,J73:J74)</f>
        <v>478</v>
      </c>
      <c r="K75" s="293">
        <f>+SUM(K66:K70,K73:K74)</f>
        <v>22210</v>
      </c>
      <c r="L75" s="400">
        <f>+SUM(L66:L74)</f>
        <v>42258</v>
      </c>
      <c r="M75" s="401">
        <f t="shared" ref="M75" si="133">+SUM(M66:M74)</f>
        <v>333</v>
      </c>
      <c r="N75" s="402">
        <f t="shared" ref="N75" si="134">+SUM(N66:N74)</f>
        <v>42591</v>
      </c>
      <c r="O75" s="288">
        <f>+SUM(O66:O70,O73:O74)</f>
        <v>63990</v>
      </c>
      <c r="P75" s="292">
        <f t="shared" ref="P75" si="135">+SUM(P66:P70,P73:P74)</f>
        <v>811</v>
      </c>
      <c r="Q75" s="293">
        <f>+SUM(Q66:Q70,Q73:Q74)</f>
        <v>64801</v>
      </c>
      <c r="S75" s="4"/>
    </row>
    <row r="76" spans="1:19" ht="13.5" customHeight="1">
      <c r="A76" s="199" t="s">
        <v>284</v>
      </c>
      <c r="B76" s="180" t="s">
        <v>285</v>
      </c>
      <c r="C76" s="222">
        <f>+'3.SZ.TÁBL. SEGÍTŐ SZOLGÁLAT'!X84</f>
        <v>840</v>
      </c>
      <c r="D76" s="218">
        <f>+'3.SZ.TÁBL. SEGÍTŐ SZOLGÁLAT'!Y84</f>
        <v>124</v>
      </c>
      <c r="E76" s="223">
        <f>+'3.SZ.TÁBL. SEGÍTŐ SZOLGÁLAT'!Z84</f>
        <v>964</v>
      </c>
      <c r="F76" s="222">
        <f>+'4.SZ.TÁBL. ÓVODA'!R82</f>
        <v>146</v>
      </c>
      <c r="G76" s="218">
        <f>+'4.SZ.TÁBL. ÓVODA'!S82</f>
        <v>-10</v>
      </c>
      <c r="H76" s="223">
        <f>+'4.SZ.TÁBL. ÓVODA'!T82</f>
        <v>136</v>
      </c>
      <c r="I76" s="70">
        <f t="shared" ref="I76:I77" si="136">+C76+F76</f>
        <v>986</v>
      </c>
      <c r="J76" s="93">
        <f t="shared" ref="J76:J77" si="137">+D76+G76</f>
        <v>114</v>
      </c>
      <c r="K76" s="115">
        <f t="shared" ref="K76:K77" si="138">+E76+H76</f>
        <v>1100</v>
      </c>
      <c r="L76" s="6"/>
      <c r="M76" s="90"/>
      <c r="N76" s="91"/>
      <c r="O76" s="70">
        <f t="shared" si="31"/>
        <v>986</v>
      </c>
      <c r="P76" s="93">
        <f t="shared" ref="P76:P77" si="139">+J76+M76</f>
        <v>114</v>
      </c>
      <c r="Q76" s="115">
        <f t="shared" ref="Q76:Q77" si="140">+K76+N76</f>
        <v>1100</v>
      </c>
    </row>
    <row r="77" spans="1:19" ht="13.5" customHeight="1">
      <c r="A77" s="201" t="s">
        <v>286</v>
      </c>
      <c r="B77" s="181" t="s">
        <v>287</v>
      </c>
      <c r="C77" s="232">
        <f>+'3.SZ.TÁBL. SEGÍTŐ SZOLGÁLAT'!X85</f>
        <v>0</v>
      </c>
      <c r="D77" s="228">
        <f>+'3.SZ.TÁBL. SEGÍTŐ SZOLGÁLAT'!Y85</f>
        <v>0</v>
      </c>
      <c r="E77" s="233">
        <f>+'3.SZ.TÁBL. SEGÍTŐ SZOLGÁLAT'!Z85</f>
        <v>0</v>
      </c>
      <c r="F77" s="232">
        <f>+'4.SZ.TÁBL. ÓVODA'!R83</f>
        <v>0</v>
      </c>
      <c r="G77" s="228">
        <f>+'4.SZ.TÁBL. ÓVODA'!S83</f>
        <v>0</v>
      </c>
      <c r="H77" s="233">
        <f>+'4.SZ.TÁBL. ÓVODA'!T83</f>
        <v>0</v>
      </c>
      <c r="I77" s="73">
        <f t="shared" si="136"/>
        <v>0</v>
      </c>
      <c r="J77" s="89">
        <f t="shared" si="137"/>
        <v>0</v>
      </c>
      <c r="K77" s="29">
        <f t="shared" si="138"/>
        <v>0</v>
      </c>
      <c r="L77" s="175"/>
      <c r="M77" s="189"/>
      <c r="N77" s="177"/>
      <c r="O77" s="73">
        <f t="shared" ref="O77:O111" si="141">+I77+L77</f>
        <v>0</v>
      </c>
      <c r="P77" s="89">
        <f t="shared" si="139"/>
        <v>0</v>
      </c>
      <c r="Q77" s="29">
        <f t="shared" si="140"/>
        <v>0</v>
      </c>
    </row>
    <row r="78" spans="1:19" s="3" customFormat="1" ht="13.5" customHeight="1">
      <c r="A78" s="202" t="s">
        <v>222</v>
      </c>
      <c r="B78" s="182" t="s">
        <v>180</v>
      </c>
      <c r="C78" s="288">
        <f>+SUM(C76:C77)</f>
        <v>840</v>
      </c>
      <c r="D78" s="292">
        <f t="shared" ref="D78:E78" si="142">+SUM(D76:D77)</f>
        <v>124</v>
      </c>
      <c r="E78" s="293">
        <f t="shared" si="142"/>
        <v>964</v>
      </c>
      <c r="F78" s="288">
        <f>+SUM(F76:F77)</f>
        <v>146</v>
      </c>
      <c r="G78" s="292">
        <f t="shared" ref="G78:H78" si="143">+SUM(G76:G77)</f>
        <v>-10</v>
      </c>
      <c r="H78" s="293">
        <f t="shared" si="143"/>
        <v>136</v>
      </c>
      <c r="I78" s="288">
        <f>+SUM(I76:I77)</f>
        <v>986</v>
      </c>
      <c r="J78" s="292">
        <f t="shared" ref="J78:K78" si="144">+SUM(J76:J77)</f>
        <v>114</v>
      </c>
      <c r="K78" s="293">
        <f t="shared" si="144"/>
        <v>1100</v>
      </c>
      <c r="L78" s="400">
        <f>+SUM(L76:L77)</f>
        <v>0</v>
      </c>
      <c r="M78" s="401">
        <f t="shared" ref="M78" si="145">+SUM(M76:M77)</f>
        <v>0</v>
      </c>
      <c r="N78" s="402">
        <f t="shared" ref="N78" si="146">+SUM(N76:N77)</f>
        <v>0</v>
      </c>
      <c r="O78" s="400">
        <f>+SUM(O76:O77)</f>
        <v>986</v>
      </c>
      <c r="P78" s="401">
        <f t="shared" ref="P78:Q78" si="147">+SUM(P76:P77)</f>
        <v>114</v>
      </c>
      <c r="Q78" s="402">
        <f t="shared" si="147"/>
        <v>1100</v>
      </c>
      <c r="S78" s="4"/>
    </row>
    <row r="79" spans="1:19" ht="13.5" customHeight="1">
      <c r="A79" s="199" t="s">
        <v>288</v>
      </c>
      <c r="B79" s="180" t="s">
        <v>289</v>
      </c>
      <c r="C79" s="222">
        <f>+'3.SZ.TÁBL. SEGÍTŐ SZOLGÁLAT'!X87</f>
        <v>3429</v>
      </c>
      <c r="D79" s="218">
        <f>+'3.SZ.TÁBL. SEGÍTŐ SZOLGÁLAT'!Y87</f>
        <v>-129</v>
      </c>
      <c r="E79" s="223">
        <f>+'3.SZ.TÁBL. SEGÍTŐ SZOLGÁLAT'!Z87</f>
        <v>3300</v>
      </c>
      <c r="F79" s="222">
        <f>+'4.SZ.TÁBL. ÓVODA'!R85</f>
        <v>4046</v>
      </c>
      <c r="G79" s="218">
        <f>+'4.SZ.TÁBL. ÓVODA'!S85</f>
        <v>-240</v>
      </c>
      <c r="H79" s="223">
        <f>+'4.SZ.TÁBL. ÓVODA'!T85</f>
        <v>3806</v>
      </c>
      <c r="I79" s="70">
        <f t="shared" ref="I79:I83" si="148">+C79+F79</f>
        <v>7475</v>
      </c>
      <c r="J79" s="93">
        <f t="shared" ref="J79:J83" si="149">+D79+G79</f>
        <v>-369</v>
      </c>
      <c r="K79" s="115">
        <f t="shared" ref="K79:K83" si="150">+E79+H79</f>
        <v>7106</v>
      </c>
      <c r="L79" s="70">
        <f>+'[4]1.1.SZ.TÁBL. BEV - KIAD'!$N$79</f>
        <v>610</v>
      </c>
      <c r="M79" s="90">
        <f>+[5]Társulás!$J$9+[5]Társulás!$J$10</f>
        <v>77</v>
      </c>
      <c r="N79" s="91">
        <f>+L79+M79</f>
        <v>687</v>
      </c>
      <c r="O79" s="70">
        <f t="shared" si="141"/>
        <v>8085</v>
      </c>
      <c r="P79" s="93">
        <f t="shared" ref="P79:P83" si="151">+J79+M79</f>
        <v>-292</v>
      </c>
      <c r="Q79" s="115">
        <f t="shared" ref="Q79:Q83" si="152">+K79+N79</f>
        <v>7793</v>
      </c>
    </row>
    <row r="80" spans="1:19" ht="13.5" customHeight="1">
      <c r="A80" s="200" t="s">
        <v>290</v>
      </c>
      <c r="B80" s="170" t="s">
        <v>291</v>
      </c>
      <c r="C80" s="215">
        <f>+'3.SZ.TÁBL. SEGÍTŐ SZOLGÁLAT'!X88</f>
        <v>0</v>
      </c>
      <c r="D80" s="207">
        <f>+'3.SZ.TÁBL. SEGÍTŐ SZOLGÁLAT'!Y88</f>
        <v>0</v>
      </c>
      <c r="E80" s="208">
        <f>+'3.SZ.TÁBL. SEGÍTŐ SZOLGÁLAT'!Z88</f>
        <v>0</v>
      </c>
      <c r="F80" s="215">
        <f>+'4.SZ.TÁBL. ÓVODA'!R86</f>
        <v>0</v>
      </c>
      <c r="G80" s="207">
        <f>+'4.SZ.TÁBL. ÓVODA'!S86</f>
        <v>0</v>
      </c>
      <c r="H80" s="208">
        <f>+'4.SZ.TÁBL. ÓVODA'!T86</f>
        <v>0</v>
      </c>
      <c r="I80" s="72">
        <f t="shared" si="148"/>
        <v>0</v>
      </c>
      <c r="J80" s="88">
        <f t="shared" si="149"/>
        <v>0</v>
      </c>
      <c r="K80" s="28">
        <f t="shared" si="150"/>
        <v>0</v>
      </c>
      <c r="L80" s="7"/>
      <c r="M80" s="151"/>
      <c r="N80" s="5"/>
      <c r="O80" s="72">
        <f t="shared" si="141"/>
        <v>0</v>
      </c>
      <c r="P80" s="88">
        <f t="shared" si="151"/>
        <v>0</v>
      </c>
      <c r="Q80" s="28">
        <f t="shared" si="152"/>
        <v>0</v>
      </c>
    </row>
    <row r="81" spans="1:19" ht="13.5" customHeight="1">
      <c r="A81" s="200" t="s">
        <v>292</v>
      </c>
      <c r="B81" s="170" t="s">
        <v>293</v>
      </c>
      <c r="C81" s="215">
        <f>+'3.SZ.TÁBL. SEGÍTŐ SZOLGÁLAT'!X89</f>
        <v>0</v>
      </c>
      <c r="D81" s="207">
        <f>+'3.SZ.TÁBL. SEGÍTŐ SZOLGÁLAT'!Y89</f>
        <v>0</v>
      </c>
      <c r="E81" s="208">
        <f>+'3.SZ.TÁBL. SEGÍTŐ SZOLGÁLAT'!Z89</f>
        <v>0</v>
      </c>
      <c r="F81" s="215">
        <f>+'4.SZ.TÁBL. ÓVODA'!R87</f>
        <v>0</v>
      </c>
      <c r="G81" s="207">
        <f>+'4.SZ.TÁBL. ÓVODA'!S87</f>
        <v>0</v>
      </c>
      <c r="H81" s="208">
        <f>+'4.SZ.TÁBL. ÓVODA'!T87</f>
        <v>0</v>
      </c>
      <c r="I81" s="72">
        <f t="shared" si="148"/>
        <v>0</v>
      </c>
      <c r="J81" s="88">
        <f t="shared" si="149"/>
        <v>0</v>
      </c>
      <c r="K81" s="28">
        <f t="shared" si="150"/>
        <v>0</v>
      </c>
      <c r="L81" s="7"/>
      <c r="M81" s="151"/>
      <c r="N81" s="5"/>
      <c r="O81" s="72">
        <f t="shared" si="141"/>
        <v>0</v>
      </c>
      <c r="P81" s="88">
        <f t="shared" si="151"/>
        <v>0</v>
      </c>
      <c r="Q81" s="28">
        <f t="shared" si="152"/>
        <v>0</v>
      </c>
    </row>
    <row r="82" spans="1:19" ht="13.5" customHeight="1">
      <c r="A82" s="200" t="s">
        <v>294</v>
      </c>
      <c r="B82" s="170" t="s">
        <v>295</v>
      </c>
      <c r="C82" s="215">
        <f>+'3.SZ.TÁBL. SEGÍTŐ SZOLGÁLAT'!X90</f>
        <v>0</v>
      </c>
      <c r="D82" s="207">
        <f>+'3.SZ.TÁBL. SEGÍTŐ SZOLGÁLAT'!Y90</f>
        <v>0</v>
      </c>
      <c r="E82" s="208">
        <f>+'3.SZ.TÁBL. SEGÍTŐ SZOLGÁLAT'!Z90</f>
        <v>0</v>
      </c>
      <c r="F82" s="215">
        <f>+'4.SZ.TÁBL. ÓVODA'!R88</f>
        <v>0</v>
      </c>
      <c r="G82" s="207">
        <f>+'4.SZ.TÁBL. ÓVODA'!S88</f>
        <v>0</v>
      </c>
      <c r="H82" s="208">
        <f>+'4.SZ.TÁBL. ÓVODA'!T88</f>
        <v>0</v>
      </c>
      <c r="I82" s="72">
        <f t="shared" si="148"/>
        <v>0</v>
      </c>
      <c r="J82" s="88">
        <f t="shared" si="149"/>
        <v>0</v>
      </c>
      <c r="K82" s="28">
        <f t="shared" si="150"/>
        <v>0</v>
      </c>
      <c r="L82" s="7"/>
      <c r="M82" s="151"/>
      <c r="N82" s="5"/>
      <c r="O82" s="72">
        <f t="shared" si="141"/>
        <v>0</v>
      </c>
      <c r="P82" s="88">
        <f t="shared" si="151"/>
        <v>0</v>
      </c>
      <c r="Q82" s="28">
        <f t="shared" si="152"/>
        <v>0</v>
      </c>
    </row>
    <row r="83" spans="1:19" ht="13.5" customHeight="1">
      <c r="A83" s="201" t="s">
        <v>296</v>
      </c>
      <c r="B83" s="181" t="s">
        <v>439</v>
      </c>
      <c r="C83" s="232">
        <f>+'3.SZ.TÁBL. SEGÍTŐ SZOLGÁLAT'!X91</f>
        <v>764</v>
      </c>
      <c r="D83" s="228">
        <f>+'3.SZ.TÁBL. SEGÍTŐ SZOLGÁLAT'!Y91</f>
        <v>-149</v>
      </c>
      <c r="E83" s="233">
        <f>+'3.SZ.TÁBL. SEGÍTŐ SZOLGÁLAT'!Z91</f>
        <v>615</v>
      </c>
      <c r="F83" s="232">
        <f>+'4.SZ.TÁBL. ÓVODA'!R89</f>
        <v>0</v>
      </c>
      <c r="G83" s="228">
        <f>+'4.SZ.TÁBL. ÓVODA'!S89</f>
        <v>0</v>
      </c>
      <c r="H83" s="233">
        <f>+'4.SZ.TÁBL. ÓVODA'!T89</f>
        <v>0</v>
      </c>
      <c r="I83" s="73">
        <f t="shared" si="148"/>
        <v>764</v>
      </c>
      <c r="J83" s="89">
        <f t="shared" si="149"/>
        <v>-149</v>
      </c>
      <c r="K83" s="29">
        <f t="shared" si="150"/>
        <v>615</v>
      </c>
      <c r="L83" s="175"/>
      <c r="M83" s="189"/>
      <c r="N83" s="177"/>
      <c r="O83" s="73">
        <f t="shared" si="141"/>
        <v>764</v>
      </c>
      <c r="P83" s="89">
        <f t="shared" si="151"/>
        <v>-149</v>
      </c>
      <c r="Q83" s="29">
        <f t="shared" si="152"/>
        <v>615</v>
      </c>
    </row>
    <row r="84" spans="1:19" s="3" customFormat="1" ht="13.5" customHeight="1">
      <c r="A84" s="202" t="s">
        <v>223</v>
      </c>
      <c r="B84" s="182" t="s">
        <v>181</v>
      </c>
      <c r="C84" s="288">
        <f>SUM(C79:C83)</f>
        <v>4193</v>
      </c>
      <c r="D84" s="292">
        <f t="shared" ref="D84:E84" si="153">SUM(D79:D83)</f>
        <v>-278</v>
      </c>
      <c r="E84" s="293">
        <f t="shared" si="153"/>
        <v>3915</v>
      </c>
      <c r="F84" s="288">
        <f>SUM(F79:F83)</f>
        <v>4046</v>
      </c>
      <c r="G84" s="292">
        <f t="shared" ref="G84:H84" si="154">SUM(G79:G83)</f>
        <v>-240</v>
      </c>
      <c r="H84" s="293">
        <f t="shared" si="154"/>
        <v>3806</v>
      </c>
      <c r="I84" s="288">
        <f>SUM(I79:I83)</f>
        <v>8239</v>
      </c>
      <c r="J84" s="292">
        <f t="shared" ref="J84:K84" si="155">SUM(J79:J83)</f>
        <v>-518</v>
      </c>
      <c r="K84" s="293">
        <f t="shared" si="155"/>
        <v>7721</v>
      </c>
      <c r="L84" s="400">
        <f>+SUM(L79:L83)</f>
        <v>610</v>
      </c>
      <c r="M84" s="401">
        <f t="shared" ref="M84" si="156">+SUM(M79:M83)</f>
        <v>77</v>
      </c>
      <c r="N84" s="402">
        <f t="shared" ref="N84" si="157">+SUM(N79:N83)</f>
        <v>687</v>
      </c>
      <c r="O84" s="400">
        <f>+SUM(O79:O83)</f>
        <v>8849</v>
      </c>
      <c r="P84" s="401">
        <f t="shared" ref="P84:Q84" si="158">+SUM(P79:P83)</f>
        <v>-441</v>
      </c>
      <c r="Q84" s="402">
        <f t="shared" si="158"/>
        <v>8408</v>
      </c>
      <c r="S84" s="4"/>
    </row>
    <row r="85" spans="1:19" s="3" customFormat="1" ht="13.5" customHeight="1">
      <c r="A85" s="202" t="s">
        <v>224</v>
      </c>
      <c r="B85" s="182" t="s">
        <v>182</v>
      </c>
      <c r="C85" s="288">
        <f>+C62+C65+C75+C78+C84</f>
        <v>18978</v>
      </c>
      <c r="D85" s="292">
        <f t="shared" ref="D85:E85" si="159">+D62+D65+D75+D78+D84</f>
        <v>32</v>
      </c>
      <c r="E85" s="293">
        <f t="shared" si="159"/>
        <v>19010</v>
      </c>
      <c r="F85" s="288">
        <f>+F62+F65+F75+F78+F84</f>
        <v>19565</v>
      </c>
      <c r="G85" s="292">
        <f t="shared" ref="G85:H85" si="160">+G62+G65+G75+G78+G84</f>
        <v>61</v>
      </c>
      <c r="H85" s="293">
        <f t="shared" si="160"/>
        <v>19626</v>
      </c>
      <c r="I85" s="288">
        <f>+I62+I65+I75+I78+I84</f>
        <v>38543</v>
      </c>
      <c r="J85" s="292">
        <f t="shared" ref="J85:K85" si="161">+J62+J65+J75+J78+J84</f>
        <v>93</v>
      </c>
      <c r="K85" s="293">
        <f t="shared" si="161"/>
        <v>38636</v>
      </c>
      <c r="L85" s="400">
        <f>+L62+L65+L75+L78+L84</f>
        <v>42868</v>
      </c>
      <c r="M85" s="401">
        <f t="shared" ref="M85" si="162">+M62+M65+M75+M78+M84</f>
        <v>410</v>
      </c>
      <c r="N85" s="402">
        <f t="shared" ref="N85" si="163">+N62+N65+N75+N78+N84</f>
        <v>43278</v>
      </c>
      <c r="O85" s="400">
        <f>+O62+O65+O75+O78+O84</f>
        <v>81411</v>
      </c>
      <c r="P85" s="401">
        <f t="shared" ref="P85:Q85" si="164">+P62+P65+P75+P78+P84</f>
        <v>503</v>
      </c>
      <c r="Q85" s="402">
        <f t="shared" si="164"/>
        <v>81914</v>
      </c>
      <c r="S85" s="4"/>
    </row>
    <row r="86" spans="1:19" ht="13.5" customHeight="1">
      <c r="A86" s="199" t="s">
        <v>449</v>
      </c>
      <c r="B86" s="313" t="s">
        <v>450</v>
      </c>
      <c r="C86" s="222">
        <f>+'3.SZ.TÁBL. SEGÍTŐ SZOLGÁLAT'!X94</f>
        <v>728</v>
      </c>
      <c r="D86" s="218">
        <f>+'3.SZ.TÁBL. SEGÍTŐ SZOLGÁLAT'!Y94</f>
        <v>0</v>
      </c>
      <c r="E86" s="223">
        <f>+'3.SZ.TÁBL. SEGÍTŐ SZOLGÁLAT'!Z94</f>
        <v>728</v>
      </c>
      <c r="F86" s="222">
        <f>+'4.SZ.TÁBL. ÓVODA'!R92</f>
        <v>954</v>
      </c>
      <c r="G86" s="218">
        <f>+'4.SZ.TÁBL. ÓVODA'!S92</f>
        <v>0</v>
      </c>
      <c r="H86" s="223">
        <f>+'4.SZ.TÁBL. ÓVODA'!T92</f>
        <v>954</v>
      </c>
      <c r="I86" s="70">
        <f t="shared" ref="I86" si="165">+C86+F86</f>
        <v>1682</v>
      </c>
      <c r="J86" s="93">
        <f t="shared" ref="J86" si="166">+D86+G86</f>
        <v>0</v>
      </c>
      <c r="K86" s="115">
        <f t="shared" ref="K86" si="167">+E86+H86</f>
        <v>1682</v>
      </c>
      <c r="L86" s="70"/>
      <c r="M86" s="90"/>
      <c r="N86" s="91">
        <f t="shared" ref="N86:N95" si="168">+L86+M86</f>
        <v>0</v>
      </c>
      <c r="O86" s="72">
        <f t="shared" ref="O86" si="169">+I86+L86</f>
        <v>1682</v>
      </c>
      <c r="P86" s="88">
        <f t="shared" ref="P86" si="170">+J86+M86</f>
        <v>0</v>
      </c>
      <c r="Q86" s="28">
        <f t="shared" ref="Q86" si="171">+K86+N86</f>
        <v>1682</v>
      </c>
    </row>
    <row r="87" spans="1:19" ht="13.5" customHeight="1">
      <c r="A87" s="199" t="s">
        <v>365</v>
      </c>
      <c r="B87" s="195" t="s">
        <v>366</v>
      </c>
      <c r="C87" s="222">
        <f>+'3.SZ.TÁBL. SEGÍTŐ SZOLGÁLAT'!X95</f>
        <v>350</v>
      </c>
      <c r="D87" s="218">
        <f>+'3.SZ.TÁBL. SEGÍTŐ SZOLGÁLAT'!Y95</f>
        <v>0</v>
      </c>
      <c r="E87" s="223">
        <f>+'3.SZ.TÁBL. SEGÍTŐ SZOLGÁLAT'!Z95</f>
        <v>350</v>
      </c>
      <c r="F87" s="222">
        <f>+'4.SZ.TÁBL. ÓVODA'!R93</f>
        <v>12264</v>
      </c>
      <c r="G87" s="218">
        <f>+'4.SZ.TÁBL. ÓVODA'!S93</f>
        <v>662</v>
      </c>
      <c r="H87" s="223">
        <f>+'4.SZ.TÁBL. ÓVODA'!T93</f>
        <v>12926</v>
      </c>
      <c r="I87" s="70">
        <f t="shared" ref="I87:I96" si="172">+C87+F87</f>
        <v>12614</v>
      </c>
      <c r="J87" s="93">
        <f t="shared" ref="J87:J96" si="173">+D87+G87</f>
        <v>662</v>
      </c>
      <c r="K87" s="115">
        <f t="shared" ref="K87:K96" si="174">+E87+H87</f>
        <v>13276</v>
      </c>
      <c r="L87" s="215">
        <f>+SUM(L88:L91)</f>
        <v>18404</v>
      </c>
      <c r="M87" s="207">
        <f t="shared" ref="M87:Q87" si="175">+SUM(M88:M91)</f>
        <v>0</v>
      </c>
      <c r="N87" s="208">
        <f t="shared" si="175"/>
        <v>18404</v>
      </c>
      <c r="O87" s="215">
        <f t="shared" si="175"/>
        <v>31018</v>
      </c>
      <c r="P87" s="207">
        <f t="shared" si="175"/>
        <v>662</v>
      </c>
      <c r="Q87" s="208">
        <f t="shared" si="175"/>
        <v>31680</v>
      </c>
    </row>
    <row r="88" spans="1:19" s="280" customFormat="1">
      <c r="A88" s="205" t="s">
        <v>365</v>
      </c>
      <c r="B88" s="196" t="s">
        <v>440</v>
      </c>
      <c r="C88" s="289"/>
      <c r="D88" s="290"/>
      <c r="E88" s="291"/>
      <c r="F88" s="289">
        <f>+'4.SZ.TÁBL. ÓVODA'!R94</f>
        <v>11496</v>
      </c>
      <c r="G88" s="290">
        <f>+'4.SZ.TÁBL. ÓVODA'!S94</f>
        <v>662</v>
      </c>
      <c r="H88" s="291">
        <f>+'4.SZ.TÁBL. ÓVODA'!T94</f>
        <v>12158</v>
      </c>
      <c r="I88" s="609">
        <f t="shared" si="172"/>
        <v>11496</v>
      </c>
      <c r="J88" s="610">
        <f t="shared" si="173"/>
        <v>662</v>
      </c>
      <c r="K88" s="611">
        <f t="shared" si="174"/>
        <v>12158</v>
      </c>
      <c r="L88" s="609">
        <f>+'[4]1.1.SZ.TÁBL. BEV - KIAD'!$N$88</f>
        <v>13757</v>
      </c>
      <c r="M88" s="290"/>
      <c r="N88" s="291">
        <f t="shared" si="168"/>
        <v>13757</v>
      </c>
      <c r="O88" s="609">
        <f t="shared" ref="O88:P91" si="176">+I88+L88</f>
        <v>25253</v>
      </c>
      <c r="P88" s="610">
        <f t="shared" si="176"/>
        <v>662</v>
      </c>
      <c r="Q88" s="611">
        <f t="shared" ref="Q88" si="177">+K88+N88</f>
        <v>25915</v>
      </c>
      <c r="S88" s="388"/>
    </row>
    <row r="89" spans="1:19" s="280" customFormat="1" ht="25.5">
      <c r="A89" s="205" t="s">
        <v>365</v>
      </c>
      <c r="B89" s="196" t="s">
        <v>457</v>
      </c>
      <c r="C89" s="612">
        <f>+'3.SZ.TÁBL. SEGÍTŐ SZOLGÁLAT'!X96</f>
        <v>350</v>
      </c>
      <c r="D89" s="277">
        <f>+'3.SZ.TÁBL. SEGÍTŐ SZOLGÁLAT'!Y96</f>
        <v>0</v>
      </c>
      <c r="E89" s="613">
        <f>+'3.SZ.TÁBL. SEGÍTŐ SZOLGÁLAT'!Z96</f>
        <v>350</v>
      </c>
      <c r="F89" s="289">
        <f>+'4.SZ.TÁBL. ÓVODA'!R95</f>
        <v>768</v>
      </c>
      <c r="G89" s="290">
        <f>+'4.SZ.TÁBL. ÓVODA'!S95</f>
        <v>0</v>
      </c>
      <c r="H89" s="291">
        <f>+'4.SZ.TÁBL. ÓVODA'!T95</f>
        <v>768</v>
      </c>
      <c r="I89" s="609">
        <f t="shared" ref="I89" si="178">+C89+F89</f>
        <v>1118</v>
      </c>
      <c r="J89" s="610">
        <f t="shared" ref="J89" si="179">+D89+G89</f>
        <v>0</v>
      </c>
      <c r="K89" s="611">
        <f t="shared" ref="K89" si="180">+E89+H89</f>
        <v>1118</v>
      </c>
      <c r="L89" s="609">
        <f>+'[6]1.1.SZ.TÁBL. BEV - KIAD'!$N88</f>
        <v>0</v>
      </c>
      <c r="M89" s="290"/>
      <c r="N89" s="291"/>
      <c r="O89" s="609">
        <f t="shared" si="176"/>
        <v>1118</v>
      </c>
      <c r="P89" s="610">
        <f t="shared" si="176"/>
        <v>0</v>
      </c>
      <c r="Q89" s="611">
        <f t="shared" ref="Q89:Q90" si="181">+K89+N89</f>
        <v>1118</v>
      </c>
      <c r="S89" s="388"/>
    </row>
    <row r="90" spans="1:19" s="280" customFormat="1" ht="25.5">
      <c r="A90" s="205" t="s">
        <v>365</v>
      </c>
      <c r="B90" s="196" t="s">
        <v>469</v>
      </c>
      <c r="C90" s="612"/>
      <c r="D90" s="277"/>
      <c r="E90" s="614"/>
      <c r="F90" s="289"/>
      <c r="G90" s="290"/>
      <c r="H90" s="291"/>
      <c r="I90" s="609"/>
      <c r="J90" s="610"/>
      <c r="K90" s="611"/>
      <c r="L90" s="609">
        <f>+'[4]1.1.SZ.TÁBL. BEV - KIAD'!$N$90</f>
        <v>2763</v>
      </c>
      <c r="M90" s="290"/>
      <c r="N90" s="291">
        <f t="shared" ref="N90" si="182">+L90+M90</f>
        <v>2763</v>
      </c>
      <c r="O90" s="609">
        <f t="shared" ref="O90" si="183">+I90+L90</f>
        <v>2763</v>
      </c>
      <c r="P90" s="610">
        <f t="shared" ref="P90" si="184">+J90+M90</f>
        <v>0</v>
      </c>
      <c r="Q90" s="611">
        <f t="shared" si="181"/>
        <v>2763</v>
      </c>
      <c r="S90" s="388"/>
    </row>
    <row r="91" spans="1:19" s="280" customFormat="1" ht="25.5">
      <c r="A91" s="205" t="s">
        <v>365</v>
      </c>
      <c r="B91" s="196" t="s">
        <v>458</v>
      </c>
      <c r="C91" s="612"/>
      <c r="D91" s="277"/>
      <c r="E91" s="614"/>
      <c r="F91" s="289"/>
      <c r="G91" s="290"/>
      <c r="H91" s="291"/>
      <c r="I91" s="609"/>
      <c r="J91" s="610"/>
      <c r="K91" s="611"/>
      <c r="L91" s="609">
        <f>+'[4]1.1.SZ.TÁBL. BEV - KIAD'!$N$91</f>
        <v>1884</v>
      </c>
      <c r="M91" s="290"/>
      <c r="N91" s="291">
        <f t="shared" si="168"/>
        <v>1884</v>
      </c>
      <c r="O91" s="609">
        <f t="shared" si="176"/>
        <v>1884</v>
      </c>
      <c r="P91" s="610">
        <f t="shared" si="176"/>
        <v>0</v>
      </c>
      <c r="Q91" s="611">
        <f t="shared" ref="Q91" si="185">+K91+N91</f>
        <v>1884</v>
      </c>
      <c r="S91" s="388"/>
    </row>
    <row r="92" spans="1:19" ht="13.5" customHeight="1">
      <c r="A92" s="428" t="s">
        <v>367</v>
      </c>
      <c r="B92" s="429" t="s">
        <v>368</v>
      </c>
      <c r="C92" s="215">
        <f>+SUM(C93:C96)</f>
        <v>0</v>
      </c>
      <c r="D92" s="207">
        <f t="shared" ref="D92:E92" si="186">+SUM(D93:D96)</f>
        <v>0</v>
      </c>
      <c r="E92" s="208">
        <f t="shared" si="186"/>
        <v>0</v>
      </c>
      <c r="F92" s="215">
        <f>+SUM(F93:F96)</f>
        <v>0</v>
      </c>
      <c r="G92" s="207">
        <f t="shared" ref="G92:H92" si="187">+SUM(G93:G96)</f>
        <v>0</v>
      </c>
      <c r="H92" s="208">
        <f t="shared" si="187"/>
        <v>0</v>
      </c>
      <c r="I92" s="72">
        <f t="shared" si="172"/>
        <v>0</v>
      </c>
      <c r="J92" s="88">
        <f>+D92+G92</f>
        <v>0</v>
      </c>
      <c r="K92" s="28">
        <f t="shared" si="174"/>
        <v>0</v>
      </c>
      <c r="L92" s="72">
        <f>+SUM(L93:L96)</f>
        <v>3443</v>
      </c>
      <c r="M92" s="207">
        <f>+SUM(M93:M96)</f>
        <v>-53</v>
      </c>
      <c r="N92" s="5">
        <f>+L92+M92</f>
        <v>3390</v>
      </c>
      <c r="O92" s="215">
        <f>+SUM(O93:O96)</f>
        <v>3443</v>
      </c>
      <c r="P92" s="207">
        <f t="shared" ref="P92:Q92" si="188">+SUM(P93:P96)</f>
        <v>-53</v>
      </c>
      <c r="Q92" s="208">
        <f t="shared" si="188"/>
        <v>3390</v>
      </c>
    </row>
    <row r="93" spans="1:19" s="287" customFormat="1" ht="13.5" customHeight="1">
      <c r="A93" s="430"/>
      <c r="B93" s="431" t="s">
        <v>409</v>
      </c>
      <c r="C93" s="278"/>
      <c r="D93" s="277"/>
      <c r="E93" s="279"/>
      <c r="F93" s="278">
        <f>+'4.SZ.TÁBL. ÓVODA'!R97</f>
        <v>0</v>
      </c>
      <c r="G93" s="277">
        <f>+'4.SZ.TÁBL. ÓVODA'!S97</f>
        <v>0</v>
      </c>
      <c r="H93" s="279">
        <f>+'4.SZ.TÁBL. ÓVODA'!T97</f>
        <v>0</v>
      </c>
      <c r="I93" s="385">
        <f t="shared" si="172"/>
        <v>0</v>
      </c>
      <c r="J93" s="386">
        <f t="shared" si="173"/>
        <v>0</v>
      </c>
      <c r="K93" s="387">
        <f t="shared" si="174"/>
        <v>0</v>
      </c>
      <c r="L93" s="72">
        <f>+'[4]1.1.SZ.TÁBL. BEV - KIAD'!$N$93</f>
        <v>0</v>
      </c>
      <c r="M93" s="398"/>
      <c r="N93" s="399">
        <f t="shared" si="168"/>
        <v>0</v>
      </c>
      <c r="O93" s="385">
        <f t="shared" si="141"/>
        <v>0</v>
      </c>
      <c r="P93" s="386">
        <f t="shared" ref="P93:P96" si="189">+J93+M93</f>
        <v>0</v>
      </c>
      <c r="Q93" s="387">
        <f t="shared" ref="Q93:Q96" si="190">+K93+N93</f>
        <v>0</v>
      </c>
      <c r="S93" s="384"/>
    </row>
    <row r="94" spans="1:19" s="287" customFormat="1" ht="13.5" customHeight="1">
      <c r="A94" s="430"/>
      <c r="B94" s="431" t="s">
        <v>410</v>
      </c>
      <c r="C94" s="278"/>
      <c r="D94" s="277"/>
      <c r="E94" s="279"/>
      <c r="F94" s="278">
        <f>+'4.SZ.TÁBL. ÓVODA'!R98</f>
        <v>0</v>
      </c>
      <c r="G94" s="277">
        <f>+'4.SZ.TÁBL. ÓVODA'!S98</f>
        <v>0</v>
      </c>
      <c r="H94" s="279">
        <f>+'4.SZ.TÁBL. ÓVODA'!T98</f>
        <v>0</v>
      </c>
      <c r="I94" s="385">
        <f t="shared" si="172"/>
        <v>0</v>
      </c>
      <c r="J94" s="386">
        <f t="shared" si="173"/>
        <v>0</v>
      </c>
      <c r="K94" s="387">
        <f t="shared" si="174"/>
        <v>0</v>
      </c>
      <c r="L94" s="72">
        <f>+'[4]1.1.SZ.TÁBL. BEV - KIAD'!$N$94</f>
        <v>0</v>
      </c>
      <c r="M94" s="398"/>
      <c r="N94" s="399">
        <f t="shared" si="168"/>
        <v>0</v>
      </c>
      <c r="O94" s="385">
        <f t="shared" si="141"/>
        <v>0</v>
      </c>
      <c r="P94" s="386">
        <f t="shared" si="189"/>
        <v>0</v>
      </c>
      <c r="Q94" s="387">
        <f t="shared" si="190"/>
        <v>0</v>
      </c>
      <c r="S94" s="384"/>
    </row>
    <row r="95" spans="1:19" s="287" customFormat="1" ht="13.5" customHeight="1">
      <c r="A95" s="430"/>
      <c r="B95" s="431" t="s">
        <v>411</v>
      </c>
      <c r="C95" s="278"/>
      <c r="D95" s="277"/>
      <c r="E95" s="279"/>
      <c r="F95" s="278"/>
      <c r="G95" s="277"/>
      <c r="H95" s="279"/>
      <c r="I95" s="385">
        <f t="shared" si="172"/>
        <v>0</v>
      </c>
      <c r="J95" s="386">
        <f t="shared" si="173"/>
        <v>0</v>
      </c>
      <c r="K95" s="387">
        <f t="shared" si="174"/>
        <v>0</v>
      </c>
      <c r="L95" s="72">
        <f>+'[4]1.1.SZ.TÁBL. BEV - KIAD'!$N$95</f>
        <v>3443</v>
      </c>
      <c r="M95" s="398">
        <f>+[5]Társulás!$R$19</f>
        <v>-53</v>
      </c>
      <c r="N95" s="5">
        <f t="shared" si="168"/>
        <v>3390</v>
      </c>
      <c r="O95" s="385">
        <f t="shared" si="141"/>
        <v>3443</v>
      </c>
      <c r="P95" s="386">
        <f t="shared" si="189"/>
        <v>-53</v>
      </c>
      <c r="Q95" s="387">
        <f t="shared" si="190"/>
        <v>3390</v>
      </c>
      <c r="S95" s="384"/>
    </row>
    <row r="96" spans="1:19" s="287" customFormat="1" ht="13.5" customHeight="1">
      <c r="A96" s="432"/>
      <c r="B96" s="433" t="s">
        <v>412</v>
      </c>
      <c r="C96" s="283"/>
      <c r="D96" s="282"/>
      <c r="E96" s="284"/>
      <c r="F96" s="283"/>
      <c r="G96" s="282"/>
      <c r="H96" s="284"/>
      <c r="I96" s="385">
        <f t="shared" si="172"/>
        <v>0</v>
      </c>
      <c r="J96" s="386">
        <f t="shared" si="173"/>
        <v>0</v>
      </c>
      <c r="K96" s="387">
        <f t="shared" si="174"/>
        <v>0</v>
      </c>
      <c r="L96" s="72">
        <f>+'[6]1.1.SZ.TÁBL. BEV - KIAD'!$N94</f>
        <v>0</v>
      </c>
      <c r="M96" s="419"/>
      <c r="N96" s="420"/>
      <c r="O96" s="385">
        <f t="shared" si="141"/>
        <v>0</v>
      </c>
      <c r="P96" s="386">
        <f t="shared" si="189"/>
        <v>0</v>
      </c>
      <c r="Q96" s="387">
        <f t="shared" si="190"/>
        <v>0</v>
      </c>
      <c r="S96" s="384"/>
    </row>
    <row r="97" spans="1:19" s="3" customFormat="1" ht="13.5" customHeight="1">
      <c r="A97" s="202" t="s">
        <v>225</v>
      </c>
      <c r="B97" s="182" t="s">
        <v>183</v>
      </c>
      <c r="C97" s="288">
        <f t="shared" ref="C97:Q97" si="191">+C87+C92+C86</f>
        <v>1078</v>
      </c>
      <c r="D97" s="292">
        <f t="shared" si="191"/>
        <v>0</v>
      </c>
      <c r="E97" s="293">
        <f t="shared" si="191"/>
        <v>1078</v>
      </c>
      <c r="F97" s="288">
        <f t="shared" si="191"/>
        <v>13218</v>
      </c>
      <c r="G97" s="292">
        <f t="shared" si="191"/>
        <v>662</v>
      </c>
      <c r="H97" s="293">
        <f t="shared" si="191"/>
        <v>13880</v>
      </c>
      <c r="I97" s="288">
        <f t="shared" si="191"/>
        <v>14296</v>
      </c>
      <c r="J97" s="292">
        <f t="shared" si="191"/>
        <v>662</v>
      </c>
      <c r="K97" s="293">
        <f t="shared" si="191"/>
        <v>14958</v>
      </c>
      <c r="L97" s="288">
        <f>+L87+L92+L86</f>
        <v>21847</v>
      </c>
      <c r="M97" s="292">
        <f t="shared" si="191"/>
        <v>-53</v>
      </c>
      <c r="N97" s="293">
        <f t="shared" si="191"/>
        <v>21794</v>
      </c>
      <c r="O97" s="288">
        <f t="shared" si="191"/>
        <v>36143</v>
      </c>
      <c r="P97" s="292">
        <f t="shared" si="191"/>
        <v>609</v>
      </c>
      <c r="Q97" s="293">
        <f t="shared" si="191"/>
        <v>36752</v>
      </c>
      <c r="S97" s="4"/>
    </row>
    <row r="98" spans="1:19" ht="13.5" customHeight="1">
      <c r="A98" s="199" t="s">
        <v>297</v>
      </c>
      <c r="B98" s="180" t="s">
        <v>298</v>
      </c>
      <c r="C98" s="222">
        <f>+'3.SZ.TÁBL. SEGÍTŐ SZOLGÁLAT'!X99</f>
        <v>0</v>
      </c>
      <c r="D98" s="218">
        <f>+'3.SZ.TÁBL. SEGÍTŐ SZOLGÁLAT'!Y99</f>
        <v>0</v>
      </c>
      <c r="E98" s="223">
        <f>+'3.SZ.TÁBL. SEGÍTŐ SZOLGÁLAT'!Z99</f>
        <v>0</v>
      </c>
      <c r="F98" s="222">
        <f>+'4.SZ.TÁBL. ÓVODA'!R100</f>
        <v>0</v>
      </c>
      <c r="G98" s="218">
        <f>+'4.SZ.TÁBL. ÓVODA'!S100</f>
        <v>0</v>
      </c>
      <c r="H98" s="223">
        <f>+'4.SZ.TÁBL. ÓVODA'!T100</f>
        <v>0</v>
      </c>
      <c r="I98" s="70">
        <f t="shared" ref="I98:I104" si="192">+C98+F98</f>
        <v>0</v>
      </c>
      <c r="J98" s="93">
        <f t="shared" ref="J98:J104" si="193">+D98+G98</f>
        <v>0</v>
      </c>
      <c r="K98" s="115">
        <f t="shared" ref="K98:K104" si="194">+E98+H98</f>
        <v>0</v>
      </c>
      <c r="L98" s="6"/>
      <c r="M98" s="90"/>
      <c r="N98" s="91"/>
      <c r="O98" s="70">
        <f t="shared" si="141"/>
        <v>0</v>
      </c>
      <c r="P98" s="93">
        <f t="shared" ref="P98:P104" si="195">+J98+M98</f>
        <v>0</v>
      </c>
      <c r="Q98" s="115">
        <f t="shared" ref="Q98:Q104" si="196">+K98+N98</f>
        <v>0</v>
      </c>
    </row>
    <row r="99" spans="1:19" ht="13.5" customHeight="1">
      <c r="A99" s="200" t="s">
        <v>299</v>
      </c>
      <c r="B99" s="170" t="s">
        <v>300</v>
      </c>
      <c r="C99" s="215">
        <f>+'3.SZ.TÁBL. SEGÍTŐ SZOLGÁLAT'!X100</f>
        <v>0</v>
      </c>
      <c r="D99" s="207">
        <f>+'3.SZ.TÁBL. SEGÍTŐ SZOLGÁLAT'!Y100</f>
        <v>0</v>
      </c>
      <c r="E99" s="208">
        <f>+'3.SZ.TÁBL. SEGÍTŐ SZOLGÁLAT'!Z100</f>
        <v>0</v>
      </c>
      <c r="F99" s="215">
        <f>+'4.SZ.TÁBL. ÓVODA'!R101</f>
        <v>0</v>
      </c>
      <c r="G99" s="207">
        <f>+'4.SZ.TÁBL. ÓVODA'!S101</f>
        <v>0</v>
      </c>
      <c r="H99" s="208">
        <f>+'4.SZ.TÁBL. ÓVODA'!T101</f>
        <v>0</v>
      </c>
      <c r="I99" s="72">
        <f t="shared" si="192"/>
        <v>0</v>
      </c>
      <c r="J99" s="88">
        <f t="shared" si="193"/>
        <v>0</v>
      </c>
      <c r="K99" s="28">
        <f t="shared" si="194"/>
        <v>0</v>
      </c>
      <c r="L99" s="7"/>
      <c r="M99" s="151"/>
      <c r="N99" s="5"/>
      <c r="O99" s="72">
        <f t="shared" si="141"/>
        <v>0</v>
      </c>
      <c r="P99" s="88">
        <f t="shared" si="195"/>
        <v>0</v>
      </c>
      <c r="Q99" s="28">
        <f t="shared" si="196"/>
        <v>0</v>
      </c>
    </row>
    <row r="100" spans="1:19" ht="13.5" customHeight="1">
      <c r="A100" s="200" t="s">
        <v>301</v>
      </c>
      <c r="B100" s="170" t="s">
        <v>302</v>
      </c>
      <c r="C100" s="215">
        <f>+'3.SZ.TÁBL. SEGÍTŐ SZOLGÁLAT'!X101</f>
        <v>0</v>
      </c>
      <c r="D100" s="207">
        <f>+'3.SZ.TÁBL. SEGÍTŐ SZOLGÁLAT'!Y101</f>
        <v>0</v>
      </c>
      <c r="E100" s="208">
        <f>+'3.SZ.TÁBL. SEGÍTŐ SZOLGÁLAT'!Z101</f>
        <v>0</v>
      </c>
      <c r="F100" s="215">
        <f>+'4.SZ.TÁBL. ÓVODA'!R102</f>
        <v>550</v>
      </c>
      <c r="G100" s="207">
        <f>+'4.SZ.TÁBL. ÓVODA'!S102</f>
        <v>-174</v>
      </c>
      <c r="H100" s="208">
        <f>+'4.SZ.TÁBL. ÓVODA'!T102</f>
        <v>376</v>
      </c>
      <c r="I100" s="72">
        <f t="shared" si="192"/>
        <v>550</v>
      </c>
      <c r="J100" s="88">
        <f t="shared" si="193"/>
        <v>-174</v>
      </c>
      <c r="K100" s="28">
        <f t="shared" si="194"/>
        <v>376</v>
      </c>
      <c r="L100" s="7"/>
      <c r="M100" s="151"/>
      <c r="N100" s="5"/>
      <c r="O100" s="72">
        <f t="shared" si="141"/>
        <v>550</v>
      </c>
      <c r="P100" s="88">
        <f t="shared" si="195"/>
        <v>-174</v>
      </c>
      <c r="Q100" s="28">
        <f t="shared" si="196"/>
        <v>376</v>
      </c>
    </row>
    <row r="101" spans="1:19" ht="13.5" customHeight="1">
      <c r="A101" s="200" t="s">
        <v>303</v>
      </c>
      <c r="B101" s="170" t="s">
        <v>304</v>
      </c>
      <c r="C101" s="215">
        <f>+'3.SZ.TÁBL. SEGÍTŐ SZOLGÁLAT'!X102</f>
        <v>3</v>
      </c>
      <c r="D101" s="207">
        <f>+'3.SZ.TÁBL. SEGÍTŐ SZOLGÁLAT'!Y102</f>
        <v>0</v>
      </c>
      <c r="E101" s="208">
        <f>+'3.SZ.TÁBL. SEGÍTŐ SZOLGÁLAT'!Z102</f>
        <v>3</v>
      </c>
      <c r="F101" s="215">
        <f>+'4.SZ.TÁBL. ÓVODA'!R103</f>
        <v>1086</v>
      </c>
      <c r="G101" s="207">
        <f>+'4.SZ.TÁBL. ÓVODA'!S103</f>
        <v>233</v>
      </c>
      <c r="H101" s="208">
        <f>+'4.SZ.TÁBL. ÓVODA'!T103</f>
        <v>1319</v>
      </c>
      <c r="I101" s="72">
        <f t="shared" si="192"/>
        <v>1089</v>
      </c>
      <c r="J101" s="88">
        <f t="shared" si="193"/>
        <v>233</v>
      </c>
      <c r="K101" s="28">
        <f t="shared" si="194"/>
        <v>1322</v>
      </c>
      <c r="L101" s="7"/>
      <c r="M101" s="151"/>
      <c r="N101" s="5"/>
      <c r="O101" s="72">
        <f t="shared" si="141"/>
        <v>1089</v>
      </c>
      <c r="P101" s="88">
        <f t="shared" si="195"/>
        <v>233</v>
      </c>
      <c r="Q101" s="28">
        <f t="shared" si="196"/>
        <v>1322</v>
      </c>
    </row>
    <row r="102" spans="1:19" ht="13.5" customHeight="1">
      <c r="A102" s="200" t="s">
        <v>305</v>
      </c>
      <c r="B102" s="170" t="s">
        <v>306</v>
      </c>
      <c r="C102" s="215">
        <f>+'3.SZ.TÁBL. SEGÍTŐ SZOLGÁLAT'!X103</f>
        <v>0</v>
      </c>
      <c r="D102" s="207">
        <f>+'3.SZ.TÁBL. SEGÍTŐ SZOLGÁLAT'!Y103</f>
        <v>0</v>
      </c>
      <c r="E102" s="208">
        <f>+'3.SZ.TÁBL. SEGÍTŐ SZOLGÁLAT'!Z103</f>
        <v>0</v>
      </c>
      <c r="F102" s="215">
        <f>+'4.SZ.TÁBL. ÓVODA'!R104</f>
        <v>0</v>
      </c>
      <c r="G102" s="207">
        <f>+'4.SZ.TÁBL. ÓVODA'!S104</f>
        <v>0</v>
      </c>
      <c r="H102" s="208">
        <f>+'4.SZ.TÁBL. ÓVODA'!T104</f>
        <v>0</v>
      </c>
      <c r="I102" s="72">
        <f t="shared" si="192"/>
        <v>0</v>
      </c>
      <c r="J102" s="88">
        <f t="shared" si="193"/>
        <v>0</v>
      </c>
      <c r="K102" s="28">
        <f t="shared" si="194"/>
        <v>0</v>
      </c>
      <c r="L102" s="7"/>
      <c r="M102" s="151"/>
      <c r="N102" s="5"/>
      <c r="O102" s="72">
        <f t="shared" si="141"/>
        <v>0</v>
      </c>
      <c r="P102" s="88">
        <f t="shared" si="195"/>
        <v>0</v>
      </c>
      <c r="Q102" s="28">
        <f t="shared" si="196"/>
        <v>0</v>
      </c>
    </row>
    <row r="103" spans="1:19" ht="13.5" customHeight="1">
      <c r="A103" s="200" t="s">
        <v>307</v>
      </c>
      <c r="B103" s="170" t="s">
        <v>308</v>
      </c>
      <c r="C103" s="215">
        <f>+'3.SZ.TÁBL. SEGÍTŐ SZOLGÁLAT'!X104</f>
        <v>0</v>
      </c>
      <c r="D103" s="207">
        <f>+'3.SZ.TÁBL. SEGÍTŐ SZOLGÁLAT'!Y104</f>
        <v>0</v>
      </c>
      <c r="E103" s="208">
        <f>+'3.SZ.TÁBL. SEGÍTŐ SZOLGÁLAT'!Z104</f>
        <v>0</v>
      </c>
      <c r="F103" s="215">
        <f>+'4.SZ.TÁBL. ÓVODA'!R105</f>
        <v>0</v>
      </c>
      <c r="G103" s="207">
        <f>+'4.SZ.TÁBL. ÓVODA'!S105</f>
        <v>0</v>
      </c>
      <c r="H103" s="208">
        <f>+'4.SZ.TÁBL. ÓVODA'!T105</f>
        <v>0</v>
      </c>
      <c r="I103" s="72">
        <f t="shared" si="192"/>
        <v>0</v>
      </c>
      <c r="J103" s="88">
        <f t="shared" si="193"/>
        <v>0</v>
      </c>
      <c r="K103" s="28">
        <f t="shared" si="194"/>
        <v>0</v>
      </c>
      <c r="L103" s="7"/>
      <c r="M103" s="151"/>
      <c r="N103" s="5"/>
      <c r="O103" s="72">
        <f t="shared" si="141"/>
        <v>0</v>
      </c>
      <c r="P103" s="88">
        <f t="shared" si="195"/>
        <v>0</v>
      </c>
      <c r="Q103" s="28">
        <f t="shared" si="196"/>
        <v>0</v>
      </c>
    </row>
    <row r="104" spans="1:19" ht="13.5" customHeight="1">
      <c r="A104" s="201" t="s">
        <v>309</v>
      </c>
      <c r="B104" s="181" t="s">
        <v>310</v>
      </c>
      <c r="C104" s="232">
        <f>+'3.SZ.TÁBL. SEGÍTŐ SZOLGÁLAT'!X105</f>
        <v>1</v>
      </c>
      <c r="D104" s="228">
        <f>+'3.SZ.TÁBL. SEGÍTŐ SZOLGÁLAT'!Y105</f>
        <v>0</v>
      </c>
      <c r="E104" s="233">
        <f>+'3.SZ.TÁBL. SEGÍTŐ SZOLGÁLAT'!Z105</f>
        <v>1</v>
      </c>
      <c r="F104" s="232">
        <f>+'4.SZ.TÁBL. ÓVODA'!R106</f>
        <v>442</v>
      </c>
      <c r="G104" s="228">
        <f>+'4.SZ.TÁBL. ÓVODA'!S106</f>
        <v>10</v>
      </c>
      <c r="H104" s="233">
        <f>+'4.SZ.TÁBL. ÓVODA'!T106</f>
        <v>452</v>
      </c>
      <c r="I104" s="73">
        <f t="shared" si="192"/>
        <v>443</v>
      </c>
      <c r="J104" s="89">
        <f t="shared" si="193"/>
        <v>10</v>
      </c>
      <c r="K104" s="29">
        <f t="shared" si="194"/>
        <v>453</v>
      </c>
      <c r="L104" s="175"/>
      <c r="M104" s="189"/>
      <c r="N104" s="177"/>
      <c r="O104" s="73">
        <f t="shared" si="141"/>
        <v>443</v>
      </c>
      <c r="P104" s="89">
        <f t="shared" si="195"/>
        <v>10</v>
      </c>
      <c r="Q104" s="29">
        <f t="shared" si="196"/>
        <v>453</v>
      </c>
    </row>
    <row r="105" spans="1:19" s="3" customFormat="1" ht="13.5" customHeight="1">
      <c r="A105" s="202" t="s">
        <v>226</v>
      </c>
      <c r="B105" s="182" t="s">
        <v>139</v>
      </c>
      <c r="C105" s="288">
        <f>SUM(C98:C104)</f>
        <v>4</v>
      </c>
      <c r="D105" s="292">
        <f t="shared" ref="D105:E105" si="197">SUM(D98:D104)</f>
        <v>0</v>
      </c>
      <c r="E105" s="293">
        <f t="shared" si="197"/>
        <v>4</v>
      </c>
      <c r="F105" s="288">
        <f>SUM(F98:F104)</f>
        <v>2078</v>
      </c>
      <c r="G105" s="292">
        <f t="shared" ref="G105:H105" si="198">SUM(G98:G104)</f>
        <v>69</v>
      </c>
      <c r="H105" s="293">
        <f t="shared" si="198"/>
        <v>2147</v>
      </c>
      <c r="I105" s="288">
        <f>SUM(I98:I104)</f>
        <v>2082</v>
      </c>
      <c r="J105" s="292">
        <f t="shared" ref="J105:K105" si="199">SUM(J98:J104)</f>
        <v>69</v>
      </c>
      <c r="K105" s="293">
        <f t="shared" si="199"/>
        <v>2151</v>
      </c>
      <c r="L105" s="400">
        <f>+SUM(L98:L104)</f>
        <v>0</v>
      </c>
      <c r="M105" s="401">
        <f t="shared" ref="M105" si="200">+SUM(M98:M104)</f>
        <v>0</v>
      </c>
      <c r="N105" s="402">
        <f t="shared" ref="N105" si="201">+SUM(N98:N104)</f>
        <v>0</v>
      </c>
      <c r="O105" s="400">
        <f>+SUM(O98:O104)</f>
        <v>2082</v>
      </c>
      <c r="P105" s="401">
        <f t="shared" ref="P105:Q105" si="202">+SUM(P98:P104)</f>
        <v>69</v>
      </c>
      <c r="Q105" s="402">
        <f t="shared" si="202"/>
        <v>2151</v>
      </c>
      <c r="S105" s="4"/>
    </row>
    <row r="106" spans="1:19" ht="13.5" customHeight="1">
      <c r="A106" s="199" t="s">
        <v>311</v>
      </c>
      <c r="B106" s="180" t="s">
        <v>312</v>
      </c>
      <c r="C106" s="222">
        <f>+'3.SZ.TÁBL. SEGÍTŐ SZOLGÁLAT'!X107</f>
        <v>0</v>
      </c>
      <c r="D106" s="218">
        <f>+'3.SZ.TÁBL. SEGÍTŐ SZOLGÁLAT'!Y107</f>
        <v>0</v>
      </c>
      <c r="E106" s="223">
        <f>+'3.SZ.TÁBL. SEGÍTŐ SZOLGÁLAT'!Z107</f>
        <v>0</v>
      </c>
      <c r="F106" s="222">
        <f>+'4.SZ.TÁBL. ÓVODA'!R108</f>
        <v>1142</v>
      </c>
      <c r="G106" s="218">
        <f>+'4.SZ.TÁBL. ÓVODA'!S108</f>
        <v>0</v>
      </c>
      <c r="H106" s="223">
        <f>+'4.SZ.TÁBL. ÓVODA'!T108</f>
        <v>1142</v>
      </c>
      <c r="I106" s="70">
        <f t="shared" ref="I106:I109" si="203">+C106+F106</f>
        <v>1142</v>
      </c>
      <c r="J106" s="93">
        <f t="shared" ref="J106:J109" si="204">+D106+G106</f>
        <v>0</v>
      </c>
      <c r="K106" s="115">
        <f t="shared" ref="K106:K109" si="205">+E106+H106</f>
        <v>1142</v>
      </c>
      <c r="L106" s="6"/>
      <c r="M106" s="90"/>
      <c r="N106" s="91"/>
      <c r="O106" s="70">
        <f t="shared" si="141"/>
        <v>1142</v>
      </c>
      <c r="P106" s="93">
        <f t="shared" ref="P106:P109" si="206">+J106+M106</f>
        <v>0</v>
      </c>
      <c r="Q106" s="115">
        <f t="shared" ref="Q106:Q109" si="207">+K106+N106</f>
        <v>1142</v>
      </c>
    </row>
    <row r="107" spans="1:19" ht="13.5" customHeight="1">
      <c r="A107" s="200" t="s">
        <v>313</v>
      </c>
      <c r="B107" s="170" t="s">
        <v>314</v>
      </c>
      <c r="C107" s="215">
        <f>+'3.SZ.TÁBL. SEGÍTŐ SZOLGÁLAT'!X108</f>
        <v>0</v>
      </c>
      <c r="D107" s="207">
        <f>+'3.SZ.TÁBL. SEGÍTŐ SZOLGÁLAT'!Y108</f>
        <v>0</v>
      </c>
      <c r="E107" s="208">
        <f>+'3.SZ.TÁBL. SEGÍTŐ SZOLGÁLAT'!Z108</f>
        <v>0</v>
      </c>
      <c r="F107" s="215">
        <f>+'4.SZ.TÁBL. ÓVODA'!R109</f>
        <v>0</v>
      </c>
      <c r="G107" s="207">
        <f>+'4.SZ.TÁBL. ÓVODA'!S109</f>
        <v>0</v>
      </c>
      <c r="H107" s="208">
        <f>+'4.SZ.TÁBL. ÓVODA'!T109</f>
        <v>0</v>
      </c>
      <c r="I107" s="72">
        <f t="shared" si="203"/>
        <v>0</v>
      </c>
      <c r="J107" s="88">
        <f t="shared" si="204"/>
        <v>0</v>
      </c>
      <c r="K107" s="28">
        <f t="shared" si="205"/>
        <v>0</v>
      </c>
      <c r="L107" s="7"/>
      <c r="M107" s="151"/>
      <c r="N107" s="5"/>
      <c r="O107" s="72">
        <f t="shared" si="141"/>
        <v>0</v>
      </c>
      <c r="P107" s="88">
        <f t="shared" si="206"/>
        <v>0</v>
      </c>
      <c r="Q107" s="28">
        <f t="shared" si="207"/>
        <v>0</v>
      </c>
    </row>
    <row r="108" spans="1:19" ht="13.5" customHeight="1">
      <c r="A108" s="200" t="s">
        <v>315</v>
      </c>
      <c r="B108" s="170" t="s">
        <v>316</v>
      </c>
      <c r="C108" s="215">
        <f>+'3.SZ.TÁBL. SEGÍTŐ SZOLGÁLAT'!X109</f>
        <v>0</v>
      </c>
      <c r="D108" s="207">
        <f>+'3.SZ.TÁBL. SEGÍTŐ SZOLGÁLAT'!Y109</f>
        <v>0</v>
      </c>
      <c r="E108" s="208">
        <f>+'3.SZ.TÁBL. SEGÍTŐ SZOLGÁLAT'!Z109</f>
        <v>0</v>
      </c>
      <c r="F108" s="215">
        <f>+'4.SZ.TÁBL. ÓVODA'!R110</f>
        <v>0</v>
      </c>
      <c r="G108" s="207">
        <f>+'4.SZ.TÁBL. ÓVODA'!S110</f>
        <v>0</v>
      </c>
      <c r="H108" s="208">
        <f>+'4.SZ.TÁBL. ÓVODA'!T110</f>
        <v>0</v>
      </c>
      <c r="I108" s="72">
        <f t="shared" si="203"/>
        <v>0</v>
      </c>
      <c r="J108" s="88">
        <f t="shared" si="204"/>
        <v>0</v>
      </c>
      <c r="K108" s="28">
        <f t="shared" si="205"/>
        <v>0</v>
      </c>
      <c r="L108" s="7"/>
      <c r="M108" s="151"/>
      <c r="N108" s="5"/>
      <c r="O108" s="72">
        <f t="shared" si="141"/>
        <v>0</v>
      </c>
      <c r="P108" s="88">
        <f t="shared" si="206"/>
        <v>0</v>
      </c>
      <c r="Q108" s="28">
        <f t="shared" si="207"/>
        <v>0</v>
      </c>
    </row>
    <row r="109" spans="1:19" ht="13.5" customHeight="1">
      <c r="A109" s="201" t="s">
        <v>317</v>
      </c>
      <c r="B109" s="181" t="s">
        <v>318</v>
      </c>
      <c r="C109" s="232">
        <f>+'3.SZ.TÁBL. SEGÍTŐ SZOLGÁLAT'!X110</f>
        <v>0</v>
      </c>
      <c r="D109" s="228">
        <f>+'3.SZ.TÁBL. SEGÍTŐ SZOLGÁLAT'!Y110</f>
        <v>0</v>
      </c>
      <c r="E109" s="233">
        <f>+'3.SZ.TÁBL. SEGÍTŐ SZOLGÁLAT'!Z110</f>
        <v>0</v>
      </c>
      <c r="F109" s="232">
        <f>+'4.SZ.TÁBL. ÓVODA'!R111</f>
        <v>308</v>
      </c>
      <c r="G109" s="228">
        <f>+'4.SZ.TÁBL. ÓVODA'!S111</f>
        <v>0</v>
      </c>
      <c r="H109" s="233">
        <f>+'4.SZ.TÁBL. ÓVODA'!T111</f>
        <v>308</v>
      </c>
      <c r="I109" s="73">
        <f t="shared" si="203"/>
        <v>308</v>
      </c>
      <c r="J109" s="89">
        <f t="shared" si="204"/>
        <v>0</v>
      </c>
      <c r="K109" s="29">
        <f t="shared" si="205"/>
        <v>308</v>
      </c>
      <c r="L109" s="175"/>
      <c r="M109" s="189"/>
      <c r="N109" s="177"/>
      <c r="O109" s="73">
        <f t="shared" si="141"/>
        <v>308</v>
      </c>
      <c r="P109" s="89">
        <f t="shared" si="206"/>
        <v>0</v>
      </c>
      <c r="Q109" s="29">
        <f t="shared" si="207"/>
        <v>308</v>
      </c>
    </row>
    <row r="110" spans="1:19" s="3" customFormat="1" ht="13.5" customHeight="1">
      <c r="A110" s="202" t="s">
        <v>227</v>
      </c>
      <c r="B110" s="182" t="s">
        <v>184</v>
      </c>
      <c r="C110" s="288">
        <f>SUM(C106:C109)</f>
        <v>0</v>
      </c>
      <c r="D110" s="292">
        <f t="shared" ref="D110:E110" si="208">SUM(D106:D109)</f>
        <v>0</v>
      </c>
      <c r="E110" s="293">
        <f t="shared" si="208"/>
        <v>0</v>
      </c>
      <c r="F110" s="288">
        <f>SUM(F106:F109)</f>
        <v>1450</v>
      </c>
      <c r="G110" s="292">
        <f t="shared" ref="G110:H110" si="209">SUM(G106:G109)</f>
        <v>0</v>
      </c>
      <c r="H110" s="293">
        <f t="shared" si="209"/>
        <v>1450</v>
      </c>
      <c r="I110" s="288">
        <f>SUM(I106:I109)</f>
        <v>1450</v>
      </c>
      <c r="J110" s="292">
        <f t="shared" ref="J110:K110" si="210">SUM(J106:J109)</f>
        <v>0</v>
      </c>
      <c r="K110" s="293">
        <f t="shared" si="210"/>
        <v>1450</v>
      </c>
      <c r="L110" s="400">
        <f>+SUM(L106:L109)</f>
        <v>0</v>
      </c>
      <c r="M110" s="401">
        <f t="shared" ref="M110" si="211">+SUM(M106:M109)</f>
        <v>0</v>
      </c>
      <c r="N110" s="402">
        <f t="shared" ref="N110" si="212">+SUM(N106:N109)</f>
        <v>0</v>
      </c>
      <c r="O110" s="400">
        <f>+SUM(O106:O109)</f>
        <v>1450</v>
      </c>
      <c r="P110" s="401">
        <f t="shared" ref="P110:Q110" si="213">+SUM(P106:P109)</f>
        <v>0</v>
      </c>
      <c r="Q110" s="402">
        <f t="shared" si="213"/>
        <v>1450</v>
      </c>
      <c r="S110" s="4"/>
    </row>
    <row r="111" spans="1:19" s="3" customFormat="1" ht="13.5" customHeight="1">
      <c r="A111" s="202" t="s">
        <v>228</v>
      </c>
      <c r="B111" s="182" t="s">
        <v>185</v>
      </c>
      <c r="C111" s="288">
        <f>+'3.SZ.TÁBL. SEGÍTŐ SZOLGÁLAT'!X112</f>
        <v>0</v>
      </c>
      <c r="D111" s="292">
        <f>+'3.SZ.TÁBL. SEGÍTŐ SZOLGÁLAT'!Y112</f>
        <v>0</v>
      </c>
      <c r="E111" s="293">
        <f>+'3.SZ.TÁBL. SEGÍTŐ SZOLGÁLAT'!Z112</f>
        <v>0</v>
      </c>
      <c r="F111" s="288">
        <f>+'4.SZ.TÁBL. ÓVODA'!R113</f>
        <v>2500</v>
      </c>
      <c r="G111" s="292">
        <f>+'4.SZ.TÁBL. ÓVODA'!S113</f>
        <v>0</v>
      </c>
      <c r="H111" s="293">
        <f>+'4.SZ.TÁBL. ÓVODA'!T113</f>
        <v>2500</v>
      </c>
      <c r="I111" s="400">
        <f>+C111+F111</f>
        <v>2500</v>
      </c>
      <c r="J111" s="401">
        <f t="shared" ref="J111:K111" si="214">+D111+G111</f>
        <v>0</v>
      </c>
      <c r="K111" s="402">
        <f t="shared" si="214"/>
        <v>2500</v>
      </c>
      <c r="L111" s="405"/>
      <c r="M111" s="406"/>
      <c r="N111" s="407"/>
      <c r="O111" s="400">
        <f t="shared" si="141"/>
        <v>2500</v>
      </c>
      <c r="P111" s="401">
        <f t="shared" ref="P111" si="215">+J111+M111</f>
        <v>0</v>
      </c>
      <c r="Q111" s="402">
        <f t="shared" ref="Q111" si="216">+K111+N111</f>
        <v>2500</v>
      </c>
      <c r="S111" s="4"/>
    </row>
    <row r="112" spans="1:19" s="3" customFormat="1" ht="13.5" customHeight="1">
      <c r="A112" s="206" t="s">
        <v>229</v>
      </c>
      <c r="B112" s="182" t="s">
        <v>186</v>
      </c>
      <c r="C112" s="288">
        <f t="shared" ref="C112:Q112" si="217">+C52+C53+C85+C97+C105+C110+C111</f>
        <v>93503</v>
      </c>
      <c r="D112" s="292">
        <f t="shared" si="217"/>
        <v>952</v>
      </c>
      <c r="E112" s="293">
        <f t="shared" si="217"/>
        <v>94455</v>
      </c>
      <c r="F112" s="288">
        <f t="shared" si="217"/>
        <v>163656</v>
      </c>
      <c r="G112" s="292">
        <f t="shared" si="217"/>
        <v>966</v>
      </c>
      <c r="H112" s="293">
        <f t="shared" si="217"/>
        <v>164622</v>
      </c>
      <c r="I112" s="288">
        <f t="shared" si="217"/>
        <v>257159</v>
      </c>
      <c r="J112" s="292">
        <f t="shared" si="217"/>
        <v>1918</v>
      </c>
      <c r="K112" s="293">
        <f t="shared" si="217"/>
        <v>259077</v>
      </c>
      <c r="L112" s="400">
        <f t="shared" si="217"/>
        <v>66884</v>
      </c>
      <c r="M112" s="401">
        <f t="shared" si="217"/>
        <v>357</v>
      </c>
      <c r="N112" s="402">
        <f t="shared" si="217"/>
        <v>67241</v>
      </c>
      <c r="O112" s="400">
        <f t="shared" si="217"/>
        <v>324043</v>
      </c>
      <c r="P112" s="401">
        <f t="shared" si="217"/>
        <v>2275</v>
      </c>
      <c r="Q112" s="402">
        <f t="shared" si="217"/>
        <v>326318</v>
      </c>
      <c r="S112" s="4"/>
    </row>
    <row r="113" spans="1:26" s="3" customFormat="1" ht="13.5" customHeight="1" thickBot="1">
      <c r="A113" s="444" t="s">
        <v>418</v>
      </c>
      <c r="B113" s="445" t="s">
        <v>187</v>
      </c>
      <c r="C113" s="446">
        <f>+'3.SZ.TÁBL. SEGÍTŐ SZOLGÁLAT'!X114</f>
        <v>0</v>
      </c>
      <c r="D113" s="583">
        <f>+'3.SZ.TÁBL. SEGÍTŐ SZOLGÁLAT'!Y114</f>
        <v>0</v>
      </c>
      <c r="E113" s="584">
        <f>+'3.SZ.TÁBL. SEGÍTŐ SZOLGÁLAT'!Z114</f>
        <v>0</v>
      </c>
      <c r="F113" s="446">
        <f>+'4.SZ.TÁBL. ÓVODA'!R115</f>
        <v>0</v>
      </c>
      <c r="G113" s="583">
        <f>+'4.SZ.TÁBL. ÓVODA'!S115</f>
        <v>0</v>
      </c>
      <c r="H113" s="584">
        <f>+'4.SZ.TÁBL. ÓVODA'!T115</f>
        <v>0</v>
      </c>
      <c r="I113" s="447">
        <f>+C113+F113</f>
        <v>0</v>
      </c>
      <c r="J113" s="585">
        <f t="shared" ref="J113:K113" si="218">+D113+G113</f>
        <v>0</v>
      </c>
      <c r="K113" s="586">
        <f t="shared" si="218"/>
        <v>0</v>
      </c>
      <c r="L113" s="449">
        <f>+I30</f>
        <v>244960</v>
      </c>
      <c r="M113" s="450">
        <f>+J30</f>
        <v>1630</v>
      </c>
      <c r="N113" s="448">
        <f>+L113+M113</f>
        <v>246590</v>
      </c>
      <c r="O113" s="451"/>
      <c r="P113" s="587"/>
      <c r="Q113" s="588"/>
      <c r="R113" s="4"/>
    </row>
    <row r="114" spans="1:26" s="3" customFormat="1" ht="13.5" customHeight="1" thickBot="1">
      <c r="A114" s="867" t="s">
        <v>351</v>
      </c>
      <c r="B114" s="868"/>
      <c r="C114" s="300">
        <f>+SUM(C112:C113)</f>
        <v>93503</v>
      </c>
      <c r="D114" s="301">
        <f t="shared" ref="D114:E114" si="219">+SUM(D112:D113)</f>
        <v>952</v>
      </c>
      <c r="E114" s="302">
        <f t="shared" si="219"/>
        <v>94455</v>
      </c>
      <c r="F114" s="300">
        <f>+SUM(F112:F113)</f>
        <v>163656</v>
      </c>
      <c r="G114" s="301">
        <f t="shared" ref="G114:H114" si="220">+SUM(G112:G113)</f>
        <v>966</v>
      </c>
      <c r="H114" s="302">
        <f t="shared" si="220"/>
        <v>164622</v>
      </c>
      <c r="I114" s="300">
        <f>+SUM(I112:I113)</f>
        <v>257159</v>
      </c>
      <c r="J114" s="301">
        <f t="shared" ref="J114:K114" si="221">+SUM(J112:J113)</f>
        <v>1918</v>
      </c>
      <c r="K114" s="302">
        <f t="shared" si="221"/>
        <v>259077</v>
      </c>
      <c r="L114" s="11">
        <f>+L112+L113</f>
        <v>311844</v>
      </c>
      <c r="M114" s="197">
        <f t="shared" ref="M114" si="222">+M112+M113</f>
        <v>1987</v>
      </c>
      <c r="N114" s="198">
        <f t="shared" ref="N114" si="223">+N112+N113</f>
        <v>313831</v>
      </c>
      <c r="O114" s="11">
        <f>+O112+O113</f>
        <v>324043</v>
      </c>
      <c r="P114" s="197">
        <f t="shared" ref="P114:Q114" si="224">+P112+P113</f>
        <v>2275</v>
      </c>
      <c r="Q114" s="198">
        <f t="shared" si="224"/>
        <v>326318</v>
      </c>
      <c r="S114" s="4"/>
    </row>
    <row r="115" spans="1:26" s="3" customFormat="1" ht="13.5" customHeight="1" thickBot="1">
      <c r="B115" s="408"/>
      <c r="C115" s="409"/>
      <c r="D115" s="409"/>
      <c r="E115" s="409"/>
      <c r="F115" s="409"/>
      <c r="G115" s="408"/>
      <c r="H115" s="408"/>
      <c r="I115" s="409"/>
      <c r="J115" s="410"/>
      <c r="K115" s="410"/>
      <c r="L115" s="411"/>
      <c r="M115" s="411"/>
      <c r="N115" s="411"/>
      <c r="O115" s="411"/>
      <c r="P115" s="411"/>
      <c r="Q115" s="408"/>
      <c r="S115" s="4"/>
    </row>
    <row r="116" spans="1:26" s="317" customFormat="1" ht="13.5" customHeight="1" thickBot="1">
      <c r="A116" s="863" t="s">
        <v>369</v>
      </c>
      <c r="B116" s="864"/>
      <c r="C116" s="320">
        <f t="shared" ref="C116:Q116" si="225">+C32-C114</f>
        <v>0</v>
      </c>
      <c r="D116" s="301">
        <f t="shared" si="225"/>
        <v>0</v>
      </c>
      <c r="E116" s="321">
        <f t="shared" si="225"/>
        <v>0</v>
      </c>
      <c r="F116" s="320">
        <f t="shared" si="225"/>
        <v>0</v>
      </c>
      <c r="G116" s="301">
        <f t="shared" si="225"/>
        <v>0</v>
      </c>
      <c r="H116" s="321">
        <f t="shared" si="225"/>
        <v>0</v>
      </c>
      <c r="I116" s="320">
        <f t="shared" si="225"/>
        <v>0</v>
      </c>
      <c r="J116" s="301">
        <f t="shared" si="225"/>
        <v>0</v>
      </c>
      <c r="K116" s="321">
        <f t="shared" si="225"/>
        <v>0</v>
      </c>
      <c r="L116" s="320">
        <f t="shared" si="225"/>
        <v>0</v>
      </c>
      <c r="M116" s="301">
        <f t="shared" si="225"/>
        <v>0</v>
      </c>
      <c r="N116" s="302">
        <f t="shared" si="225"/>
        <v>0</v>
      </c>
      <c r="O116" s="320">
        <f t="shared" si="225"/>
        <v>0</v>
      </c>
      <c r="P116" s="301">
        <f t="shared" si="225"/>
        <v>0</v>
      </c>
      <c r="Q116" s="302">
        <f t="shared" si="225"/>
        <v>0</v>
      </c>
      <c r="R116" s="417"/>
      <c r="S116" s="418"/>
      <c r="T116" s="418"/>
      <c r="U116" s="418"/>
      <c r="V116" s="418"/>
      <c r="W116" s="418"/>
      <c r="X116" s="418"/>
      <c r="Y116" s="418"/>
      <c r="Z116" s="418"/>
    </row>
    <row r="117" spans="1:26" ht="13.5" customHeight="1"/>
    <row r="118" spans="1:26" ht="13.5" customHeight="1"/>
  </sheetData>
  <mergeCells count="10">
    <mergeCell ref="A116:B116"/>
    <mergeCell ref="A32:B32"/>
    <mergeCell ref="A114:B114"/>
    <mergeCell ref="A1:A2"/>
    <mergeCell ref="B1:B2"/>
    <mergeCell ref="O1:Q1"/>
    <mergeCell ref="I1:K1"/>
    <mergeCell ref="C1:E1"/>
    <mergeCell ref="F1:H1"/>
    <mergeCell ref="L1:N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2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&amp;R1/1. sz. táblázat
TÁRSULÁS ÉS INTÉZMÉNYEK
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N110"/>
  <sheetViews>
    <sheetView workbookViewId="0">
      <selection activeCell="C7" sqref="C7"/>
    </sheetView>
  </sheetViews>
  <sheetFormatPr defaultColWidth="8.85546875" defaultRowHeight="12.95" customHeight="1"/>
  <cols>
    <col min="1" max="1" width="6.5703125" style="12" customWidth="1"/>
    <col min="2" max="2" width="57.42578125" style="1" customWidth="1"/>
    <col min="3" max="6" width="10.42578125" style="64" customWidth="1"/>
    <col min="7" max="7" width="11.7109375" style="22" customWidth="1"/>
    <col min="8" max="8" width="10.42578125" style="24" customWidth="1"/>
    <col min="9" max="9" width="24.85546875" style="24" customWidth="1"/>
    <col min="10" max="10" width="10.140625" style="24" customWidth="1"/>
    <col min="11" max="11" width="8.85546875" style="24"/>
    <col min="12" max="12" width="9.28515625" style="24" customWidth="1"/>
    <col min="13" max="16384" width="8.85546875" style="24"/>
  </cols>
  <sheetData>
    <row r="1" spans="1:13" ht="12.75" customHeight="1">
      <c r="A1" s="874" t="s">
        <v>189</v>
      </c>
      <c r="B1" s="876" t="s">
        <v>214</v>
      </c>
      <c r="C1" s="880" t="s">
        <v>467</v>
      </c>
      <c r="D1" s="878" t="s">
        <v>445</v>
      </c>
      <c r="E1" s="862" t="s">
        <v>504</v>
      </c>
      <c r="F1" s="413"/>
    </row>
    <row r="2" spans="1:13" ht="31.5" customHeight="1">
      <c r="A2" s="875"/>
      <c r="B2" s="877"/>
      <c r="C2" s="881"/>
      <c r="D2" s="879"/>
      <c r="E2" s="873"/>
      <c r="F2" s="413"/>
    </row>
    <row r="3" spans="1:13" ht="14.25" customHeight="1">
      <c r="A3" s="174" t="s">
        <v>190</v>
      </c>
      <c r="B3" s="216" t="s">
        <v>437</v>
      </c>
      <c r="C3" s="331"/>
      <c r="D3" s="330"/>
      <c r="E3" s="556"/>
    </row>
    <row r="4" spans="1:13" s="63" customFormat="1" ht="14.25" customHeight="1">
      <c r="A4" s="166" t="s">
        <v>191</v>
      </c>
      <c r="B4" s="167" t="s">
        <v>151</v>
      </c>
      <c r="C4" s="332">
        <f>+SUM(C5:C6)+C84</f>
        <v>303273</v>
      </c>
      <c r="D4" s="332">
        <f>+SUM(D5:D6)+D84</f>
        <v>1987</v>
      </c>
      <c r="E4" s="589">
        <f>+SUM(E5:E6)+E84</f>
        <v>305260</v>
      </c>
      <c r="F4" s="64"/>
      <c r="G4" s="65"/>
      <c r="H4" s="352"/>
      <c r="I4" s="24"/>
      <c r="J4" s="24"/>
      <c r="L4" s="24"/>
      <c r="M4" s="24"/>
    </row>
    <row r="5" spans="1:13" s="63" customFormat="1" ht="14.25" customHeight="1">
      <c r="A5" s="168"/>
      <c r="B5" s="379" t="s">
        <v>403</v>
      </c>
      <c r="C5" s="333">
        <f>+'[6]2.SZ.TÁBL. BEVÉTELEK'!$E$5</f>
        <v>27960</v>
      </c>
      <c r="D5" s="162"/>
      <c r="E5" s="557">
        <f>+C5+D5</f>
        <v>27960</v>
      </c>
      <c r="F5" s="65"/>
      <c r="G5" s="65"/>
      <c r="H5" s="352"/>
      <c r="I5" s="24"/>
      <c r="J5" s="24"/>
      <c r="L5" s="24"/>
      <c r="M5" s="24"/>
    </row>
    <row r="6" spans="1:13" s="63" customFormat="1" ht="14.25" customHeight="1">
      <c r="A6" s="168"/>
      <c r="B6" s="379" t="s">
        <v>470</v>
      </c>
      <c r="C6" s="333">
        <f>+'[4]2.SZ.TÁBL. BEVÉTELEK'!$E$6</f>
        <v>409</v>
      </c>
      <c r="D6" s="162">
        <f>+'1.1.SZ.TÁBL. BEV - KIAD'!J6</f>
        <v>0</v>
      </c>
      <c r="E6" s="557">
        <f>+C6+D6</f>
        <v>409</v>
      </c>
      <c r="F6" s="65"/>
      <c r="G6" s="65"/>
      <c r="H6" s="352"/>
      <c r="I6" s="24"/>
      <c r="J6" s="24"/>
      <c r="L6" s="24"/>
      <c r="M6" s="24"/>
    </row>
    <row r="7" spans="1:13" s="63" customFormat="1" ht="14.25" customHeight="1">
      <c r="A7" s="173"/>
      <c r="B7" s="355" t="s">
        <v>404</v>
      </c>
      <c r="C7" s="339"/>
      <c r="D7" s="340"/>
      <c r="E7" s="558"/>
      <c r="F7" s="65"/>
      <c r="G7" s="65"/>
      <c r="H7" s="352"/>
      <c r="I7" s="24"/>
      <c r="J7" s="24"/>
      <c r="L7" s="24"/>
      <c r="M7" s="24"/>
    </row>
    <row r="8" spans="1:13" s="63" customFormat="1" ht="14.25" customHeight="1">
      <c r="A8" s="173"/>
      <c r="B8" s="354" t="s">
        <v>393</v>
      </c>
      <c r="C8" s="334">
        <f>SUM(C9:C15)</f>
        <v>11520</v>
      </c>
      <c r="D8" s="334">
        <f t="shared" ref="D8:E8" si="0">SUM(D9:D15)</f>
        <v>0</v>
      </c>
      <c r="E8" s="590">
        <f t="shared" si="0"/>
        <v>11520</v>
      </c>
      <c r="F8" s="65"/>
      <c r="G8" s="22" t="s">
        <v>381</v>
      </c>
      <c r="H8" s="24">
        <f>3290*12-C6</f>
        <v>39071</v>
      </c>
      <c r="I8" s="24"/>
      <c r="J8" s="24"/>
      <c r="L8" s="24"/>
      <c r="M8" s="24"/>
    </row>
    <row r="9" spans="1:13" s="338" customFormat="1" ht="14.25" customHeight="1">
      <c r="A9" s="173"/>
      <c r="B9" s="356" t="s">
        <v>372</v>
      </c>
      <c r="C9" s="334">
        <f>+'[6]2.SZ.TÁBL. BEVÉTELEK'!$E8</f>
        <v>1279</v>
      </c>
      <c r="D9" s="335"/>
      <c r="E9" s="336">
        <f>+C9+D9</f>
        <v>1279</v>
      </c>
      <c r="F9" s="65"/>
      <c r="G9" s="337"/>
      <c r="H9" s="352"/>
      <c r="I9" s="353" t="s">
        <v>372</v>
      </c>
      <c r="J9" s="366">
        <v>2755</v>
      </c>
      <c r="K9" s="368">
        <f>+J9/J16</f>
        <v>0.11099025058415922</v>
      </c>
      <c r="L9" s="24">
        <f>+$H$8*K9</f>
        <v>4336.5000805736845</v>
      </c>
      <c r="M9" s="69">
        <v>1279</v>
      </c>
    </row>
    <row r="10" spans="1:13" ht="14.25" customHeight="1">
      <c r="A10" s="173"/>
      <c r="B10" s="356" t="s">
        <v>373</v>
      </c>
      <c r="C10" s="334">
        <f>+'[6]2.SZ.TÁBL. BEVÉTELEK'!$E9</f>
        <v>3999</v>
      </c>
      <c r="D10" s="335"/>
      <c r="E10" s="336">
        <f t="shared" ref="E10:E15" si="1">+C10+D10</f>
        <v>3999</v>
      </c>
      <c r="F10" s="65"/>
      <c r="H10" s="352"/>
      <c r="I10" s="353" t="s">
        <v>373</v>
      </c>
      <c r="J10" s="366">
        <v>8617</v>
      </c>
      <c r="K10" s="368">
        <f>+J10/J16</f>
        <v>0.34715172024816693</v>
      </c>
      <c r="L10" s="24">
        <f>+$H$8*K10</f>
        <v>13563.56486181613</v>
      </c>
      <c r="M10" s="24">
        <v>3999</v>
      </c>
    </row>
    <row r="11" spans="1:13" ht="14.25" customHeight="1">
      <c r="A11" s="173"/>
      <c r="B11" s="356" t="s">
        <v>379</v>
      </c>
      <c r="C11" s="334">
        <f>+'[6]2.SZ.TÁBL. BEVÉTELEK'!$E10</f>
        <v>579</v>
      </c>
      <c r="D11" s="335"/>
      <c r="E11" s="336">
        <f t="shared" si="1"/>
        <v>579</v>
      </c>
      <c r="F11" s="65"/>
      <c r="H11" s="352"/>
      <c r="I11" s="353" t="s">
        <v>379</v>
      </c>
      <c r="J11" s="366">
        <v>1248</v>
      </c>
      <c r="K11" s="368">
        <f>+J11/J16</f>
        <v>5.0277979211989364E-2</v>
      </c>
      <c r="L11" s="24">
        <f t="shared" ref="L11:L15" si="2">+$H$8*K11</f>
        <v>1964.4109257916364</v>
      </c>
      <c r="M11" s="24">
        <v>579</v>
      </c>
    </row>
    <row r="12" spans="1:13" ht="14.25" customHeight="1">
      <c r="A12" s="173"/>
      <c r="B12" s="356" t="s">
        <v>374</v>
      </c>
      <c r="C12" s="334">
        <f>+'[6]2.SZ.TÁBL. BEVÉTELEK'!$E11</f>
        <v>500</v>
      </c>
      <c r="D12" s="335"/>
      <c r="E12" s="336">
        <f t="shared" si="1"/>
        <v>500</v>
      </c>
      <c r="F12" s="65"/>
      <c r="H12" s="352"/>
      <c r="I12" s="353" t="s">
        <v>374</v>
      </c>
      <c r="J12" s="366">
        <v>1077</v>
      </c>
      <c r="K12" s="368">
        <f>+J12/J16</f>
        <v>4.3388929175731207E-2</v>
      </c>
      <c r="L12" s="24">
        <f t="shared" si="2"/>
        <v>1695.2488518249941</v>
      </c>
      <c r="M12" s="24">
        <v>500</v>
      </c>
    </row>
    <row r="13" spans="1:13" ht="14.25" customHeight="1">
      <c r="A13" s="173"/>
      <c r="B13" s="356" t="s">
        <v>375</v>
      </c>
      <c r="C13" s="334">
        <f>+'[6]2.SZ.TÁBL. BEVÉTELEK'!$E12</f>
        <v>2635</v>
      </c>
      <c r="D13" s="335"/>
      <c r="E13" s="336">
        <f t="shared" si="1"/>
        <v>2635</v>
      </c>
      <c r="F13" s="65"/>
      <c r="H13" s="352"/>
      <c r="I13" s="353" t="s">
        <v>375</v>
      </c>
      <c r="J13" s="366">
        <v>5678</v>
      </c>
      <c r="K13" s="368">
        <f>+J13/J16</f>
        <v>0.22874869067762468</v>
      </c>
      <c r="L13" s="24">
        <f t="shared" si="2"/>
        <v>8937.4400934654732</v>
      </c>
      <c r="M13" s="24">
        <v>2635</v>
      </c>
    </row>
    <row r="14" spans="1:13" ht="14.25" customHeight="1">
      <c r="A14" s="173"/>
      <c r="B14" s="356" t="s">
        <v>376</v>
      </c>
      <c r="C14" s="334">
        <f>+'[6]2.SZ.TÁBL. BEVÉTELEK'!$E13</f>
        <v>1578</v>
      </c>
      <c r="D14" s="335"/>
      <c r="E14" s="336">
        <f t="shared" si="1"/>
        <v>1578</v>
      </c>
      <c r="F14" s="65"/>
      <c r="H14" s="352"/>
      <c r="I14" s="353" t="s">
        <v>376</v>
      </c>
      <c r="J14" s="366">
        <v>3400</v>
      </c>
      <c r="K14" s="368">
        <f>+J14/J16</f>
        <v>0.13697526387881717</v>
      </c>
      <c r="L14" s="24">
        <f t="shared" si="2"/>
        <v>5351.7605350092654</v>
      </c>
      <c r="M14" s="24">
        <v>1578</v>
      </c>
    </row>
    <row r="15" spans="1:13" ht="14.25" customHeight="1">
      <c r="A15" s="173"/>
      <c r="B15" s="356" t="s">
        <v>377</v>
      </c>
      <c r="C15" s="334">
        <f>+'[6]2.SZ.TÁBL. BEVÉTELEK'!$E14</f>
        <v>950</v>
      </c>
      <c r="D15" s="335"/>
      <c r="E15" s="336">
        <f t="shared" si="1"/>
        <v>950</v>
      </c>
      <c r="F15" s="65"/>
      <c r="H15" s="352"/>
      <c r="I15" s="353" t="s">
        <v>377</v>
      </c>
      <c r="J15" s="366">
        <v>2047</v>
      </c>
      <c r="K15" s="368">
        <f>+J15/J16</f>
        <v>8.2467166223511398E-2</v>
      </c>
      <c r="L15" s="24">
        <f t="shared" si="2"/>
        <v>3222.0746515188139</v>
      </c>
      <c r="M15" s="24">
        <v>950</v>
      </c>
    </row>
    <row r="16" spans="1:13" s="63" customFormat="1" ht="14.25" customHeight="1">
      <c r="A16" s="173"/>
      <c r="B16" s="226"/>
      <c r="C16" s="339"/>
      <c r="D16" s="340"/>
      <c r="E16" s="558"/>
      <c r="F16" s="65"/>
      <c r="G16" s="65"/>
      <c r="H16" s="352"/>
      <c r="J16" s="367">
        <f>SUM(J9:J15)</f>
        <v>24822</v>
      </c>
      <c r="K16" s="369"/>
      <c r="L16" s="370">
        <f>SUM(L9:L15)</f>
        <v>39071</v>
      </c>
      <c r="M16" s="24">
        <f>SUM(M9:M15)</f>
        <v>11520</v>
      </c>
    </row>
    <row r="17" spans="1:13" ht="14.25" customHeight="1">
      <c r="A17" s="176"/>
      <c r="B17" s="354" t="s">
        <v>378</v>
      </c>
      <c r="C17" s="334">
        <f>+SUM(C18:C20)</f>
        <v>6786</v>
      </c>
      <c r="D17" s="334">
        <f>+SUM(D18:D20)</f>
        <v>662</v>
      </c>
      <c r="E17" s="590">
        <f>+SUM(E18:E20)</f>
        <v>7448</v>
      </c>
      <c r="F17" s="22"/>
      <c r="H17" s="352"/>
    </row>
    <row r="18" spans="1:13" ht="14.25" customHeight="1">
      <c r="A18" s="176"/>
      <c r="B18" s="356" t="s">
        <v>372</v>
      </c>
      <c r="C18" s="334">
        <f>+'[6]2.SZ.TÁBL. BEVÉTELEK'!$E17</f>
        <v>3815</v>
      </c>
      <c r="D18" s="335"/>
      <c r="E18" s="336">
        <f t="shared" ref="E18:E19" si="3">+C18+D18</f>
        <v>3815</v>
      </c>
      <c r="F18" s="22"/>
      <c r="H18" s="352"/>
    </row>
    <row r="19" spans="1:13" ht="14.25" customHeight="1">
      <c r="A19" s="176"/>
      <c r="B19" s="356" t="s">
        <v>379</v>
      </c>
      <c r="C19" s="334">
        <f>+'[6]2.SZ.TÁBL. BEVÉTELEK'!$E18</f>
        <v>990</v>
      </c>
      <c r="D19" s="335">
        <f>+[5]Társulás!$Z$7</f>
        <v>662</v>
      </c>
      <c r="E19" s="336">
        <f t="shared" si="3"/>
        <v>1652</v>
      </c>
      <c r="F19" s="22"/>
    </row>
    <row r="20" spans="1:13" ht="14.25" customHeight="1">
      <c r="A20" s="176"/>
      <c r="B20" s="356" t="s">
        <v>377</v>
      </c>
      <c r="C20" s="334">
        <f>+'[6]2.SZ.TÁBL. BEVÉTELEK'!$E20</f>
        <v>1981</v>
      </c>
      <c r="D20" s="335"/>
      <c r="E20" s="336">
        <f t="shared" ref="E20" si="4">+C20+D20</f>
        <v>1981</v>
      </c>
      <c r="F20" s="22"/>
    </row>
    <row r="21" spans="1:13" ht="14.25" customHeight="1">
      <c r="A21" s="176"/>
      <c r="B21" s="365"/>
      <c r="C21" s="334"/>
      <c r="D21" s="335"/>
      <c r="E21" s="336"/>
      <c r="F21" s="22"/>
    </row>
    <row r="22" spans="1:13" ht="14.25" customHeight="1">
      <c r="A22" s="176"/>
      <c r="B22" s="354" t="s">
        <v>380</v>
      </c>
      <c r="C22" s="334">
        <f>+SUM(C23:C29)</f>
        <v>18578</v>
      </c>
      <c r="D22" s="334">
        <f t="shared" ref="D22:E22" si="5">+SUM(D23:D29)</f>
        <v>0</v>
      </c>
      <c r="E22" s="590">
        <f t="shared" si="5"/>
        <v>18578</v>
      </c>
      <c r="F22" s="22"/>
    </row>
    <row r="23" spans="1:13" ht="14.25" customHeight="1">
      <c r="A23" s="176"/>
      <c r="B23" s="356" t="s">
        <v>372</v>
      </c>
      <c r="C23" s="334">
        <f>+'[6]2.SZ.TÁBL. BEVÉTELEK'!$E23</f>
        <v>4383</v>
      </c>
      <c r="D23" s="335"/>
      <c r="E23" s="336">
        <f t="shared" ref="E23:E29" si="6">+C23+D23</f>
        <v>4383</v>
      </c>
      <c r="F23" s="22"/>
    </row>
    <row r="24" spans="1:13" ht="14.25" customHeight="1">
      <c r="A24" s="176"/>
      <c r="B24" s="356" t="s">
        <v>379</v>
      </c>
      <c r="C24" s="334">
        <f>+'[6]2.SZ.TÁBL. BEVÉTELEK'!$E24</f>
        <v>960</v>
      </c>
      <c r="D24" s="335"/>
      <c r="E24" s="336">
        <f t="shared" si="6"/>
        <v>960</v>
      </c>
      <c r="F24" s="22"/>
    </row>
    <row r="25" spans="1:13" ht="14.25" customHeight="1">
      <c r="A25" s="176"/>
      <c r="B25" s="356" t="s">
        <v>374</v>
      </c>
      <c r="C25" s="334">
        <f>+'[6]2.SZ.TÁBL. BEVÉTELEK'!$E25</f>
        <v>1074</v>
      </c>
      <c r="D25" s="335"/>
      <c r="E25" s="336">
        <f t="shared" si="6"/>
        <v>1074</v>
      </c>
      <c r="F25" s="22"/>
      <c r="I25" s="364"/>
      <c r="J25" s="364"/>
    </row>
    <row r="26" spans="1:13" ht="14.25" customHeight="1">
      <c r="A26" s="176"/>
      <c r="B26" s="356" t="s">
        <v>375</v>
      </c>
      <c r="C26" s="334">
        <f>+'[6]2.SZ.TÁBL. BEVÉTELEK'!$E26</f>
        <v>6130</v>
      </c>
      <c r="D26" s="335"/>
      <c r="E26" s="336">
        <f t="shared" si="6"/>
        <v>6130</v>
      </c>
      <c r="F26" s="22"/>
      <c r="H26" s="364"/>
      <c r="K26" s="364"/>
    </row>
    <row r="27" spans="1:13" ht="14.25" customHeight="1">
      <c r="A27" s="176"/>
      <c r="B27" s="356" t="s">
        <v>376</v>
      </c>
      <c r="C27" s="334">
        <f>+'[6]2.SZ.TÁBL. BEVÉTELEK'!$E27</f>
        <v>2868</v>
      </c>
      <c r="D27" s="335"/>
      <c r="E27" s="336">
        <f t="shared" si="6"/>
        <v>2868</v>
      </c>
      <c r="F27" s="22"/>
    </row>
    <row r="28" spans="1:13" s="364" customFormat="1" ht="14.25" customHeight="1">
      <c r="A28" s="176"/>
      <c r="B28" s="356" t="s">
        <v>377</v>
      </c>
      <c r="C28" s="334">
        <f>+'[6]2.SZ.TÁBL. BEVÉTELEK'!$E28</f>
        <v>1575</v>
      </c>
      <c r="D28" s="335"/>
      <c r="E28" s="336">
        <f t="shared" si="6"/>
        <v>1575</v>
      </c>
      <c r="F28" s="22"/>
      <c r="G28" s="23"/>
      <c r="H28" s="24"/>
      <c r="I28" s="24"/>
      <c r="J28" s="24"/>
      <c r="K28" s="24"/>
      <c r="L28" s="24"/>
      <c r="M28" s="24"/>
    </row>
    <row r="29" spans="1:13" s="364" customFormat="1" ht="14.25" customHeight="1">
      <c r="A29" s="176"/>
      <c r="B29" s="357" t="s">
        <v>357</v>
      </c>
      <c r="C29" s="334">
        <f>+'[6]2.SZ.TÁBL. BEVÉTELEK'!$E29</f>
        <v>1588</v>
      </c>
      <c r="D29" s="335"/>
      <c r="E29" s="336">
        <f t="shared" si="6"/>
        <v>1588</v>
      </c>
      <c r="F29" s="22"/>
      <c r="G29" s="23"/>
      <c r="H29" s="24"/>
      <c r="I29" s="24"/>
      <c r="J29" s="24"/>
      <c r="K29" s="24"/>
      <c r="L29" s="24"/>
      <c r="M29" s="24"/>
    </row>
    <row r="30" spans="1:13" s="351" customFormat="1" ht="14.25" customHeight="1">
      <c r="A30" s="173"/>
      <c r="B30" s="357"/>
      <c r="C30" s="339"/>
      <c r="D30" s="340"/>
      <c r="E30" s="558"/>
      <c r="F30" s="65"/>
      <c r="G30" s="23"/>
      <c r="H30" s="24"/>
      <c r="I30" s="24"/>
      <c r="J30" s="24"/>
      <c r="K30" s="24"/>
      <c r="L30" s="24"/>
      <c r="M30" s="24"/>
    </row>
    <row r="31" spans="1:13" s="351" customFormat="1" ht="14.25" customHeight="1">
      <c r="A31" s="173"/>
      <c r="B31" s="354" t="s">
        <v>392</v>
      </c>
      <c r="C31" s="334">
        <f>SUM(C32:C39)</f>
        <v>2736</v>
      </c>
      <c r="D31" s="334">
        <f t="shared" ref="D31:E31" si="7">SUM(D32:D39)</f>
        <v>0</v>
      </c>
      <c r="E31" s="590">
        <f t="shared" si="7"/>
        <v>2736</v>
      </c>
      <c r="F31" s="65"/>
      <c r="G31" s="350"/>
      <c r="H31" s="24"/>
      <c r="I31" s="24"/>
      <c r="J31" s="24"/>
      <c r="K31" s="24"/>
      <c r="L31" s="24"/>
      <c r="M31" s="24"/>
    </row>
    <row r="32" spans="1:13" s="351" customFormat="1" ht="14.25" customHeight="1">
      <c r="A32" s="173"/>
      <c r="B32" s="356" t="s">
        <v>372</v>
      </c>
      <c r="C32" s="334">
        <f>+'[6]2.SZ.TÁBL. BEVÉTELEK'!$E32</f>
        <v>275</v>
      </c>
      <c r="D32" s="340"/>
      <c r="E32" s="336">
        <f t="shared" ref="E32:E39" si="8">+C32+D32</f>
        <v>275</v>
      </c>
      <c r="F32" s="65"/>
      <c r="G32" s="22" t="s">
        <v>382</v>
      </c>
      <c r="H32" s="24">
        <v>100</v>
      </c>
      <c r="I32" s="24" t="s">
        <v>4</v>
      </c>
      <c r="J32" s="366">
        <v>2755</v>
      </c>
      <c r="K32" s="22">
        <f>+$H$32*J32</f>
        <v>275500</v>
      </c>
      <c r="L32" s="24">
        <v>275</v>
      </c>
      <c r="M32" s="24"/>
    </row>
    <row r="33" spans="1:13" s="351" customFormat="1" ht="14.25" customHeight="1">
      <c r="A33" s="173"/>
      <c r="B33" s="356" t="s">
        <v>373</v>
      </c>
      <c r="C33" s="334">
        <f>+'[6]2.SZ.TÁBL. BEVÉTELEK'!$E33</f>
        <v>862</v>
      </c>
      <c r="D33" s="340"/>
      <c r="E33" s="336">
        <f t="shared" si="8"/>
        <v>862</v>
      </c>
      <c r="F33" s="65"/>
      <c r="G33" s="22"/>
      <c r="H33" s="24"/>
      <c r="I33" s="24" t="s">
        <v>5</v>
      </c>
      <c r="J33" s="366">
        <v>8617</v>
      </c>
      <c r="K33" s="22">
        <f t="shared" ref="K33:K39" si="9">+$H$32*J33</f>
        <v>861700</v>
      </c>
      <c r="L33" s="24">
        <v>862</v>
      </c>
      <c r="M33" s="24"/>
    </row>
    <row r="34" spans="1:13" s="351" customFormat="1" ht="14.25" customHeight="1">
      <c r="A34" s="173"/>
      <c r="B34" s="356" t="s">
        <v>379</v>
      </c>
      <c r="C34" s="334">
        <f>+'[6]2.SZ.TÁBL. BEVÉTELEK'!$E34</f>
        <v>125</v>
      </c>
      <c r="D34" s="340"/>
      <c r="E34" s="336">
        <f t="shared" si="8"/>
        <v>125</v>
      </c>
      <c r="F34" s="65"/>
      <c r="G34" s="22"/>
      <c r="H34" s="24"/>
      <c r="I34" s="24" t="s">
        <v>6</v>
      </c>
      <c r="J34" s="366">
        <v>1248</v>
      </c>
      <c r="K34" s="22">
        <f t="shared" si="9"/>
        <v>124800</v>
      </c>
      <c r="L34" s="24">
        <v>125</v>
      </c>
      <c r="M34" s="24"/>
    </row>
    <row r="35" spans="1:13" s="351" customFormat="1" ht="14.25" customHeight="1">
      <c r="A35" s="173"/>
      <c r="B35" s="356" t="s">
        <v>374</v>
      </c>
      <c r="C35" s="334">
        <f>+'[6]2.SZ.TÁBL. BEVÉTELEK'!$E35</f>
        <v>107</v>
      </c>
      <c r="D35" s="340"/>
      <c r="E35" s="336">
        <f t="shared" si="8"/>
        <v>107</v>
      </c>
      <c r="F35" s="65"/>
      <c r="G35" s="22"/>
      <c r="H35" s="24"/>
      <c r="I35" s="24" t="s">
        <v>7</v>
      </c>
      <c r="J35" s="366">
        <v>1077</v>
      </c>
      <c r="K35" s="22">
        <f t="shared" si="9"/>
        <v>107700</v>
      </c>
      <c r="L35" s="24">
        <v>107</v>
      </c>
      <c r="M35" s="24"/>
    </row>
    <row r="36" spans="1:13" s="351" customFormat="1" ht="14.25" customHeight="1">
      <c r="A36" s="173"/>
      <c r="B36" s="356" t="s">
        <v>375</v>
      </c>
      <c r="C36" s="334">
        <f>+'[6]2.SZ.TÁBL. BEVÉTELEK'!$E36</f>
        <v>568</v>
      </c>
      <c r="D36" s="340"/>
      <c r="E36" s="336">
        <f t="shared" si="8"/>
        <v>568</v>
      </c>
      <c r="F36" s="65"/>
      <c r="G36" s="22"/>
      <c r="H36" s="24"/>
      <c r="I36" s="24" t="s">
        <v>8</v>
      </c>
      <c r="J36" s="366">
        <v>5678</v>
      </c>
      <c r="K36" s="22">
        <f t="shared" si="9"/>
        <v>567800</v>
      </c>
      <c r="L36" s="24">
        <v>568</v>
      </c>
      <c r="M36" s="24"/>
    </row>
    <row r="37" spans="1:13" s="351" customFormat="1" ht="14.25" customHeight="1">
      <c r="A37" s="173"/>
      <c r="B37" s="356" t="s">
        <v>376</v>
      </c>
      <c r="C37" s="334">
        <f>+'[6]2.SZ.TÁBL. BEVÉTELEK'!$E37</f>
        <v>340</v>
      </c>
      <c r="D37" s="340"/>
      <c r="E37" s="336">
        <f t="shared" si="8"/>
        <v>340</v>
      </c>
      <c r="F37" s="65"/>
      <c r="G37" s="22"/>
      <c r="H37" s="24"/>
      <c r="I37" s="24" t="s">
        <v>9</v>
      </c>
      <c r="J37" s="366">
        <v>3400</v>
      </c>
      <c r="K37" s="22">
        <f t="shared" si="9"/>
        <v>340000</v>
      </c>
      <c r="L37" s="24">
        <v>340</v>
      </c>
      <c r="M37" s="24"/>
    </row>
    <row r="38" spans="1:13" s="351" customFormat="1" ht="14.25" customHeight="1">
      <c r="A38" s="173"/>
      <c r="B38" s="356" t="s">
        <v>377</v>
      </c>
      <c r="C38" s="334">
        <f>+'[6]2.SZ.TÁBL. BEVÉTELEK'!$E38</f>
        <v>205</v>
      </c>
      <c r="D38" s="340"/>
      <c r="E38" s="336">
        <f t="shared" si="8"/>
        <v>205</v>
      </c>
      <c r="F38" s="65"/>
      <c r="G38" s="22"/>
      <c r="H38" s="24"/>
      <c r="I38" s="24" t="s">
        <v>10</v>
      </c>
      <c r="J38" s="366">
        <v>2047</v>
      </c>
      <c r="K38" s="22">
        <f t="shared" si="9"/>
        <v>204700</v>
      </c>
      <c r="L38" s="24">
        <v>205</v>
      </c>
      <c r="M38" s="24"/>
    </row>
    <row r="39" spans="1:13" s="351" customFormat="1" ht="14.25" customHeight="1">
      <c r="A39" s="173"/>
      <c r="B39" s="357" t="s">
        <v>357</v>
      </c>
      <c r="C39" s="334">
        <f>+'[6]2.SZ.TÁBL. BEVÉTELEK'!$E39</f>
        <v>254</v>
      </c>
      <c r="D39" s="340"/>
      <c r="E39" s="336">
        <f t="shared" si="8"/>
        <v>254</v>
      </c>
      <c r="F39" s="65"/>
      <c r="G39" s="350"/>
      <c r="H39" s="24"/>
      <c r="I39" s="69" t="s">
        <v>357</v>
      </c>
      <c r="J39" s="327">
        <v>2539</v>
      </c>
      <c r="K39" s="22">
        <f t="shared" si="9"/>
        <v>253900</v>
      </c>
      <c r="L39" s="327">
        <v>254</v>
      </c>
      <c r="M39" s="24"/>
    </row>
    <row r="40" spans="1:13" s="351" customFormat="1" ht="14.25" customHeight="1">
      <c r="A40" s="173"/>
      <c r="B40" s="357"/>
      <c r="C40" s="339"/>
      <c r="D40" s="340"/>
      <c r="E40" s="558"/>
      <c r="F40" s="65"/>
      <c r="G40" s="350"/>
      <c r="H40" s="24"/>
      <c r="I40" s="24"/>
      <c r="J40" s="367">
        <f>SUM(J32:J39)</f>
        <v>27361</v>
      </c>
      <c r="K40" s="22">
        <f>SUM(K32:K39)</f>
        <v>2736100</v>
      </c>
      <c r="L40" s="22">
        <f>SUM(L32:L39)</f>
        <v>2736</v>
      </c>
      <c r="M40" s="24"/>
    </row>
    <row r="41" spans="1:13" s="351" customFormat="1" ht="14.25" customHeight="1">
      <c r="A41" s="173"/>
      <c r="B41" s="354" t="s">
        <v>397</v>
      </c>
      <c r="C41" s="334">
        <f>+SUM(C42:C48)</f>
        <v>2866</v>
      </c>
      <c r="D41" s="334">
        <f t="shared" ref="D41:E41" si="10">+SUM(D42:D48)</f>
        <v>357</v>
      </c>
      <c r="E41" s="590">
        <f t="shared" si="10"/>
        <v>3223</v>
      </c>
      <c r="F41" s="65"/>
      <c r="G41" s="350"/>
      <c r="H41" s="24"/>
      <c r="I41" s="24"/>
      <c r="J41" s="367"/>
      <c r="K41" s="22"/>
      <c r="L41" s="22"/>
      <c r="M41" s="24"/>
    </row>
    <row r="42" spans="1:13" s="351" customFormat="1" ht="14.25" customHeight="1">
      <c r="A42" s="173"/>
      <c r="B42" s="356" t="s">
        <v>372</v>
      </c>
      <c r="C42" s="334">
        <f>+'[6]2.SZ.TÁBL. BEVÉTELEK'!$E42</f>
        <v>346</v>
      </c>
      <c r="D42" s="335">
        <f>+[5]Társulás!$Z$11</f>
        <v>29</v>
      </c>
      <c r="E42" s="336">
        <f t="shared" ref="E42:E48" si="11">+C42+D42</f>
        <v>375</v>
      </c>
      <c r="F42" s="65"/>
      <c r="G42" s="22" t="s">
        <v>400</v>
      </c>
      <c r="H42" s="24" t="s">
        <v>402</v>
      </c>
      <c r="I42" s="24"/>
      <c r="J42" s="367" t="s">
        <v>401</v>
      </c>
      <c r="K42" s="22"/>
      <c r="L42" s="22"/>
      <c r="M42" s="24"/>
    </row>
    <row r="43" spans="1:13" s="351" customFormat="1" ht="14.25" customHeight="1">
      <c r="A43" s="173"/>
      <c r="B43" s="356" t="s">
        <v>379</v>
      </c>
      <c r="C43" s="334">
        <f>+'[6]2.SZ.TÁBL. BEVÉTELEK'!$E43</f>
        <v>346</v>
      </c>
      <c r="D43" s="335">
        <f>+[5]Társulás!$Z$12</f>
        <v>29</v>
      </c>
      <c r="E43" s="336">
        <f t="shared" si="11"/>
        <v>375</v>
      </c>
      <c r="F43" s="65"/>
      <c r="G43" s="22"/>
      <c r="H43" s="24">
        <v>8641</v>
      </c>
      <c r="I43" s="24" t="s">
        <v>4</v>
      </c>
      <c r="J43" s="367">
        <v>40</v>
      </c>
      <c r="K43" s="22">
        <f>+H43*J43</f>
        <v>345640</v>
      </c>
      <c r="L43" s="22">
        <v>346</v>
      </c>
      <c r="M43" s="24"/>
    </row>
    <row r="44" spans="1:13" s="351" customFormat="1" ht="14.25" customHeight="1">
      <c r="A44" s="173"/>
      <c r="B44" s="356" t="s">
        <v>374</v>
      </c>
      <c r="C44" s="334">
        <f>+'[6]2.SZ.TÁBL. BEVÉTELEK'!$E44</f>
        <v>346</v>
      </c>
      <c r="D44" s="335">
        <f>+[5]Társulás!$Z$13</f>
        <v>29</v>
      </c>
      <c r="E44" s="336">
        <f t="shared" si="11"/>
        <v>375</v>
      </c>
      <c r="F44" s="65"/>
      <c r="G44" s="22"/>
      <c r="H44" s="24"/>
      <c r="I44" s="24" t="s">
        <v>6</v>
      </c>
      <c r="J44" s="367">
        <v>40</v>
      </c>
      <c r="K44" s="22">
        <f>+H43*J44</f>
        <v>345640</v>
      </c>
      <c r="L44" s="22">
        <v>346</v>
      </c>
      <c r="M44" s="24"/>
    </row>
    <row r="45" spans="1:13" s="351" customFormat="1" ht="14.25" customHeight="1">
      <c r="A45" s="173"/>
      <c r="B45" s="356" t="s">
        <v>375</v>
      </c>
      <c r="C45" s="334">
        <f>+'[6]2.SZ.TÁBL. BEVÉTELEK'!$E45</f>
        <v>790</v>
      </c>
      <c r="D45" s="335">
        <f>+[5]Társulás!$Z$17</f>
        <v>183</v>
      </c>
      <c r="E45" s="336">
        <f t="shared" si="11"/>
        <v>973</v>
      </c>
      <c r="F45" s="65"/>
      <c r="G45" s="22"/>
      <c r="H45" s="24"/>
      <c r="I45" s="24" t="s">
        <v>7</v>
      </c>
      <c r="J45" s="367">
        <v>40</v>
      </c>
      <c r="K45" s="22">
        <f>+H43*J45</f>
        <v>345640</v>
      </c>
      <c r="L45" s="22">
        <v>346</v>
      </c>
      <c r="M45" s="24"/>
    </row>
    <row r="46" spans="1:13" s="351" customFormat="1" ht="14.25" customHeight="1">
      <c r="A46" s="173"/>
      <c r="B46" s="356" t="s">
        <v>376</v>
      </c>
      <c r="C46" s="334">
        <f>+'[6]2.SZ.TÁBL. BEVÉTELEK'!$E46</f>
        <v>346</v>
      </c>
      <c r="D46" s="335">
        <f>+[5]Társulás!$Z$14</f>
        <v>29</v>
      </c>
      <c r="E46" s="336">
        <f t="shared" si="11"/>
        <v>375</v>
      </c>
      <c r="F46" s="65"/>
      <c r="G46" s="22"/>
      <c r="H46" s="24">
        <v>20320</v>
      </c>
      <c r="I46" s="24" t="s">
        <v>8</v>
      </c>
      <c r="J46" s="367">
        <v>39</v>
      </c>
      <c r="K46" s="22">
        <f>+H46*J46</f>
        <v>792480</v>
      </c>
      <c r="L46" s="22">
        <v>790</v>
      </c>
      <c r="M46" s="24"/>
    </row>
    <row r="47" spans="1:13" s="351" customFormat="1" ht="14.25" customHeight="1">
      <c r="A47" s="173"/>
      <c r="B47" s="356" t="s">
        <v>377</v>
      </c>
      <c r="C47" s="334">
        <f>+'[6]2.SZ.TÁBL. BEVÉTELEK'!$E47</f>
        <v>346</v>
      </c>
      <c r="D47" s="335">
        <f>+[5]Társulás!$Z$15</f>
        <v>29</v>
      </c>
      <c r="E47" s="336">
        <f t="shared" si="11"/>
        <v>375</v>
      </c>
      <c r="F47" s="65"/>
      <c r="G47" s="22"/>
      <c r="H47" s="24"/>
      <c r="I47" s="24" t="s">
        <v>9</v>
      </c>
      <c r="J47" s="367">
        <v>40</v>
      </c>
      <c r="K47" s="22">
        <f>+H43*J47</f>
        <v>345640</v>
      </c>
      <c r="L47" s="22">
        <v>346</v>
      </c>
      <c r="M47" s="24"/>
    </row>
    <row r="48" spans="1:13" s="351" customFormat="1" ht="14.25" customHeight="1">
      <c r="A48" s="173"/>
      <c r="B48" s="357" t="s">
        <v>357</v>
      </c>
      <c r="C48" s="334">
        <f>+'[6]2.SZ.TÁBL. BEVÉTELEK'!$E48</f>
        <v>346</v>
      </c>
      <c r="D48" s="335">
        <f>+[5]Társulás!$Z$16</f>
        <v>29</v>
      </c>
      <c r="E48" s="336">
        <f t="shared" si="11"/>
        <v>375</v>
      </c>
      <c r="F48" s="65"/>
      <c r="G48" s="22"/>
      <c r="H48" s="24"/>
      <c r="I48" s="24" t="s">
        <v>10</v>
      </c>
      <c r="J48" s="367">
        <v>40</v>
      </c>
      <c r="K48" s="22">
        <f>+H43*J48</f>
        <v>345640</v>
      </c>
      <c r="L48" s="22">
        <v>346</v>
      </c>
      <c r="M48" s="24"/>
    </row>
    <row r="49" spans="1:14" s="351" customFormat="1" ht="14.25" customHeight="1">
      <c r="A49" s="173"/>
      <c r="B49" s="412"/>
      <c r="C49" s="339"/>
      <c r="D49" s="340"/>
      <c r="E49" s="558"/>
      <c r="F49" s="65"/>
      <c r="G49" s="22"/>
      <c r="H49" s="24"/>
      <c r="I49" s="69" t="s">
        <v>357</v>
      </c>
      <c r="J49" s="367">
        <v>40</v>
      </c>
      <c r="K49" s="22">
        <f>+H43*J49</f>
        <v>345640</v>
      </c>
      <c r="L49" s="22">
        <v>346</v>
      </c>
      <c r="M49" s="24"/>
    </row>
    <row r="50" spans="1:14" s="351" customFormat="1" ht="14.25" customHeight="1">
      <c r="A50" s="173"/>
      <c r="B50" s="354" t="s">
        <v>398</v>
      </c>
      <c r="C50" s="334">
        <f>+SUM(C51:C57)</f>
        <v>5884</v>
      </c>
      <c r="D50" s="334">
        <f t="shared" ref="D50:E50" si="12">+SUM(D51:D57)</f>
        <v>0</v>
      </c>
      <c r="E50" s="590">
        <f t="shared" si="12"/>
        <v>5884</v>
      </c>
      <c r="F50" s="65"/>
      <c r="G50" s="22"/>
      <c r="H50" s="24"/>
      <c r="I50" s="69"/>
      <c r="J50" s="367"/>
      <c r="K50" s="22">
        <f>SUM(K43:K49)</f>
        <v>2866320</v>
      </c>
      <c r="L50" s="22">
        <f>SUM(L43:L49)</f>
        <v>2866</v>
      </c>
      <c r="M50" s="24"/>
    </row>
    <row r="51" spans="1:14" s="351" customFormat="1" ht="14.25" customHeight="1">
      <c r="A51" s="173"/>
      <c r="B51" s="356" t="s">
        <v>372</v>
      </c>
      <c r="C51" s="334">
        <f>+'[6]2.SZ.TÁBL. BEVÉTELEK'!$E51</f>
        <v>1773</v>
      </c>
      <c r="D51" s="340"/>
      <c r="E51" s="336">
        <f t="shared" ref="E51:E57" si="13">+C51+D51</f>
        <v>1773</v>
      </c>
      <c r="F51" s="65"/>
      <c r="G51" s="22"/>
      <c r="H51" s="24"/>
      <c r="I51" s="24"/>
      <c r="J51" s="367"/>
      <c r="K51" s="22"/>
      <c r="L51" s="22"/>
      <c r="M51" s="24"/>
      <c r="N51" s="24"/>
    </row>
    <row r="52" spans="1:14" s="351" customFormat="1" ht="14.25" customHeight="1">
      <c r="A52" s="173"/>
      <c r="B52" s="356" t="s">
        <v>373</v>
      </c>
      <c r="C52" s="334">
        <f>+'[6]2.SZ.TÁBL. BEVÉTELEK'!$E52</f>
        <v>355</v>
      </c>
      <c r="D52" s="340"/>
      <c r="E52" s="336">
        <f t="shared" si="13"/>
        <v>355</v>
      </c>
      <c r="F52" s="65"/>
      <c r="G52" s="22" t="s">
        <v>383</v>
      </c>
      <c r="H52" s="24"/>
      <c r="I52" s="24" t="s">
        <v>384</v>
      </c>
      <c r="J52" s="24" t="s">
        <v>385</v>
      </c>
      <c r="K52" s="22">
        <v>160709</v>
      </c>
      <c r="L52" s="24"/>
      <c r="M52" s="24"/>
      <c r="N52" s="24"/>
    </row>
    <row r="53" spans="1:14" ht="12.75">
      <c r="A53" s="173"/>
      <c r="B53" s="356" t="s">
        <v>379</v>
      </c>
      <c r="C53" s="334">
        <f>+'[6]2.SZ.TÁBL. BEVÉTELEK'!$E53</f>
        <v>864</v>
      </c>
      <c r="D53" s="340"/>
      <c r="E53" s="336">
        <f t="shared" si="13"/>
        <v>864</v>
      </c>
      <c r="F53" s="65"/>
      <c r="I53" s="24" t="s">
        <v>4</v>
      </c>
      <c r="J53" s="371">
        <v>0.4</v>
      </c>
      <c r="K53" s="95">
        <f>+$K$52*J53*0.02</f>
        <v>1285.6720000000003</v>
      </c>
      <c r="L53" s="24">
        <v>1285</v>
      </c>
    </row>
    <row r="54" spans="1:14" ht="12.95" customHeight="1">
      <c r="A54" s="173"/>
      <c r="B54" s="356" t="s">
        <v>374</v>
      </c>
      <c r="C54" s="334">
        <f>+'[6]2.SZ.TÁBL. BEVÉTELEK'!$E54</f>
        <v>190</v>
      </c>
      <c r="D54" s="340"/>
      <c r="E54" s="336">
        <f t="shared" si="13"/>
        <v>190</v>
      </c>
      <c r="F54" s="65"/>
      <c r="I54" s="24" t="s">
        <v>6</v>
      </c>
      <c r="J54" s="371">
        <v>0.2</v>
      </c>
      <c r="K54" s="95">
        <f>+$K$52*J54*0.02</f>
        <v>642.83600000000013</v>
      </c>
      <c r="L54" s="24">
        <v>643</v>
      </c>
    </row>
    <row r="55" spans="1:14" ht="12.95" customHeight="1">
      <c r="A55" s="173"/>
      <c r="B55" s="356" t="s">
        <v>376</v>
      </c>
      <c r="C55" s="334">
        <f>+'[6]2.SZ.TÁBL. BEVÉTELEK'!$E55</f>
        <v>603</v>
      </c>
      <c r="D55" s="340"/>
      <c r="E55" s="336">
        <f t="shared" si="13"/>
        <v>603</v>
      </c>
      <c r="F55" s="65"/>
      <c r="I55" s="24" t="s">
        <v>10</v>
      </c>
      <c r="J55" s="371">
        <v>0.4</v>
      </c>
      <c r="K55" s="95">
        <f>+$K$52*J55*0.02</f>
        <v>1285.6720000000003</v>
      </c>
      <c r="L55" s="24">
        <v>1285</v>
      </c>
    </row>
    <row r="56" spans="1:14" ht="12.95" customHeight="1">
      <c r="A56" s="173"/>
      <c r="B56" s="356" t="s">
        <v>377</v>
      </c>
      <c r="C56" s="334">
        <f>+'[6]2.SZ.TÁBL. BEVÉTELEK'!$E56</f>
        <v>1648</v>
      </c>
      <c r="D56" s="340"/>
      <c r="E56" s="336">
        <f t="shared" si="13"/>
        <v>1648</v>
      </c>
      <c r="F56" s="65"/>
      <c r="J56" s="371">
        <f>SUM(J53:J55)</f>
        <v>1</v>
      </c>
      <c r="K56" s="95">
        <f>SUM(K53:K55)</f>
        <v>3214.1800000000003</v>
      </c>
      <c r="L56" s="24">
        <f>SUM(L53:L55)</f>
        <v>3213</v>
      </c>
    </row>
    <row r="57" spans="1:14" ht="12.95" customHeight="1">
      <c r="A57" s="173"/>
      <c r="B57" s="357" t="s">
        <v>357</v>
      </c>
      <c r="C57" s="334">
        <f>+'[6]2.SZ.TÁBL. BEVÉTELEK'!$E57</f>
        <v>451</v>
      </c>
      <c r="D57" s="340"/>
      <c r="E57" s="336">
        <f t="shared" si="13"/>
        <v>451</v>
      </c>
      <c r="F57" s="65"/>
      <c r="K57" s="22"/>
    </row>
    <row r="58" spans="1:14" ht="12.95" customHeight="1">
      <c r="A58" s="173"/>
      <c r="B58" s="357"/>
      <c r="C58" s="339"/>
      <c r="D58" s="340"/>
      <c r="E58" s="558"/>
      <c r="F58" s="65"/>
      <c r="I58" s="24" t="s">
        <v>386</v>
      </c>
      <c r="J58" s="24" t="s">
        <v>385</v>
      </c>
      <c r="K58" s="22">
        <v>88973</v>
      </c>
    </row>
    <row r="59" spans="1:14" ht="12.95" customHeight="1">
      <c r="A59" s="173"/>
      <c r="B59" s="354" t="s">
        <v>417</v>
      </c>
      <c r="C59" s="334">
        <f>+C60</f>
        <v>2169</v>
      </c>
      <c r="D59" s="334">
        <f t="shared" ref="D59:E59" si="14">+D60</f>
        <v>0</v>
      </c>
      <c r="E59" s="590">
        <f t="shared" si="14"/>
        <v>2169</v>
      </c>
      <c r="F59" s="65"/>
      <c r="I59" s="24" t="s">
        <v>387</v>
      </c>
      <c r="J59" s="366">
        <v>2755</v>
      </c>
      <c r="K59" s="368">
        <f>+J59/$J$65</f>
        <v>0.21085259452012858</v>
      </c>
      <c r="L59" s="95">
        <f t="shared" ref="L59:L64" si="15">+$K$58*K59*0.02</f>
        <v>375.20375784478796</v>
      </c>
      <c r="M59" s="367">
        <v>375</v>
      </c>
    </row>
    <row r="60" spans="1:14" ht="12.95" customHeight="1">
      <c r="A60" s="173"/>
      <c r="B60" s="357" t="s">
        <v>8</v>
      </c>
      <c r="C60" s="334">
        <f>+'[4]2.SZ.TÁBL. BEVÉTELEK'!$E$60</f>
        <v>2169</v>
      </c>
      <c r="D60" s="340"/>
      <c r="E60" s="336">
        <f t="shared" ref="E60" si="16">+C60+D60</f>
        <v>2169</v>
      </c>
      <c r="F60" s="65"/>
      <c r="I60" s="372" t="s">
        <v>379</v>
      </c>
      <c r="J60" s="366">
        <v>1248</v>
      </c>
      <c r="K60" s="368">
        <f t="shared" ref="K60:K64" si="17">+J60/$J$65</f>
        <v>9.5515077299862236E-2</v>
      </c>
      <c r="L60" s="95">
        <f t="shared" si="15"/>
        <v>169.96525945201287</v>
      </c>
      <c r="M60" s="373">
        <v>170</v>
      </c>
    </row>
    <row r="61" spans="1:14" ht="12.95" customHeight="1">
      <c r="A61" s="173"/>
      <c r="B61" s="357"/>
      <c r="C61" s="339"/>
      <c r="D61" s="340"/>
      <c r="E61" s="558"/>
      <c r="F61" s="65"/>
      <c r="I61" s="372" t="s">
        <v>388</v>
      </c>
      <c r="J61" s="366">
        <v>1077</v>
      </c>
      <c r="K61" s="368">
        <f t="shared" si="17"/>
        <v>8.2427674881371496E-2</v>
      </c>
      <c r="L61" s="95">
        <f t="shared" si="15"/>
        <v>146.67675034440532</v>
      </c>
      <c r="M61" s="367">
        <v>146</v>
      </c>
    </row>
    <row r="62" spans="1:14" ht="12.95" customHeight="1">
      <c r="A62" s="173"/>
      <c r="B62" s="354" t="s">
        <v>399</v>
      </c>
      <c r="C62" s="334">
        <f>+SUM(C63:C66)</f>
        <v>217361</v>
      </c>
      <c r="D62" s="334">
        <f>+SUM(D63:D66)</f>
        <v>968</v>
      </c>
      <c r="E62" s="590">
        <f>+SUM(E63:E66)</f>
        <v>218329</v>
      </c>
      <c r="F62" s="65"/>
      <c r="I62" s="372" t="s">
        <v>389</v>
      </c>
      <c r="J62" s="366">
        <v>3400</v>
      </c>
      <c r="K62" s="368">
        <f t="shared" si="17"/>
        <v>0.26021735802847085</v>
      </c>
      <c r="L62" s="95">
        <f t="shared" si="15"/>
        <v>463.04637991734273</v>
      </c>
      <c r="M62" s="367">
        <v>463</v>
      </c>
    </row>
    <row r="63" spans="1:14" ht="12.95" customHeight="1">
      <c r="A63" s="173"/>
      <c r="B63" s="357" t="s">
        <v>394</v>
      </c>
      <c r="C63" s="334">
        <f>+'[4]2.SZ.TÁBL. BEVÉTELEK'!$E63</f>
        <v>148946</v>
      </c>
      <c r="D63" s="335"/>
      <c r="E63" s="336">
        <f t="shared" ref="E63:E66" si="18">+C63+D63</f>
        <v>148946</v>
      </c>
      <c r="F63" s="65"/>
      <c r="I63" s="372" t="s">
        <v>390</v>
      </c>
      <c r="J63" s="366">
        <v>2047</v>
      </c>
      <c r="K63" s="368">
        <f t="shared" si="17"/>
        <v>0.15666615643655288</v>
      </c>
      <c r="L63" s="95">
        <f t="shared" si="15"/>
        <v>278.78115873258838</v>
      </c>
      <c r="M63" s="367">
        <v>279</v>
      </c>
    </row>
    <row r="64" spans="1:14" ht="12.95" customHeight="1">
      <c r="A64" s="173"/>
      <c r="B64" s="357" t="s">
        <v>395</v>
      </c>
      <c r="C64" s="334">
        <f>+'[4]2.SZ.TÁBL. BEVÉTELEK'!$E64</f>
        <v>61396</v>
      </c>
      <c r="D64" s="335"/>
      <c r="E64" s="336">
        <f t="shared" si="18"/>
        <v>61396</v>
      </c>
      <c r="F64" s="65"/>
      <c r="I64" s="372" t="s">
        <v>357</v>
      </c>
      <c r="J64" s="327">
        <v>2539</v>
      </c>
      <c r="K64" s="368">
        <f t="shared" si="17"/>
        <v>0.19432113883361396</v>
      </c>
      <c r="L64" s="95">
        <f t="shared" si="15"/>
        <v>345.78669370886274</v>
      </c>
      <c r="M64" s="367">
        <v>346</v>
      </c>
    </row>
    <row r="65" spans="1:13" ht="12.95" customHeight="1">
      <c r="A65" s="173"/>
      <c r="B65" s="357" t="s">
        <v>446</v>
      </c>
      <c r="C65" s="334">
        <f>+'[4]2.SZ.TÁBL. BEVÉTELEK'!$E65</f>
        <v>3215</v>
      </c>
      <c r="D65" s="335">
        <f>+[5]Társulás!$Z$4</f>
        <v>980</v>
      </c>
      <c r="E65" s="336">
        <f t="shared" si="18"/>
        <v>4195</v>
      </c>
      <c r="F65" s="65"/>
      <c r="I65" s="374"/>
      <c r="J65" s="327">
        <f>SUM(J59:J64)</f>
        <v>13066</v>
      </c>
      <c r="K65" s="371">
        <f>SUM(K59:K64)</f>
        <v>1</v>
      </c>
      <c r="L65" s="95">
        <f>SUM(L59:L64)</f>
        <v>1779.46</v>
      </c>
      <c r="M65" s="367">
        <f>SUM(M59:M64)</f>
        <v>1779</v>
      </c>
    </row>
    <row r="66" spans="1:13" ht="12.95" customHeight="1">
      <c r="A66" s="173"/>
      <c r="B66" s="357" t="s">
        <v>447</v>
      </c>
      <c r="C66" s="334">
        <f>+'[4]2.SZ.TÁBL. BEVÉTELEK'!$E66</f>
        <v>3804</v>
      </c>
      <c r="D66" s="335">
        <f>+[5]Társulás!$Z$21</f>
        <v>-12</v>
      </c>
      <c r="E66" s="336">
        <f t="shared" si="18"/>
        <v>3792</v>
      </c>
      <c r="F66" s="65"/>
    </row>
    <row r="67" spans="1:13" ht="12.95" customHeight="1">
      <c r="A67" s="173"/>
      <c r="B67" s="357"/>
      <c r="C67" s="334"/>
      <c r="D67" s="335"/>
      <c r="E67" s="336"/>
      <c r="F67" s="65"/>
      <c r="I67" s="24" t="s">
        <v>391</v>
      </c>
      <c r="J67" s="24" t="s">
        <v>385</v>
      </c>
      <c r="K67" s="24">
        <v>44632</v>
      </c>
    </row>
    <row r="68" spans="1:13" ht="12.95" customHeight="1">
      <c r="A68" s="173"/>
      <c r="B68" s="354" t="s">
        <v>452</v>
      </c>
      <c r="C68" s="334">
        <f>+SUM(C69:C70)</f>
        <v>1118</v>
      </c>
      <c r="D68" s="334">
        <f>+SUM(D69:D70)</f>
        <v>0</v>
      </c>
      <c r="E68" s="590">
        <f>+SUM(E69:E70)</f>
        <v>1118</v>
      </c>
      <c r="F68" s="337"/>
      <c r="I68" s="24" t="s">
        <v>4</v>
      </c>
      <c r="J68" s="366">
        <v>2755</v>
      </c>
      <c r="K68" s="368">
        <f>+J68/$J$75</f>
        <v>0.12705806392104413</v>
      </c>
      <c r="L68" s="95">
        <f t="shared" ref="L68:L74" si="19">+$K$67*K68*0.02</f>
        <v>113.41711017848084</v>
      </c>
      <c r="M68" s="24">
        <v>113</v>
      </c>
    </row>
    <row r="69" spans="1:13" ht="12.95" customHeight="1">
      <c r="A69" s="173"/>
      <c r="B69" s="357" t="s">
        <v>453</v>
      </c>
      <c r="C69" s="334">
        <f>+'[6]2.SZ.TÁBL. BEVÉTELEK'!$E69</f>
        <v>768</v>
      </c>
      <c r="D69" s="335"/>
      <c r="E69" s="336">
        <f t="shared" ref="E69:E70" si="20">+C69+D69</f>
        <v>768</v>
      </c>
      <c r="F69" s="22"/>
      <c r="G69" s="375"/>
      <c r="H69" s="376"/>
      <c r="I69" s="24" t="s">
        <v>5</v>
      </c>
      <c r="J69" s="366">
        <v>8617</v>
      </c>
      <c r="K69" s="368">
        <f t="shared" ref="K69:K74" si="21">+J69/$J$75</f>
        <v>0.39740810773416962</v>
      </c>
      <c r="L69" s="95">
        <f t="shared" si="19"/>
        <v>354.7423732878292</v>
      </c>
      <c r="M69" s="367">
        <v>355</v>
      </c>
    </row>
    <row r="70" spans="1:13" ht="12.95" customHeight="1">
      <c r="A70" s="173"/>
      <c r="B70" s="357" t="s">
        <v>454</v>
      </c>
      <c r="C70" s="334">
        <f>+'[6]2.SZ.TÁBL. BEVÉTELEK'!$E70</f>
        <v>350</v>
      </c>
      <c r="D70" s="335"/>
      <c r="E70" s="336">
        <f t="shared" si="20"/>
        <v>350</v>
      </c>
      <c r="F70" s="22"/>
      <c r="G70" s="377"/>
      <c r="I70" s="24" t="s">
        <v>6</v>
      </c>
      <c r="J70" s="366">
        <v>1248</v>
      </c>
      <c r="K70" s="368">
        <f t="shared" si="21"/>
        <v>5.7556611170041044E-2</v>
      </c>
      <c r="L70" s="95">
        <f t="shared" si="19"/>
        <v>51.377333394825435</v>
      </c>
      <c r="M70" s="367">
        <v>51</v>
      </c>
    </row>
    <row r="71" spans="1:13" ht="12.95" customHeight="1">
      <c r="A71" s="173"/>
      <c r="B71" s="357"/>
      <c r="C71" s="334"/>
      <c r="D71" s="335"/>
      <c r="E71" s="336"/>
      <c r="F71" s="22"/>
      <c r="G71" s="377"/>
      <c r="H71" s="63"/>
      <c r="I71" s="24" t="s">
        <v>7</v>
      </c>
      <c r="J71" s="366">
        <v>1077</v>
      </c>
      <c r="K71" s="368">
        <f t="shared" si="21"/>
        <v>4.9670248581838307E-2</v>
      </c>
      <c r="L71" s="95">
        <f t="shared" si="19"/>
        <v>44.337650694092147</v>
      </c>
      <c r="M71" s="367">
        <v>44</v>
      </c>
    </row>
    <row r="72" spans="1:13" ht="12.95" customHeight="1">
      <c r="A72" s="173"/>
      <c r="B72" s="354" t="s">
        <v>455</v>
      </c>
      <c r="C72" s="334">
        <f>+SUM(C73:C76)</f>
        <v>3123</v>
      </c>
      <c r="D72" s="334">
        <f>+SUM(D73:D76)</f>
        <v>0</v>
      </c>
      <c r="E72" s="590">
        <f>+SUM(E73:E76)</f>
        <v>3123</v>
      </c>
      <c r="F72" s="23"/>
      <c r="G72" s="377"/>
      <c r="H72" s="63"/>
      <c r="I72" s="24" t="s">
        <v>9</v>
      </c>
      <c r="J72" s="366">
        <v>3400</v>
      </c>
      <c r="K72" s="368">
        <f t="shared" si="21"/>
        <v>0.15680487017479131</v>
      </c>
      <c r="L72" s="95">
        <f t="shared" si="19"/>
        <v>139.97029931282572</v>
      </c>
      <c r="M72" s="367">
        <v>140</v>
      </c>
    </row>
    <row r="73" spans="1:13" ht="12.95" customHeight="1">
      <c r="A73" s="173"/>
      <c r="B73" s="356" t="s">
        <v>374</v>
      </c>
      <c r="C73" s="334">
        <f>+'[6]2.SZ.TÁBL. BEVÉTELEK'!$E73</f>
        <v>308</v>
      </c>
      <c r="D73" s="335"/>
      <c r="E73" s="336">
        <f t="shared" ref="E73:E76" si="22">+C73+D73</f>
        <v>308</v>
      </c>
      <c r="F73" s="22"/>
      <c r="G73" s="377"/>
      <c r="I73" s="24" t="s">
        <v>10</v>
      </c>
      <c r="J73" s="366">
        <v>2047</v>
      </c>
      <c r="K73" s="368">
        <f t="shared" si="21"/>
        <v>9.4405755661117002E-2</v>
      </c>
      <c r="L73" s="95">
        <f t="shared" si="19"/>
        <v>84.270353733339491</v>
      </c>
      <c r="M73" s="367">
        <v>84</v>
      </c>
    </row>
    <row r="74" spans="1:13" ht="12.95" customHeight="1">
      <c r="A74" s="173"/>
      <c r="B74" s="356" t="s">
        <v>375</v>
      </c>
      <c r="C74" s="334">
        <f>+'[6]2.SZ.TÁBL. BEVÉTELEK'!$E74</f>
        <v>1995</v>
      </c>
      <c r="D74" s="335"/>
      <c r="E74" s="336">
        <f t="shared" si="22"/>
        <v>1995</v>
      </c>
      <c r="F74" s="22"/>
      <c r="G74" s="377"/>
      <c r="I74" s="372" t="s">
        <v>357</v>
      </c>
      <c r="J74" s="327">
        <v>2539</v>
      </c>
      <c r="K74" s="368">
        <f t="shared" si="21"/>
        <v>0.11709634275699857</v>
      </c>
      <c r="L74" s="95">
        <f t="shared" si="19"/>
        <v>104.52487939860721</v>
      </c>
      <c r="M74" s="367">
        <v>105</v>
      </c>
    </row>
    <row r="75" spans="1:13" ht="12.95" customHeight="1">
      <c r="A75" s="173"/>
      <c r="B75" s="356" t="s">
        <v>376</v>
      </c>
      <c r="C75" s="334">
        <f>+'[6]2.SZ.TÁBL. BEVÉTELEK'!$E75</f>
        <v>771</v>
      </c>
      <c r="D75" s="335"/>
      <c r="E75" s="336">
        <f t="shared" si="22"/>
        <v>771</v>
      </c>
      <c r="F75" s="22"/>
      <c r="G75" s="377"/>
      <c r="H75" s="374"/>
      <c r="J75" s="24">
        <f>SUM(J68:J74)</f>
        <v>21683</v>
      </c>
      <c r="K75" s="368">
        <f>SUM(K68:K74)</f>
        <v>0.99999999999999989</v>
      </c>
      <c r="L75" s="95">
        <f>SUM(L68:L74)</f>
        <v>892.64</v>
      </c>
      <c r="M75" s="367">
        <f>SUM(M68:M74)</f>
        <v>892</v>
      </c>
    </row>
    <row r="76" spans="1:13" ht="12.95" customHeight="1">
      <c r="A76" s="173"/>
      <c r="B76" s="356" t="s">
        <v>377</v>
      </c>
      <c r="C76" s="334">
        <f>+'[6]2.SZ.TÁBL. BEVÉTELEK'!$E76</f>
        <v>49</v>
      </c>
      <c r="D76" s="340"/>
      <c r="E76" s="336">
        <f t="shared" si="22"/>
        <v>49</v>
      </c>
      <c r="F76" s="22"/>
      <c r="G76" s="377"/>
    </row>
    <row r="77" spans="1:13" ht="12.95" customHeight="1">
      <c r="A77" s="173"/>
      <c r="B77" s="750"/>
      <c r="C77" s="334"/>
      <c r="D77" s="606"/>
      <c r="E77" s="749"/>
      <c r="F77" s="22"/>
      <c r="G77" s="377"/>
    </row>
    <row r="78" spans="1:13" ht="12.95" customHeight="1">
      <c r="A78" s="173"/>
      <c r="B78" s="354" t="s">
        <v>489</v>
      </c>
      <c r="C78" s="334">
        <f>+SUM(C79:C82)</f>
        <v>2763</v>
      </c>
      <c r="D78" s="334">
        <f>+SUM(D79:D82)</f>
        <v>0</v>
      </c>
      <c r="E78" s="590">
        <f>+SUM(E79:E82)</f>
        <v>2763</v>
      </c>
      <c r="F78" s="414"/>
      <c r="G78" s="377"/>
    </row>
    <row r="79" spans="1:13" ht="12.95" customHeight="1">
      <c r="A79" s="173"/>
      <c r="B79" s="356" t="s">
        <v>491</v>
      </c>
      <c r="C79" s="334">
        <f>+'[4]2.SZ.TÁBL. BEVÉTELEK'!$E79</f>
        <v>123</v>
      </c>
      <c r="D79" s="335"/>
      <c r="E79" s="336">
        <f t="shared" ref="E79:E82" si="23">+C79+D79</f>
        <v>123</v>
      </c>
      <c r="F79" s="65"/>
    </row>
    <row r="80" spans="1:13" ht="12.95" customHeight="1">
      <c r="A80" s="173"/>
      <c r="B80" s="356" t="s">
        <v>490</v>
      </c>
      <c r="C80" s="334">
        <f>+'[4]2.SZ.TÁBL. BEVÉTELEK'!$E80</f>
        <v>734</v>
      </c>
      <c r="D80" s="335"/>
      <c r="E80" s="336">
        <f t="shared" si="23"/>
        <v>734</v>
      </c>
      <c r="F80" s="22"/>
    </row>
    <row r="81" spans="1:6" ht="12.95" customHeight="1">
      <c r="A81" s="173"/>
      <c r="B81" s="356" t="s">
        <v>493</v>
      </c>
      <c r="C81" s="334">
        <f>+'[4]2.SZ.TÁBL. BEVÉTELEK'!$E81</f>
        <v>1498</v>
      </c>
      <c r="D81" s="335"/>
      <c r="E81" s="336">
        <f t="shared" si="23"/>
        <v>1498</v>
      </c>
      <c r="F81" s="22"/>
    </row>
    <row r="82" spans="1:6" ht="12.95" customHeight="1">
      <c r="A82" s="173"/>
      <c r="B82" s="356" t="s">
        <v>492</v>
      </c>
      <c r="C82" s="334">
        <f>+'[4]2.SZ.TÁBL. BEVÉTELEK'!$E82</f>
        <v>408</v>
      </c>
      <c r="D82" s="335"/>
      <c r="E82" s="336">
        <f t="shared" si="23"/>
        <v>408</v>
      </c>
      <c r="F82" s="22"/>
    </row>
    <row r="83" spans="1:6" ht="12.95" customHeight="1">
      <c r="A83" s="173"/>
      <c r="B83" s="357"/>
      <c r="C83" s="339"/>
      <c r="D83" s="606"/>
      <c r="E83" s="607"/>
      <c r="F83" s="23"/>
    </row>
    <row r="84" spans="1:6" ht="12.95" customHeight="1">
      <c r="A84" s="173"/>
      <c r="B84" s="378" t="s">
        <v>396</v>
      </c>
      <c r="C84" s="334">
        <f>+C8+C17+C22+C31+C41+C50+C59+C62+C68+C72+C78</f>
        <v>274904</v>
      </c>
      <c r="D84" s="334">
        <f>+D8+D17+D22+D31+D41+D50+D59+D62+D68+D72+D78</f>
        <v>1987</v>
      </c>
      <c r="E84" s="590">
        <f>+E8+E17+E22+E31+E41+E50+E59+E62+E68+E72+E78</f>
        <v>276891</v>
      </c>
      <c r="F84" s="23"/>
    </row>
    <row r="85" spans="1:6" ht="12.95" customHeight="1">
      <c r="A85" s="615"/>
      <c r="B85" s="616"/>
      <c r="C85" s="617"/>
      <c r="D85" s="618"/>
      <c r="E85" s="619"/>
      <c r="F85" s="22"/>
    </row>
    <row r="86" spans="1:6" ht="12.95" customHeight="1">
      <c r="A86" s="157" t="s">
        <v>192</v>
      </c>
      <c r="B86" s="234" t="s">
        <v>154</v>
      </c>
      <c r="C86" s="342">
        <f>+C3+C6+C84+C5</f>
        <v>303273</v>
      </c>
      <c r="D86" s="342">
        <f>+D3+D6+D84+D5</f>
        <v>1987</v>
      </c>
      <c r="E86" s="591">
        <f>+E3+E6+E84+E5</f>
        <v>305260</v>
      </c>
      <c r="F86" s="23"/>
    </row>
    <row r="87" spans="1:6" ht="12.95" customHeight="1">
      <c r="A87" s="174" t="s">
        <v>193</v>
      </c>
      <c r="B87" s="216" t="s">
        <v>188</v>
      </c>
      <c r="C87" s="331"/>
      <c r="D87" s="341"/>
      <c r="E87" s="559"/>
      <c r="F87" s="22"/>
    </row>
    <row r="88" spans="1:6" ht="12.95" customHeight="1">
      <c r="A88" s="166" t="s">
        <v>194</v>
      </c>
      <c r="B88" s="167" t="s">
        <v>155</v>
      </c>
      <c r="C88" s="332">
        <f>+C89</f>
        <v>0</v>
      </c>
      <c r="D88" s="332">
        <f t="shared" ref="D88:E88" si="24">+D89</f>
        <v>0</v>
      </c>
      <c r="E88" s="589">
        <f t="shared" si="24"/>
        <v>0</v>
      </c>
      <c r="F88" s="415"/>
    </row>
    <row r="89" spans="1:6" ht="12.95" customHeight="1">
      <c r="A89" s="173"/>
      <c r="B89" s="226" t="s">
        <v>153</v>
      </c>
      <c r="C89" s="334"/>
      <c r="D89" s="335"/>
      <c r="E89" s="336"/>
      <c r="F89" s="416"/>
    </row>
    <row r="90" spans="1:6" ht="12.95" customHeight="1">
      <c r="A90" s="157" t="s">
        <v>195</v>
      </c>
      <c r="B90" s="234" t="s">
        <v>156</v>
      </c>
      <c r="C90" s="343">
        <f>+C87+C88</f>
        <v>0</v>
      </c>
      <c r="D90" s="343">
        <f t="shared" ref="D90:E90" si="25">+D87+D88</f>
        <v>0</v>
      </c>
      <c r="E90" s="592">
        <f t="shared" si="25"/>
        <v>0</v>
      </c>
      <c r="F90" s="23"/>
    </row>
    <row r="91" spans="1:6" ht="12.95" customHeight="1">
      <c r="A91" s="174" t="s">
        <v>196</v>
      </c>
      <c r="B91" s="216" t="s">
        <v>157</v>
      </c>
      <c r="C91" s="331"/>
      <c r="D91" s="341"/>
      <c r="E91" s="559"/>
      <c r="F91" s="23"/>
    </row>
    <row r="92" spans="1:6" ht="12.95" customHeight="1">
      <c r="A92" s="166" t="s">
        <v>197</v>
      </c>
      <c r="B92" s="167" t="s">
        <v>158</v>
      </c>
      <c r="C92" s="334">
        <f>+'[4]2.SZ.TÁBL. BEVÉTELEK'!$E92</f>
        <v>1823</v>
      </c>
      <c r="D92" s="37">
        <f>+'1.1.SZ.TÁBL. BEV - KIAD'!P14</f>
        <v>30</v>
      </c>
      <c r="E92" s="336">
        <f t="shared" ref="E92:E98" si="26">+C92+D92</f>
        <v>1853</v>
      </c>
      <c r="F92" s="23"/>
    </row>
    <row r="93" spans="1:6" ht="12.95" customHeight="1">
      <c r="A93" s="166" t="s">
        <v>198</v>
      </c>
      <c r="B93" s="167" t="s">
        <v>159</v>
      </c>
      <c r="C93" s="334">
        <f>+'[4]2.SZ.TÁBL. BEVÉTELEK'!$E93</f>
        <v>10</v>
      </c>
      <c r="D93" s="37">
        <f>+'1.1.SZ.TÁBL. BEV - KIAD'!P15</f>
        <v>0</v>
      </c>
      <c r="E93" s="336">
        <f t="shared" si="26"/>
        <v>10</v>
      </c>
      <c r="F93" s="23"/>
    </row>
    <row r="94" spans="1:6" ht="12.95" customHeight="1">
      <c r="A94" s="166" t="s">
        <v>199</v>
      </c>
      <c r="B94" s="167" t="s">
        <v>160</v>
      </c>
      <c r="C94" s="334">
        <f>+'[4]2.SZ.TÁBL. BEVÉTELEK'!$E94</f>
        <v>0</v>
      </c>
      <c r="D94" s="37">
        <f>+'1.1.SZ.TÁBL. BEV - KIAD'!P16</f>
        <v>0</v>
      </c>
      <c r="E94" s="336">
        <f t="shared" si="26"/>
        <v>0</v>
      </c>
    </row>
    <row r="95" spans="1:6" ht="12.95" customHeight="1">
      <c r="A95" s="166" t="s">
        <v>200</v>
      </c>
      <c r="B95" s="167" t="s">
        <v>161</v>
      </c>
      <c r="C95" s="334">
        <f>+'[4]2.SZ.TÁBL. BEVÉTELEK'!$E95</f>
        <v>8779</v>
      </c>
      <c r="D95" s="37">
        <f>+'1.1.SZ.TÁBL. BEV - KIAD'!P17</f>
        <v>257</v>
      </c>
      <c r="E95" s="336">
        <f t="shared" si="26"/>
        <v>9036</v>
      </c>
    </row>
    <row r="96" spans="1:6" ht="12.95" customHeight="1">
      <c r="A96" s="166" t="s">
        <v>201</v>
      </c>
      <c r="B96" s="167" t="s">
        <v>162</v>
      </c>
      <c r="C96" s="333"/>
      <c r="D96" s="162"/>
      <c r="E96" s="336">
        <f t="shared" si="26"/>
        <v>0</v>
      </c>
    </row>
    <row r="97" spans="1:5" ht="12.95" customHeight="1">
      <c r="A97" s="166" t="s">
        <v>202</v>
      </c>
      <c r="B97" s="167" t="s">
        <v>163</v>
      </c>
      <c r="C97" s="332"/>
      <c r="D97" s="37"/>
      <c r="E97" s="336">
        <f t="shared" si="26"/>
        <v>0</v>
      </c>
    </row>
    <row r="98" spans="1:5" ht="12.95" customHeight="1">
      <c r="A98" s="166" t="s">
        <v>203</v>
      </c>
      <c r="B98" s="167" t="s">
        <v>164</v>
      </c>
      <c r="C98" s="334">
        <f>+'1.1.SZ.TÁBL. BEV - KIAD'!O20</f>
        <v>0</v>
      </c>
      <c r="D98" s="335">
        <f>+'1.1.SZ.TÁBL. BEV - KIAD'!P20</f>
        <v>1</v>
      </c>
      <c r="E98" s="336">
        <f t="shared" si="26"/>
        <v>1</v>
      </c>
    </row>
    <row r="99" spans="1:5" ht="12.95" customHeight="1">
      <c r="A99" s="176" t="s">
        <v>204</v>
      </c>
      <c r="B99" s="236" t="s">
        <v>165</v>
      </c>
      <c r="C99" s="334">
        <f>+'1.1.SZ.TÁBL. BEV - KIAD'!O21</f>
        <v>60</v>
      </c>
      <c r="D99" s="335">
        <f>+'1.1.SZ.TÁBL. BEV - KIAD'!P21</f>
        <v>0</v>
      </c>
      <c r="E99" s="336">
        <f t="shared" ref="E99" si="27">+C99+D99</f>
        <v>60</v>
      </c>
    </row>
    <row r="100" spans="1:5" ht="12.95" customHeight="1">
      <c r="A100" s="157" t="s">
        <v>205</v>
      </c>
      <c r="B100" s="234" t="s">
        <v>166</v>
      </c>
      <c r="C100" s="343">
        <f>SUM(C91:C99)</f>
        <v>10672</v>
      </c>
      <c r="D100" s="343">
        <f>SUM(D91:D99)</f>
        <v>288</v>
      </c>
      <c r="E100" s="592">
        <f>SUM(E91:E99)</f>
        <v>10960</v>
      </c>
    </row>
    <row r="101" spans="1:5" ht="12.95" customHeight="1">
      <c r="A101" s="157" t="s">
        <v>206</v>
      </c>
      <c r="B101" s="234" t="s">
        <v>167</v>
      </c>
      <c r="C101" s="343"/>
      <c r="D101" s="344"/>
      <c r="E101" s="560"/>
    </row>
    <row r="102" spans="1:5" ht="12.95" customHeight="1">
      <c r="A102" s="178" t="s">
        <v>207</v>
      </c>
      <c r="B102" s="237" t="s">
        <v>168</v>
      </c>
      <c r="C102" s="345"/>
      <c r="D102" s="346"/>
      <c r="E102" s="561"/>
    </row>
    <row r="103" spans="1:5" ht="12.95" customHeight="1">
      <c r="A103" s="157" t="s">
        <v>208</v>
      </c>
      <c r="B103" s="234" t="s">
        <v>327</v>
      </c>
      <c r="C103" s="343">
        <f>+C102</f>
        <v>0</v>
      </c>
      <c r="D103" s="343">
        <f t="shared" ref="D103:E103" si="28">+D102</f>
        <v>0</v>
      </c>
      <c r="E103" s="592">
        <f t="shared" si="28"/>
        <v>0</v>
      </c>
    </row>
    <row r="104" spans="1:5" ht="12.95" customHeight="1">
      <c r="A104" s="178" t="s">
        <v>209</v>
      </c>
      <c r="B104" s="237" t="s">
        <v>169</v>
      </c>
      <c r="C104" s="345"/>
      <c r="D104" s="346"/>
      <c r="E104" s="561"/>
    </row>
    <row r="105" spans="1:5" ht="12.95" customHeight="1">
      <c r="A105" s="157" t="s">
        <v>210</v>
      </c>
      <c r="B105" s="234" t="s">
        <v>328</v>
      </c>
      <c r="C105" s="343">
        <f>+C104</f>
        <v>0</v>
      </c>
      <c r="D105" s="343">
        <f t="shared" ref="D105:E105" si="29">+D104</f>
        <v>0</v>
      </c>
      <c r="E105" s="592">
        <f t="shared" si="29"/>
        <v>0</v>
      </c>
    </row>
    <row r="106" spans="1:5" ht="12.95" customHeight="1">
      <c r="A106" s="157" t="s">
        <v>211</v>
      </c>
      <c r="B106" s="234" t="s">
        <v>170</v>
      </c>
      <c r="C106" s="343">
        <f>+C86+C90+C100+C101+C103+C105</f>
        <v>313945</v>
      </c>
      <c r="D106" s="343">
        <f>+D86+D90+D100+D101+D103+D105</f>
        <v>2275</v>
      </c>
      <c r="E106" s="592">
        <f>+E86+E90+E100+E101+E103+E105</f>
        <v>316220</v>
      </c>
    </row>
    <row r="107" spans="1:5" ht="12.95" customHeight="1">
      <c r="A107" s="245" t="s">
        <v>212</v>
      </c>
      <c r="B107" s="234" t="s">
        <v>171</v>
      </c>
      <c r="C107" s="343">
        <f>+'[4]2.SZ.TÁBL. BEVÉTELEK'!$E$107</f>
        <v>10098</v>
      </c>
      <c r="D107" s="343">
        <f>+'1.1.SZ.TÁBL. BEV - KIAD'!M29+'3.SZ.TÁBL. SEGÍTŐ SZOLGÁLAT'!Y28+'4.SZ.TÁBL. ÓVODA'!S29</f>
        <v>0</v>
      </c>
      <c r="E107" s="605">
        <f>+'1.1.SZ.TÁBL. BEV - KIAD'!N29+'3.SZ.TÁBL. SEGÍTŐ SZOLGÁLAT'!Z28+'4.SZ.TÁBL. ÓVODA'!T29</f>
        <v>10098</v>
      </c>
    </row>
    <row r="108" spans="1:5" ht="12.95" customHeight="1">
      <c r="A108" s="245" t="s">
        <v>325</v>
      </c>
      <c r="B108" s="234" t="s">
        <v>326</v>
      </c>
      <c r="C108" s="343"/>
      <c r="D108" s="344"/>
      <c r="E108" s="560"/>
    </row>
    <row r="109" spans="1:5" ht="12.95" customHeight="1" thickBot="1">
      <c r="A109" s="285" t="s">
        <v>213</v>
      </c>
      <c r="B109" s="347" t="s">
        <v>172</v>
      </c>
      <c r="C109" s="348">
        <f>+SUM(C107:C108)</f>
        <v>10098</v>
      </c>
      <c r="D109" s="348">
        <f t="shared" ref="D109:E109" si="30">+SUM(D107:D108)</f>
        <v>0</v>
      </c>
      <c r="E109" s="593">
        <f t="shared" si="30"/>
        <v>10098</v>
      </c>
    </row>
    <row r="110" spans="1:5" ht="12.95" customHeight="1" thickBot="1">
      <c r="A110" s="863" t="s">
        <v>0</v>
      </c>
      <c r="B110" s="864"/>
      <c r="C110" s="349">
        <f>+C106+C109</f>
        <v>324043</v>
      </c>
      <c r="D110" s="349">
        <f t="shared" ref="D110:E110" si="31">+D106+D109</f>
        <v>2275</v>
      </c>
      <c r="E110" s="594">
        <f t="shared" si="31"/>
        <v>326318</v>
      </c>
    </row>
  </sheetData>
  <mergeCells count="6">
    <mergeCell ref="E1:E2"/>
    <mergeCell ref="A1:A2"/>
    <mergeCell ref="B1:B2"/>
    <mergeCell ref="A110:B110"/>
    <mergeCell ref="D1:D2"/>
    <mergeCell ref="C1:C2"/>
  </mergeCells>
  <phoneticPr fontId="25" type="noConversion"/>
  <printOptions horizontalCentered="1"/>
  <pageMargins left="0.15748031496062992" right="0.15748031496062992" top="1.49" bottom="0.51181102362204722" header="0.35433070866141736" footer="0.15748031496062992"/>
  <pageSetup paperSize="8" fitToHeight="2" orientation="portrait" r:id="rId1"/>
  <headerFooter alignWithMargins="0">
    <oddHeader>&amp;L&amp;"Times New Roman,Félkövér"&amp;13Szent László Völgye TKT&amp;C&amp;"Times New Roman,Félkövér"&amp;14
&amp;16 2014. ÉVI III. KÖLTSÉGVETÉS MÓDOSÍTÁS&amp;14
&amp;R2. sz. táblázat
BEVÉTELEK
Adatok: eFt</oddHeader>
    <oddFooter>&amp;L&amp;F&amp;R&amp;P</oddFooter>
  </headerFooter>
  <rowBreaks count="1" manualBreakCount="1">
    <brk id="7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Z161"/>
  <sheetViews>
    <sheetView zoomScaleSheetLayoutView="50" workbookViewId="0">
      <pane xSplit="2" ySplit="2" topLeftCell="C3" activePane="bottomRight" state="frozen"/>
      <selection activeCell="A35" sqref="A35"/>
      <selection pane="topRight" activeCell="A35" sqref="A35"/>
      <selection pane="bottomLeft" activeCell="A35" sqref="A35"/>
      <selection pane="bottomRight" activeCell="B30" sqref="B30"/>
    </sheetView>
  </sheetViews>
  <sheetFormatPr defaultColWidth="8.85546875" defaultRowHeight="15" customHeight="1"/>
  <cols>
    <col min="1" max="1" width="8.85546875" style="9"/>
    <col min="2" max="2" width="56" style="66" customWidth="1"/>
    <col min="3" max="13" width="11.5703125" style="67" customWidth="1"/>
    <col min="14" max="14" width="11.5703125" style="68" customWidth="1"/>
    <col min="15" max="19" width="11.5703125" style="67" customWidth="1"/>
    <col min="20" max="20" width="11.5703125" style="68" customWidth="1"/>
    <col min="21" max="22" width="11.5703125" style="67" customWidth="1"/>
    <col min="23" max="23" width="11.5703125" style="68" customWidth="1"/>
    <col min="24" max="26" width="11.5703125" style="67" customWidth="1"/>
    <col min="27" max="28" width="11.5703125" style="9" bestFit="1" customWidth="1"/>
    <col min="29" max="16384" width="8.85546875" style="9"/>
  </cols>
  <sheetData>
    <row r="1" spans="1:26" s="10" customFormat="1" ht="30" customHeight="1">
      <c r="A1" s="874" t="s">
        <v>189</v>
      </c>
      <c r="B1" s="893" t="s">
        <v>214</v>
      </c>
      <c r="C1" s="883" t="s">
        <v>11</v>
      </c>
      <c r="D1" s="884"/>
      <c r="E1" s="885"/>
      <c r="F1" s="895" t="s">
        <v>12</v>
      </c>
      <c r="G1" s="896"/>
      <c r="H1" s="897"/>
      <c r="I1" s="883" t="s">
        <v>13</v>
      </c>
      <c r="J1" s="884"/>
      <c r="K1" s="885"/>
      <c r="L1" s="883" t="s">
        <v>14</v>
      </c>
      <c r="M1" s="884"/>
      <c r="N1" s="885"/>
      <c r="O1" s="883" t="s">
        <v>15</v>
      </c>
      <c r="P1" s="884"/>
      <c r="Q1" s="885"/>
      <c r="R1" s="888" t="s">
        <v>23</v>
      </c>
      <c r="S1" s="889"/>
      <c r="T1" s="890"/>
      <c r="U1" s="891" t="s">
        <v>81</v>
      </c>
      <c r="V1" s="889"/>
      <c r="W1" s="892"/>
      <c r="X1" s="886" t="s">
        <v>16</v>
      </c>
      <c r="Y1" s="884"/>
      <c r="Z1" s="887"/>
    </row>
    <row r="2" spans="1:26" s="14" customFormat="1" ht="29.25" customHeight="1">
      <c r="A2" s="875"/>
      <c r="B2" s="894"/>
      <c r="C2" s="640" t="s">
        <v>467</v>
      </c>
      <c r="D2" s="225" t="s">
        <v>445</v>
      </c>
      <c r="E2" s="562" t="s">
        <v>504</v>
      </c>
      <c r="F2" s="224" t="s">
        <v>467</v>
      </c>
      <c r="G2" s="225" t="s">
        <v>445</v>
      </c>
      <c r="H2" s="562" t="s">
        <v>504</v>
      </c>
      <c r="I2" s="640" t="s">
        <v>467</v>
      </c>
      <c r="J2" s="225" t="s">
        <v>445</v>
      </c>
      <c r="K2" s="562" t="s">
        <v>504</v>
      </c>
      <c r="L2" s="640" t="s">
        <v>467</v>
      </c>
      <c r="M2" s="225" t="s">
        <v>445</v>
      </c>
      <c r="N2" s="562" t="s">
        <v>504</v>
      </c>
      <c r="O2" s="640" t="s">
        <v>467</v>
      </c>
      <c r="P2" s="225" t="s">
        <v>445</v>
      </c>
      <c r="Q2" s="562" t="s">
        <v>504</v>
      </c>
      <c r="R2" s="640" t="s">
        <v>467</v>
      </c>
      <c r="S2" s="225" t="s">
        <v>445</v>
      </c>
      <c r="T2" s="562" t="s">
        <v>504</v>
      </c>
      <c r="U2" s="224" t="s">
        <v>467</v>
      </c>
      <c r="V2" s="225" t="s">
        <v>445</v>
      </c>
      <c r="W2" s="555" t="s">
        <v>504</v>
      </c>
      <c r="X2" s="163" t="s">
        <v>467</v>
      </c>
      <c r="Y2" s="164" t="s">
        <v>445</v>
      </c>
      <c r="Z2" s="160" t="s">
        <v>504</v>
      </c>
    </row>
    <row r="3" spans="1:26" ht="13.5" customHeight="1">
      <c r="A3" s="174" t="s">
        <v>190</v>
      </c>
      <c r="B3" s="216" t="s">
        <v>150</v>
      </c>
      <c r="C3" s="220"/>
      <c r="D3" s="218"/>
      <c r="E3" s="221"/>
      <c r="F3" s="217"/>
      <c r="G3" s="269"/>
      <c r="H3" s="270"/>
      <c r="I3" s="220"/>
      <c r="J3" s="218"/>
      <c r="K3" s="221"/>
      <c r="L3" s="220"/>
      <c r="M3" s="269"/>
      <c r="N3" s="270"/>
      <c r="O3" s="220"/>
      <c r="P3" s="218"/>
      <c r="Q3" s="221"/>
      <c r="R3" s="220"/>
      <c r="S3" s="218"/>
      <c r="T3" s="221"/>
      <c r="U3" s="217"/>
      <c r="V3" s="218"/>
      <c r="W3" s="219"/>
      <c r="X3" s="271"/>
      <c r="Y3" s="269"/>
      <c r="Z3" s="272"/>
    </row>
    <row r="4" spans="1:26" ht="13.5" customHeight="1">
      <c r="A4" s="166" t="s">
        <v>191</v>
      </c>
      <c r="B4" s="167" t="s">
        <v>151</v>
      </c>
      <c r="C4" s="213"/>
      <c r="D4" s="207"/>
      <c r="E4" s="214"/>
      <c r="F4" s="209"/>
      <c r="G4" s="207"/>
      <c r="H4" s="214"/>
      <c r="I4" s="213"/>
      <c r="J4" s="207"/>
      <c r="K4" s="214"/>
      <c r="L4" s="213"/>
      <c r="M4" s="207"/>
      <c r="N4" s="214"/>
      <c r="O4" s="213"/>
      <c r="P4" s="207"/>
      <c r="Q4" s="214"/>
      <c r="R4" s="213"/>
      <c r="S4" s="207"/>
      <c r="T4" s="214"/>
      <c r="U4" s="209"/>
      <c r="V4" s="207"/>
      <c r="W4" s="212"/>
      <c r="X4" s="215"/>
      <c r="Y4" s="207"/>
      <c r="Z4" s="208"/>
    </row>
    <row r="5" spans="1:26" ht="13.5" customHeight="1">
      <c r="A5" s="168"/>
      <c r="B5" s="422" t="s">
        <v>152</v>
      </c>
      <c r="C5" s="213"/>
      <c r="D5" s="207"/>
      <c r="E5" s="214"/>
      <c r="F5" s="209"/>
      <c r="G5" s="207"/>
      <c r="H5" s="214"/>
      <c r="I5" s="213"/>
      <c r="J5" s="207"/>
      <c r="K5" s="214"/>
      <c r="L5" s="213"/>
      <c r="M5" s="207"/>
      <c r="N5" s="214"/>
      <c r="O5" s="213"/>
      <c r="P5" s="207"/>
      <c r="Q5" s="214"/>
      <c r="R5" s="213"/>
      <c r="S5" s="207"/>
      <c r="T5" s="214"/>
      <c r="U5" s="209"/>
      <c r="V5" s="207"/>
      <c r="W5" s="212"/>
      <c r="X5" s="215"/>
      <c r="Y5" s="207"/>
      <c r="Z5" s="208"/>
    </row>
    <row r="6" spans="1:26" ht="13.5" customHeight="1">
      <c r="A6" s="173"/>
      <c r="B6" s="423" t="s">
        <v>153</v>
      </c>
      <c r="C6" s="230"/>
      <c r="D6" s="228"/>
      <c r="E6" s="231"/>
      <c r="F6" s="227"/>
      <c r="G6" s="228"/>
      <c r="H6" s="231"/>
      <c r="I6" s="230"/>
      <c r="J6" s="228"/>
      <c r="K6" s="231"/>
      <c r="L6" s="230"/>
      <c r="M6" s="228"/>
      <c r="N6" s="231"/>
      <c r="O6" s="230"/>
      <c r="P6" s="228"/>
      <c r="Q6" s="231"/>
      <c r="R6" s="230"/>
      <c r="S6" s="228"/>
      <c r="T6" s="231"/>
      <c r="U6" s="227"/>
      <c r="V6" s="228"/>
      <c r="W6" s="229"/>
      <c r="X6" s="232"/>
      <c r="Y6" s="228"/>
      <c r="Z6" s="233"/>
    </row>
    <row r="7" spans="1:26" s="317" customFormat="1" ht="13.5" customHeight="1">
      <c r="A7" s="157" t="s">
        <v>192</v>
      </c>
      <c r="B7" s="234" t="s">
        <v>154</v>
      </c>
      <c r="C7" s="315">
        <f>SUM(C3:C4)</f>
        <v>0</v>
      </c>
      <c r="D7" s="294">
        <f t="shared" ref="D7:E7" si="0">SUM(D3:D4)</f>
        <v>0</v>
      </c>
      <c r="E7" s="599">
        <f t="shared" si="0"/>
        <v>0</v>
      </c>
      <c r="F7" s="294">
        <f>SUM(F3:F4)</f>
        <v>0</v>
      </c>
      <c r="G7" s="294">
        <f t="shared" ref="G7:H7" si="1">SUM(G3:G4)</f>
        <v>0</v>
      </c>
      <c r="H7" s="599">
        <f t="shared" si="1"/>
        <v>0</v>
      </c>
      <c r="I7" s="315">
        <f>SUM(I3:I4)</f>
        <v>0</v>
      </c>
      <c r="J7" s="294">
        <f t="shared" ref="J7:K7" si="2">SUM(J3:J4)</f>
        <v>0</v>
      </c>
      <c r="K7" s="599">
        <f t="shared" si="2"/>
        <v>0</v>
      </c>
      <c r="L7" s="315">
        <f>SUM(L3:L4)</f>
        <v>0</v>
      </c>
      <c r="M7" s="294">
        <f t="shared" ref="M7:N7" si="3">SUM(M3:M4)</f>
        <v>0</v>
      </c>
      <c r="N7" s="599">
        <f t="shared" si="3"/>
        <v>0</v>
      </c>
      <c r="O7" s="315">
        <f>SUM(O3:O4)</f>
        <v>0</v>
      </c>
      <c r="P7" s="294">
        <f t="shared" ref="P7:Q7" si="4">SUM(P3:P4)</f>
        <v>0</v>
      </c>
      <c r="Q7" s="599">
        <f t="shared" si="4"/>
        <v>0</v>
      </c>
      <c r="R7" s="315">
        <f>SUM(R3:R4)</f>
        <v>0</v>
      </c>
      <c r="S7" s="294">
        <f t="shared" ref="S7:T7" si="5">SUM(S3:S4)</f>
        <v>0</v>
      </c>
      <c r="T7" s="599">
        <f t="shared" si="5"/>
        <v>0</v>
      </c>
      <c r="U7" s="294">
        <f>SUM(U3:U4)</f>
        <v>0</v>
      </c>
      <c r="V7" s="294">
        <f t="shared" ref="V7:W7" si="6">SUM(V3:V4)</f>
        <v>0</v>
      </c>
      <c r="W7" s="294">
        <f t="shared" si="6"/>
        <v>0</v>
      </c>
      <c r="X7" s="288">
        <f>SUM(X3:X4)</f>
        <v>0</v>
      </c>
      <c r="Y7" s="292">
        <f t="shared" ref="Y7:Z7" si="7">SUM(Y3:Y4)</f>
        <v>0</v>
      </c>
      <c r="Z7" s="293">
        <f t="shared" si="7"/>
        <v>0</v>
      </c>
    </row>
    <row r="8" spans="1:26" ht="13.5" customHeight="1">
      <c r="A8" s="174" t="s">
        <v>193</v>
      </c>
      <c r="B8" s="216" t="s">
        <v>188</v>
      </c>
      <c r="C8" s="220"/>
      <c r="D8" s="218"/>
      <c r="E8" s="221"/>
      <c r="F8" s="217"/>
      <c r="G8" s="218"/>
      <c r="H8" s="221"/>
      <c r="I8" s="220"/>
      <c r="J8" s="218"/>
      <c r="K8" s="221"/>
      <c r="L8" s="220"/>
      <c r="M8" s="218"/>
      <c r="N8" s="221"/>
      <c r="O8" s="220"/>
      <c r="P8" s="218"/>
      <c r="Q8" s="221"/>
      <c r="R8" s="220"/>
      <c r="S8" s="218"/>
      <c r="T8" s="221"/>
      <c r="U8" s="217"/>
      <c r="V8" s="218"/>
      <c r="W8" s="219"/>
      <c r="X8" s="222"/>
      <c r="Y8" s="218"/>
      <c r="Z8" s="223"/>
    </row>
    <row r="9" spans="1:26" ht="13.5" customHeight="1">
      <c r="A9" s="166" t="s">
        <v>194</v>
      </c>
      <c r="B9" s="167" t="s">
        <v>155</v>
      </c>
      <c r="C9" s="213"/>
      <c r="D9" s="207"/>
      <c r="E9" s="214"/>
      <c r="F9" s="209"/>
      <c r="G9" s="207"/>
      <c r="H9" s="214"/>
      <c r="I9" s="213"/>
      <c r="J9" s="207"/>
      <c r="K9" s="214"/>
      <c r="L9" s="213"/>
      <c r="M9" s="207"/>
      <c r="N9" s="214"/>
      <c r="O9" s="213"/>
      <c r="P9" s="207"/>
      <c r="Q9" s="214"/>
      <c r="R9" s="213"/>
      <c r="S9" s="207"/>
      <c r="T9" s="214"/>
      <c r="U9" s="209"/>
      <c r="V9" s="207"/>
      <c r="W9" s="212"/>
      <c r="X9" s="215"/>
      <c r="Y9" s="207"/>
      <c r="Z9" s="208"/>
    </row>
    <row r="10" spans="1:26" ht="13.5" customHeight="1">
      <c r="A10" s="173"/>
      <c r="B10" s="423" t="s">
        <v>153</v>
      </c>
      <c r="C10" s="230"/>
      <c r="D10" s="228"/>
      <c r="E10" s="231"/>
      <c r="F10" s="227"/>
      <c r="G10" s="228"/>
      <c r="H10" s="231"/>
      <c r="I10" s="230"/>
      <c r="J10" s="228"/>
      <c r="K10" s="231"/>
      <c r="L10" s="230"/>
      <c r="M10" s="228"/>
      <c r="N10" s="231"/>
      <c r="O10" s="230"/>
      <c r="P10" s="228"/>
      <c r="Q10" s="231"/>
      <c r="R10" s="230"/>
      <c r="S10" s="228"/>
      <c r="T10" s="231"/>
      <c r="U10" s="227"/>
      <c r="V10" s="228"/>
      <c r="W10" s="229"/>
      <c r="X10" s="232"/>
      <c r="Y10" s="228"/>
      <c r="Z10" s="233"/>
    </row>
    <row r="11" spans="1:26" s="317" customFormat="1" ht="13.5" customHeight="1">
      <c r="A11" s="157" t="s">
        <v>195</v>
      </c>
      <c r="B11" s="234" t="s">
        <v>156</v>
      </c>
      <c r="C11" s="315">
        <f>SUM(C8:C9)</f>
        <v>0</v>
      </c>
      <c r="D11" s="294">
        <f t="shared" ref="D11:E11" si="8">SUM(D8:D9)</f>
        <v>0</v>
      </c>
      <c r="E11" s="599">
        <f t="shared" si="8"/>
        <v>0</v>
      </c>
      <c r="F11" s="294">
        <f>SUM(F8:F9)</f>
        <v>0</v>
      </c>
      <c r="G11" s="294">
        <f t="shared" ref="G11:H11" si="9">SUM(G8:G9)</f>
        <v>0</v>
      </c>
      <c r="H11" s="599">
        <f t="shared" si="9"/>
        <v>0</v>
      </c>
      <c r="I11" s="315">
        <f>SUM(I8:I9)</f>
        <v>0</v>
      </c>
      <c r="J11" s="294">
        <f t="shared" ref="J11:K11" si="10">SUM(J8:J9)</f>
        <v>0</v>
      </c>
      <c r="K11" s="599">
        <f t="shared" si="10"/>
        <v>0</v>
      </c>
      <c r="L11" s="315">
        <f>SUM(L8:L9)</f>
        <v>0</v>
      </c>
      <c r="M11" s="294">
        <f t="shared" ref="M11:N11" si="11">SUM(M8:M9)</f>
        <v>0</v>
      </c>
      <c r="N11" s="599">
        <f t="shared" si="11"/>
        <v>0</v>
      </c>
      <c r="O11" s="315">
        <f>SUM(O8:O9)</f>
        <v>0</v>
      </c>
      <c r="P11" s="294">
        <f t="shared" ref="P11:Q11" si="12">SUM(P8:P9)</f>
        <v>0</v>
      </c>
      <c r="Q11" s="599">
        <f t="shared" si="12"/>
        <v>0</v>
      </c>
      <c r="R11" s="315">
        <f>SUM(R8:R9)</f>
        <v>0</v>
      </c>
      <c r="S11" s="294">
        <f t="shared" ref="S11:T11" si="13">SUM(S8:S9)</f>
        <v>0</v>
      </c>
      <c r="T11" s="599">
        <f t="shared" si="13"/>
        <v>0</v>
      </c>
      <c r="U11" s="294">
        <f>SUM(U8:U9)</f>
        <v>0</v>
      </c>
      <c r="V11" s="294">
        <f t="shared" ref="V11:W11" si="14">SUM(V8:V9)</f>
        <v>0</v>
      </c>
      <c r="W11" s="294">
        <f t="shared" si="14"/>
        <v>0</v>
      </c>
      <c r="X11" s="288">
        <f>SUM(X8:X9)</f>
        <v>0</v>
      </c>
      <c r="Y11" s="292">
        <f t="shared" ref="Y11:Z11" si="15">SUM(Y8:Y9)</f>
        <v>0</v>
      </c>
      <c r="Z11" s="293">
        <f t="shared" si="15"/>
        <v>0</v>
      </c>
    </row>
    <row r="12" spans="1:26" ht="13.5" customHeight="1">
      <c r="A12" s="174" t="s">
        <v>196</v>
      </c>
      <c r="B12" s="216" t="s">
        <v>157</v>
      </c>
      <c r="C12" s="220"/>
      <c r="D12" s="218"/>
      <c r="E12" s="221"/>
      <c r="F12" s="217"/>
      <c r="G12" s="218"/>
      <c r="H12" s="221"/>
      <c r="I12" s="220"/>
      <c r="J12" s="218"/>
      <c r="K12" s="221"/>
      <c r="L12" s="220"/>
      <c r="M12" s="218"/>
      <c r="N12" s="221"/>
      <c r="O12" s="220"/>
      <c r="P12" s="218"/>
      <c r="Q12" s="221"/>
      <c r="R12" s="220"/>
      <c r="S12" s="218"/>
      <c r="T12" s="221"/>
      <c r="U12" s="217"/>
      <c r="V12" s="218"/>
      <c r="W12" s="219"/>
      <c r="X12" s="222">
        <f t="shared" ref="X12:X20" si="16">+C12+F12+I12+L12+O12+R12+U12</f>
        <v>0</v>
      </c>
      <c r="Y12" s="218">
        <f t="shared" ref="Y12:Y20" si="17">+D12+G12+J12+M12+P12+S12+V12</f>
        <v>0</v>
      </c>
      <c r="Z12" s="223">
        <f t="shared" ref="Z12:Z20" si="18">+E12+H12+K12+N12+Q12+T12+W12</f>
        <v>0</v>
      </c>
    </row>
    <row r="13" spans="1:26" ht="13.5" customHeight="1">
      <c r="A13" s="166" t="s">
        <v>197</v>
      </c>
      <c r="B13" s="167" t="s">
        <v>158</v>
      </c>
      <c r="C13" s="213">
        <f>+'[4]3.SZ.TÁBL. SEGÍTŐ SZOLGÁLAT'!$E13</f>
        <v>1260</v>
      </c>
      <c r="D13" s="207"/>
      <c r="E13" s="214">
        <f>+C13+D13</f>
        <v>1260</v>
      </c>
      <c r="F13" s="209">
        <f>+'[4]3.SZ.TÁBL. SEGÍTŐ SZOLGÁLAT'!$H13</f>
        <v>0</v>
      </c>
      <c r="G13" s="207"/>
      <c r="H13" s="214"/>
      <c r="I13" s="213">
        <f>+'[4]3.SZ.TÁBL. SEGÍTŐ SZOLGÁLAT'!$K13</f>
        <v>0</v>
      </c>
      <c r="J13" s="207"/>
      <c r="K13" s="214"/>
      <c r="L13" s="213">
        <f>+'[4]3.SZ.TÁBL. SEGÍTŐ SZOLGÁLAT'!$N13</f>
        <v>0</v>
      </c>
      <c r="M13" s="207"/>
      <c r="N13" s="214"/>
      <c r="O13" s="213">
        <f>+'[4]3.SZ.TÁBL. SEGÍTŐ SZOLGÁLAT'!$Q13</f>
        <v>63</v>
      </c>
      <c r="P13" s="207"/>
      <c r="Q13" s="214">
        <f>+O13+P13</f>
        <v>63</v>
      </c>
      <c r="R13" s="213">
        <f>+'[4]3.SZ.TÁBL. SEGÍTŐ SZOLGÁLAT'!$T13</f>
        <v>500</v>
      </c>
      <c r="S13" s="207">
        <f>+[5]Seg.Szolgálat!$W$67</f>
        <v>30</v>
      </c>
      <c r="T13" s="214">
        <f>+R13+S13</f>
        <v>530</v>
      </c>
      <c r="U13" s="209">
        <f>+'[4]3.SZ.TÁBL. SEGÍTŐ SZOLGÁLAT'!$W13</f>
        <v>0</v>
      </c>
      <c r="V13" s="207"/>
      <c r="W13" s="212"/>
      <c r="X13" s="215">
        <f t="shared" si="16"/>
        <v>1823</v>
      </c>
      <c r="Y13" s="207">
        <f t="shared" si="17"/>
        <v>30</v>
      </c>
      <c r="Z13" s="208">
        <f t="shared" si="18"/>
        <v>1853</v>
      </c>
    </row>
    <row r="14" spans="1:26" ht="13.5" customHeight="1">
      <c r="A14" s="166" t="s">
        <v>198</v>
      </c>
      <c r="B14" s="167" t="s">
        <v>159</v>
      </c>
      <c r="C14" s="213"/>
      <c r="D14" s="207"/>
      <c r="E14" s="214"/>
      <c r="F14" s="209">
        <f>+'[4]3.SZ.TÁBL. SEGÍTŐ SZOLGÁLAT'!$H$14</f>
        <v>9</v>
      </c>
      <c r="G14" s="207"/>
      <c r="H14" s="214">
        <f>+F14+G14</f>
        <v>9</v>
      </c>
      <c r="I14" s="213"/>
      <c r="J14" s="207"/>
      <c r="K14" s="214"/>
      <c r="L14" s="213"/>
      <c r="M14" s="207"/>
      <c r="N14" s="214"/>
      <c r="O14" s="213">
        <f>+'[4]3.SZ.TÁBL. SEGÍTŐ SZOLGÁLAT'!$Q14</f>
        <v>1</v>
      </c>
      <c r="P14" s="207"/>
      <c r="Q14" s="214">
        <f>+O14+P14</f>
        <v>1</v>
      </c>
      <c r="R14" s="213"/>
      <c r="S14" s="207"/>
      <c r="T14" s="214"/>
      <c r="U14" s="209"/>
      <c r="V14" s="207"/>
      <c r="W14" s="212"/>
      <c r="X14" s="215">
        <f t="shared" si="16"/>
        <v>10</v>
      </c>
      <c r="Y14" s="207">
        <f t="shared" si="17"/>
        <v>0</v>
      </c>
      <c r="Z14" s="208">
        <f t="shared" si="18"/>
        <v>10</v>
      </c>
    </row>
    <row r="15" spans="1:26" ht="13.5" customHeight="1">
      <c r="A15" s="166" t="s">
        <v>199</v>
      </c>
      <c r="B15" s="167" t="s">
        <v>160</v>
      </c>
      <c r="C15" s="213">
        <f>+'[4]3.SZ.TÁBL. SEGÍTŐ SZOLGÁLAT'!$E15</f>
        <v>0</v>
      </c>
      <c r="D15" s="207"/>
      <c r="E15" s="214">
        <f>+C15+D15</f>
        <v>0</v>
      </c>
      <c r="F15" s="209">
        <f>+'[4]3.SZ.TÁBL. SEGÍTŐ SZOLGÁLAT'!$H15</f>
        <v>0</v>
      </c>
      <c r="G15" s="207"/>
      <c r="H15" s="214">
        <f>+F15+G15</f>
        <v>0</v>
      </c>
      <c r="I15" s="213">
        <f>+'[4]3.SZ.TÁBL. SEGÍTŐ SZOLGÁLAT'!$K15</f>
        <v>0</v>
      </c>
      <c r="J15" s="207"/>
      <c r="K15" s="214">
        <f>+I15+J15</f>
        <v>0</v>
      </c>
      <c r="L15" s="213">
        <f>+'[4]3.SZ.TÁBL. SEGÍTŐ SZOLGÁLAT'!$N15</f>
        <v>0</v>
      </c>
      <c r="M15" s="207"/>
      <c r="N15" s="214">
        <f>+L15+M15</f>
        <v>0</v>
      </c>
      <c r="O15" s="213">
        <f>+'[4]3.SZ.TÁBL. SEGÍTŐ SZOLGÁLAT'!$Q15</f>
        <v>0</v>
      </c>
      <c r="P15" s="207"/>
      <c r="Q15" s="214">
        <f>+O15+P15</f>
        <v>0</v>
      </c>
      <c r="R15" s="213">
        <f>+'[4]3.SZ.TÁBL. SEGÍTŐ SZOLGÁLAT'!$T15</f>
        <v>0</v>
      </c>
      <c r="S15" s="207"/>
      <c r="T15" s="214">
        <f>+R15+S15</f>
        <v>0</v>
      </c>
      <c r="U15" s="209">
        <f>+'[4]3.SZ.TÁBL. SEGÍTŐ SZOLGÁLAT'!$W15</f>
        <v>0</v>
      </c>
      <c r="V15" s="207"/>
      <c r="W15" s="212">
        <f>+U15+V15</f>
        <v>0</v>
      </c>
      <c r="X15" s="215">
        <f t="shared" si="16"/>
        <v>0</v>
      </c>
      <c r="Y15" s="207">
        <f t="shared" si="17"/>
        <v>0</v>
      </c>
      <c r="Z15" s="208">
        <f t="shared" si="18"/>
        <v>0</v>
      </c>
    </row>
    <row r="16" spans="1:26" ht="13.5" customHeight="1">
      <c r="A16" s="166" t="s">
        <v>200</v>
      </c>
      <c r="B16" s="167" t="s">
        <v>161</v>
      </c>
      <c r="C16" s="213">
        <f>+'[4]3.SZ.TÁBL. SEGÍTŐ SZOLGÁLAT'!$E16</f>
        <v>1000</v>
      </c>
      <c r="D16" s="207"/>
      <c r="E16" s="214">
        <f>+C16+D16</f>
        <v>1000</v>
      </c>
      <c r="F16" s="209">
        <f>+'[4]3.SZ.TÁBL. SEGÍTŐ SZOLGÁLAT'!$H16</f>
        <v>0</v>
      </c>
      <c r="G16" s="207"/>
      <c r="H16" s="214">
        <f>+F16+G16</f>
        <v>0</v>
      </c>
      <c r="I16" s="213">
        <f>+'[4]3.SZ.TÁBL. SEGÍTŐ SZOLGÁLAT'!$K16</f>
        <v>1135</v>
      </c>
      <c r="J16" s="207">
        <f>+[5]Seg.Szolgálat!$W$50</f>
        <v>107</v>
      </c>
      <c r="K16" s="214">
        <f>+I16+J16</f>
        <v>1242</v>
      </c>
      <c r="L16" s="213">
        <f>+'[4]3.SZ.TÁBL. SEGÍTŐ SZOLGÁLAT'!$N16</f>
        <v>0</v>
      </c>
      <c r="M16" s="207"/>
      <c r="N16" s="214">
        <f>+L16+M16</f>
        <v>0</v>
      </c>
      <c r="O16" s="213">
        <f>+'[4]3.SZ.TÁBL. SEGÍTŐ SZOLGÁLAT'!$Q16</f>
        <v>1200</v>
      </c>
      <c r="P16" s="207">
        <f>+[5]Seg.Szolgálat!$W$11</f>
        <v>150</v>
      </c>
      <c r="Q16" s="214">
        <f>+O16+P16</f>
        <v>1350</v>
      </c>
      <c r="R16" s="213">
        <f>+'[4]3.SZ.TÁBL. SEGÍTŐ SZOLGÁLAT'!$T16</f>
        <v>0</v>
      </c>
      <c r="S16" s="207"/>
      <c r="T16" s="214">
        <f>+R16+S16</f>
        <v>0</v>
      </c>
      <c r="U16" s="209">
        <f>+'[4]3.SZ.TÁBL. SEGÍTŐ SZOLGÁLAT'!$W16</f>
        <v>2051</v>
      </c>
      <c r="V16" s="207"/>
      <c r="W16" s="212">
        <f>+U16+V16</f>
        <v>2051</v>
      </c>
      <c r="X16" s="215">
        <f t="shared" si="16"/>
        <v>5386</v>
      </c>
      <c r="Y16" s="207">
        <f t="shared" si="17"/>
        <v>257</v>
      </c>
      <c r="Z16" s="208">
        <f t="shared" si="18"/>
        <v>5643</v>
      </c>
    </row>
    <row r="17" spans="1:26" ht="13.5" customHeight="1">
      <c r="A17" s="166" t="s">
        <v>201</v>
      </c>
      <c r="B17" s="167" t="s">
        <v>162</v>
      </c>
      <c r="C17" s="213"/>
      <c r="D17" s="207"/>
      <c r="E17" s="214"/>
      <c r="F17" s="209"/>
      <c r="G17" s="207"/>
      <c r="H17" s="214"/>
      <c r="I17" s="213"/>
      <c r="J17" s="207"/>
      <c r="K17" s="214"/>
      <c r="L17" s="213"/>
      <c r="M17" s="207"/>
      <c r="N17" s="214">
        <f t="shared" ref="N17:N19" si="19">+L17+M17</f>
        <v>0</v>
      </c>
      <c r="O17" s="213"/>
      <c r="P17" s="207"/>
      <c r="Q17" s="214"/>
      <c r="R17" s="213"/>
      <c r="S17" s="207"/>
      <c r="T17" s="214"/>
      <c r="U17" s="209"/>
      <c r="V17" s="207"/>
      <c r="W17" s="212"/>
      <c r="X17" s="215">
        <f t="shared" si="16"/>
        <v>0</v>
      </c>
      <c r="Y17" s="207">
        <f t="shared" si="17"/>
        <v>0</v>
      </c>
      <c r="Z17" s="208">
        <f t="shared" si="18"/>
        <v>0</v>
      </c>
    </row>
    <row r="18" spans="1:26" ht="13.5" customHeight="1">
      <c r="A18" s="166" t="s">
        <v>202</v>
      </c>
      <c r="B18" s="167" t="s">
        <v>163</v>
      </c>
      <c r="C18" s="213"/>
      <c r="D18" s="207"/>
      <c r="E18" s="214"/>
      <c r="F18" s="209"/>
      <c r="G18" s="207"/>
      <c r="H18" s="214"/>
      <c r="I18" s="213"/>
      <c r="J18" s="207"/>
      <c r="K18" s="214"/>
      <c r="L18" s="213"/>
      <c r="M18" s="207"/>
      <c r="N18" s="214">
        <f t="shared" si="19"/>
        <v>0</v>
      </c>
      <c r="O18" s="213"/>
      <c r="P18" s="207"/>
      <c r="Q18" s="214"/>
      <c r="R18" s="213"/>
      <c r="S18" s="207"/>
      <c r="T18" s="214"/>
      <c r="U18" s="209"/>
      <c r="V18" s="207"/>
      <c r="W18" s="212"/>
      <c r="X18" s="215">
        <f t="shared" si="16"/>
        <v>0</v>
      </c>
      <c r="Y18" s="207">
        <f t="shared" si="17"/>
        <v>0</v>
      </c>
      <c r="Z18" s="208">
        <f t="shared" si="18"/>
        <v>0</v>
      </c>
    </row>
    <row r="19" spans="1:26" ht="13.5" customHeight="1">
      <c r="A19" s="166" t="s">
        <v>203</v>
      </c>
      <c r="B19" s="167" t="s">
        <v>164</v>
      </c>
      <c r="C19" s="213"/>
      <c r="D19" s="207"/>
      <c r="E19" s="214"/>
      <c r="F19" s="209"/>
      <c r="G19" s="207"/>
      <c r="H19" s="214"/>
      <c r="I19" s="213"/>
      <c r="J19" s="207"/>
      <c r="K19" s="214"/>
      <c r="L19" s="213"/>
      <c r="M19" s="207">
        <f>+[5]Seg.Szolgálat!$Y$66</f>
        <v>1</v>
      </c>
      <c r="N19" s="214">
        <f t="shared" si="19"/>
        <v>1</v>
      </c>
      <c r="O19" s="213"/>
      <c r="P19" s="207"/>
      <c r="Q19" s="214"/>
      <c r="R19" s="213"/>
      <c r="S19" s="207"/>
      <c r="T19" s="214"/>
      <c r="U19" s="209"/>
      <c r="V19" s="207"/>
      <c r="W19" s="212"/>
      <c r="X19" s="215">
        <f t="shared" si="16"/>
        <v>0</v>
      </c>
      <c r="Y19" s="207">
        <f t="shared" si="17"/>
        <v>1</v>
      </c>
      <c r="Z19" s="208">
        <f t="shared" si="18"/>
        <v>1</v>
      </c>
    </row>
    <row r="20" spans="1:26" ht="13.5" customHeight="1">
      <c r="A20" s="176" t="s">
        <v>204</v>
      </c>
      <c r="B20" s="236" t="s">
        <v>165</v>
      </c>
      <c r="C20" s="230"/>
      <c r="D20" s="228"/>
      <c r="E20" s="231"/>
      <c r="F20" s="227"/>
      <c r="G20" s="228"/>
      <c r="H20" s="231"/>
      <c r="I20" s="230"/>
      <c r="J20" s="228"/>
      <c r="K20" s="231"/>
      <c r="L20" s="230">
        <f>+'[4]3.SZ.TÁBL. SEGÍTŐ SZOLGÁLAT'!$N$20</f>
        <v>60</v>
      </c>
      <c r="M20" s="228"/>
      <c r="N20" s="231">
        <f>+L20+M20</f>
        <v>60</v>
      </c>
      <c r="O20" s="230"/>
      <c r="P20" s="228"/>
      <c r="Q20" s="231"/>
      <c r="R20" s="230"/>
      <c r="S20" s="228"/>
      <c r="T20" s="231"/>
      <c r="U20" s="227"/>
      <c r="V20" s="228"/>
      <c r="W20" s="229"/>
      <c r="X20" s="232">
        <f t="shared" si="16"/>
        <v>60</v>
      </c>
      <c r="Y20" s="228">
        <f t="shared" si="17"/>
        <v>0</v>
      </c>
      <c r="Z20" s="233">
        <f t="shared" si="18"/>
        <v>60</v>
      </c>
    </row>
    <row r="21" spans="1:26" s="317" customFormat="1" ht="13.5" customHeight="1">
      <c r="A21" s="157" t="s">
        <v>205</v>
      </c>
      <c r="B21" s="234" t="s">
        <v>166</v>
      </c>
      <c r="C21" s="315">
        <f>SUM(C12:C20)</f>
        <v>2260</v>
      </c>
      <c r="D21" s="294">
        <f t="shared" ref="D21:E21" si="20">SUM(D12:D20)</f>
        <v>0</v>
      </c>
      <c r="E21" s="599">
        <f t="shared" si="20"/>
        <v>2260</v>
      </c>
      <c r="F21" s="294">
        <f>SUM(F12:F20)</f>
        <v>9</v>
      </c>
      <c r="G21" s="294">
        <f t="shared" ref="G21" si="21">SUM(G12:G20)</f>
        <v>0</v>
      </c>
      <c r="H21" s="599">
        <f t="shared" ref="H21" si="22">SUM(H12:H20)</f>
        <v>9</v>
      </c>
      <c r="I21" s="315">
        <f>SUM(I12:I20)</f>
        <v>1135</v>
      </c>
      <c r="J21" s="294">
        <f t="shared" ref="J21" si="23">SUM(J12:J20)</f>
        <v>107</v>
      </c>
      <c r="K21" s="599">
        <f t="shared" ref="K21" si="24">SUM(K12:K20)</f>
        <v>1242</v>
      </c>
      <c r="L21" s="315">
        <f>SUM(L12:L20)</f>
        <v>60</v>
      </c>
      <c r="M21" s="294">
        <f t="shared" ref="M21" si="25">SUM(M12:M20)</f>
        <v>1</v>
      </c>
      <c r="N21" s="599">
        <f t="shared" ref="N21" si="26">SUM(N12:N20)</f>
        <v>61</v>
      </c>
      <c r="O21" s="315">
        <f>SUM(O12:O20)</f>
        <v>1264</v>
      </c>
      <c r="P21" s="294">
        <f t="shared" ref="P21" si="27">SUM(P12:P20)</f>
        <v>150</v>
      </c>
      <c r="Q21" s="599">
        <f t="shared" ref="Q21" si="28">SUM(Q12:Q20)</f>
        <v>1414</v>
      </c>
      <c r="R21" s="315">
        <f>SUM(R12:R20)</f>
        <v>500</v>
      </c>
      <c r="S21" s="294">
        <f t="shared" ref="S21" si="29">SUM(S12:S20)</f>
        <v>30</v>
      </c>
      <c r="T21" s="599">
        <f t="shared" ref="T21" si="30">SUM(T12:T20)</f>
        <v>530</v>
      </c>
      <c r="U21" s="294">
        <f>SUM(U12:U20)</f>
        <v>2051</v>
      </c>
      <c r="V21" s="294">
        <f t="shared" ref="V21" si="31">SUM(V12:V20)</f>
        <v>0</v>
      </c>
      <c r="W21" s="294">
        <f t="shared" ref="W21" si="32">SUM(W12:W20)</f>
        <v>2051</v>
      </c>
      <c r="X21" s="288">
        <f>SUM(X12:X20)</f>
        <v>7279</v>
      </c>
      <c r="Y21" s="292">
        <f t="shared" ref="Y21:Z21" si="33">SUM(Y12:Y20)</f>
        <v>288</v>
      </c>
      <c r="Z21" s="293">
        <f t="shared" si="33"/>
        <v>7567</v>
      </c>
    </row>
    <row r="22" spans="1:26" s="317" customFormat="1" ht="13.5" customHeight="1">
      <c r="A22" s="157" t="s">
        <v>206</v>
      </c>
      <c r="B22" s="234" t="s">
        <v>167</v>
      </c>
      <c r="C22" s="315"/>
      <c r="D22" s="292"/>
      <c r="E22" s="316"/>
      <c r="F22" s="294"/>
      <c r="G22" s="292"/>
      <c r="H22" s="316"/>
      <c r="I22" s="315"/>
      <c r="J22" s="292"/>
      <c r="K22" s="316"/>
      <c r="L22" s="315"/>
      <c r="M22" s="292"/>
      <c r="N22" s="316"/>
      <c r="O22" s="315"/>
      <c r="P22" s="292"/>
      <c r="Q22" s="316"/>
      <c r="R22" s="315"/>
      <c r="S22" s="292"/>
      <c r="T22" s="316"/>
      <c r="U22" s="294"/>
      <c r="V22" s="292"/>
      <c r="W22" s="295"/>
      <c r="X22" s="288"/>
      <c r="Y22" s="292"/>
      <c r="Z22" s="293"/>
    </row>
    <row r="23" spans="1:26" ht="13.5" customHeight="1">
      <c r="A23" s="178" t="s">
        <v>207</v>
      </c>
      <c r="B23" s="237" t="s">
        <v>168</v>
      </c>
      <c r="C23" s="241"/>
      <c r="D23" s="239"/>
      <c r="E23" s="242"/>
      <c r="F23" s="238"/>
      <c r="G23" s="239"/>
      <c r="H23" s="242"/>
      <c r="I23" s="241"/>
      <c r="J23" s="239"/>
      <c r="K23" s="242"/>
      <c r="L23" s="241"/>
      <c r="M23" s="239"/>
      <c r="N23" s="242"/>
      <c r="O23" s="241"/>
      <c r="P23" s="239"/>
      <c r="Q23" s="242"/>
      <c r="R23" s="241"/>
      <c r="S23" s="239"/>
      <c r="T23" s="242"/>
      <c r="U23" s="238"/>
      <c r="V23" s="239"/>
      <c r="W23" s="240"/>
      <c r="X23" s="243"/>
      <c r="Y23" s="239"/>
      <c r="Z23" s="244"/>
    </row>
    <row r="24" spans="1:26" s="317" customFormat="1" ht="13.5" customHeight="1">
      <c r="A24" s="157" t="s">
        <v>208</v>
      </c>
      <c r="B24" s="234" t="s">
        <v>327</v>
      </c>
      <c r="C24" s="315">
        <f>+C23</f>
        <v>0</v>
      </c>
      <c r="D24" s="294">
        <f t="shared" ref="D24:E24" si="34">+D23</f>
        <v>0</v>
      </c>
      <c r="E24" s="599">
        <f t="shared" si="34"/>
        <v>0</v>
      </c>
      <c r="F24" s="294">
        <f>+F23</f>
        <v>0</v>
      </c>
      <c r="G24" s="294">
        <f t="shared" ref="G24" si="35">+G23</f>
        <v>0</v>
      </c>
      <c r="H24" s="599">
        <f t="shared" ref="H24" si="36">+H23</f>
        <v>0</v>
      </c>
      <c r="I24" s="315">
        <f>+I23</f>
        <v>0</v>
      </c>
      <c r="J24" s="294">
        <f t="shared" ref="J24" si="37">+J23</f>
        <v>0</v>
      </c>
      <c r="K24" s="599">
        <f t="shared" ref="K24" si="38">+K23</f>
        <v>0</v>
      </c>
      <c r="L24" s="315">
        <f>+L23</f>
        <v>0</v>
      </c>
      <c r="M24" s="294">
        <f t="shared" ref="M24" si="39">+M23</f>
        <v>0</v>
      </c>
      <c r="N24" s="599">
        <f t="shared" ref="N24" si="40">+N23</f>
        <v>0</v>
      </c>
      <c r="O24" s="315">
        <f>+O23</f>
        <v>0</v>
      </c>
      <c r="P24" s="294">
        <f t="shared" ref="P24" si="41">+P23</f>
        <v>0</v>
      </c>
      <c r="Q24" s="599">
        <f t="shared" ref="Q24" si="42">+Q23</f>
        <v>0</v>
      </c>
      <c r="R24" s="315">
        <f>+R23</f>
        <v>0</v>
      </c>
      <c r="S24" s="294">
        <f t="shared" ref="S24" si="43">+S23</f>
        <v>0</v>
      </c>
      <c r="T24" s="599">
        <f t="shared" ref="T24" si="44">+T23</f>
        <v>0</v>
      </c>
      <c r="U24" s="294">
        <f>+U23</f>
        <v>0</v>
      </c>
      <c r="V24" s="294">
        <f t="shared" ref="V24" si="45">+V23</f>
        <v>0</v>
      </c>
      <c r="W24" s="294">
        <f t="shared" ref="W24" si="46">+W23</f>
        <v>0</v>
      </c>
      <c r="X24" s="288">
        <f>+X23</f>
        <v>0</v>
      </c>
      <c r="Y24" s="292">
        <f t="shared" ref="Y24:Z24" si="47">+Y23</f>
        <v>0</v>
      </c>
      <c r="Z24" s="293">
        <f t="shared" si="47"/>
        <v>0</v>
      </c>
    </row>
    <row r="25" spans="1:26" ht="13.5" customHeight="1">
      <c r="A25" s="178" t="s">
        <v>209</v>
      </c>
      <c r="B25" s="237" t="s">
        <v>169</v>
      </c>
      <c r="C25" s="241"/>
      <c r="D25" s="239"/>
      <c r="E25" s="242"/>
      <c r="F25" s="238"/>
      <c r="G25" s="239"/>
      <c r="H25" s="242"/>
      <c r="I25" s="241"/>
      <c r="J25" s="239"/>
      <c r="K25" s="242"/>
      <c r="L25" s="241"/>
      <c r="M25" s="239"/>
      <c r="N25" s="242"/>
      <c r="O25" s="241"/>
      <c r="P25" s="239"/>
      <c r="Q25" s="242"/>
      <c r="R25" s="241"/>
      <c r="S25" s="239"/>
      <c r="T25" s="242"/>
      <c r="U25" s="238"/>
      <c r="V25" s="239"/>
      <c r="W25" s="240"/>
      <c r="X25" s="243"/>
      <c r="Y25" s="239"/>
      <c r="Z25" s="244"/>
    </row>
    <row r="26" spans="1:26" s="317" customFormat="1" ht="13.5" customHeight="1">
      <c r="A26" s="157" t="s">
        <v>210</v>
      </c>
      <c r="B26" s="234" t="s">
        <v>328</v>
      </c>
      <c r="C26" s="315">
        <f t="shared" ref="C26:X26" si="48">+C25</f>
        <v>0</v>
      </c>
      <c r="D26" s="294">
        <f t="shared" si="48"/>
        <v>0</v>
      </c>
      <c r="E26" s="599">
        <f t="shared" si="48"/>
        <v>0</v>
      </c>
      <c r="F26" s="294">
        <f t="shared" ref="F26" si="49">+F25</f>
        <v>0</v>
      </c>
      <c r="G26" s="294">
        <f t="shared" si="48"/>
        <v>0</v>
      </c>
      <c r="H26" s="599">
        <f t="shared" si="48"/>
        <v>0</v>
      </c>
      <c r="I26" s="315">
        <f t="shared" si="48"/>
        <v>0</v>
      </c>
      <c r="J26" s="294">
        <f t="shared" si="48"/>
        <v>0</v>
      </c>
      <c r="K26" s="599">
        <f t="shared" si="48"/>
        <v>0</v>
      </c>
      <c r="L26" s="315">
        <f t="shared" ref="L26" si="50">+L25</f>
        <v>0</v>
      </c>
      <c r="M26" s="294">
        <f t="shared" si="48"/>
        <v>0</v>
      </c>
      <c r="N26" s="599">
        <f t="shared" si="48"/>
        <v>0</v>
      </c>
      <c r="O26" s="315">
        <f t="shared" si="48"/>
        <v>0</v>
      </c>
      <c r="P26" s="294">
        <f t="shared" si="48"/>
        <v>0</v>
      </c>
      <c r="Q26" s="599">
        <f t="shared" si="48"/>
        <v>0</v>
      </c>
      <c r="R26" s="315">
        <f t="shared" ref="R26" si="51">+R25</f>
        <v>0</v>
      </c>
      <c r="S26" s="294">
        <f t="shared" si="48"/>
        <v>0</v>
      </c>
      <c r="T26" s="599">
        <f t="shared" si="48"/>
        <v>0</v>
      </c>
      <c r="U26" s="294">
        <f t="shared" si="48"/>
        <v>0</v>
      </c>
      <c r="V26" s="294">
        <f t="shared" si="48"/>
        <v>0</v>
      </c>
      <c r="W26" s="294">
        <f t="shared" si="48"/>
        <v>0</v>
      </c>
      <c r="X26" s="288">
        <f t="shared" si="48"/>
        <v>0</v>
      </c>
      <c r="Y26" s="292">
        <f t="shared" ref="Y26:Z26" si="52">+Y25</f>
        <v>0</v>
      </c>
      <c r="Z26" s="293">
        <f t="shared" si="52"/>
        <v>0</v>
      </c>
    </row>
    <row r="27" spans="1:26" s="317" customFormat="1" ht="13.5" customHeight="1">
      <c r="A27" s="157" t="s">
        <v>211</v>
      </c>
      <c r="B27" s="234" t="s">
        <v>170</v>
      </c>
      <c r="C27" s="315">
        <f>+C7+C11+C21+C22+C24+C26</f>
        <v>2260</v>
      </c>
      <c r="D27" s="294">
        <f t="shared" ref="D27:E27" si="53">+D7+D11+D21+D22+D24+D26</f>
        <v>0</v>
      </c>
      <c r="E27" s="599">
        <f t="shared" si="53"/>
        <v>2260</v>
      </c>
      <c r="F27" s="294">
        <f>+F7+F11+F21+F22+F24+F26</f>
        <v>9</v>
      </c>
      <c r="G27" s="294">
        <f t="shared" ref="G27" si="54">+G7+G11+G21+G22+G24+G26</f>
        <v>0</v>
      </c>
      <c r="H27" s="599">
        <f t="shared" ref="H27" si="55">+H7+H11+H21+H22+H24+H26</f>
        <v>9</v>
      </c>
      <c r="I27" s="315">
        <f>+I7+I11+I21+I22+I24+I26</f>
        <v>1135</v>
      </c>
      <c r="J27" s="294">
        <f t="shared" ref="J27" si="56">+J7+J11+J21+J22+J24+J26</f>
        <v>107</v>
      </c>
      <c r="K27" s="599">
        <f t="shared" ref="K27" si="57">+K7+K11+K21+K22+K24+K26</f>
        <v>1242</v>
      </c>
      <c r="L27" s="315">
        <f>+L7+L11+L21+L22+L24+L26</f>
        <v>60</v>
      </c>
      <c r="M27" s="294">
        <f t="shared" ref="M27" si="58">+M7+M11+M21+M22+M24+M26</f>
        <v>1</v>
      </c>
      <c r="N27" s="599">
        <f t="shared" ref="N27" si="59">+N7+N11+N21+N22+N24+N26</f>
        <v>61</v>
      </c>
      <c r="O27" s="315">
        <f>+O7+O11+O21+O22+O24+O26</f>
        <v>1264</v>
      </c>
      <c r="P27" s="294">
        <f t="shared" ref="P27" si="60">+P7+P11+P21+P22+P24+P26</f>
        <v>150</v>
      </c>
      <c r="Q27" s="599">
        <f t="shared" ref="Q27" si="61">+Q7+Q11+Q21+Q22+Q24+Q26</f>
        <v>1414</v>
      </c>
      <c r="R27" s="315">
        <f>+R7+R11+R21+R22+R24+R26</f>
        <v>500</v>
      </c>
      <c r="S27" s="294">
        <f t="shared" ref="S27" si="62">+S7+S11+S21+S22+S24+S26</f>
        <v>30</v>
      </c>
      <c r="T27" s="599">
        <f t="shared" ref="T27" si="63">+T7+T11+T21+T22+T24+T26</f>
        <v>530</v>
      </c>
      <c r="U27" s="294">
        <f>+U7+U11+U21+U22+U24+U26</f>
        <v>2051</v>
      </c>
      <c r="V27" s="294">
        <f t="shared" ref="V27" si="64">+V7+V11+V21+V22+V24+V26</f>
        <v>0</v>
      </c>
      <c r="W27" s="294">
        <f t="shared" ref="W27" si="65">+W7+W11+W21+W22+W24+W26</f>
        <v>2051</v>
      </c>
      <c r="X27" s="288">
        <f>+X7+X11+X21+X22+X24+X26</f>
        <v>7279</v>
      </c>
      <c r="Y27" s="292">
        <f t="shared" ref="Y27:Z27" si="66">+Y7+Y11+Y21+Y22+Y24+Y26</f>
        <v>288</v>
      </c>
      <c r="Z27" s="293">
        <f t="shared" si="66"/>
        <v>7567</v>
      </c>
    </row>
    <row r="28" spans="1:26" s="317" customFormat="1" ht="13.5" customHeight="1">
      <c r="A28" s="245" t="s">
        <v>212</v>
      </c>
      <c r="B28" s="234" t="s">
        <v>171</v>
      </c>
      <c r="C28" s="315"/>
      <c r="D28" s="292"/>
      <c r="E28" s="316"/>
      <c r="F28" s="294"/>
      <c r="G28" s="292"/>
      <c r="H28" s="316"/>
      <c r="I28" s="315"/>
      <c r="J28" s="292"/>
      <c r="K28" s="316"/>
      <c r="L28" s="315">
        <f>+'[4]3.SZ.TÁBL. SEGÍTŐ SZOLGÁLAT'!$N$28</f>
        <v>350</v>
      </c>
      <c r="M28" s="292"/>
      <c r="N28" s="316">
        <f>+L28+M28</f>
        <v>350</v>
      </c>
      <c r="O28" s="315"/>
      <c r="P28" s="292"/>
      <c r="Q28" s="316"/>
      <c r="R28" s="315"/>
      <c r="S28" s="292"/>
      <c r="T28" s="316"/>
      <c r="U28" s="294"/>
      <c r="V28" s="292"/>
      <c r="W28" s="295"/>
      <c r="X28" s="271">
        <f>+C28+F28+I28+L28+O28+R28+U28</f>
        <v>350</v>
      </c>
      <c r="Y28" s="269">
        <f t="shared" ref="Y28" si="67">+D28+G28+J28+M28+P28+S28+V28</f>
        <v>0</v>
      </c>
      <c r="Z28" s="272">
        <f t="shared" ref="Z28" si="68">+E28+H28+K28+N28+Q28+T28+W28</f>
        <v>350</v>
      </c>
    </row>
    <row r="29" spans="1:26" s="317" customFormat="1" ht="13.5" customHeight="1">
      <c r="A29" s="245" t="s">
        <v>325</v>
      </c>
      <c r="B29" s="234" t="s">
        <v>326</v>
      </c>
      <c r="C29" s="315">
        <f>+SUM(C30:C31)</f>
        <v>4337</v>
      </c>
      <c r="D29" s="294">
        <f t="shared" ref="D29:E29" si="69">+SUM(D30:D31)</f>
        <v>0</v>
      </c>
      <c r="E29" s="599">
        <f t="shared" si="69"/>
        <v>4337</v>
      </c>
      <c r="F29" s="294">
        <f>+SUM(F30:F31)</f>
        <v>17512</v>
      </c>
      <c r="G29" s="294">
        <f t="shared" ref="G29" si="70">+SUM(G30:G31)</f>
        <v>96</v>
      </c>
      <c r="H29" s="599">
        <f t="shared" ref="H29" si="71">+SUM(H30:H31)</f>
        <v>17608</v>
      </c>
      <c r="I29" s="315">
        <f>+SUM(I30:I31)</f>
        <v>31084</v>
      </c>
      <c r="J29" s="294">
        <f t="shared" ref="J29" si="72">+SUM(J30:J31)</f>
        <v>225</v>
      </c>
      <c r="K29" s="599">
        <f t="shared" ref="K29" si="73">+SUM(K30:K31)</f>
        <v>31309</v>
      </c>
      <c r="L29" s="315">
        <f>+SUM(L30:L31)</f>
        <v>14817</v>
      </c>
      <c r="M29" s="294">
        <f t="shared" ref="M29" si="74">+SUM(M30:M31)</f>
        <v>156</v>
      </c>
      <c r="N29" s="599">
        <f t="shared" ref="N29" si="75">+SUM(N30:N31)</f>
        <v>14973</v>
      </c>
      <c r="O29" s="315">
        <f>+SUM(O30:O31)</f>
        <v>11738</v>
      </c>
      <c r="P29" s="294">
        <f t="shared" ref="P29" si="76">+SUM(P30:P31)</f>
        <v>90</v>
      </c>
      <c r="Q29" s="599">
        <f t="shared" ref="Q29" si="77">+SUM(Q30:Q31)</f>
        <v>11828</v>
      </c>
      <c r="R29" s="315">
        <f>+SUM(R30:R31)</f>
        <v>4778</v>
      </c>
      <c r="S29" s="294">
        <f t="shared" ref="S29" si="78">+SUM(S30:S31)</f>
        <v>38</v>
      </c>
      <c r="T29" s="599">
        <f t="shared" ref="T29" si="79">+SUM(T30:T31)</f>
        <v>4816</v>
      </c>
      <c r="U29" s="294">
        <f>+SUM(U30:U31)</f>
        <v>1608</v>
      </c>
      <c r="V29" s="294">
        <f t="shared" ref="V29" si="80">+SUM(V30:V31)</f>
        <v>59</v>
      </c>
      <c r="W29" s="294">
        <f t="shared" ref="W29" si="81">+SUM(W30:W31)</f>
        <v>1667</v>
      </c>
      <c r="X29" s="288">
        <f>+SUM(X30:X31)</f>
        <v>85874</v>
      </c>
      <c r="Y29" s="292">
        <f t="shared" ref="Y29" si="82">+SUM(Y30:Y31)</f>
        <v>664</v>
      </c>
      <c r="Z29" s="293">
        <f>+SUM(Z30:Z31)</f>
        <v>86538</v>
      </c>
    </row>
    <row r="30" spans="1:26" ht="13.5" customHeight="1">
      <c r="A30" s="274"/>
      <c r="B30" s="424" t="s">
        <v>355</v>
      </c>
      <c r="C30" s="213">
        <f>+'[4]3.SZ.TÁBL. SEGÍTŐ SZOLGÁLAT'!$E30</f>
        <v>1821</v>
      </c>
      <c r="D30" s="269"/>
      <c r="E30" s="214">
        <f t="shared" ref="E30:E38" si="83">+C30+D30</f>
        <v>1821</v>
      </c>
      <c r="F30" s="209">
        <f>+'[4]3.SZ.TÁBL. SEGÍTŐ SZOLGÁLAT'!$H30</f>
        <v>12985</v>
      </c>
      <c r="G30" s="269">
        <f>+[5]Seg.Szolgálat!$V$6+[5]Seg.Szolgálat!$V$71</f>
        <v>96</v>
      </c>
      <c r="H30" s="214">
        <f t="shared" ref="H30:H38" si="84">+F30+G30</f>
        <v>13081</v>
      </c>
      <c r="I30" s="213">
        <f>+'[4]3.SZ.TÁBL. SEGÍTŐ SZOLGÁLAT'!$K30</f>
        <v>24795</v>
      </c>
      <c r="J30" s="269">
        <f>+[5]Seg.Szolgálat!$V$7+[5]Seg.Szolgálat!$V$72</f>
        <v>225</v>
      </c>
      <c r="K30" s="214">
        <f t="shared" ref="K30:K38" si="85">+I30+J30</f>
        <v>25020</v>
      </c>
      <c r="L30" s="213">
        <f>+'[4]3.SZ.TÁBL. SEGÍTŐ SZOLGÁLAT'!$N30</f>
        <v>13917</v>
      </c>
      <c r="M30" s="269">
        <f>+[5]Seg.Szolgálat!$V$8</f>
        <v>156</v>
      </c>
      <c r="N30" s="214">
        <f t="shared" ref="N30:N38" si="86">+L30+M30</f>
        <v>14073</v>
      </c>
      <c r="O30" s="213">
        <f>+'[4]3.SZ.TÁBL. SEGÍTŐ SZOLGÁLAT'!$Q30</f>
        <v>9401</v>
      </c>
      <c r="P30" s="269">
        <f>+[5]Seg.Szolgálat!$V$9</f>
        <v>90</v>
      </c>
      <c r="Q30" s="214">
        <f t="shared" ref="Q30:Q38" si="87">+O30+P30</f>
        <v>9491</v>
      </c>
      <c r="R30" s="213">
        <f>+'[4]3.SZ.TÁBL. SEGÍTŐ SZOLGÁLAT'!$T30</f>
        <v>2769</v>
      </c>
      <c r="S30" s="269">
        <f>+[5]Seg.Szolgálat!$V$10</f>
        <v>38</v>
      </c>
      <c r="T30" s="214">
        <f t="shared" ref="T30:T38" si="88">+R30+S30</f>
        <v>2807</v>
      </c>
      <c r="U30" s="209">
        <f>+'[4]3.SZ.TÁBL. SEGÍTŐ SZOLGÁLAT'!$W30</f>
        <v>1608</v>
      </c>
      <c r="V30" s="269">
        <f>+[5]Seg.Szolgálat!$V$5</f>
        <v>59</v>
      </c>
      <c r="W30" s="212">
        <f t="shared" ref="W30:W38" si="89">+U30+V30</f>
        <v>1667</v>
      </c>
      <c r="X30" s="271">
        <f>+C30+F30+I30+L30+O30+R30+U30</f>
        <v>67296</v>
      </c>
      <c r="Y30" s="269">
        <f t="shared" ref="Y30:Z30" si="90">+D30+G30+J30+M30+P30+S30+V30</f>
        <v>664</v>
      </c>
      <c r="Z30" s="272">
        <f t="shared" si="90"/>
        <v>67960</v>
      </c>
    </row>
    <row r="31" spans="1:26" ht="13.5" customHeight="1">
      <c r="A31" s="275"/>
      <c r="B31" s="167" t="s">
        <v>356</v>
      </c>
      <c r="C31" s="213">
        <f>+SUM(C32:C38)</f>
        <v>2516</v>
      </c>
      <c r="D31" s="207"/>
      <c r="E31" s="214">
        <f t="shared" si="83"/>
        <v>2516</v>
      </c>
      <c r="F31" s="209">
        <f>+SUM(F32:F38)</f>
        <v>4527</v>
      </c>
      <c r="G31" s="207"/>
      <c r="H31" s="214">
        <f t="shared" si="84"/>
        <v>4527</v>
      </c>
      <c r="I31" s="213">
        <f>+SUM(I32:I38)</f>
        <v>6289</v>
      </c>
      <c r="J31" s="207"/>
      <c r="K31" s="214">
        <f t="shared" si="85"/>
        <v>6289</v>
      </c>
      <c r="L31" s="213">
        <f>+SUM(L32:L38)</f>
        <v>900</v>
      </c>
      <c r="M31" s="207"/>
      <c r="N31" s="214">
        <f>+L31+M31</f>
        <v>900</v>
      </c>
      <c r="O31" s="213">
        <f>+SUM(O32:O38)</f>
        <v>2337</v>
      </c>
      <c r="P31" s="207"/>
      <c r="Q31" s="214">
        <f t="shared" si="87"/>
        <v>2337</v>
      </c>
      <c r="R31" s="213">
        <f>+SUM(R32:R38)</f>
        <v>2009</v>
      </c>
      <c r="S31" s="207"/>
      <c r="T31" s="214">
        <f t="shared" si="88"/>
        <v>2009</v>
      </c>
      <c r="U31" s="209">
        <f>+SUM(U32:U38)</f>
        <v>0</v>
      </c>
      <c r="V31" s="207"/>
      <c r="W31" s="212">
        <f t="shared" si="89"/>
        <v>0</v>
      </c>
      <c r="X31" s="215">
        <f>+SUM(X32:X38)</f>
        <v>18578</v>
      </c>
      <c r="Y31" s="207">
        <f t="shared" ref="Y31" si="91">+SUM(Y32:Y38)</f>
        <v>0</v>
      </c>
      <c r="Z31" s="208">
        <f>+SUM(Z32:Z38)</f>
        <v>18578</v>
      </c>
    </row>
    <row r="32" spans="1:26" s="280" customFormat="1" ht="13.5" customHeight="1">
      <c r="A32" s="276"/>
      <c r="B32" s="422" t="s">
        <v>4</v>
      </c>
      <c r="C32" s="213">
        <f>+'[4]3.SZ.TÁBL. SEGÍTŐ SZOLGÁLAT'!$E32</f>
        <v>252</v>
      </c>
      <c r="D32" s="277"/>
      <c r="E32" s="214">
        <f t="shared" si="83"/>
        <v>252</v>
      </c>
      <c r="F32" s="209">
        <f>+'[4]3.SZ.TÁBL. SEGÍTŐ SZOLGÁLAT'!$H32</f>
        <v>666</v>
      </c>
      <c r="G32" s="277"/>
      <c r="H32" s="214">
        <f t="shared" si="84"/>
        <v>666</v>
      </c>
      <c r="I32" s="213">
        <f>+'[4]3.SZ.TÁBL. SEGÍTŐ SZOLGÁLAT'!$K32</f>
        <v>925</v>
      </c>
      <c r="J32" s="277"/>
      <c r="K32" s="214">
        <f t="shared" si="85"/>
        <v>925</v>
      </c>
      <c r="L32" s="213">
        <f>+'[4]3.SZ.TÁBL. SEGÍTŐ SZOLGÁLAT'!$N32</f>
        <v>133</v>
      </c>
      <c r="M32" s="277"/>
      <c r="N32" s="214">
        <f t="shared" si="86"/>
        <v>133</v>
      </c>
      <c r="O32" s="213">
        <f>+'[4]3.SZ.TÁBL. SEGÍTŐ SZOLGÁLAT'!$Q32</f>
        <v>398</v>
      </c>
      <c r="P32" s="277"/>
      <c r="Q32" s="214">
        <f t="shared" si="87"/>
        <v>398</v>
      </c>
      <c r="R32" s="213">
        <f>+'[4]3.SZ.TÁBL. SEGÍTŐ SZOLGÁLAT'!$T32</f>
        <v>2009</v>
      </c>
      <c r="S32" s="277"/>
      <c r="T32" s="214">
        <f t="shared" si="88"/>
        <v>2009</v>
      </c>
      <c r="U32" s="209">
        <f>+'[4]3.SZ.TÁBL. SEGÍTŐ SZOLGÁLAT'!$W32</f>
        <v>0</v>
      </c>
      <c r="V32" s="277"/>
      <c r="W32" s="212">
        <f t="shared" si="89"/>
        <v>0</v>
      </c>
      <c r="X32" s="278">
        <f t="shared" ref="X32:X38" si="92">+C32+F32+I32+L32+O32+R32+U32</f>
        <v>4383</v>
      </c>
      <c r="Y32" s="277">
        <f t="shared" ref="Y32:Y38" si="93">+D32+G32+J32+M32+P32+S32+V32</f>
        <v>0</v>
      </c>
      <c r="Z32" s="279">
        <f t="shared" ref="Z32:Z38" si="94">+E32+H32+K32+N32+Q32+T32+W32</f>
        <v>4383</v>
      </c>
    </row>
    <row r="33" spans="1:26" s="280" customFormat="1" ht="13.5" customHeight="1">
      <c r="A33" s="276"/>
      <c r="B33" s="422" t="s">
        <v>6</v>
      </c>
      <c r="C33" s="213">
        <f>+'[4]3.SZ.TÁBL. SEGÍTŐ SZOLGÁLAT'!$E33</f>
        <v>0</v>
      </c>
      <c r="D33" s="277"/>
      <c r="E33" s="214">
        <f t="shared" si="83"/>
        <v>0</v>
      </c>
      <c r="F33" s="209">
        <f>+'[4]3.SZ.TÁBL. SEGÍTŐ SZOLGÁLAT'!$H33</f>
        <v>301</v>
      </c>
      <c r="G33" s="277"/>
      <c r="H33" s="214">
        <f t="shared" si="84"/>
        <v>301</v>
      </c>
      <c r="I33" s="213">
        <f>+'[4]3.SZ.TÁBL. SEGÍTŐ SZOLGÁLAT'!$K33</f>
        <v>419</v>
      </c>
      <c r="J33" s="277"/>
      <c r="K33" s="214">
        <f t="shared" si="85"/>
        <v>419</v>
      </c>
      <c r="L33" s="213">
        <f>+'[4]3.SZ.TÁBL. SEGÍTŐ SZOLGÁLAT'!$N33</f>
        <v>60</v>
      </c>
      <c r="M33" s="277"/>
      <c r="N33" s="214">
        <f t="shared" si="86"/>
        <v>60</v>
      </c>
      <c r="O33" s="213">
        <f>+'[4]3.SZ.TÁBL. SEGÍTŐ SZOLGÁLAT'!$Q33</f>
        <v>180</v>
      </c>
      <c r="P33" s="277"/>
      <c r="Q33" s="214">
        <f t="shared" si="87"/>
        <v>180</v>
      </c>
      <c r="R33" s="213">
        <f>+'[4]3.SZ.TÁBL. SEGÍTŐ SZOLGÁLAT'!$T33</f>
        <v>0</v>
      </c>
      <c r="S33" s="277"/>
      <c r="T33" s="214">
        <f t="shared" si="88"/>
        <v>0</v>
      </c>
      <c r="U33" s="209">
        <f>+'[4]3.SZ.TÁBL. SEGÍTŐ SZOLGÁLAT'!$W33</f>
        <v>0</v>
      </c>
      <c r="V33" s="277"/>
      <c r="W33" s="212">
        <f t="shared" si="89"/>
        <v>0</v>
      </c>
      <c r="X33" s="278">
        <f t="shared" si="92"/>
        <v>960</v>
      </c>
      <c r="Y33" s="277">
        <f t="shared" si="93"/>
        <v>0</v>
      </c>
      <c r="Z33" s="279">
        <f t="shared" si="94"/>
        <v>960</v>
      </c>
    </row>
    <row r="34" spans="1:26" s="280" customFormat="1" ht="13.5" customHeight="1">
      <c r="A34" s="276"/>
      <c r="B34" s="422" t="s">
        <v>7</v>
      </c>
      <c r="C34" s="213">
        <f>+'[4]3.SZ.TÁBL. SEGÍTŐ SZOLGÁLAT'!$E34</f>
        <v>252</v>
      </c>
      <c r="D34" s="277"/>
      <c r="E34" s="214">
        <f t="shared" si="83"/>
        <v>252</v>
      </c>
      <c r="F34" s="209">
        <f>+'[4]3.SZ.TÁBL. SEGÍTŐ SZOLGÁLAT'!$H34</f>
        <v>258</v>
      </c>
      <c r="G34" s="277"/>
      <c r="H34" s="214">
        <f t="shared" si="84"/>
        <v>258</v>
      </c>
      <c r="I34" s="213">
        <f>+'[4]3.SZ.TÁBL. SEGÍTŐ SZOLGÁLAT'!$K34</f>
        <v>359</v>
      </c>
      <c r="J34" s="277"/>
      <c r="K34" s="214">
        <f t="shared" si="85"/>
        <v>359</v>
      </c>
      <c r="L34" s="213">
        <f>+'[4]3.SZ.TÁBL. SEGÍTŐ SZOLGÁLAT'!$N34</f>
        <v>51</v>
      </c>
      <c r="M34" s="277"/>
      <c r="N34" s="214">
        <f t="shared" si="86"/>
        <v>51</v>
      </c>
      <c r="O34" s="213">
        <f>+'[4]3.SZ.TÁBL. SEGÍTŐ SZOLGÁLAT'!$Q34</f>
        <v>154</v>
      </c>
      <c r="P34" s="277"/>
      <c r="Q34" s="214">
        <f t="shared" si="87"/>
        <v>154</v>
      </c>
      <c r="R34" s="213">
        <f>+'[4]3.SZ.TÁBL. SEGÍTŐ SZOLGÁLAT'!$T34</f>
        <v>0</v>
      </c>
      <c r="S34" s="277"/>
      <c r="T34" s="214">
        <f t="shared" si="88"/>
        <v>0</v>
      </c>
      <c r="U34" s="209">
        <f>+'[4]3.SZ.TÁBL. SEGÍTŐ SZOLGÁLAT'!$W34</f>
        <v>0</v>
      </c>
      <c r="V34" s="277"/>
      <c r="W34" s="212">
        <f t="shared" si="89"/>
        <v>0</v>
      </c>
      <c r="X34" s="278">
        <f t="shared" si="92"/>
        <v>1074</v>
      </c>
      <c r="Y34" s="277">
        <f t="shared" si="93"/>
        <v>0</v>
      </c>
      <c r="Z34" s="279">
        <f t="shared" si="94"/>
        <v>1074</v>
      </c>
    </row>
    <row r="35" spans="1:26" s="280" customFormat="1" ht="13.5" customHeight="1">
      <c r="A35" s="276"/>
      <c r="B35" s="422" t="s">
        <v>8</v>
      </c>
      <c r="C35" s="213">
        <f>+'[4]3.SZ.TÁBL. SEGÍTŐ SZOLGÁLAT'!$E35</f>
        <v>1760</v>
      </c>
      <c r="D35" s="277"/>
      <c r="E35" s="214">
        <f t="shared" si="83"/>
        <v>1760</v>
      </c>
      <c r="F35" s="209">
        <f>+'[4]3.SZ.TÁBL. SEGÍTŐ SZOLGÁLAT'!$H35</f>
        <v>1372</v>
      </c>
      <c r="G35" s="277"/>
      <c r="H35" s="214">
        <f t="shared" si="84"/>
        <v>1372</v>
      </c>
      <c r="I35" s="213">
        <f>+'[4]3.SZ.TÁBL. SEGÍTŐ SZOLGÁLAT'!$K35</f>
        <v>1906</v>
      </c>
      <c r="J35" s="277"/>
      <c r="K35" s="214">
        <f t="shared" si="85"/>
        <v>1906</v>
      </c>
      <c r="L35" s="213">
        <f>+'[4]3.SZ.TÁBL. SEGÍTŐ SZOLGÁLAT'!$N35</f>
        <v>273</v>
      </c>
      <c r="M35" s="277"/>
      <c r="N35" s="214">
        <f t="shared" si="86"/>
        <v>273</v>
      </c>
      <c r="O35" s="213">
        <f>+'[4]3.SZ.TÁBL. SEGÍTŐ SZOLGÁLAT'!$Q35</f>
        <v>819</v>
      </c>
      <c r="P35" s="277"/>
      <c r="Q35" s="214">
        <f t="shared" si="87"/>
        <v>819</v>
      </c>
      <c r="R35" s="213">
        <f>+'[4]3.SZ.TÁBL. SEGÍTŐ SZOLGÁLAT'!$T35</f>
        <v>0</v>
      </c>
      <c r="S35" s="277"/>
      <c r="T35" s="214">
        <f t="shared" si="88"/>
        <v>0</v>
      </c>
      <c r="U35" s="209">
        <f>+'[4]3.SZ.TÁBL. SEGÍTŐ SZOLGÁLAT'!$W35</f>
        <v>0</v>
      </c>
      <c r="V35" s="277"/>
      <c r="W35" s="212">
        <f t="shared" si="89"/>
        <v>0</v>
      </c>
      <c r="X35" s="278">
        <f t="shared" si="92"/>
        <v>6130</v>
      </c>
      <c r="Y35" s="277">
        <f t="shared" si="93"/>
        <v>0</v>
      </c>
      <c r="Z35" s="279">
        <f t="shared" si="94"/>
        <v>6130</v>
      </c>
    </row>
    <row r="36" spans="1:26" s="280" customFormat="1" ht="13.5" customHeight="1">
      <c r="A36" s="276"/>
      <c r="B36" s="422" t="s">
        <v>9</v>
      </c>
      <c r="C36" s="213">
        <f>+'[4]3.SZ.TÁBL. SEGÍTŐ SZOLGÁLAT'!$E36</f>
        <v>252</v>
      </c>
      <c r="D36" s="277"/>
      <c r="E36" s="214">
        <f t="shared" si="83"/>
        <v>252</v>
      </c>
      <c r="F36" s="209">
        <f>+'[4]3.SZ.TÁBL. SEGÍTŐ SZOLGÁLAT'!$H36</f>
        <v>821</v>
      </c>
      <c r="G36" s="277"/>
      <c r="H36" s="214">
        <f t="shared" si="84"/>
        <v>821</v>
      </c>
      <c r="I36" s="213">
        <f>+'[4]3.SZ.TÁBL. SEGÍTŐ SZOLGÁLAT'!$K36</f>
        <v>1141</v>
      </c>
      <c r="J36" s="277"/>
      <c r="K36" s="214">
        <f t="shared" si="85"/>
        <v>1141</v>
      </c>
      <c r="L36" s="213">
        <f>+'[4]3.SZ.TÁBL. SEGÍTŐ SZOLGÁLAT'!$N36</f>
        <v>163</v>
      </c>
      <c r="M36" s="277"/>
      <c r="N36" s="214">
        <f t="shared" si="86"/>
        <v>163</v>
      </c>
      <c r="O36" s="213">
        <f>+'[4]3.SZ.TÁBL. SEGÍTŐ SZOLGÁLAT'!$Q36</f>
        <v>491</v>
      </c>
      <c r="P36" s="277"/>
      <c r="Q36" s="214">
        <f t="shared" si="87"/>
        <v>491</v>
      </c>
      <c r="R36" s="213">
        <f>+'[4]3.SZ.TÁBL. SEGÍTŐ SZOLGÁLAT'!$T36</f>
        <v>0</v>
      </c>
      <c r="S36" s="277"/>
      <c r="T36" s="214">
        <f t="shared" si="88"/>
        <v>0</v>
      </c>
      <c r="U36" s="209">
        <f>+'[4]3.SZ.TÁBL. SEGÍTŐ SZOLGÁLAT'!$W36</f>
        <v>0</v>
      </c>
      <c r="V36" s="277"/>
      <c r="W36" s="212">
        <f t="shared" si="89"/>
        <v>0</v>
      </c>
      <c r="X36" s="278">
        <f t="shared" si="92"/>
        <v>2868</v>
      </c>
      <c r="Y36" s="277">
        <f t="shared" si="93"/>
        <v>0</v>
      </c>
      <c r="Z36" s="279">
        <f t="shared" si="94"/>
        <v>2868</v>
      </c>
    </row>
    <row r="37" spans="1:26" s="280" customFormat="1" ht="13.5" customHeight="1">
      <c r="A37" s="276"/>
      <c r="B37" s="422" t="s">
        <v>10</v>
      </c>
      <c r="C37" s="213">
        <f>+'[4]3.SZ.TÁBL. SEGÍTŐ SZOLGÁLAT'!$E37</f>
        <v>0</v>
      </c>
      <c r="D37" s="277"/>
      <c r="E37" s="214">
        <f t="shared" si="83"/>
        <v>0</v>
      </c>
      <c r="F37" s="209">
        <f>+'[4]3.SZ.TÁBL. SEGÍTŐ SZOLGÁLAT'!$H37</f>
        <v>495</v>
      </c>
      <c r="G37" s="277"/>
      <c r="H37" s="214">
        <f t="shared" si="84"/>
        <v>495</v>
      </c>
      <c r="I37" s="213">
        <f>+'[4]3.SZ.TÁBL. SEGÍTŐ SZOLGÁLAT'!$K37</f>
        <v>687</v>
      </c>
      <c r="J37" s="277"/>
      <c r="K37" s="214">
        <f t="shared" si="85"/>
        <v>687</v>
      </c>
      <c r="L37" s="213">
        <f>+'[4]3.SZ.TÁBL. SEGÍTŐ SZOLGÁLAT'!$N37</f>
        <v>98</v>
      </c>
      <c r="M37" s="277"/>
      <c r="N37" s="214">
        <f t="shared" si="86"/>
        <v>98</v>
      </c>
      <c r="O37" s="213">
        <f>+'[4]3.SZ.TÁBL. SEGÍTŐ SZOLGÁLAT'!$Q37</f>
        <v>295</v>
      </c>
      <c r="P37" s="277"/>
      <c r="Q37" s="214">
        <f t="shared" si="87"/>
        <v>295</v>
      </c>
      <c r="R37" s="213">
        <f>+'[4]3.SZ.TÁBL. SEGÍTŐ SZOLGÁLAT'!$T37</f>
        <v>0</v>
      </c>
      <c r="S37" s="277"/>
      <c r="T37" s="214">
        <f t="shared" si="88"/>
        <v>0</v>
      </c>
      <c r="U37" s="209">
        <f>+'[4]3.SZ.TÁBL. SEGÍTŐ SZOLGÁLAT'!$W37</f>
        <v>0</v>
      </c>
      <c r="V37" s="277"/>
      <c r="W37" s="212">
        <f t="shared" si="89"/>
        <v>0</v>
      </c>
      <c r="X37" s="278">
        <f t="shared" si="92"/>
        <v>1575</v>
      </c>
      <c r="Y37" s="277">
        <f t="shared" si="93"/>
        <v>0</v>
      </c>
      <c r="Z37" s="279">
        <f t="shared" si="94"/>
        <v>1575</v>
      </c>
    </row>
    <row r="38" spans="1:26" s="280" customFormat="1" ht="13.5" customHeight="1">
      <c r="A38" s="281"/>
      <c r="B38" s="423" t="s">
        <v>357</v>
      </c>
      <c r="C38" s="213">
        <f>+'[4]3.SZ.TÁBL. SEGÍTŐ SZOLGÁLAT'!$E38</f>
        <v>0</v>
      </c>
      <c r="D38" s="282"/>
      <c r="E38" s="214">
        <f t="shared" si="83"/>
        <v>0</v>
      </c>
      <c r="F38" s="209">
        <f>+'[4]3.SZ.TÁBL. SEGÍTŐ SZOLGÁLAT'!$H38</f>
        <v>614</v>
      </c>
      <c r="G38" s="282"/>
      <c r="H38" s="214">
        <f t="shared" si="84"/>
        <v>614</v>
      </c>
      <c r="I38" s="213">
        <f>+'[4]3.SZ.TÁBL. SEGÍTŐ SZOLGÁLAT'!$K38</f>
        <v>852</v>
      </c>
      <c r="J38" s="282"/>
      <c r="K38" s="214">
        <f t="shared" si="85"/>
        <v>852</v>
      </c>
      <c r="L38" s="213">
        <f>+'[4]3.SZ.TÁBL. SEGÍTŐ SZOLGÁLAT'!$N38</f>
        <v>122</v>
      </c>
      <c r="M38" s="282"/>
      <c r="N38" s="214">
        <f t="shared" si="86"/>
        <v>122</v>
      </c>
      <c r="O38" s="213">
        <f>+'[4]3.SZ.TÁBL. SEGÍTŐ SZOLGÁLAT'!$Q38</f>
        <v>0</v>
      </c>
      <c r="P38" s="282"/>
      <c r="Q38" s="214">
        <f t="shared" si="87"/>
        <v>0</v>
      </c>
      <c r="R38" s="213">
        <f>+'[4]3.SZ.TÁBL. SEGÍTŐ SZOLGÁLAT'!$T38</f>
        <v>0</v>
      </c>
      <c r="S38" s="282"/>
      <c r="T38" s="214">
        <f t="shared" si="88"/>
        <v>0</v>
      </c>
      <c r="U38" s="209">
        <f>+'[4]3.SZ.TÁBL. SEGÍTŐ SZOLGÁLAT'!$W38</f>
        <v>0</v>
      </c>
      <c r="V38" s="282"/>
      <c r="W38" s="212">
        <f t="shared" si="89"/>
        <v>0</v>
      </c>
      <c r="X38" s="283">
        <f t="shared" si="92"/>
        <v>1588</v>
      </c>
      <c r="Y38" s="282">
        <f t="shared" si="93"/>
        <v>0</v>
      </c>
      <c r="Z38" s="284">
        <f t="shared" si="94"/>
        <v>1588</v>
      </c>
    </row>
    <row r="39" spans="1:26" s="317" customFormat="1" ht="13.5" customHeight="1" thickBot="1">
      <c r="A39" s="246" t="s">
        <v>213</v>
      </c>
      <c r="B39" s="273" t="s">
        <v>172</v>
      </c>
      <c r="C39" s="329">
        <f>SUM(C28:C29)</f>
        <v>4337</v>
      </c>
      <c r="D39" s="329">
        <f t="shared" ref="D39:E39" si="95">SUM(D28:D29)</f>
        <v>0</v>
      </c>
      <c r="E39" s="600">
        <f t="shared" si="95"/>
        <v>4337</v>
      </c>
      <c r="F39" s="850">
        <f>SUM(F28:F29)</f>
        <v>17512</v>
      </c>
      <c r="G39" s="329">
        <f t="shared" ref="G39:H39" si="96">SUM(G28:G29)</f>
        <v>96</v>
      </c>
      <c r="H39" s="600">
        <f t="shared" si="96"/>
        <v>17608</v>
      </c>
      <c r="I39" s="329">
        <f>SUM(I28:I29)</f>
        <v>31084</v>
      </c>
      <c r="J39" s="329">
        <f t="shared" ref="J39:K39" si="97">SUM(J28:J29)</f>
        <v>225</v>
      </c>
      <c r="K39" s="600">
        <f t="shared" si="97"/>
        <v>31309</v>
      </c>
      <c r="L39" s="329">
        <f>SUM(L28:L29)</f>
        <v>15167</v>
      </c>
      <c r="M39" s="329">
        <f t="shared" ref="M39:N39" si="98">SUM(M28:M29)</f>
        <v>156</v>
      </c>
      <c r="N39" s="600">
        <f t="shared" si="98"/>
        <v>15323</v>
      </c>
      <c r="O39" s="329">
        <f>SUM(O28:O29)</f>
        <v>11738</v>
      </c>
      <c r="P39" s="329">
        <f t="shared" ref="P39:Q39" si="99">SUM(P28:P29)</f>
        <v>90</v>
      </c>
      <c r="Q39" s="600">
        <f t="shared" si="99"/>
        <v>11828</v>
      </c>
      <c r="R39" s="329">
        <f>SUM(R28:R29)</f>
        <v>4778</v>
      </c>
      <c r="S39" s="329">
        <f t="shared" ref="S39:T39" si="100">SUM(S28:S29)</f>
        <v>38</v>
      </c>
      <c r="T39" s="600">
        <f t="shared" si="100"/>
        <v>4816</v>
      </c>
      <c r="U39" s="329">
        <f>SUM(U28:U29)</f>
        <v>1608</v>
      </c>
      <c r="V39" s="329">
        <f t="shared" ref="V39:W39" si="101">SUM(V28:V29)</f>
        <v>59</v>
      </c>
      <c r="W39" s="329">
        <f t="shared" si="101"/>
        <v>1667</v>
      </c>
      <c r="X39" s="307">
        <f>SUM(X28:X29)</f>
        <v>86224</v>
      </c>
      <c r="Y39" s="308">
        <f t="shared" ref="Y39" si="102">SUM(Y28:Y29)</f>
        <v>664</v>
      </c>
      <c r="Z39" s="309">
        <f>SUM(Z28:Z29)</f>
        <v>86888</v>
      </c>
    </row>
    <row r="40" spans="1:26" s="317" customFormat="1" ht="13.5" customHeight="1" thickBot="1">
      <c r="A40" s="863" t="s">
        <v>0</v>
      </c>
      <c r="B40" s="864"/>
      <c r="C40" s="320">
        <f>+C27+C39</f>
        <v>6597</v>
      </c>
      <c r="D40" s="303">
        <f t="shared" ref="D40:E40" si="103">+D27+D39</f>
        <v>0</v>
      </c>
      <c r="E40" s="601">
        <f t="shared" si="103"/>
        <v>6597</v>
      </c>
      <c r="F40" s="303">
        <f>+F27+F39</f>
        <v>17521</v>
      </c>
      <c r="G40" s="303">
        <f t="shared" ref="G40" si="104">+G27+G39</f>
        <v>96</v>
      </c>
      <c r="H40" s="601">
        <f t="shared" ref="H40" si="105">+H27+H39</f>
        <v>17617</v>
      </c>
      <c r="I40" s="320">
        <f>+I27+I39</f>
        <v>32219</v>
      </c>
      <c r="J40" s="303">
        <f t="shared" ref="J40" si="106">+J27+J39</f>
        <v>332</v>
      </c>
      <c r="K40" s="601">
        <f t="shared" ref="K40" si="107">+K27+K39</f>
        <v>32551</v>
      </c>
      <c r="L40" s="320">
        <f>+L27+L39</f>
        <v>15227</v>
      </c>
      <c r="M40" s="303">
        <f t="shared" ref="M40" si="108">+M27+M39</f>
        <v>157</v>
      </c>
      <c r="N40" s="601">
        <f t="shared" ref="N40" si="109">+N27+N39</f>
        <v>15384</v>
      </c>
      <c r="O40" s="320">
        <f>+O27+O39</f>
        <v>13002</v>
      </c>
      <c r="P40" s="303">
        <f t="shared" ref="P40" si="110">+P27+P39</f>
        <v>240</v>
      </c>
      <c r="Q40" s="601">
        <f t="shared" ref="Q40" si="111">+Q27+Q39</f>
        <v>13242</v>
      </c>
      <c r="R40" s="320">
        <f>+R27+R39</f>
        <v>5278</v>
      </c>
      <c r="S40" s="303">
        <f t="shared" ref="S40" si="112">+S27+S39</f>
        <v>68</v>
      </c>
      <c r="T40" s="601">
        <f t="shared" ref="T40" si="113">+T27+T39</f>
        <v>5346</v>
      </c>
      <c r="U40" s="303">
        <f>+U27+U39</f>
        <v>3659</v>
      </c>
      <c r="V40" s="303">
        <f t="shared" ref="V40" si="114">+V27+V39</f>
        <v>59</v>
      </c>
      <c r="W40" s="303">
        <f t="shared" ref="W40" si="115">+W27+W39</f>
        <v>3718</v>
      </c>
      <c r="X40" s="300">
        <f>+X27+X39</f>
        <v>93503</v>
      </c>
      <c r="Y40" s="301">
        <f t="shared" ref="Y40:Z40" si="116">+Y27+Y39</f>
        <v>952</v>
      </c>
      <c r="Z40" s="302">
        <f t="shared" si="116"/>
        <v>94455</v>
      </c>
    </row>
    <row r="41" spans="1:26" ht="13.5" customHeight="1">
      <c r="A41" s="199" t="s">
        <v>231</v>
      </c>
      <c r="B41" s="247" t="s">
        <v>232</v>
      </c>
      <c r="C41" s="213">
        <f>+'[4]3.SZ.TÁBL. SEGÍTŐ SZOLGÁLAT'!$E41</f>
        <v>2936</v>
      </c>
      <c r="D41" s="218"/>
      <c r="E41" s="214">
        <f t="shared" ref="E41:E54" si="117">+C41+D41</f>
        <v>2936</v>
      </c>
      <c r="F41" s="209">
        <f>+'[4]3.SZ.TÁBL. SEGÍTŐ SZOLGÁLAT'!$H41</f>
        <v>10455</v>
      </c>
      <c r="G41" s="218">
        <f>+[5]Seg.Szolgálat!$E$6+[5]Seg.Szolgálat!$E$34+[5]Seg.Szolgálat!$E$71</f>
        <v>351</v>
      </c>
      <c r="H41" s="214">
        <f t="shared" ref="H41:H54" si="118">+F41+G41</f>
        <v>10806</v>
      </c>
      <c r="I41" s="213">
        <f>+'[4]3.SZ.TÁBL. SEGÍTŐ SZOLGÁLAT'!$K41</f>
        <v>21768</v>
      </c>
      <c r="J41" s="218">
        <f>+[5]Seg.Szolgálat!$E$7+[5]Seg.Szolgálat!$E$72</f>
        <v>178</v>
      </c>
      <c r="K41" s="214">
        <f t="shared" ref="K41:K54" si="119">+I41+J41</f>
        <v>21946</v>
      </c>
      <c r="L41" s="213">
        <f>+'[4]3.SZ.TÁBL. SEGÍTŐ SZOLGÁLAT'!$N41</f>
        <v>7376</v>
      </c>
      <c r="M41" s="218">
        <f>+[5]Seg.Szolgálat!$E$8+[5]Seg.Szolgálat!$E$57</f>
        <v>197</v>
      </c>
      <c r="N41" s="214">
        <f t="shared" ref="N41:N54" si="120">+L41+M41</f>
        <v>7573</v>
      </c>
      <c r="O41" s="213">
        <f>+'[4]3.SZ.TÁBL. SEGÍTŐ SZOLGÁLAT'!$Q41</f>
        <v>6654</v>
      </c>
      <c r="P41" s="218">
        <f>+[5]Seg.Szolgálat!$E$9+[5]Seg.Szolgálat!$E$12</f>
        <v>194</v>
      </c>
      <c r="Q41" s="214">
        <f t="shared" ref="Q41:Q54" si="121">+O41+P41</f>
        <v>6848</v>
      </c>
      <c r="R41" s="213">
        <f>+'[4]3.SZ.TÁBL. SEGÍTŐ SZOLGÁLAT'!$T41</f>
        <v>1844</v>
      </c>
      <c r="S41" s="218">
        <f>+[5]Seg.Szolgálat!$E$10+[5]Seg.Szolgálat!$E$68</f>
        <v>31</v>
      </c>
      <c r="T41" s="214">
        <f t="shared" ref="T41:T54" si="122">+R41+S41</f>
        <v>1875</v>
      </c>
      <c r="U41" s="209">
        <f>+'[4]3.SZ.TÁBL. SEGÍTŐ SZOLGÁLAT'!$W41</f>
        <v>2307</v>
      </c>
      <c r="V41" s="218">
        <f>+[5]Seg.Szolgálat!$E$5+[5]Seg.Szolgálat!$E$25</f>
        <v>166</v>
      </c>
      <c r="W41" s="212">
        <f t="shared" ref="W41:W54" si="123">+U41+V41</f>
        <v>2473</v>
      </c>
      <c r="X41" s="222">
        <f t="shared" ref="X41:X54" si="124">+C41+F41+I41+L41+O41+R41+U41</f>
        <v>53340</v>
      </c>
      <c r="Y41" s="218">
        <f t="shared" ref="Y41:Y54" si="125">+D41+G41+J41+M41+P41+S41+V41</f>
        <v>1117</v>
      </c>
      <c r="Z41" s="223">
        <f t="shared" ref="Z41:Z54" si="126">+E41+H41+K41+N41+Q41+T41+W41</f>
        <v>54457</v>
      </c>
    </row>
    <row r="42" spans="1:26" ht="13.5" customHeight="1">
      <c r="A42" s="200" t="s">
        <v>233</v>
      </c>
      <c r="B42" s="210" t="s">
        <v>234</v>
      </c>
      <c r="C42" s="213">
        <f>+'[4]3.SZ.TÁBL. SEGÍTŐ SZOLGÁLAT'!$E42</f>
        <v>0</v>
      </c>
      <c r="D42" s="207"/>
      <c r="E42" s="214">
        <f t="shared" si="117"/>
        <v>0</v>
      </c>
      <c r="F42" s="209">
        <f>+'[4]3.SZ.TÁBL. SEGÍTŐ SZOLGÁLAT'!$H42</f>
        <v>0</v>
      </c>
      <c r="G42" s="207"/>
      <c r="H42" s="214">
        <f t="shared" si="118"/>
        <v>0</v>
      </c>
      <c r="I42" s="213">
        <f>+'[4]3.SZ.TÁBL. SEGÍTŐ SZOLGÁLAT'!$K42</f>
        <v>0</v>
      </c>
      <c r="J42" s="207"/>
      <c r="K42" s="214">
        <f t="shared" si="119"/>
        <v>0</v>
      </c>
      <c r="L42" s="213">
        <f>+'[4]3.SZ.TÁBL. SEGÍTŐ SZOLGÁLAT'!$N42</f>
        <v>0</v>
      </c>
      <c r="M42" s="207"/>
      <c r="N42" s="214">
        <f t="shared" si="120"/>
        <v>0</v>
      </c>
      <c r="O42" s="213">
        <f>+'[4]3.SZ.TÁBL. SEGÍTŐ SZOLGÁLAT'!$Q42</f>
        <v>0</v>
      </c>
      <c r="P42" s="207"/>
      <c r="Q42" s="214">
        <f t="shared" si="121"/>
        <v>0</v>
      </c>
      <c r="R42" s="213">
        <f>+'[4]3.SZ.TÁBL. SEGÍTŐ SZOLGÁLAT'!$T42</f>
        <v>0</v>
      </c>
      <c r="S42" s="207"/>
      <c r="T42" s="214">
        <f t="shared" si="122"/>
        <v>0</v>
      </c>
      <c r="U42" s="209">
        <f>+'[4]3.SZ.TÁBL. SEGÍTŐ SZOLGÁLAT'!$W42</f>
        <v>0</v>
      </c>
      <c r="V42" s="207"/>
      <c r="W42" s="212">
        <f t="shared" si="123"/>
        <v>0</v>
      </c>
      <c r="X42" s="215">
        <f t="shared" si="124"/>
        <v>0</v>
      </c>
      <c r="Y42" s="207">
        <f t="shared" si="125"/>
        <v>0</v>
      </c>
      <c r="Z42" s="208">
        <f t="shared" si="126"/>
        <v>0</v>
      </c>
    </row>
    <row r="43" spans="1:26" ht="13.5" customHeight="1">
      <c r="A43" s="200" t="s">
        <v>235</v>
      </c>
      <c r="B43" s="210" t="s">
        <v>236</v>
      </c>
      <c r="C43" s="213">
        <f>+'[4]3.SZ.TÁBL. SEGÍTŐ SZOLGÁLAT'!$E43</f>
        <v>0</v>
      </c>
      <c r="D43" s="207"/>
      <c r="E43" s="214">
        <f t="shared" si="117"/>
        <v>0</v>
      </c>
      <c r="F43" s="209">
        <f>+'[4]3.SZ.TÁBL. SEGÍTŐ SZOLGÁLAT'!$H43</f>
        <v>0</v>
      </c>
      <c r="G43" s="207"/>
      <c r="H43" s="214">
        <f t="shared" si="118"/>
        <v>0</v>
      </c>
      <c r="I43" s="213">
        <f>+'[4]3.SZ.TÁBL. SEGÍTŐ SZOLGÁLAT'!$K43</f>
        <v>0</v>
      </c>
      <c r="J43" s="207"/>
      <c r="K43" s="214">
        <f t="shared" si="119"/>
        <v>0</v>
      </c>
      <c r="L43" s="213">
        <f>+'[4]3.SZ.TÁBL. SEGÍTŐ SZOLGÁLAT'!$N43</f>
        <v>0</v>
      </c>
      <c r="M43" s="207"/>
      <c r="N43" s="214">
        <f t="shared" si="120"/>
        <v>0</v>
      </c>
      <c r="O43" s="213">
        <f>+'[4]3.SZ.TÁBL. SEGÍTŐ SZOLGÁLAT'!$Q43</f>
        <v>0</v>
      </c>
      <c r="P43" s="207"/>
      <c r="Q43" s="214">
        <f t="shared" si="121"/>
        <v>0</v>
      </c>
      <c r="R43" s="213">
        <f>+'[4]3.SZ.TÁBL. SEGÍTŐ SZOLGÁLAT'!$T43</f>
        <v>0</v>
      </c>
      <c r="S43" s="207"/>
      <c r="T43" s="214">
        <f t="shared" si="122"/>
        <v>0</v>
      </c>
      <c r="U43" s="209">
        <f>+'[4]3.SZ.TÁBL. SEGÍTŐ SZOLGÁLAT'!$W43</f>
        <v>0</v>
      </c>
      <c r="V43" s="207"/>
      <c r="W43" s="212">
        <f t="shared" si="123"/>
        <v>0</v>
      </c>
      <c r="X43" s="215">
        <f t="shared" si="124"/>
        <v>0</v>
      </c>
      <c r="Y43" s="207">
        <f t="shared" si="125"/>
        <v>0</v>
      </c>
      <c r="Z43" s="208">
        <f t="shared" si="126"/>
        <v>0</v>
      </c>
    </row>
    <row r="44" spans="1:26" ht="13.5" customHeight="1">
      <c r="A44" s="200" t="s">
        <v>237</v>
      </c>
      <c r="B44" s="210" t="s">
        <v>238</v>
      </c>
      <c r="C44" s="213">
        <f>+'[4]3.SZ.TÁBL. SEGÍTŐ SZOLGÁLAT'!$E44</f>
        <v>50</v>
      </c>
      <c r="D44" s="207"/>
      <c r="E44" s="214">
        <f t="shared" si="117"/>
        <v>50</v>
      </c>
      <c r="F44" s="209">
        <f>+'[4]3.SZ.TÁBL. SEGÍTŐ SZOLGÁLAT'!$H44</f>
        <v>88</v>
      </c>
      <c r="G44" s="207">
        <f>+[5]Seg.Szolgálat!$E$35</f>
        <v>-88</v>
      </c>
      <c r="H44" s="214">
        <f t="shared" si="118"/>
        <v>0</v>
      </c>
      <c r="I44" s="213">
        <f>+'[4]3.SZ.TÁBL. SEGÍTŐ SZOLGÁLAT'!$K44</f>
        <v>100</v>
      </c>
      <c r="J44" s="207"/>
      <c r="K44" s="214">
        <f t="shared" si="119"/>
        <v>100</v>
      </c>
      <c r="L44" s="213">
        <f>+'[4]3.SZ.TÁBL. SEGÍTŐ SZOLGÁLAT'!$N44</f>
        <v>0</v>
      </c>
      <c r="M44" s="207"/>
      <c r="N44" s="214">
        <f t="shared" si="120"/>
        <v>0</v>
      </c>
      <c r="O44" s="213">
        <f>+'[4]3.SZ.TÁBL. SEGÍTŐ SZOLGÁLAT'!$Q44</f>
        <v>50</v>
      </c>
      <c r="P44" s="207">
        <f>+[5]Seg.Szolgálat!$E$13</f>
        <v>-50</v>
      </c>
      <c r="Q44" s="214">
        <f t="shared" si="121"/>
        <v>0</v>
      </c>
      <c r="R44" s="213">
        <f>+'[4]3.SZ.TÁBL. SEGÍTŐ SZOLGÁLAT'!$T44</f>
        <v>0</v>
      </c>
      <c r="S44" s="207"/>
      <c r="T44" s="214">
        <f t="shared" si="122"/>
        <v>0</v>
      </c>
      <c r="U44" s="209">
        <f>+'[4]3.SZ.TÁBL. SEGÍTŐ SZOLGÁLAT'!$W44</f>
        <v>0</v>
      </c>
      <c r="V44" s="207"/>
      <c r="W44" s="212">
        <f t="shared" si="123"/>
        <v>0</v>
      </c>
      <c r="X44" s="215">
        <f t="shared" si="124"/>
        <v>288</v>
      </c>
      <c r="Y44" s="207">
        <f t="shared" si="125"/>
        <v>-138</v>
      </c>
      <c r="Z44" s="208">
        <f t="shared" si="126"/>
        <v>150</v>
      </c>
    </row>
    <row r="45" spans="1:26" ht="13.5" customHeight="1">
      <c r="A45" s="200" t="s">
        <v>239</v>
      </c>
      <c r="B45" s="210" t="s">
        <v>240</v>
      </c>
      <c r="C45" s="213">
        <f>+'[4]3.SZ.TÁBL. SEGÍTŐ SZOLGÁLAT'!$E45</f>
        <v>0</v>
      </c>
      <c r="D45" s="207"/>
      <c r="E45" s="214">
        <f t="shared" si="117"/>
        <v>0</v>
      </c>
      <c r="F45" s="209">
        <f>+'[4]3.SZ.TÁBL. SEGÍTŐ SZOLGÁLAT'!$H45</f>
        <v>0</v>
      </c>
      <c r="G45" s="207"/>
      <c r="H45" s="214">
        <f t="shared" si="118"/>
        <v>0</v>
      </c>
      <c r="I45" s="213">
        <f>+'[4]3.SZ.TÁBL. SEGÍTŐ SZOLGÁLAT'!$K45</f>
        <v>0</v>
      </c>
      <c r="J45" s="207"/>
      <c r="K45" s="214">
        <f t="shared" si="119"/>
        <v>0</v>
      </c>
      <c r="L45" s="213">
        <f>+'[4]3.SZ.TÁBL. SEGÍTŐ SZOLGÁLAT'!$N45</f>
        <v>0</v>
      </c>
      <c r="M45" s="207"/>
      <c r="N45" s="214">
        <f t="shared" si="120"/>
        <v>0</v>
      </c>
      <c r="O45" s="213">
        <f>+'[4]3.SZ.TÁBL. SEGÍTŐ SZOLGÁLAT'!$Q45</f>
        <v>0</v>
      </c>
      <c r="P45" s="207"/>
      <c r="Q45" s="214">
        <f t="shared" si="121"/>
        <v>0</v>
      </c>
      <c r="R45" s="213">
        <f>+'[4]3.SZ.TÁBL. SEGÍTŐ SZOLGÁLAT'!$T45</f>
        <v>0</v>
      </c>
      <c r="S45" s="207"/>
      <c r="T45" s="214">
        <f t="shared" si="122"/>
        <v>0</v>
      </c>
      <c r="U45" s="209">
        <f>+'[4]3.SZ.TÁBL. SEGÍTŐ SZOLGÁLAT'!$W45</f>
        <v>0</v>
      </c>
      <c r="V45" s="207"/>
      <c r="W45" s="212">
        <f t="shared" si="123"/>
        <v>0</v>
      </c>
      <c r="X45" s="215">
        <f t="shared" si="124"/>
        <v>0</v>
      </c>
      <c r="Y45" s="207">
        <f t="shared" si="125"/>
        <v>0</v>
      </c>
      <c r="Z45" s="208">
        <f t="shared" si="126"/>
        <v>0</v>
      </c>
    </row>
    <row r="46" spans="1:26" ht="13.5" customHeight="1">
      <c r="A46" s="200" t="s">
        <v>241</v>
      </c>
      <c r="B46" s="210" t="s">
        <v>1</v>
      </c>
      <c r="C46" s="213">
        <f>+'[4]3.SZ.TÁBL. SEGÍTŐ SZOLGÁLAT'!$E46</f>
        <v>0</v>
      </c>
      <c r="D46" s="207"/>
      <c r="E46" s="214">
        <f t="shared" si="117"/>
        <v>0</v>
      </c>
      <c r="F46" s="209">
        <f>+'[4]3.SZ.TÁBL. SEGÍTŐ SZOLGÁLAT'!$H46</f>
        <v>496</v>
      </c>
      <c r="G46" s="207"/>
      <c r="H46" s="214">
        <f t="shared" si="118"/>
        <v>496</v>
      </c>
      <c r="I46" s="213">
        <f>+'[4]3.SZ.TÁBL. SEGÍTŐ SZOLGÁLAT'!$K46</f>
        <v>0</v>
      </c>
      <c r="J46" s="207"/>
      <c r="K46" s="214">
        <f t="shared" si="119"/>
        <v>0</v>
      </c>
      <c r="L46" s="213">
        <f>+'[4]3.SZ.TÁBL. SEGÍTŐ SZOLGÁLAT'!$N46</f>
        <v>0</v>
      </c>
      <c r="M46" s="207"/>
      <c r="N46" s="214">
        <f t="shared" si="120"/>
        <v>0</v>
      </c>
      <c r="O46" s="213">
        <f>+'[4]3.SZ.TÁBL. SEGÍTŐ SZOLGÁLAT'!$Q46</f>
        <v>0</v>
      </c>
      <c r="P46" s="207"/>
      <c r="Q46" s="214">
        <f t="shared" si="121"/>
        <v>0</v>
      </c>
      <c r="R46" s="213">
        <f>+'[4]3.SZ.TÁBL. SEGÍTŐ SZOLGÁLAT'!$T46</f>
        <v>0</v>
      </c>
      <c r="S46" s="207"/>
      <c r="T46" s="214">
        <f t="shared" si="122"/>
        <v>0</v>
      </c>
      <c r="U46" s="209">
        <f>+'[4]3.SZ.TÁBL. SEGÍTŐ SZOLGÁLAT'!$W46</f>
        <v>0</v>
      </c>
      <c r="V46" s="207"/>
      <c r="W46" s="212">
        <f t="shared" si="123"/>
        <v>0</v>
      </c>
      <c r="X46" s="215">
        <f t="shared" si="124"/>
        <v>496</v>
      </c>
      <c r="Y46" s="207">
        <f t="shared" si="125"/>
        <v>0</v>
      </c>
      <c r="Z46" s="208">
        <f t="shared" si="126"/>
        <v>496</v>
      </c>
    </row>
    <row r="47" spans="1:26" ht="13.5" customHeight="1">
      <c r="A47" s="200" t="s">
        <v>242</v>
      </c>
      <c r="B47" s="210" t="s">
        <v>243</v>
      </c>
      <c r="C47" s="213">
        <f>+'[4]3.SZ.TÁBL. SEGÍTŐ SZOLGÁLAT'!$E47</f>
        <v>90</v>
      </c>
      <c r="D47" s="207"/>
      <c r="E47" s="214">
        <f t="shared" si="117"/>
        <v>90</v>
      </c>
      <c r="F47" s="209">
        <f>+'[4]3.SZ.TÁBL. SEGÍTŐ SZOLGÁLAT'!$H47</f>
        <v>270</v>
      </c>
      <c r="G47" s="207"/>
      <c r="H47" s="214">
        <f t="shared" si="118"/>
        <v>270</v>
      </c>
      <c r="I47" s="213">
        <f>+'[4]3.SZ.TÁBL. SEGÍTŐ SZOLGÁLAT'!$K47</f>
        <v>810</v>
      </c>
      <c r="J47" s="207"/>
      <c r="K47" s="214">
        <f t="shared" si="119"/>
        <v>810</v>
      </c>
      <c r="L47" s="213">
        <f>+'[4]3.SZ.TÁBL. SEGÍTŐ SZOLGÁLAT'!$N47</f>
        <v>210</v>
      </c>
      <c r="M47" s="207">
        <f>+[5]Seg.Szolgálat!$E$58</f>
        <v>15</v>
      </c>
      <c r="N47" s="214">
        <f t="shared" si="120"/>
        <v>225</v>
      </c>
      <c r="O47" s="213">
        <f>+'[4]3.SZ.TÁBL. SEGÍTŐ SZOLGÁLAT'!$Q47</f>
        <v>210</v>
      </c>
      <c r="P47" s="207"/>
      <c r="Q47" s="214">
        <f t="shared" si="121"/>
        <v>210</v>
      </c>
      <c r="R47" s="213">
        <f>+'[4]3.SZ.TÁBL. SEGÍTŐ SZOLGÁLAT'!$T47</f>
        <v>60</v>
      </c>
      <c r="S47" s="207"/>
      <c r="T47" s="214">
        <f t="shared" si="122"/>
        <v>60</v>
      </c>
      <c r="U47" s="209">
        <f>+'[4]3.SZ.TÁBL. SEGÍTŐ SZOLGÁLAT'!$W47</f>
        <v>60</v>
      </c>
      <c r="V47" s="207"/>
      <c r="W47" s="212">
        <f t="shared" si="123"/>
        <v>60</v>
      </c>
      <c r="X47" s="215">
        <f t="shared" si="124"/>
        <v>1710</v>
      </c>
      <c r="Y47" s="207">
        <f t="shared" si="125"/>
        <v>15</v>
      </c>
      <c r="Z47" s="208">
        <f t="shared" si="126"/>
        <v>1725</v>
      </c>
    </row>
    <row r="48" spans="1:26" ht="13.5" customHeight="1">
      <c r="A48" s="200" t="s">
        <v>244</v>
      </c>
      <c r="B48" s="210" t="s">
        <v>245</v>
      </c>
      <c r="C48" s="213">
        <f>+'[4]3.SZ.TÁBL. SEGÍTŐ SZOLGÁLAT'!$E48</f>
        <v>0</v>
      </c>
      <c r="D48" s="207"/>
      <c r="E48" s="214">
        <f t="shared" si="117"/>
        <v>0</v>
      </c>
      <c r="F48" s="209">
        <f>+'[4]3.SZ.TÁBL. SEGÍTŐ SZOLGÁLAT'!$H48</f>
        <v>0</v>
      </c>
      <c r="G48" s="207"/>
      <c r="H48" s="214">
        <f t="shared" si="118"/>
        <v>0</v>
      </c>
      <c r="I48" s="213">
        <f>+'[4]3.SZ.TÁBL. SEGÍTŐ SZOLGÁLAT'!$K48</f>
        <v>0</v>
      </c>
      <c r="J48" s="207"/>
      <c r="K48" s="214">
        <f t="shared" si="119"/>
        <v>0</v>
      </c>
      <c r="L48" s="213">
        <f>+'[4]3.SZ.TÁBL. SEGÍTŐ SZOLGÁLAT'!$N48</f>
        <v>0</v>
      </c>
      <c r="M48" s="207"/>
      <c r="N48" s="214">
        <f t="shared" si="120"/>
        <v>0</v>
      </c>
      <c r="O48" s="213">
        <f>+'[4]3.SZ.TÁBL. SEGÍTŐ SZOLGÁLAT'!$Q48</f>
        <v>0</v>
      </c>
      <c r="P48" s="207"/>
      <c r="Q48" s="214">
        <f t="shared" si="121"/>
        <v>0</v>
      </c>
      <c r="R48" s="213">
        <f>+'[4]3.SZ.TÁBL. SEGÍTŐ SZOLGÁLAT'!$T48</f>
        <v>0</v>
      </c>
      <c r="S48" s="207"/>
      <c r="T48" s="214">
        <f t="shared" si="122"/>
        <v>0</v>
      </c>
      <c r="U48" s="209">
        <f>+'[4]3.SZ.TÁBL. SEGÍTŐ SZOLGÁLAT'!$W48</f>
        <v>0</v>
      </c>
      <c r="V48" s="207"/>
      <c r="W48" s="212">
        <f t="shared" si="123"/>
        <v>0</v>
      </c>
      <c r="X48" s="215">
        <f t="shared" si="124"/>
        <v>0</v>
      </c>
      <c r="Y48" s="207">
        <f t="shared" si="125"/>
        <v>0</v>
      </c>
      <c r="Z48" s="208">
        <f t="shared" si="126"/>
        <v>0</v>
      </c>
    </row>
    <row r="49" spans="1:26" ht="13.5" customHeight="1">
      <c r="A49" s="200" t="s">
        <v>246</v>
      </c>
      <c r="B49" s="210" t="s">
        <v>2</v>
      </c>
      <c r="C49" s="213">
        <f>+'[4]3.SZ.TÁBL. SEGÍTŐ SZOLGÁLAT'!$E49</f>
        <v>11</v>
      </c>
      <c r="D49" s="207"/>
      <c r="E49" s="214">
        <f t="shared" si="117"/>
        <v>11</v>
      </c>
      <c r="F49" s="209">
        <f>+'[4]3.SZ.TÁBL. SEGÍTŐ SZOLGÁLAT'!$H49</f>
        <v>195</v>
      </c>
      <c r="G49" s="207">
        <f>+[5]Seg.Szolgálat!$E$36</f>
        <v>-8</v>
      </c>
      <c r="H49" s="214">
        <f t="shared" si="118"/>
        <v>187</v>
      </c>
      <c r="I49" s="213">
        <f>+'[4]3.SZ.TÁBL. SEGÍTŐ SZOLGÁLAT'!$K49</f>
        <v>51</v>
      </c>
      <c r="J49" s="207">
        <f>+[5]Seg.Szolgálat!$E$51</f>
        <v>5</v>
      </c>
      <c r="K49" s="214">
        <f t="shared" si="119"/>
        <v>56</v>
      </c>
      <c r="L49" s="213">
        <f>+'[4]3.SZ.TÁBL. SEGÍTŐ SZOLGÁLAT'!$N49</f>
        <v>20</v>
      </c>
      <c r="M49" s="207"/>
      <c r="N49" s="214">
        <f t="shared" si="120"/>
        <v>20</v>
      </c>
      <c r="O49" s="213">
        <f>+'[4]3.SZ.TÁBL. SEGÍTŐ SZOLGÁLAT'!$Q49</f>
        <v>255</v>
      </c>
      <c r="P49" s="207">
        <f>+[5]Seg.Szolgálat!$E$14</f>
        <v>17</v>
      </c>
      <c r="Q49" s="214">
        <f t="shared" si="121"/>
        <v>272</v>
      </c>
      <c r="R49" s="213">
        <f>+'[4]3.SZ.TÁBL. SEGÍTŐ SZOLGÁLAT'!$T49</f>
        <v>0</v>
      </c>
      <c r="S49" s="207"/>
      <c r="T49" s="214">
        <f t="shared" si="122"/>
        <v>0</v>
      </c>
      <c r="U49" s="209">
        <f>+'[4]3.SZ.TÁBL. SEGÍTŐ SZOLGÁLAT'!$W49</f>
        <v>11</v>
      </c>
      <c r="V49" s="207"/>
      <c r="W49" s="212">
        <f t="shared" si="123"/>
        <v>11</v>
      </c>
      <c r="X49" s="215">
        <f t="shared" si="124"/>
        <v>543</v>
      </c>
      <c r="Y49" s="207">
        <f t="shared" si="125"/>
        <v>14</v>
      </c>
      <c r="Z49" s="208">
        <f t="shared" si="126"/>
        <v>557</v>
      </c>
    </row>
    <row r="50" spans="1:26" ht="13.5" customHeight="1">
      <c r="A50" s="200" t="s">
        <v>247</v>
      </c>
      <c r="B50" s="210" t="s">
        <v>248</v>
      </c>
      <c r="C50" s="213">
        <f>+'[4]3.SZ.TÁBL. SEGÍTŐ SZOLGÁLAT'!$E50</f>
        <v>0</v>
      </c>
      <c r="D50" s="207"/>
      <c r="E50" s="214">
        <f t="shared" si="117"/>
        <v>0</v>
      </c>
      <c r="F50" s="209">
        <f>+'[4]3.SZ.TÁBL. SEGÍTŐ SZOLGÁLAT'!$H50</f>
        <v>0</v>
      </c>
      <c r="G50" s="207"/>
      <c r="H50" s="214">
        <f t="shared" si="118"/>
        <v>0</v>
      </c>
      <c r="I50" s="213">
        <f>+'[4]3.SZ.TÁBL. SEGÍTŐ SZOLGÁLAT'!$K50</f>
        <v>0</v>
      </c>
      <c r="J50" s="207"/>
      <c r="K50" s="214">
        <f t="shared" si="119"/>
        <v>0</v>
      </c>
      <c r="L50" s="213">
        <f>+'[4]3.SZ.TÁBL. SEGÍTŐ SZOLGÁLAT'!$N50</f>
        <v>0</v>
      </c>
      <c r="M50" s="207"/>
      <c r="N50" s="214">
        <f t="shared" si="120"/>
        <v>0</v>
      </c>
      <c r="O50" s="213">
        <f>+'[4]3.SZ.TÁBL. SEGÍTŐ SZOLGÁLAT'!$Q50</f>
        <v>0</v>
      </c>
      <c r="P50" s="207"/>
      <c r="Q50" s="214">
        <f t="shared" si="121"/>
        <v>0</v>
      </c>
      <c r="R50" s="213">
        <f>+'[4]3.SZ.TÁBL. SEGÍTŐ SZOLGÁLAT'!$T50</f>
        <v>0</v>
      </c>
      <c r="S50" s="207"/>
      <c r="T50" s="214">
        <f t="shared" si="122"/>
        <v>0</v>
      </c>
      <c r="U50" s="209">
        <f>+'[4]3.SZ.TÁBL. SEGÍTŐ SZOLGÁLAT'!$W50</f>
        <v>0</v>
      </c>
      <c r="V50" s="207"/>
      <c r="W50" s="212">
        <f t="shared" si="123"/>
        <v>0</v>
      </c>
      <c r="X50" s="215">
        <f t="shared" si="124"/>
        <v>0</v>
      </c>
      <c r="Y50" s="207">
        <f t="shared" si="125"/>
        <v>0</v>
      </c>
      <c r="Z50" s="208">
        <f t="shared" si="126"/>
        <v>0</v>
      </c>
    </row>
    <row r="51" spans="1:26" ht="13.5" customHeight="1">
      <c r="A51" s="200" t="s">
        <v>249</v>
      </c>
      <c r="B51" s="210" t="s">
        <v>250</v>
      </c>
      <c r="C51" s="213">
        <f>+'[4]3.SZ.TÁBL. SEGÍTŐ SZOLGÁLAT'!$E51</f>
        <v>0</v>
      </c>
      <c r="D51" s="207"/>
      <c r="E51" s="214">
        <f t="shared" si="117"/>
        <v>0</v>
      </c>
      <c r="F51" s="209">
        <f>+'[4]3.SZ.TÁBL. SEGÍTŐ SZOLGÁLAT'!$H51</f>
        <v>0</v>
      </c>
      <c r="G51" s="207"/>
      <c r="H51" s="214">
        <f t="shared" si="118"/>
        <v>0</v>
      </c>
      <c r="I51" s="213">
        <f>+'[4]3.SZ.TÁBL. SEGÍTŐ SZOLGÁLAT'!$K51</f>
        <v>0</v>
      </c>
      <c r="J51" s="207"/>
      <c r="K51" s="214">
        <f t="shared" si="119"/>
        <v>0</v>
      </c>
      <c r="L51" s="213">
        <f>+'[4]3.SZ.TÁBL. SEGÍTŐ SZOLGÁLAT'!$N51</f>
        <v>0</v>
      </c>
      <c r="M51" s="207"/>
      <c r="N51" s="214">
        <f t="shared" si="120"/>
        <v>0</v>
      </c>
      <c r="O51" s="213">
        <f>+'[4]3.SZ.TÁBL. SEGÍTŐ SZOLGÁLAT'!$Q51</f>
        <v>0</v>
      </c>
      <c r="P51" s="207"/>
      <c r="Q51" s="214">
        <f t="shared" si="121"/>
        <v>0</v>
      </c>
      <c r="R51" s="213">
        <f>+'[4]3.SZ.TÁBL. SEGÍTŐ SZOLGÁLAT'!$T51</f>
        <v>0</v>
      </c>
      <c r="S51" s="207"/>
      <c r="T51" s="214">
        <f t="shared" si="122"/>
        <v>0</v>
      </c>
      <c r="U51" s="209">
        <f>+'[4]3.SZ.TÁBL. SEGÍTŐ SZOLGÁLAT'!$W51</f>
        <v>0</v>
      </c>
      <c r="V51" s="207"/>
      <c r="W51" s="212">
        <f t="shared" si="123"/>
        <v>0</v>
      </c>
      <c r="X51" s="215">
        <f t="shared" si="124"/>
        <v>0</v>
      </c>
      <c r="Y51" s="207">
        <f t="shared" si="125"/>
        <v>0</v>
      </c>
      <c r="Z51" s="208">
        <f t="shared" si="126"/>
        <v>0</v>
      </c>
    </row>
    <row r="52" spans="1:26" ht="13.5" customHeight="1">
      <c r="A52" s="200" t="s">
        <v>251</v>
      </c>
      <c r="B52" s="210" t="s">
        <v>252</v>
      </c>
      <c r="C52" s="213">
        <f>+'[4]3.SZ.TÁBL. SEGÍTŐ SZOLGÁLAT'!$E52</f>
        <v>0</v>
      </c>
      <c r="D52" s="207"/>
      <c r="E52" s="214">
        <f t="shared" si="117"/>
        <v>0</v>
      </c>
      <c r="F52" s="209">
        <f>+'[4]3.SZ.TÁBL. SEGÍTŐ SZOLGÁLAT'!$H52</f>
        <v>0</v>
      </c>
      <c r="G52" s="207"/>
      <c r="H52" s="214">
        <f t="shared" si="118"/>
        <v>0</v>
      </c>
      <c r="I52" s="213">
        <f>+'[4]3.SZ.TÁBL. SEGÍTŐ SZOLGÁLAT'!$K52</f>
        <v>0</v>
      </c>
      <c r="J52" s="207"/>
      <c r="K52" s="214">
        <f t="shared" si="119"/>
        <v>0</v>
      </c>
      <c r="L52" s="213">
        <f>+'[4]3.SZ.TÁBL. SEGÍTŐ SZOLGÁLAT'!$N52</f>
        <v>0</v>
      </c>
      <c r="M52" s="207"/>
      <c r="N52" s="214">
        <f t="shared" si="120"/>
        <v>0</v>
      </c>
      <c r="O52" s="213">
        <f>+'[4]3.SZ.TÁBL. SEGÍTŐ SZOLGÁLAT'!$Q52</f>
        <v>0</v>
      </c>
      <c r="P52" s="207"/>
      <c r="Q52" s="214">
        <f t="shared" si="121"/>
        <v>0</v>
      </c>
      <c r="R52" s="213">
        <f>+'[4]3.SZ.TÁBL. SEGÍTŐ SZOLGÁLAT'!$T52</f>
        <v>0</v>
      </c>
      <c r="S52" s="207"/>
      <c r="T52" s="214">
        <f t="shared" si="122"/>
        <v>0</v>
      </c>
      <c r="U52" s="209">
        <f>+'[4]3.SZ.TÁBL. SEGÍTŐ SZOLGÁLAT'!$W52</f>
        <v>0</v>
      </c>
      <c r="V52" s="207"/>
      <c r="W52" s="212">
        <f t="shared" si="123"/>
        <v>0</v>
      </c>
      <c r="X52" s="215">
        <f t="shared" si="124"/>
        <v>0</v>
      </c>
      <c r="Y52" s="207">
        <f t="shared" si="125"/>
        <v>0</v>
      </c>
      <c r="Z52" s="208">
        <f t="shared" si="126"/>
        <v>0</v>
      </c>
    </row>
    <row r="53" spans="1:26" ht="13.5" customHeight="1">
      <c r="A53" s="200" t="s">
        <v>253</v>
      </c>
      <c r="B53" s="210" t="s">
        <v>448</v>
      </c>
      <c r="C53" s="213">
        <f>+'[4]3.SZ.TÁBL. SEGÍTŐ SZOLGÁLAT'!$E53</f>
        <v>56</v>
      </c>
      <c r="D53" s="207"/>
      <c r="E53" s="214">
        <f t="shared" si="117"/>
        <v>56</v>
      </c>
      <c r="F53" s="209">
        <f>+'[4]3.SZ.TÁBL. SEGÍTŐ SZOLGÁLAT'!$H53</f>
        <v>130</v>
      </c>
      <c r="G53" s="207">
        <f>+[5]Seg.Szolgálat!$E$37</f>
        <v>15</v>
      </c>
      <c r="H53" s="214">
        <f t="shared" si="118"/>
        <v>145</v>
      </c>
      <c r="I53" s="213">
        <f>+'[4]3.SZ.TÁBL. SEGÍTŐ SZOLGÁLAT'!$K53</f>
        <v>95</v>
      </c>
      <c r="J53" s="207">
        <f>+[5]Seg.Szolgálat!$E$52</f>
        <v>14</v>
      </c>
      <c r="K53" s="214">
        <f t="shared" si="119"/>
        <v>109</v>
      </c>
      <c r="L53" s="213">
        <f>+'[4]3.SZ.TÁBL. SEGÍTŐ SZOLGÁLAT'!$N53</f>
        <v>50</v>
      </c>
      <c r="M53" s="207"/>
      <c r="N53" s="214">
        <f t="shared" si="120"/>
        <v>50</v>
      </c>
      <c r="O53" s="213">
        <f>+'[4]3.SZ.TÁBL. SEGÍTŐ SZOLGÁLAT'!$Q53</f>
        <v>30</v>
      </c>
      <c r="P53" s="207"/>
      <c r="Q53" s="214">
        <f t="shared" si="121"/>
        <v>30</v>
      </c>
      <c r="R53" s="213">
        <f>+'[4]3.SZ.TÁBL. SEGÍTŐ SZOLGÁLAT'!$T53</f>
        <v>0</v>
      </c>
      <c r="S53" s="207"/>
      <c r="T53" s="214">
        <f t="shared" si="122"/>
        <v>0</v>
      </c>
      <c r="U53" s="209">
        <f>+'[4]3.SZ.TÁBL. SEGÍTŐ SZOLGÁLAT'!$W53</f>
        <v>0</v>
      </c>
      <c r="V53" s="207"/>
      <c r="W53" s="212">
        <f t="shared" si="123"/>
        <v>0</v>
      </c>
      <c r="X53" s="215">
        <f t="shared" si="124"/>
        <v>361</v>
      </c>
      <c r="Y53" s="207">
        <f t="shared" si="125"/>
        <v>29</v>
      </c>
      <c r="Z53" s="208">
        <f t="shared" si="126"/>
        <v>390</v>
      </c>
    </row>
    <row r="54" spans="1:26" ht="13.5" customHeight="1">
      <c r="A54" s="201" t="s">
        <v>253</v>
      </c>
      <c r="B54" s="248" t="s">
        <v>254</v>
      </c>
      <c r="C54" s="213">
        <f>+'[4]3.SZ.TÁBL. SEGÍTŐ SZOLGÁLAT'!$E54</f>
        <v>0</v>
      </c>
      <c r="D54" s="228"/>
      <c r="E54" s="214">
        <f t="shared" si="117"/>
        <v>0</v>
      </c>
      <c r="F54" s="209">
        <f>+'[4]3.SZ.TÁBL. SEGÍTŐ SZOLGÁLAT'!$H54</f>
        <v>0</v>
      </c>
      <c r="G54" s="228"/>
      <c r="H54" s="214">
        <f t="shared" si="118"/>
        <v>0</v>
      </c>
      <c r="I54" s="213">
        <f>+'[4]3.SZ.TÁBL. SEGÍTŐ SZOLGÁLAT'!$K54</f>
        <v>0</v>
      </c>
      <c r="J54" s="228"/>
      <c r="K54" s="214">
        <f t="shared" si="119"/>
        <v>0</v>
      </c>
      <c r="L54" s="213">
        <f>+'[4]3.SZ.TÁBL. SEGÍTŐ SZOLGÁLAT'!$N54</f>
        <v>0</v>
      </c>
      <c r="M54" s="228"/>
      <c r="N54" s="214">
        <f t="shared" si="120"/>
        <v>0</v>
      </c>
      <c r="O54" s="213">
        <f>+'[4]3.SZ.TÁBL. SEGÍTŐ SZOLGÁLAT'!$Q54</f>
        <v>0</v>
      </c>
      <c r="P54" s="228"/>
      <c r="Q54" s="214">
        <f t="shared" si="121"/>
        <v>0</v>
      </c>
      <c r="R54" s="213">
        <f>+'[4]3.SZ.TÁBL. SEGÍTŐ SZOLGÁLAT'!$T54</f>
        <v>0</v>
      </c>
      <c r="S54" s="228"/>
      <c r="T54" s="214">
        <f t="shared" si="122"/>
        <v>0</v>
      </c>
      <c r="U54" s="209">
        <f>+'[4]3.SZ.TÁBL. SEGÍTŐ SZOLGÁLAT'!$W54</f>
        <v>0</v>
      </c>
      <c r="V54" s="228"/>
      <c r="W54" s="212">
        <f t="shared" si="123"/>
        <v>0</v>
      </c>
      <c r="X54" s="232">
        <f t="shared" si="124"/>
        <v>0</v>
      </c>
      <c r="Y54" s="228">
        <f t="shared" si="125"/>
        <v>0</v>
      </c>
      <c r="Z54" s="233">
        <f t="shared" si="126"/>
        <v>0</v>
      </c>
    </row>
    <row r="55" spans="1:26" s="317" customFormat="1" ht="13.5" customHeight="1">
      <c r="A55" s="202" t="s">
        <v>215</v>
      </c>
      <c r="B55" s="249" t="s">
        <v>173</v>
      </c>
      <c r="C55" s="315">
        <f>+SUM(C41:C53)</f>
        <v>3143</v>
      </c>
      <c r="D55" s="294">
        <f t="shared" ref="D55:E55" si="127">+SUM(D41:D53)</f>
        <v>0</v>
      </c>
      <c r="E55" s="599">
        <f t="shared" si="127"/>
        <v>3143</v>
      </c>
      <c r="F55" s="294">
        <f>+SUM(F41:F53)</f>
        <v>11634</v>
      </c>
      <c r="G55" s="294">
        <f t="shared" ref="G55:H55" si="128">+SUM(G41:G53)</f>
        <v>270</v>
      </c>
      <c r="H55" s="599">
        <f t="shared" si="128"/>
        <v>11904</v>
      </c>
      <c r="I55" s="315">
        <f>+SUM(I41:I53)</f>
        <v>22824</v>
      </c>
      <c r="J55" s="294">
        <f t="shared" ref="J55:K55" si="129">+SUM(J41:J53)</f>
        <v>197</v>
      </c>
      <c r="K55" s="599">
        <f t="shared" si="129"/>
        <v>23021</v>
      </c>
      <c r="L55" s="315">
        <f>+SUM(L41:L53)</f>
        <v>7656</v>
      </c>
      <c r="M55" s="294">
        <f t="shared" ref="M55:N55" si="130">+SUM(M41:M53)</f>
        <v>212</v>
      </c>
      <c r="N55" s="599">
        <f t="shared" si="130"/>
        <v>7868</v>
      </c>
      <c r="O55" s="315">
        <f>+SUM(O41:O53)</f>
        <v>7199</v>
      </c>
      <c r="P55" s="294">
        <f t="shared" ref="P55:Q55" si="131">+SUM(P41:P53)</f>
        <v>161</v>
      </c>
      <c r="Q55" s="599">
        <f t="shared" si="131"/>
        <v>7360</v>
      </c>
      <c r="R55" s="315">
        <f>+SUM(R41:R53)</f>
        <v>1904</v>
      </c>
      <c r="S55" s="294">
        <f t="shared" ref="S55:T55" si="132">+SUM(S41:S53)</f>
        <v>31</v>
      </c>
      <c r="T55" s="599">
        <f t="shared" si="132"/>
        <v>1935</v>
      </c>
      <c r="U55" s="294">
        <f>+SUM(U41:U53)</f>
        <v>2378</v>
      </c>
      <c r="V55" s="294">
        <f t="shared" ref="V55:W55" si="133">+SUM(V41:V53)</f>
        <v>166</v>
      </c>
      <c r="W55" s="294">
        <f t="shared" si="133"/>
        <v>2544</v>
      </c>
      <c r="X55" s="288">
        <f>+SUM(X41:X53)</f>
        <v>56738</v>
      </c>
      <c r="Y55" s="292">
        <f t="shared" ref="Y55:Z55" si="134">+SUM(Y41:Y53)</f>
        <v>1037</v>
      </c>
      <c r="Z55" s="293">
        <f t="shared" si="134"/>
        <v>57775</v>
      </c>
    </row>
    <row r="56" spans="1:26" ht="13.5" customHeight="1">
      <c r="A56" s="199" t="s">
        <v>255</v>
      </c>
      <c r="B56" s="247" t="s">
        <v>256</v>
      </c>
      <c r="C56" s="213">
        <f>+'[4]3.SZ.TÁBL. SEGÍTŐ SZOLGÁLAT'!$E56</f>
        <v>0</v>
      </c>
      <c r="D56" s="218"/>
      <c r="E56" s="214">
        <f t="shared" ref="E56:E58" si="135">+C56+D56</f>
        <v>0</v>
      </c>
      <c r="F56" s="209">
        <f>+'[4]3.SZ.TÁBL. SEGÍTŐ SZOLGÁLAT'!$H56</f>
        <v>0</v>
      </c>
      <c r="G56" s="218"/>
      <c r="H56" s="214">
        <f t="shared" ref="H56:H58" si="136">+F56+G56</f>
        <v>0</v>
      </c>
      <c r="I56" s="213">
        <f>+'[4]3.SZ.TÁBL. SEGÍTŐ SZOLGÁLAT'!$K56</f>
        <v>0</v>
      </c>
      <c r="J56" s="218"/>
      <c r="K56" s="214">
        <f t="shared" ref="K56:K58" si="137">+I56+J56</f>
        <v>0</v>
      </c>
      <c r="L56" s="213">
        <f>+'[4]3.SZ.TÁBL. SEGÍTŐ SZOLGÁLAT'!$N56</f>
        <v>0</v>
      </c>
      <c r="M56" s="218"/>
      <c r="N56" s="214">
        <f t="shared" ref="N56:N58" si="138">+L56+M56</f>
        <v>0</v>
      </c>
      <c r="O56" s="213">
        <f>+'[4]3.SZ.TÁBL. SEGÍTŐ SZOLGÁLAT'!$Q56</f>
        <v>0</v>
      </c>
      <c r="P56" s="218"/>
      <c r="Q56" s="214">
        <f t="shared" ref="Q56:Q58" si="139">+O56+P56</f>
        <v>0</v>
      </c>
      <c r="R56" s="213">
        <f>+'[4]3.SZ.TÁBL. SEGÍTŐ SZOLGÁLAT'!$T56</f>
        <v>0</v>
      </c>
      <c r="S56" s="218"/>
      <c r="T56" s="214">
        <f t="shared" ref="T56:T58" si="140">+R56+S56</f>
        <v>0</v>
      </c>
      <c r="U56" s="209">
        <f>+'[4]3.SZ.TÁBL. SEGÍTŐ SZOLGÁLAT'!$W56</f>
        <v>0</v>
      </c>
      <c r="V56" s="218"/>
      <c r="W56" s="212">
        <f t="shared" ref="W56:W58" si="141">+U56+V56</f>
        <v>0</v>
      </c>
      <c r="X56" s="222">
        <f t="shared" ref="X56:X58" si="142">+C56+F56+I56+L56+O56+R56+U56</f>
        <v>0</v>
      </c>
      <c r="Y56" s="218">
        <f t="shared" ref="Y56:Y58" si="143">+D56+G56+J56+M56+P56+S56+V56</f>
        <v>0</v>
      </c>
      <c r="Z56" s="223">
        <f t="shared" ref="Z56:Z58" si="144">+E56+H56+K56+N56+Q56+T56+W56</f>
        <v>0</v>
      </c>
    </row>
    <row r="57" spans="1:26" ht="13.5" customHeight="1">
      <c r="A57" s="200" t="s">
        <v>257</v>
      </c>
      <c r="B57" s="210" t="s">
        <v>258</v>
      </c>
      <c r="C57" s="213">
        <f>+'[4]3.SZ.TÁBL. SEGÍTŐ SZOLGÁLAT'!$E57</f>
        <v>0</v>
      </c>
      <c r="D57" s="207"/>
      <c r="E57" s="214">
        <f t="shared" si="135"/>
        <v>0</v>
      </c>
      <c r="F57" s="209">
        <f>+'[4]3.SZ.TÁBL. SEGÍTŐ SZOLGÁLAT'!$H57</f>
        <v>0</v>
      </c>
      <c r="G57" s="207"/>
      <c r="H57" s="214">
        <f t="shared" si="136"/>
        <v>0</v>
      </c>
      <c r="I57" s="213">
        <f>+'[4]3.SZ.TÁBL. SEGÍTŐ SZOLGÁLAT'!$K57</f>
        <v>0</v>
      </c>
      <c r="J57" s="207"/>
      <c r="K57" s="214">
        <f t="shared" si="137"/>
        <v>0</v>
      </c>
      <c r="L57" s="213">
        <f>+'[4]3.SZ.TÁBL. SEGÍTŐ SZOLGÁLAT'!$N57</f>
        <v>0</v>
      </c>
      <c r="M57" s="207"/>
      <c r="N57" s="214">
        <f t="shared" si="138"/>
        <v>0</v>
      </c>
      <c r="O57" s="213">
        <f>+'[4]3.SZ.TÁBL. SEGÍTŐ SZOLGÁLAT'!$Q57</f>
        <v>163</v>
      </c>
      <c r="P57" s="207">
        <f>+[5]Seg.Szolgálat!$E$15</f>
        <v>11</v>
      </c>
      <c r="Q57" s="214">
        <f t="shared" si="139"/>
        <v>174</v>
      </c>
      <c r="R57" s="213">
        <f>+'[4]3.SZ.TÁBL. SEGÍTŐ SZOLGÁLAT'!$T57</f>
        <v>150</v>
      </c>
      <c r="S57" s="207">
        <f>+[5]Seg.Szolgálat!$E$69</f>
        <v>26</v>
      </c>
      <c r="T57" s="214">
        <f t="shared" si="140"/>
        <v>176</v>
      </c>
      <c r="U57" s="209">
        <f>+'[4]3.SZ.TÁBL. SEGÍTŐ SZOLGÁLAT'!$W57</f>
        <v>0</v>
      </c>
      <c r="V57" s="207"/>
      <c r="W57" s="212">
        <f t="shared" si="141"/>
        <v>0</v>
      </c>
      <c r="X57" s="215">
        <f t="shared" si="142"/>
        <v>313</v>
      </c>
      <c r="Y57" s="207">
        <f t="shared" si="143"/>
        <v>37</v>
      </c>
      <c r="Z57" s="208">
        <f t="shared" si="144"/>
        <v>350</v>
      </c>
    </row>
    <row r="58" spans="1:26" ht="13.5" customHeight="1">
      <c r="A58" s="201" t="s">
        <v>259</v>
      </c>
      <c r="B58" s="248" t="s">
        <v>260</v>
      </c>
      <c r="C58" s="213">
        <f>+'[4]3.SZ.TÁBL. SEGÍTŐ SZOLGÁLAT'!$E58</f>
        <v>5</v>
      </c>
      <c r="D58" s="228"/>
      <c r="E58" s="214">
        <f t="shared" si="135"/>
        <v>5</v>
      </c>
      <c r="F58" s="209">
        <f>+'[4]3.SZ.TÁBL. SEGÍTŐ SZOLGÁLAT'!$H58</f>
        <v>25</v>
      </c>
      <c r="G58" s="228">
        <f>+[5]Seg.Szolgálat!$E$38</f>
        <v>-25</v>
      </c>
      <c r="H58" s="214">
        <f t="shared" si="136"/>
        <v>0</v>
      </c>
      <c r="I58" s="213">
        <f>+'[4]3.SZ.TÁBL. SEGÍTŐ SZOLGÁLAT'!$K58</f>
        <v>0</v>
      </c>
      <c r="J58" s="228"/>
      <c r="K58" s="214">
        <f t="shared" si="137"/>
        <v>0</v>
      </c>
      <c r="L58" s="213">
        <f>+'[4]3.SZ.TÁBL. SEGÍTŐ SZOLGÁLAT'!$N58</f>
        <v>50</v>
      </c>
      <c r="M58" s="228"/>
      <c r="N58" s="214">
        <f t="shared" si="138"/>
        <v>50</v>
      </c>
      <c r="O58" s="213">
        <f>+'[4]3.SZ.TÁBL. SEGÍTŐ SZOLGÁLAT'!$Q58</f>
        <v>10</v>
      </c>
      <c r="P58" s="228"/>
      <c r="Q58" s="214">
        <f t="shared" si="139"/>
        <v>10</v>
      </c>
      <c r="R58" s="213">
        <f>+'[4]3.SZ.TÁBL. SEGÍTŐ SZOLGÁLAT'!$T58</f>
        <v>0</v>
      </c>
      <c r="S58" s="228"/>
      <c r="T58" s="214">
        <f t="shared" si="140"/>
        <v>0</v>
      </c>
      <c r="U58" s="209">
        <f>+'[4]3.SZ.TÁBL. SEGÍTŐ SZOLGÁLAT'!$W58</f>
        <v>0</v>
      </c>
      <c r="V58" s="228"/>
      <c r="W58" s="212">
        <f t="shared" si="141"/>
        <v>0</v>
      </c>
      <c r="X58" s="232">
        <f t="shared" si="142"/>
        <v>90</v>
      </c>
      <c r="Y58" s="228">
        <f t="shared" si="143"/>
        <v>-25</v>
      </c>
      <c r="Z58" s="233">
        <f t="shared" si="144"/>
        <v>65</v>
      </c>
    </row>
    <row r="59" spans="1:26" s="317" customFormat="1" ht="13.5" customHeight="1">
      <c r="A59" s="202" t="s">
        <v>216</v>
      </c>
      <c r="B59" s="249" t="s">
        <v>174</v>
      </c>
      <c r="C59" s="315">
        <f>SUM(C56:C58)</f>
        <v>5</v>
      </c>
      <c r="D59" s="294">
        <f t="shared" ref="D59:E59" si="145">SUM(D56:D58)</f>
        <v>0</v>
      </c>
      <c r="E59" s="599">
        <f t="shared" si="145"/>
        <v>5</v>
      </c>
      <c r="F59" s="294">
        <f>SUM(F56:F58)</f>
        <v>25</v>
      </c>
      <c r="G59" s="294">
        <f t="shared" ref="G59" si="146">SUM(G56:G58)</f>
        <v>-25</v>
      </c>
      <c r="H59" s="599">
        <f t="shared" ref="H59" si="147">SUM(H56:H58)</f>
        <v>0</v>
      </c>
      <c r="I59" s="315">
        <f>SUM(I56:I58)</f>
        <v>0</v>
      </c>
      <c r="J59" s="294">
        <f t="shared" ref="J59" si="148">SUM(J56:J58)</f>
        <v>0</v>
      </c>
      <c r="K59" s="599">
        <f t="shared" ref="K59" si="149">SUM(K56:K58)</f>
        <v>0</v>
      </c>
      <c r="L59" s="315">
        <f>SUM(L56:L58)</f>
        <v>50</v>
      </c>
      <c r="M59" s="294">
        <f t="shared" ref="M59" si="150">SUM(M56:M58)</f>
        <v>0</v>
      </c>
      <c r="N59" s="599">
        <f t="shared" ref="N59" si="151">SUM(N56:N58)</f>
        <v>50</v>
      </c>
      <c r="O59" s="315">
        <f>SUM(O56:O58)</f>
        <v>173</v>
      </c>
      <c r="P59" s="294">
        <f t="shared" ref="P59" si="152">SUM(P56:P58)</f>
        <v>11</v>
      </c>
      <c r="Q59" s="599">
        <f t="shared" ref="Q59" si="153">SUM(Q56:Q58)</f>
        <v>184</v>
      </c>
      <c r="R59" s="315">
        <f>SUM(R56:R58)</f>
        <v>150</v>
      </c>
      <c r="S59" s="294">
        <f t="shared" ref="S59" si="154">SUM(S56:S58)</f>
        <v>26</v>
      </c>
      <c r="T59" s="599">
        <f t="shared" ref="T59" si="155">SUM(T56:T58)</f>
        <v>176</v>
      </c>
      <c r="U59" s="294">
        <f>SUM(U56:U58)</f>
        <v>0</v>
      </c>
      <c r="V59" s="294">
        <f t="shared" ref="V59" si="156">SUM(V56:V58)</f>
        <v>0</v>
      </c>
      <c r="W59" s="294">
        <f t="shared" ref="W59" si="157">SUM(W56:W58)</f>
        <v>0</v>
      </c>
      <c r="X59" s="288">
        <f>SUM(X56:X58)</f>
        <v>403</v>
      </c>
      <c r="Y59" s="292">
        <f t="shared" ref="Y59:Z59" si="158">SUM(Y56:Y58)</f>
        <v>12</v>
      </c>
      <c r="Z59" s="293">
        <f t="shared" si="158"/>
        <v>415</v>
      </c>
    </row>
    <row r="60" spans="1:26" s="317" customFormat="1" ht="13.5" customHeight="1">
      <c r="A60" s="202" t="s">
        <v>217</v>
      </c>
      <c r="B60" s="249" t="s">
        <v>175</v>
      </c>
      <c r="C60" s="315">
        <f>+C55+C59</f>
        <v>3148</v>
      </c>
      <c r="D60" s="294">
        <f t="shared" ref="D60:E60" si="159">+D55+D59</f>
        <v>0</v>
      </c>
      <c r="E60" s="599">
        <f t="shared" si="159"/>
        <v>3148</v>
      </c>
      <c r="F60" s="294">
        <f>+F55+F59</f>
        <v>11659</v>
      </c>
      <c r="G60" s="294">
        <f t="shared" ref="G60" si="160">+G55+G59</f>
        <v>245</v>
      </c>
      <c r="H60" s="599">
        <f t="shared" ref="H60" si="161">+H55+H59</f>
        <v>11904</v>
      </c>
      <c r="I60" s="315">
        <f>+I55+I59</f>
        <v>22824</v>
      </c>
      <c r="J60" s="294">
        <f t="shared" ref="J60" si="162">+J55+J59</f>
        <v>197</v>
      </c>
      <c r="K60" s="599">
        <f t="shared" ref="K60" si="163">+K55+K59</f>
        <v>23021</v>
      </c>
      <c r="L60" s="315">
        <f>+L55+L59</f>
        <v>7706</v>
      </c>
      <c r="M60" s="294">
        <f t="shared" ref="M60" si="164">+M55+M59</f>
        <v>212</v>
      </c>
      <c r="N60" s="599">
        <f t="shared" ref="N60" si="165">+N55+N59</f>
        <v>7918</v>
      </c>
      <c r="O60" s="315">
        <f>+O55+O59</f>
        <v>7372</v>
      </c>
      <c r="P60" s="294">
        <f t="shared" ref="P60" si="166">+P55+P59</f>
        <v>172</v>
      </c>
      <c r="Q60" s="599">
        <f t="shared" ref="Q60" si="167">+Q55+Q59</f>
        <v>7544</v>
      </c>
      <c r="R60" s="315">
        <f>+R55+R59</f>
        <v>2054</v>
      </c>
      <c r="S60" s="294">
        <f t="shared" ref="S60" si="168">+S55+S59</f>
        <v>57</v>
      </c>
      <c r="T60" s="599">
        <f t="shared" ref="T60" si="169">+T55+T59</f>
        <v>2111</v>
      </c>
      <c r="U60" s="294">
        <f>+U55+U59</f>
        <v>2378</v>
      </c>
      <c r="V60" s="294">
        <f t="shared" ref="V60" si="170">+V55+V59</f>
        <v>166</v>
      </c>
      <c r="W60" s="294">
        <f t="shared" ref="W60" si="171">+W55+W59</f>
        <v>2544</v>
      </c>
      <c r="X60" s="288">
        <f>+X55+X59</f>
        <v>57141</v>
      </c>
      <c r="Y60" s="292">
        <f t="shared" ref="Y60:Z60" si="172">+Y55+Y59</f>
        <v>1049</v>
      </c>
      <c r="Z60" s="293">
        <f t="shared" si="172"/>
        <v>58190</v>
      </c>
    </row>
    <row r="61" spans="1:26" s="317" customFormat="1" ht="13.5" customHeight="1">
      <c r="A61" s="202" t="s">
        <v>218</v>
      </c>
      <c r="B61" s="249" t="s">
        <v>176</v>
      </c>
      <c r="C61" s="315">
        <f>+SUM(C62:C66)</f>
        <v>802</v>
      </c>
      <c r="D61" s="315">
        <f t="shared" ref="D61:E61" si="173">+SUM(D62:D66)</f>
        <v>0</v>
      </c>
      <c r="E61" s="602">
        <f t="shared" si="173"/>
        <v>802</v>
      </c>
      <c r="F61" s="294">
        <f>+SUM(F62:F66)</f>
        <v>3426</v>
      </c>
      <c r="G61" s="315">
        <f t="shared" ref="G61" si="174">+SUM(G62:G66)</f>
        <v>-71</v>
      </c>
      <c r="H61" s="602">
        <f t="shared" ref="H61" si="175">+SUM(H62:H66)</f>
        <v>3355</v>
      </c>
      <c r="I61" s="315">
        <f>+SUM(I62:I66)</f>
        <v>6762</v>
      </c>
      <c r="J61" s="315">
        <f t="shared" ref="J61" si="176">+SUM(J62:J66)</f>
        <v>47</v>
      </c>
      <c r="K61" s="602">
        <f t="shared" ref="K61" si="177">+SUM(K62:K66)</f>
        <v>6809</v>
      </c>
      <c r="L61" s="315">
        <f>+SUM(L62:L66)</f>
        <v>2180</v>
      </c>
      <c r="M61" s="315">
        <f t="shared" ref="M61" si="178">+SUM(M62:M66)</f>
        <v>-106</v>
      </c>
      <c r="N61" s="602">
        <f t="shared" ref="N61" si="179">+SUM(N62:N66)</f>
        <v>2074</v>
      </c>
      <c r="O61" s="315">
        <f>+SUM(O62:O66)</f>
        <v>1979</v>
      </c>
      <c r="P61" s="315">
        <f t="shared" ref="P61" si="180">+SUM(P62:P66)</f>
        <v>44</v>
      </c>
      <c r="Q61" s="602">
        <f t="shared" ref="Q61" si="181">+SUM(Q62:Q66)</f>
        <v>2023</v>
      </c>
      <c r="R61" s="315">
        <f>+SUM(R62:R66)</f>
        <v>446</v>
      </c>
      <c r="S61" s="315">
        <f t="shared" ref="S61" si="182">+SUM(S62:S66)</f>
        <v>11</v>
      </c>
      <c r="T61" s="602">
        <f t="shared" ref="T61" si="183">+SUM(T62:T66)</f>
        <v>457</v>
      </c>
      <c r="U61" s="315">
        <f>+SUM(U62:U66)</f>
        <v>707</v>
      </c>
      <c r="V61" s="315">
        <f t="shared" ref="V61" si="184">+SUM(V62:V66)</f>
        <v>-54</v>
      </c>
      <c r="W61" s="315">
        <f t="shared" ref="W61" si="185">+SUM(W62:W66)</f>
        <v>653</v>
      </c>
      <c r="X61" s="288">
        <f>+SUM(X62:X66)</f>
        <v>16302</v>
      </c>
      <c r="Y61" s="292">
        <f t="shared" ref="Y61:Z61" si="186">+SUM(Y62:Y66)</f>
        <v>-129</v>
      </c>
      <c r="Z61" s="293">
        <f t="shared" si="186"/>
        <v>16173</v>
      </c>
    </row>
    <row r="62" spans="1:26" ht="13.5" customHeight="1">
      <c r="A62" s="203" t="s">
        <v>218</v>
      </c>
      <c r="B62" s="250" t="s">
        <v>319</v>
      </c>
      <c r="C62" s="213">
        <f>+'[4]3.SZ.TÁBL. SEGÍTŐ SZOLGÁLAT'!$E62</f>
        <v>733</v>
      </c>
      <c r="D62" s="218"/>
      <c r="E62" s="214">
        <f t="shared" ref="E62:E69" si="187">+C62+D62</f>
        <v>733</v>
      </c>
      <c r="F62" s="209">
        <f>+'[4]3.SZ.TÁBL. SEGÍTŐ SZOLGÁLAT'!$H62</f>
        <v>3016</v>
      </c>
      <c r="G62" s="218">
        <f>+[5]Seg.Szolgálat!$F$6+[5]Seg.Szolgálat!$F$39+[5]Seg.Szolgálat!$F$71</f>
        <v>104</v>
      </c>
      <c r="H62" s="214">
        <f t="shared" ref="H62:H69" si="188">+F62+G62</f>
        <v>3120</v>
      </c>
      <c r="I62" s="213">
        <f>+'[4]3.SZ.TÁBL. SEGÍTŐ SZOLGÁLAT'!$K62</f>
        <v>5769</v>
      </c>
      <c r="J62" s="218">
        <f>+[5]Seg.Szolgálat!$F$7+[5]Seg.Szolgálat!$F$72</f>
        <v>47</v>
      </c>
      <c r="K62" s="214">
        <f t="shared" ref="K62:K69" si="189">+I62+J62</f>
        <v>5816</v>
      </c>
      <c r="L62" s="213">
        <f>+'[4]3.SZ.TÁBL. SEGÍTŐ SZOLGÁLAT'!$N62</f>
        <v>1838</v>
      </c>
      <c r="M62" s="218">
        <f>+[5]Seg.Szolgálat!$F$8+[5]Seg.Szolgálat!$F$59</f>
        <v>44</v>
      </c>
      <c r="N62" s="214">
        <f t="shared" ref="N62:N69" si="190">+L62+M62</f>
        <v>1882</v>
      </c>
      <c r="O62" s="213">
        <f>+'[4]3.SZ.TÁBL. SEGÍTŐ SZOLGÁLAT'!$Q62</f>
        <v>1688</v>
      </c>
      <c r="P62" s="218">
        <f>+[5]Seg.Szolgálat!$F$9+[5]Seg.Szolgálat!$F$16</f>
        <v>167</v>
      </c>
      <c r="Q62" s="214">
        <f t="shared" ref="Q62:Q69" si="191">+O62+P62</f>
        <v>1855</v>
      </c>
      <c r="R62" s="213">
        <f>+'[4]3.SZ.TÁBL. SEGÍTŐ SZOLGÁLAT'!$T62</f>
        <v>364</v>
      </c>
      <c r="S62" s="218">
        <f>+[5]Seg.Szolgálat!$F$10+[5]Seg.Szolgálat!$F$70</f>
        <v>11</v>
      </c>
      <c r="T62" s="214">
        <f t="shared" ref="T62:T69" si="192">+R62+S62</f>
        <v>375</v>
      </c>
      <c r="U62" s="209">
        <f>+'[4]3.SZ.TÁBL. SEGÍTŐ SZOLGÁLAT'!$W62</f>
        <v>535</v>
      </c>
      <c r="V62" s="218">
        <f>+[5]Seg.Szolgálat!$F$5+[5]Seg.Szolgálat!$F$26</f>
        <v>46</v>
      </c>
      <c r="W62" s="212">
        <f t="shared" ref="W62:W69" si="193">+U62+V62</f>
        <v>581</v>
      </c>
      <c r="X62" s="222">
        <f t="shared" ref="X62:X69" si="194">+C62+F62+I62+L62+O62+R62+U62</f>
        <v>13943</v>
      </c>
      <c r="Y62" s="218">
        <f t="shared" ref="Y62:Y69" si="195">+D62+G62+J62+M62+P62+S62+V62</f>
        <v>419</v>
      </c>
      <c r="Z62" s="223">
        <f t="shared" ref="Z62:Z69" si="196">+E62+H62+K62+N62+Q62+T62+W62</f>
        <v>14362</v>
      </c>
    </row>
    <row r="63" spans="1:26" ht="13.5" customHeight="1">
      <c r="A63" s="204" t="s">
        <v>218</v>
      </c>
      <c r="B63" s="211" t="s">
        <v>320</v>
      </c>
      <c r="C63" s="213">
        <f>+'[4]3.SZ.TÁBL. SEGÍTŐ SZOLGÁLAT'!$E63</f>
        <v>34</v>
      </c>
      <c r="D63" s="207"/>
      <c r="E63" s="214">
        <f t="shared" si="187"/>
        <v>34</v>
      </c>
      <c r="F63" s="209">
        <f>+'[4]3.SZ.TÁBL. SEGÍTŐ SZOLGÁLAT'!$H63</f>
        <v>301</v>
      </c>
      <c r="G63" s="207">
        <f>+[5]Seg.Szolgálat!$F$40</f>
        <v>-186</v>
      </c>
      <c r="H63" s="214">
        <f t="shared" si="188"/>
        <v>115</v>
      </c>
      <c r="I63" s="213">
        <f>+'[4]3.SZ.TÁBL. SEGÍTŐ SZOLGÁLAT'!$K63</f>
        <v>704</v>
      </c>
      <c r="J63" s="207"/>
      <c r="K63" s="214">
        <f t="shared" si="189"/>
        <v>704</v>
      </c>
      <c r="L63" s="213">
        <f>+'[4]3.SZ.TÁBL. SEGÍTŐ SZOLGÁLAT'!$N63</f>
        <v>241</v>
      </c>
      <c r="M63" s="207">
        <f>+[5]Seg.Szolgálat!$F$60</f>
        <v>-150</v>
      </c>
      <c r="N63" s="214">
        <f t="shared" si="190"/>
        <v>91</v>
      </c>
      <c r="O63" s="213">
        <f>+'[4]3.SZ.TÁBL. SEGÍTŐ SZOLGÁLAT'!$Q63</f>
        <v>211</v>
      </c>
      <c r="P63" s="207">
        <f>+[5]Seg.Szolgálat!$F$17</f>
        <v>-123</v>
      </c>
      <c r="Q63" s="214">
        <f t="shared" si="191"/>
        <v>88</v>
      </c>
      <c r="R63" s="213">
        <f>+'[4]3.SZ.TÁBL. SEGÍTŐ SZOLGÁLAT'!$T63</f>
        <v>60</v>
      </c>
      <c r="S63" s="207"/>
      <c r="T63" s="214">
        <f t="shared" si="192"/>
        <v>60</v>
      </c>
      <c r="U63" s="209">
        <f>+'[4]3.SZ.TÁBL. SEGÍTŐ SZOLGÁLAT'!$W63</f>
        <v>151</v>
      </c>
      <c r="V63" s="207">
        <f>+[5]Seg.Szolgálat!$F$27</f>
        <v>-100</v>
      </c>
      <c r="W63" s="212">
        <f t="shared" si="193"/>
        <v>51</v>
      </c>
      <c r="X63" s="215">
        <f t="shared" si="194"/>
        <v>1702</v>
      </c>
      <c r="Y63" s="207">
        <f t="shared" si="195"/>
        <v>-559</v>
      </c>
      <c r="Z63" s="208">
        <f t="shared" si="196"/>
        <v>1143</v>
      </c>
    </row>
    <row r="64" spans="1:26" ht="13.5" customHeight="1">
      <c r="A64" s="204" t="s">
        <v>218</v>
      </c>
      <c r="B64" s="211" t="s">
        <v>321</v>
      </c>
      <c r="C64" s="213">
        <f>+'[4]3.SZ.TÁBL. SEGÍTŐ SZOLGÁLAT'!$E64</f>
        <v>17</v>
      </c>
      <c r="D64" s="207"/>
      <c r="E64" s="214">
        <f t="shared" si="187"/>
        <v>17</v>
      </c>
      <c r="F64" s="209">
        <f>+'[4]3.SZ.TÁBL. SEGÍTŐ SZOLGÁLAT'!$H64</f>
        <v>53</v>
      </c>
      <c r="G64" s="207"/>
      <c r="H64" s="214">
        <f t="shared" si="188"/>
        <v>53</v>
      </c>
      <c r="I64" s="213">
        <f>+'[4]3.SZ.TÁBL. SEGÍTŐ SZOLGÁLAT'!$K64</f>
        <v>135</v>
      </c>
      <c r="J64" s="207"/>
      <c r="K64" s="214">
        <f t="shared" si="189"/>
        <v>135</v>
      </c>
      <c r="L64" s="213">
        <f>+'[4]3.SZ.TÁBL. SEGÍTŐ SZOLGÁLAT'!$N64</f>
        <v>51</v>
      </c>
      <c r="M64" s="207"/>
      <c r="N64" s="214">
        <f t="shared" si="190"/>
        <v>51</v>
      </c>
      <c r="O64" s="213">
        <f>+'[4]3.SZ.TÁBL. SEGÍTŐ SZOLGÁLAT'!$Q64</f>
        <v>38</v>
      </c>
      <c r="P64" s="207"/>
      <c r="Q64" s="214">
        <f t="shared" si="191"/>
        <v>38</v>
      </c>
      <c r="R64" s="213">
        <f>+'[4]3.SZ.TÁBL. SEGÍTŐ SZOLGÁLAT'!$T64</f>
        <v>10</v>
      </c>
      <c r="S64" s="207"/>
      <c r="T64" s="214">
        <f t="shared" si="192"/>
        <v>10</v>
      </c>
      <c r="U64" s="209">
        <f>+'[4]3.SZ.TÁBL. SEGÍTŐ SZOLGÁLAT'!$W64</f>
        <v>10</v>
      </c>
      <c r="V64" s="207"/>
      <c r="W64" s="212">
        <f t="shared" si="193"/>
        <v>10</v>
      </c>
      <c r="X64" s="215">
        <f t="shared" si="194"/>
        <v>314</v>
      </c>
      <c r="Y64" s="207">
        <f t="shared" si="195"/>
        <v>0</v>
      </c>
      <c r="Z64" s="208">
        <f t="shared" si="196"/>
        <v>314</v>
      </c>
    </row>
    <row r="65" spans="1:26" ht="13.5" customHeight="1">
      <c r="A65" s="204" t="s">
        <v>218</v>
      </c>
      <c r="B65" s="211" t="s">
        <v>505</v>
      </c>
      <c r="C65" s="213">
        <f>+'[4]3.SZ.TÁBL. SEGÍTŐ SZOLGÁLAT'!$E65</f>
        <v>0</v>
      </c>
      <c r="D65" s="207"/>
      <c r="E65" s="214">
        <f t="shared" si="187"/>
        <v>0</v>
      </c>
      <c r="F65" s="209">
        <f>+'[4]3.SZ.TÁBL. SEGÍTŐ SZOLGÁLAT'!$H65</f>
        <v>0</v>
      </c>
      <c r="G65" s="207">
        <f>+[5]Seg.Szolgálat!$F$41</f>
        <v>11</v>
      </c>
      <c r="H65" s="214">
        <f t="shared" si="188"/>
        <v>11</v>
      </c>
      <c r="I65" s="213">
        <f>+'[4]3.SZ.TÁBL. SEGÍTŐ SZOLGÁLAT'!$K65</f>
        <v>0</v>
      </c>
      <c r="J65" s="207"/>
      <c r="K65" s="214">
        <f t="shared" si="189"/>
        <v>0</v>
      </c>
      <c r="L65" s="213">
        <f>+'[4]3.SZ.TÁBL. SEGÍTŐ SZOLGÁLAT'!$N65</f>
        <v>0</v>
      </c>
      <c r="M65" s="207"/>
      <c r="N65" s="214">
        <f t="shared" si="190"/>
        <v>0</v>
      </c>
      <c r="O65" s="213">
        <f>+'[4]3.SZ.TÁBL. SEGÍTŐ SZOLGÁLAT'!$Q65</f>
        <v>0</v>
      </c>
      <c r="P65" s="207"/>
      <c r="Q65" s="214">
        <f t="shared" si="191"/>
        <v>0</v>
      </c>
      <c r="R65" s="213">
        <f>+'[4]3.SZ.TÁBL. SEGÍTŐ SZOLGÁLAT'!$T65</f>
        <v>0</v>
      </c>
      <c r="S65" s="207"/>
      <c r="T65" s="214">
        <f t="shared" si="192"/>
        <v>0</v>
      </c>
      <c r="U65" s="209">
        <f>+'[4]3.SZ.TÁBL. SEGÍTŐ SZOLGÁLAT'!$W65</f>
        <v>0</v>
      </c>
      <c r="V65" s="207"/>
      <c r="W65" s="212">
        <f t="shared" si="193"/>
        <v>0</v>
      </c>
      <c r="X65" s="215">
        <f t="shared" si="194"/>
        <v>0</v>
      </c>
      <c r="Y65" s="207">
        <f t="shared" si="195"/>
        <v>11</v>
      </c>
      <c r="Z65" s="208">
        <f t="shared" si="196"/>
        <v>11</v>
      </c>
    </row>
    <row r="66" spans="1:26" ht="13.5" customHeight="1">
      <c r="A66" s="204" t="s">
        <v>218</v>
      </c>
      <c r="B66" s="211" t="s">
        <v>322</v>
      </c>
      <c r="C66" s="213">
        <f>+'[4]3.SZ.TÁBL. SEGÍTŐ SZOLGÁLAT'!$E66</f>
        <v>18</v>
      </c>
      <c r="D66" s="207"/>
      <c r="E66" s="214">
        <f t="shared" si="187"/>
        <v>18</v>
      </c>
      <c r="F66" s="209">
        <f>+'[4]3.SZ.TÁBL. SEGÍTŐ SZOLGÁLAT'!$H66</f>
        <v>56</v>
      </c>
      <c r="G66" s="207"/>
      <c r="H66" s="214">
        <f t="shared" si="188"/>
        <v>56</v>
      </c>
      <c r="I66" s="213">
        <f>+'[4]3.SZ.TÁBL. SEGÍTŐ SZOLGÁLAT'!$K66</f>
        <v>154</v>
      </c>
      <c r="J66" s="207"/>
      <c r="K66" s="214">
        <f t="shared" si="189"/>
        <v>154</v>
      </c>
      <c r="L66" s="213">
        <f>+'[4]3.SZ.TÁBL. SEGÍTŐ SZOLGÁLAT'!$N66</f>
        <v>50</v>
      </c>
      <c r="M66" s="207"/>
      <c r="N66" s="214">
        <f t="shared" si="190"/>
        <v>50</v>
      </c>
      <c r="O66" s="213">
        <f>+'[4]3.SZ.TÁBL. SEGÍTŐ SZOLGÁLAT'!$Q66</f>
        <v>42</v>
      </c>
      <c r="P66" s="207"/>
      <c r="Q66" s="214">
        <f t="shared" si="191"/>
        <v>42</v>
      </c>
      <c r="R66" s="213">
        <f>+'[4]3.SZ.TÁBL. SEGÍTŐ SZOLGÁLAT'!$T66</f>
        <v>12</v>
      </c>
      <c r="S66" s="207"/>
      <c r="T66" s="214">
        <f t="shared" si="192"/>
        <v>12</v>
      </c>
      <c r="U66" s="209">
        <f>+'[4]3.SZ.TÁBL. SEGÍTŐ SZOLGÁLAT'!$W66</f>
        <v>11</v>
      </c>
      <c r="V66" s="207"/>
      <c r="W66" s="212">
        <f t="shared" si="193"/>
        <v>11</v>
      </c>
      <c r="X66" s="215">
        <f t="shared" si="194"/>
        <v>343</v>
      </c>
      <c r="Y66" s="207">
        <f t="shared" si="195"/>
        <v>0</v>
      </c>
      <c r="Z66" s="208">
        <f t="shared" si="196"/>
        <v>343</v>
      </c>
    </row>
    <row r="67" spans="1:26" ht="13.5" customHeight="1">
      <c r="A67" s="199" t="s">
        <v>261</v>
      </c>
      <c r="B67" s="247" t="s">
        <v>262</v>
      </c>
      <c r="C67" s="213">
        <f>+'[4]3.SZ.TÁBL. SEGÍTŐ SZOLGÁLAT'!$E67</f>
        <v>17</v>
      </c>
      <c r="D67" s="218"/>
      <c r="E67" s="214">
        <f t="shared" si="187"/>
        <v>17</v>
      </c>
      <c r="F67" s="209">
        <f>+'[4]3.SZ.TÁBL. SEGÍTŐ SZOLGÁLAT'!$H67</f>
        <v>8</v>
      </c>
      <c r="G67" s="218"/>
      <c r="H67" s="214">
        <f t="shared" si="188"/>
        <v>8</v>
      </c>
      <c r="I67" s="213">
        <f>+'[4]3.SZ.TÁBL. SEGÍTŐ SZOLGÁLAT'!$K67</f>
        <v>0</v>
      </c>
      <c r="J67" s="218"/>
      <c r="K67" s="214">
        <f t="shared" si="189"/>
        <v>0</v>
      </c>
      <c r="L67" s="213">
        <f>+'[4]3.SZ.TÁBL. SEGÍTŐ SZOLGÁLAT'!$N67</f>
        <v>0</v>
      </c>
      <c r="M67" s="218"/>
      <c r="N67" s="214">
        <f t="shared" si="190"/>
        <v>0</v>
      </c>
      <c r="O67" s="213">
        <f>+'[4]3.SZ.TÁBL. SEGÍTŐ SZOLGÁLAT'!$Q67</f>
        <v>0</v>
      </c>
      <c r="P67" s="218"/>
      <c r="Q67" s="214">
        <f t="shared" si="191"/>
        <v>0</v>
      </c>
      <c r="R67" s="213">
        <f>+'[4]3.SZ.TÁBL. SEGÍTŐ SZOLGÁLAT'!$T67</f>
        <v>0</v>
      </c>
      <c r="S67" s="218"/>
      <c r="T67" s="214">
        <f t="shared" si="192"/>
        <v>0</v>
      </c>
      <c r="U67" s="209">
        <f>+'[4]3.SZ.TÁBL. SEGÍTŐ SZOLGÁLAT'!$W67</f>
        <v>17</v>
      </c>
      <c r="V67" s="218"/>
      <c r="W67" s="212">
        <f t="shared" si="193"/>
        <v>17</v>
      </c>
      <c r="X67" s="222">
        <f t="shared" si="194"/>
        <v>42</v>
      </c>
      <c r="Y67" s="218">
        <f t="shared" si="195"/>
        <v>0</v>
      </c>
      <c r="Z67" s="223">
        <f t="shared" si="196"/>
        <v>42</v>
      </c>
    </row>
    <row r="68" spans="1:26" ht="15.75" customHeight="1">
      <c r="A68" s="200" t="s">
        <v>263</v>
      </c>
      <c r="B68" s="210" t="s">
        <v>443</v>
      </c>
      <c r="C68" s="213">
        <f>+'[4]3.SZ.TÁBL. SEGÍTŐ SZOLGÁLAT'!$E68</f>
        <v>401</v>
      </c>
      <c r="D68" s="207">
        <f>+[5]Seg.Szolgálat!$G$21</f>
        <v>46</v>
      </c>
      <c r="E68" s="214">
        <f t="shared" si="187"/>
        <v>447</v>
      </c>
      <c r="F68" s="209">
        <f>+'[4]3.SZ.TÁBL. SEGÍTŐ SZOLGÁLAT'!$H68</f>
        <v>155</v>
      </c>
      <c r="G68" s="207"/>
      <c r="H68" s="214">
        <f t="shared" si="188"/>
        <v>155</v>
      </c>
      <c r="I68" s="213">
        <f>+'[4]3.SZ.TÁBL. SEGÍTŐ SZOLGÁLAT'!$K68</f>
        <v>655</v>
      </c>
      <c r="J68" s="207">
        <f>+[5]Seg.Szolgálat!$G$56</f>
        <v>11</v>
      </c>
      <c r="K68" s="214">
        <f t="shared" si="189"/>
        <v>666</v>
      </c>
      <c r="L68" s="213">
        <f>+'[4]3.SZ.TÁBL. SEGÍTŐ SZOLGÁLAT'!$N68</f>
        <v>140</v>
      </c>
      <c r="M68" s="207"/>
      <c r="N68" s="214">
        <f t="shared" si="190"/>
        <v>140</v>
      </c>
      <c r="O68" s="213">
        <f>+'[4]3.SZ.TÁBL. SEGÍTŐ SZOLGÁLAT'!$Q68</f>
        <v>1245</v>
      </c>
      <c r="P68" s="207"/>
      <c r="Q68" s="214">
        <f t="shared" si="191"/>
        <v>1245</v>
      </c>
      <c r="R68" s="213">
        <f>+'[4]3.SZ.TÁBL. SEGÍTŐ SZOLGÁLAT'!$T68</f>
        <v>1242</v>
      </c>
      <c r="S68" s="207"/>
      <c r="T68" s="214">
        <f t="shared" si="192"/>
        <v>1242</v>
      </c>
      <c r="U68" s="209">
        <f>+'[4]3.SZ.TÁBL. SEGÍTŐ SZOLGÁLAT'!$W68</f>
        <v>50</v>
      </c>
      <c r="V68" s="207">
        <f>+[5]Seg.Szolgálat!$G$30</f>
        <v>-29</v>
      </c>
      <c r="W68" s="212">
        <f t="shared" si="193"/>
        <v>21</v>
      </c>
      <c r="X68" s="215">
        <f t="shared" si="194"/>
        <v>3888</v>
      </c>
      <c r="Y68" s="207">
        <f t="shared" si="195"/>
        <v>28</v>
      </c>
      <c r="Z68" s="208">
        <f t="shared" si="196"/>
        <v>3916</v>
      </c>
    </row>
    <row r="69" spans="1:26" ht="13.5" customHeight="1">
      <c r="A69" s="201" t="s">
        <v>265</v>
      </c>
      <c r="B69" s="248" t="s">
        <v>266</v>
      </c>
      <c r="C69" s="213">
        <f>+'[4]3.SZ.TÁBL. SEGÍTŐ SZOLGÁLAT'!$E69</f>
        <v>0</v>
      </c>
      <c r="D69" s="228"/>
      <c r="E69" s="214">
        <f t="shared" si="187"/>
        <v>0</v>
      </c>
      <c r="F69" s="209">
        <f>+'[4]3.SZ.TÁBL. SEGÍTŐ SZOLGÁLAT'!$H69</f>
        <v>0</v>
      </c>
      <c r="G69" s="228"/>
      <c r="H69" s="214">
        <f t="shared" si="188"/>
        <v>0</v>
      </c>
      <c r="I69" s="213">
        <f>+'[4]3.SZ.TÁBL. SEGÍTŐ SZOLGÁLAT'!$K69</f>
        <v>0</v>
      </c>
      <c r="J69" s="228"/>
      <c r="K69" s="214">
        <f t="shared" si="189"/>
        <v>0</v>
      </c>
      <c r="L69" s="213">
        <f>+'[4]3.SZ.TÁBL. SEGÍTŐ SZOLGÁLAT'!$N69</f>
        <v>0</v>
      </c>
      <c r="M69" s="228"/>
      <c r="N69" s="214">
        <f t="shared" si="190"/>
        <v>0</v>
      </c>
      <c r="O69" s="213">
        <f>+'[4]3.SZ.TÁBL. SEGÍTŐ SZOLGÁLAT'!$Q69</f>
        <v>0</v>
      </c>
      <c r="P69" s="228"/>
      <c r="Q69" s="214">
        <f t="shared" si="191"/>
        <v>0</v>
      </c>
      <c r="R69" s="213">
        <f>+'[4]3.SZ.TÁBL. SEGÍTŐ SZOLGÁLAT'!$T69</f>
        <v>0</v>
      </c>
      <c r="S69" s="228"/>
      <c r="T69" s="214">
        <f t="shared" si="192"/>
        <v>0</v>
      </c>
      <c r="U69" s="209">
        <f>+'[4]3.SZ.TÁBL. SEGÍTŐ SZOLGÁLAT'!$W69</f>
        <v>0</v>
      </c>
      <c r="V69" s="228"/>
      <c r="W69" s="212">
        <f t="shared" si="193"/>
        <v>0</v>
      </c>
      <c r="X69" s="232">
        <f t="shared" si="194"/>
        <v>0</v>
      </c>
      <c r="Y69" s="228">
        <f t="shared" si="195"/>
        <v>0</v>
      </c>
      <c r="Z69" s="233">
        <f t="shared" si="196"/>
        <v>0</v>
      </c>
    </row>
    <row r="70" spans="1:26" s="317" customFormat="1" ht="13.5" customHeight="1">
      <c r="A70" s="202" t="s">
        <v>219</v>
      </c>
      <c r="B70" s="249" t="s">
        <v>177</v>
      </c>
      <c r="C70" s="315">
        <f>SUM(C67:C69)</f>
        <v>418</v>
      </c>
      <c r="D70" s="294">
        <f t="shared" ref="D70:E70" si="197">SUM(D67:D69)</f>
        <v>46</v>
      </c>
      <c r="E70" s="599">
        <f t="shared" si="197"/>
        <v>464</v>
      </c>
      <c r="F70" s="294">
        <f>SUM(F67:F69)</f>
        <v>163</v>
      </c>
      <c r="G70" s="294">
        <f t="shared" ref="G70" si="198">SUM(G67:G69)</f>
        <v>0</v>
      </c>
      <c r="H70" s="599">
        <f t="shared" ref="H70" si="199">SUM(H67:H69)</f>
        <v>163</v>
      </c>
      <c r="I70" s="315">
        <f>SUM(I67:I69)</f>
        <v>655</v>
      </c>
      <c r="J70" s="294">
        <f t="shared" ref="J70" si="200">SUM(J67:J69)</f>
        <v>11</v>
      </c>
      <c r="K70" s="599">
        <f t="shared" ref="K70" si="201">SUM(K67:K69)</f>
        <v>666</v>
      </c>
      <c r="L70" s="315">
        <f>SUM(L67:L69)</f>
        <v>140</v>
      </c>
      <c r="M70" s="294">
        <f t="shared" ref="M70" si="202">SUM(M67:M69)</f>
        <v>0</v>
      </c>
      <c r="N70" s="599">
        <f t="shared" ref="N70" si="203">SUM(N67:N69)</f>
        <v>140</v>
      </c>
      <c r="O70" s="315">
        <f>SUM(O67:O69)</f>
        <v>1245</v>
      </c>
      <c r="P70" s="294">
        <f t="shared" ref="P70" si="204">SUM(P67:P69)</f>
        <v>0</v>
      </c>
      <c r="Q70" s="599">
        <f t="shared" ref="Q70" si="205">SUM(Q67:Q69)</f>
        <v>1245</v>
      </c>
      <c r="R70" s="315">
        <f>SUM(R67:R69)</f>
        <v>1242</v>
      </c>
      <c r="S70" s="294">
        <f t="shared" ref="S70" si="206">SUM(S67:S69)</f>
        <v>0</v>
      </c>
      <c r="T70" s="599">
        <f t="shared" ref="T70" si="207">SUM(T67:T69)</f>
        <v>1242</v>
      </c>
      <c r="U70" s="294">
        <f>SUM(U67:U69)</f>
        <v>67</v>
      </c>
      <c r="V70" s="294">
        <f t="shared" ref="V70" si="208">SUM(V67:V69)</f>
        <v>-29</v>
      </c>
      <c r="W70" s="294">
        <f t="shared" ref="W70" si="209">SUM(W67:W69)</f>
        <v>38</v>
      </c>
      <c r="X70" s="288">
        <f>SUM(X67:X69)</f>
        <v>3930</v>
      </c>
      <c r="Y70" s="292">
        <f t="shared" ref="Y70:Z70" si="210">SUM(Y67:Y69)</f>
        <v>28</v>
      </c>
      <c r="Z70" s="293">
        <f t="shared" si="210"/>
        <v>3958</v>
      </c>
    </row>
    <row r="71" spans="1:26" ht="13.5" customHeight="1">
      <c r="A71" s="199" t="s">
        <v>267</v>
      </c>
      <c r="B71" s="247" t="s">
        <v>268</v>
      </c>
      <c r="C71" s="213">
        <f>+'[4]3.SZ.TÁBL. SEGÍTŐ SZOLGÁLAT'!$E71</f>
        <v>0</v>
      </c>
      <c r="D71" s="218"/>
      <c r="E71" s="214">
        <f t="shared" ref="E71:E72" si="211">+C71+D71</f>
        <v>0</v>
      </c>
      <c r="F71" s="209">
        <f>+'[4]3.SZ.TÁBL. SEGÍTŐ SZOLGÁLAT'!$H71</f>
        <v>0</v>
      </c>
      <c r="G71" s="218"/>
      <c r="H71" s="214">
        <f t="shared" ref="H71:H72" si="212">+F71+G71</f>
        <v>0</v>
      </c>
      <c r="I71" s="213">
        <f>+'[4]3.SZ.TÁBL. SEGÍTŐ SZOLGÁLAT'!$K71</f>
        <v>0</v>
      </c>
      <c r="J71" s="218"/>
      <c r="K71" s="214">
        <f t="shared" ref="K71:K72" si="213">+I71+J71</f>
        <v>0</v>
      </c>
      <c r="L71" s="213">
        <f>+'[4]3.SZ.TÁBL. SEGÍTŐ SZOLGÁLAT'!$N71</f>
        <v>300</v>
      </c>
      <c r="M71" s="218">
        <f>+[5]Seg.Szolgálat!$H$61</f>
        <v>20</v>
      </c>
      <c r="N71" s="214">
        <f t="shared" ref="N71:N72" si="214">+L71+M71</f>
        <v>320</v>
      </c>
      <c r="O71" s="213">
        <f>+'[4]3.SZ.TÁBL. SEGÍTŐ SZOLGÁLAT'!$Q71</f>
        <v>0</v>
      </c>
      <c r="P71" s="218"/>
      <c r="Q71" s="214">
        <f t="shared" ref="Q71:Q72" si="215">+O71+P71</f>
        <v>0</v>
      </c>
      <c r="R71" s="213">
        <f>+'[4]3.SZ.TÁBL. SEGÍTŐ SZOLGÁLAT'!$T71</f>
        <v>0</v>
      </c>
      <c r="S71" s="218"/>
      <c r="T71" s="214">
        <f t="shared" ref="T71:T72" si="216">+R71+S71</f>
        <v>0</v>
      </c>
      <c r="U71" s="209">
        <f>+'[4]3.SZ.TÁBL. SEGÍTŐ SZOLGÁLAT'!$W71</f>
        <v>0</v>
      </c>
      <c r="V71" s="218"/>
      <c r="W71" s="212">
        <f t="shared" ref="W71:W72" si="217">+U71+V71</f>
        <v>0</v>
      </c>
      <c r="X71" s="222">
        <f t="shared" ref="X71:X72" si="218">+C71+F71+I71+L71+O71+R71+U71</f>
        <v>300</v>
      </c>
      <c r="Y71" s="218">
        <f t="shared" ref="Y71:Y72" si="219">+D71+G71+J71+M71+P71+S71+V71</f>
        <v>20</v>
      </c>
      <c r="Z71" s="223">
        <f t="shared" ref="Z71:Z72" si="220">+E71+H71+K71+N71+Q71+T71+W71</f>
        <v>320</v>
      </c>
    </row>
    <row r="72" spans="1:26" ht="13.5" customHeight="1">
      <c r="A72" s="201" t="s">
        <v>269</v>
      </c>
      <c r="B72" s="248" t="s">
        <v>270</v>
      </c>
      <c r="C72" s="213">
        <f>+'[4]3.SZ.TÁBL. SEGÍTŐ SZOLGÁLAT'!$E72</f>
        <v>50</v>
      </c>
      <c r="D72" s="228"/>
      <c r="E72" s="214">
        <f t="shared" si="211"/>
        <v>50</v>
      </c>
      <c r="F72" s="209">
        <f>+'[4]3.SZ.TÁBL. SEGÍTŐ SZOLGÁLAT'!$H72</f>
        <v>140</v>
      </c>
      <c r="G72" s="228">
        <f>+[5]Seg.Szolgálat!$H$42</f>
        <v>14</v>
      </c>
      <c r="H72" s="214">
        <f t="shared" si="212"/>
        <v>154</v>
      </c>
      <c r="I72" s="213">
        <f>+'[4]3.SZ.TÁBL. SEGÍTŐ SZOLGÁLAT'!$K72</f>
        <v>50</v>
      </c>
      <c r="J72" s="228">
        <f>+[5]Seg.Szolgálat!$H$53</f>
        <v>2</v>
      </c>
      <c r="K72" s="214">
        <f t="shared" si="213"/>
        <v>52</v>
      </c>
      <c r="L72" s="213">
        <f>+'[4]3.SZ.TÁBL. SEGÍTŐ SZOLGÁLAT'!$N72</f>
        <v>140</v>
      </c>
      <c r="M72" s="228"/>
      <c r="N72" s="214">
        <f t="shared" si="214"/>
        <v>140</v>
      </c>
      <c r="O72" s="213">
        <f>+'[4]3.SZ.TÁBL. SEGÍTŐ SZOLGÁLAT'!$Q72</f>
        <v>55</v>
      </c>
      <c r="P72" s="228">
        <f>+[5]Seg.Szolgálat!$H$18</f>
        <v>21</v>
      </c>
      <c r="Q72" s="214">
        <f t="shared" si="215"/>
        <v>76</v>
      </c>
      <c r="R72" s="213">
        <f>+'[4]3.SZ.TÁBL. SEGÍTŐ SZOLGÁLAT'!$T72</f>
        <v>12</v>
      </c>
      <c r="S72" s="228"/>
      <c r="T72" s="214">
        <f t="shared" si="216"/>
        <v>12</v>
      </c>
      <c r="U72" s="209">
        <f>+'[4]3.SZ.TÁBL. SEGÍTŐ SZOLGÁLAT'!$W72</f>
        <v>50</v>
      </c>
      <c r="V72" s="228"/>
      <c r="W72" s="212">
        <f t="shared" si="217"/>
        <v>50</v>
      </c>
      <c r="X72" s="232">
        <f t="shared" si="218"/>
        <v>497</v>
      </c>
      <c r="Y72" s="228">
        <f t="shared" si="219"/>
        <v>37</v>
      </c>
      <c r="Z72" s="233">
        <f t="shared" si="220"/>
        <v>534</v>
      </c>
    </row>
    <row r="73" spans="1:26" s="317" customFormat="1" ht="13.5" customHeight="1">
      <c r="A73" s="202" t="s">
        <v>220</v>
      </c>
      <c r="B73" s="249" t="s">
        <v>178</v>
      </c>
      <c r="C73" s="315">
        <f>SUM(C71:C72)</f>
        <v>50</v>
      </c>
      <c r="D73" s="294">
        <f t="shared" ref="D73:E73" si="221">SUM(D71:D72)</f>
        <v>0</v>
      </c>
      <c r="E73" s="599">
        <f t="shared" si="221"/>
        <v>50</v>
      </c>
      <c r="F73" s="294">
        <f>SUM(F71:F72)</f>
        <v>140</v>
      </c>
      <c r="G73" s="294">
        <f t="shared" ref="G73" si="222">SUM(G71:G72)</f>
        <v>14</v>
      </c>
      <c r="H73" s="599">
        <f t="shared" ref="H73" si="223">SUM(H71:H72)</f>
        <v>154</v>
      </c>
      <c r="I73" s="315">
        <f>SUM(I71:I72)</f>
        <v>50</v>
      </c>
      <c r="J73" s="294">
        <f t="shared" ref="J73" si="224">SUM(J71:J72)</f>
        <v>2</v>
      </c>
      <c r="K73" s="599">
        <f t="shared" ref="K73" si="225">SUM(K71:K72)</f>
        <v>52</v>
      </c>
      <c r="L73" s="315">
        <f>SUM(L71:L72)</f>
        <v>440</v>
      </c>
      <c r="M73" s="294">
        <f t="shared" ref="M73" si="226">SUM(M71:M72)</f>
        <v>20</v>
      </c>
      <c r="N73" s="599">
        <f t="shared" ref="N73" si="227">SUM(N71:N72)</f>
        <v>460</v>
      </c>
      <c r="O73" s="315">
        <f>SUM(O71:O72)</f>
        <v>55</v>
      </c>
      <c r="P73" s="294">
        <f t="shared" ref="P73" si="228">SUM(P71:P72)</f>
        <v>21</v>
      </c>
      <c r="Q73" s="599">
        <f t="shared" ref="Q73" si="229">SUM(Q71:Q72)</f>
        <v>76</v>
      </c>
      <c r="R73" s="315">
        <f>SUM(R71:R72)</f>
        <v>12</v>
      </c>
      <c r="S73" s="294">
        <f t="shared" ref="S73" si="230">SUM(S71:S72)</f>
        <v>0</v>
      </c>
      <c r="T73" s="599">
        <f t="shared" ref="T73" si="231">SUM(T71:T72)</f>
        <v>12</v>
      </c>
      <c r="U73" s="294">
        <f>SUM(U71:U72)</f>
        <v>50</v>
      </c>
      <c r="V73" s="294">
        <f t="shared" ref="V73" si="232">SUM(V71:V72)</f>
        <v>0</v>
      </c>
      <c r="W73" s="294">
        <f t="shared" ref="W73" si="233">SUM(W71:W72)</f>
        <v>50</v>
      </c>
      <c r="X73" s="288">
        <f>SUM(X71:X72)</f>
        <v>797</v>
      </c>
      <c r="Y73" s="292">
        <f t="shared" ref="Y73:Z73" si="234">SUM(Y71:Y72)</f>
        <v>57</v>
      </c>
      <c r="Z73" s="293">
        <f t="shared" si="234"/>
        <v>854</v>
      </c>
    </row>
    <row r="74" spans="1:26" ht="13.5" customHeight="1">
      <c r="A74" s="199" t="s">
        <v>271</v>
      </c>
      <c r="B74" s="247" t="s">
        <v>272</v>
      </c>
      <c r="C74" s="213">
        <f>+'[4]3.SZ.TÁBL. SEGÍTŐ SZOLGÁLAT'!$E74</f>
        <v>536</v>
      </c>
      <c r="D74" s="218">
        <f>+[5]Seg.Szolgálat!$I$24</f>
        <v>-57</v>
      </c>
      <c r="E74" s="214">
        <f t="shared" ref="E74:E82" si="235">+C74+D74</f>
        <v>479</v>
      </c>
      <c r="F74" s="209">
        <f>+'[4]3.SZ.TÁBL. SEGÍTŐ SZOLGÁLAT'!$H74</f>
        <v>430</v>
      </c>
      <c r="G74" s="218">
        <f>+[5]Seg.Szolgálat!$I$46+[5]Seg.Szolgálat!$I$47+[5]Seg.Szolgálat!$I$48</f>
        <v>-220</v>
      </c>
      <c r="H74" s="214">
        <f t="shared" ref="H74:H82" si="236">+F74+G74</f>
        <v>210</v>
      </c>
      <c r="I74" s="213">
        <f>+'[4]3.SZ.TÁBL. SEGÍTŐ SZOLGÁLAT'!$K74</f>
        <v>429</v>
      </c>
      <c r="J74" s="218"/>
      <c r="K74" s="214">
        <f t="shared" ref="K74:K82" si="237">+I74+J74</f>
        <v>429</v>
      </c>
      <c r="L74" s="213">
        <f>+'[4]3.SZ.TÁBL. SEGÍTŐ SZOLGÁLAT'!$N74</f>
        <v>430</v>
      </c>
      <c r="M74" s="218"/>
      <c r="N74" s="214">
        <f t="shared" ref="N74:N82" si="238">+L74+M74</f>
        <v>430</v>
      </c>
      <c r="O74" s="213">
        <f>+'[4]3.SZ.TÁBL. SEGÍTŐ SZOLGÁLAT'!$Q74</f>
        <v>429</v>
      </c>
      <c r="P74" s="218"/>
      <c r="Q74" s="214">
        <f t="shared" ref="Q74:Q82" si="239">+O74+P74</f>
        <v>429</v>
      </c>
      <c r="R74" s="213">
        <f>+'[4]3.SZ.TÁBL. SEGÍTŐ SZOLGÁLAT'!$T74</f>
        <v>0</v>
      </c>
      <c r="S74" s="218"/>
      <c r="T74" s="214">
        <f t="shared" ref="T74:T82" si="240">+R74+S74</f>
        <v>0</v>
      </c>
      <c r="U74" s="209">
        <f>+'[4]3.SZ.TÁBL. SEGÍTŐ SZOLGÁLAT'!$W74</f>
        <v>76</v>
      </c>
      <c r="V74" s="218">
        <f>+[5]Seg.Szolgálat!$I$31+[5]Seg.Szolgálat!$I$32</f>
        <v>-27</v>
      </c>
      <c r="W74" s="212">
        <f t="shared" ref="W74:W82" si="241">+U74+V74</f>
        <v>49</v>
      </c>
      <c r="X74" s="222">
        <f t="shared" ref="X74:X77" si="242">+C74+F74+I74+L74+O74+R74+U74</f>
        <v>2330</v>
      </c>
      <c r="Y74" s="218">
        <f t="shared" ref="Y74:Y77" si="243">+D74+G74+J74+M74+P74+S74+V74</f>
        <v>-304</v>
      </c>
      <c r="Z74" s="223">
        <f t="shared" ref="Z74:Z77" si="244">+E74+H74+K74+N74+Q74+T74+W74</f>
        <v>2026</v>
      </c>
    </row>
    <row r="75" spans="1:26" ht="13.5" customHeight="1">
      <c r="A75" s="200" t="s">
        <v>273</v>
      </c>
      <c r="B75" s="210" t="s">
        <v>3</v>
      </c>
      <c r="C75" s="213">
        <f>+'[4]3.SZ.TÁBL. SEGÍTŐ SZOLGÁLAT'!$E75</f>
        <v>250</v>
      </c>
      <c r="D75" s="207">
        <f>+[5]Seg.Szolgálat!$I$22</f>
        <v>6</v>
      </c>
      <c r="E75" s="214">
        <f t="shared" si="235"/>
        <v>256</v>
      </c>
      <c r="F75" s="209">
        <f>+'[4]3.SZ.TÁBL. SEGÍTŐ SZOLGÁLAT'!$H75</f>
        <v>0</v>
      </c>
      <c r="G75" s="207"/>
      <c r="H75" s="214">
        <f t="shared" si="236"/>
        <v>0</v>
      </c>
      <c r="I75" s="213">
        <f>+'[4]3.SZ.TÁBL. SEGÍTŐ SZOLGÁLAT'!$K75</f>
        <v>0</v>
      </c>
      <c r="J75" s="207"/>
      <c r="K75" s="214">
        <f t="shared" si="237"/>
        <v>0</v>
      </c>
      <c r="L75" s="213">
        <f>+'[4]3.SZ.TÁBL. SEGÍTŐ SZOLGÁLAT'!$N75</f>
        <v>0</v>
      </c>
      <c r="M75" s="207"/>
      <c r="N75" s="214">
        <f t="shared" si="238"/>
        <v>0</v>
      </c>
      <c r="O75" s="213">
        <f>+'[4]3.SZ.TÁBL. SEGÍTŐ SZOLGÁLAT'!$Q75</f>
        <v>0</v>
      </c>
      <c r="P75" s="207"/>
      <c r="Q75" s="214">
        <f t="shared" si="239"/>
        <v>0</v>
      </c>
      <c r="R75" s="213">
        <f>+'[4]3.SZ.TÁBL. SEGÍTŐ SZOLGÁLAT'!$T75</f>
        <v>0</v>
      </c>
      <c r="S75" s="207"/>
      <c r="T75" s="214">
        <f t="shared" si="240"/>
        <v>0</v>
      </c>
      <c r="U75" s="209">
        <f>+'[4]3.SZ.TÁBL. SEGÍTŐ SZOLGÁLAT'!$W75</f>
        <v>100</v>
      </c>
      <c r="V75" s="207"/>
      <c r="W75" s="212">
        <f t="shared" si="241"/>
        <v>100</v>
      </c>
      <c r="X75" s="215">
        <f t="shared" si="242"/>
        <v>350</v>
      </c>
      <c r="Y75" s="207">
        <f t="shared" si="243"/>
        <v>6</v>
      </c>
      <c r="Z75" s="208">
        <f t="shared" si="244"/>
        <v>356</v>
      </c>
    </row>
    <row r="76" spans="1:26" ht="13.5" customHeight="1">
      <c r="A76" s="200" t="s">
        <v>274</v>
      </c>
      <c r="B76" s="210" t="s">
        <v>275</v>
      </c>
      <c r="C76" s="213">
        <f>+'[4]3.SZ.TÁBL. SEGÍTŐ SZOLGÁLAT'!$E76</f>
        <v>0</v>
      </c>
      <c r="D76" s="207"/>
      <c r="E76" s="214">
        <f t="shared" si="235"/>
        <v>0</v>
      </c>
      <c r="F76" s="209">
        <f>+'[4]3.SZ.TÁBL. SEGÍTŐ SZOLGÁLAT'!$H76</f>
        <v>0</v>
      </c>
      <c r="G76" s="207"/>
      <c r="H76" s="214">
        <f t="shared" si="236"/>
        <v>0</v>
      </c>
      <c r="I76" s="213">
        <f>+'[4]3.SZ.TÁBL. SEGÍTŐ SZOLGÁLAT'!$K76</f>
        <v>0</v>
      </c>
      <c r="J76" s="207"/>
      <c r="K76" s="214">
        <f t="shared" si="237"/>
        <v>0</v>
      </c>
      <c r="L76" s="213">
        <f>+'[4]3.SZ.TÁBL. SEGÍTŐ SZOLGÁLAT'!$N76</f>
        <v>0</v>
      </c>
      <c r="M76" s="207"/>
      <c r="N76" s="214">
        <f t="shared" si="238"/>
        <v>0</v>
      </c>
      <c r="O76" s="213">
        <f>+'[4]3.SZ.TÁBL. SEGÍTŐ SZOLGÁLAT'!$Q76</f>
        <v>0</v>
      </c>
      <c r="P76" s="207"/>
      <c r="Q76" s="214">
        <f t="shared" si="239"/>
        <v>0</v>
      </c>
      <c r="R76" s="213">
        <f>+'[4]3.SZ.TÁBL. SEGÍTŐ SZOLGÁLAT'!$T76</f>
        <v>0</v>
      </c>
      <c r="S76" s="207"/>
      <c r="T76" s="214">
        <f t="shared" si="240"/>
        <v>0</v>
      </c>
      <c r="U76" s="209">
        <f>+'[4]3.SZ.TÁBL. SEGÍTŐ SZOLGÁLAT'!$W76</f>
        <v>0</v>
      </c>
      <c r="V76" s="207"/>
      <c r="W76" s="212">
        <f t="shared" si="241"/>
        <v>0</v>
      </c>
      <c r="X76" s="215">
        <f t="shared" si="242"/>
        <v>0</v>
      </c>
      <c r="Y76" s="207">
        <f t="shared" si="243"/>
        <v>0</v>
      </c>
      <c r="Z76" s="208">
        <f t="shared" si="244"/>
        <v>0</v>
      </c>
    </row>
    <row r="77" spans="1:26" ht="13.5" customHeight="1">
      <c r="A77" s="200" t="s">
        <v>276</v>
      </c>
      <c r="B77" s="210" t="s">
        <v>277</v>
      </c>
      <c r="C77" s="213">
        <f>+'[4]3.SZ.TÁBL. SEGÍTŐ SZOLGÁLAT'!$E77</f>
        <v>60</v>
      </c>
      <c r="D77" s="207"/>
      <c r="E77" s="214">
        <f t="shared" si="235"/>
        <v>60</v>
      </c>
      <c r="F77" s="209">
        <f>+'[4]3.SZ.TÁBL. SEGÍTŐ SZOLGÁLAT'!$H77</f>
        <v>2</v>
      </c>
      <c r="G77" s="207"/>
      <c r="H77" s="214">
        <f t="shared" si="236"/>
        <v>2</v>
      </c>
      <c r="I77" s="213">
        <f>+'[4]3.SZ.TÁBL. SEGÍTŐ SZOLGÁLAT'!$K77</f>
        <v>120</v>
      </c>
      <c r="J77" s="207"/>
      <c r="K77" s="214">
        <f t="shared" si="237"/>
        <v>120</v>
      </c>
      <c r="L77" s="213">
        <f>+'[4]3.SZ.TÁBL. SEGÍTŐ SZOLGÁLAT'!$N77</f>
        <v>207</v>
      </c>
      <c r="M77" s="207"/>
      <c r="N77" s="214">
        <f t="shared" si="238"/>
        <v>207</v>
      </c>
      <c r="O77" s="213">
        <f>+'[4]3.SZ.TÁBL. SEGÍTŐ SZOLGÁLAT'!$Q77</f>
        <v>300</v>
      </c>
      <c r="P77" s="207"/>
      <c r="Q77" s="214">
        <f t="shared" si="239"/>
        <v>300</v>
      </c>
      <c r="R77" s="213">
        <f>+'[4]3.SZ.TÁBL. SEGÍTŐ SZOLGÁLAT'!$T77</f>
        <v>400</v>
      </c>
      <c r="S77" s="207"/>
      <c r="T77" s="214">
        <f t="shared" si="240"/>
        <v>400</v>
      </c>
      <c r="U77" s="209">
        <f>+'[4]3.SZ.TÁBL. SEGÍTŐ SZOLGÁLAT'!$W77</f>
        <v>0</v>
      </c>
      <c r="V77" s="207"/>
      <c r="W77" s="212">
        <f t="shared" si="241"/>
        <v>0</v>
      </c>
      <c r="X77" s="215">
        <f t="shared" si="242"/>
        <v>1089</v>
      </c>
      <c r="Y77" s="207">
        <f t="shared" si="243"/>
        <v>0</v>
      </c>
      <c r="Z77" s="208">
        <f t="shared" si="244"/>
        <v>1089</v>
      </c>
    </row>
    <row r="78" spans="1:26" ht="13.5" customHeight="1">
      <c r="A78" s="200" t="s">
        <v>278</v>
      </c>
      <c r="B78" s="210" t="s">
        <v>279</v>
      </c>
      <c r="C78" s="213">
        <f>+'[4]3.SZ.TÁBL. SEGÍTŐ SZOLGÁLAT'!$E78</f>
        <v>0</v>
      </c>
      <c r="D78" s="207"/>
      <c r="E78" s="214">
        <f t="shared" si="235"/>
        <v>0</v>
      </c>
      <c r="F78" s="209">
        <f>+'[4]3.SZ.TÁBL. SEGÍTŐ SZOLGÁLAT'!$H78</f>
        <v>7</v>
      </c>
      <c r="G78" s="207"/>
      <c r="H78" s="214">
        <f>+F78+G78</f>
        <v>7</v>
      </c>
      <c r="I78" s="213">
        <f>+'[4]3.SZ.TÁBL. SEGÍTŐ SZOLGÁLAT'!$K78</f>
        <v>0</v>
      </c>
      <c r="J78" s="207"/>
      <c r="K78" s="214">
        <f t="shared" si="237"/>
        <v>0</v>
      </c>
      <c r="L78" s="213">
        <f>+'[4]3.SZ.TÁBL. SEGÍTŐ SZOLGÁLAT'!$N78</f>
        <v>0</v>
      </c>
      <c r="M78" s="207"/>
      <c r="N78" s="214">
        <f t="shared" si="238"/>
        <v>0</v>
      </c>
      <c r="O78" s="213">
        <f>+'[4]3.SZ.TÁBL. SEGÍTŐ SZOLGÁLAT'!$Q78</f>
        <v>0</v>
      </c>
      <c r="P78" s="207"/>
      <c r="Q78" s="214">
        <f t="shared" si="239"/>
        <v>0</v>
      </c>
      <c r="R78" s="213">
        <f>+'[4]3.SZ.TÁBL. SEGÍTŐ SZOLGÁLAT'!$T78</f>
        <v>0</v>
      </c>
      <c r="S78" s="207"/>
      <c r="T78" s="214">
        <f t="shared" si="240"/>
        <v>0</v>
      </c>
      <c r="U78" s="209">
        <f>+'[4]3.SZ.TÁBL. SEGÍTŐ SZOLGÁLAT'!$W78</f>
        <v>0</v>
      </c>
      <c r="V78" s="207"/>
      <c r="W78" s="212">
        <f t="shared" si="241"/>
        <v>0</v>
      </c>
      <c r="X78" s="215">
        <f>+SUM(X79:X80)</f>
        <v>7</v>
      </c>
      <c r="Y78" s="207">
        <f t="shared" ref="Y78:Z78" si="245">+SUM(Y79:Y80)</f>
        <v>0</v>
      </c>
      <c r="Z78" s="208">
        <f t="shared" si="245"/>
        <v>7</v>
      </c>
    </row>
    <row r="79" spans="1:26" ht="13.5" customHeight="1">
      <c r="A79" s="204" t="s">
        <v>278</v>
      </c>
      <c r="B79" s="211" t="s">
        <v>323</v>
      </c>
      <c r="C79" s="213">
        <f>+'[4]3.SZ.TÁBL. SEGÍTŐ SZOLGÁLAT'!$E79</f>
        <v>0</v>
      </c>
      <c r="D79" s="207"/>
      <c r="E79" s="214">
        <f t="shared" si="235"/>
        <v>0</v>
      </c>
      <c r="F79" s="209">
        <f>+'[4]3.SZ.TÁBL. SEGÍTŐ SZOLGÁLAT'!$H79</f>
        <v>0</v>
      </c>
      <c r="G79" s="207"/>
      <c r="H79" s="214">
        <f t="shared" si="236"/>
        <v>0</v>
      </c>
      <c r="I79" s="213">
        <f>+'[4]3.SZ.TÁBL. SEGÍTŐ SZOLGÁLAT'!$K79</f>
        <v>0</v>
      </c>
      <c r="J79" s="207"/>
      <c r="K79" s="214">
        <f t="shared" si="237"/>
        <v>0</v>
      </c>
      <c r="L79" s="213">
        <f>+'[4]3.SZ.TÁBL. SEGÍTŐ SZOLGÁLAT'!$N79</f>
        <v>0</v>
      </c>
      <c r="M79" s="207"/>
      <c r="N79" s="214">
        <f t="shared" si="238"/>
        <v>0</v>
      </c>
      <c r="O79" s="213">
        <f>+'[4]3.SZ.TÁBL. SEGÍTŐ SZOLGÁLAT'!$Q79</f>
        <v>0</v>
      </c>
      <c r="P79" s="207"/>
      <c r="Q79" s="214">
        <f t="shared" si="239"/>
        <v>0</v>
      </c>
      <c r="R79" s="213">
        <f>+'[4]3.SZ.TÁBL. SEGÍTŐ SZOLGÁLAT'!$T79</f>
        <v>0</v>
      </c>
      <c r="S79" s="207"/>
      <c r="T79" s="214">
        <f t="shared" si="240"/>
        <v>0</v>
      </c>
      <c r="U79" s="209">
        <f>+'[4]3.SZ.TÁBL. SEGÍTŐ SZOLGÁLAT'!$W79</f>
        <v>0</v>
      </c>
      <c r="V79" s="207"/>
      <c r="W79" s="212">
        <f t="shared" si="241"/>
        <v>0</v>
      </c>
      <c r="X79" s="215">
        <f t="shared" ref="X79:X82" si="246">+C79+F79+I79+L79+O79+R79+U79</f>
        <v>0</v>
      </c>
      <c r="Y79" s="207">
        <f t="shared" ref="Y79:Y82" si="247">+D79+G79+J79+M79+P79+S79+V79</f>
        <v>0</v>
      </c>
      <c r="Z79" s="208">
        <f t="shared" ref="Z79:Z82" si="248">+E79+H79+K79+N79+Q79+T79+W79</f>
        <v>0</v>
      </c>
    </row>
    <row r="80" spans="1:26" ht="13.5" customHeight="1">
      <c r="A80" s="204" t="s">
        <v>278</v>
      </c>
      <c r="B80" s="211" t="s">
        <v>324</v>
      </c>
      <c r="C80" s="213">
        <f>+'[4]3.SZ.TÁBL. SEGÍTŐ SZOLGÁLAT'!$E80</f>
        <v>0</v>
      </c>
      <c r="D80" s="207"/>
      <c r="E80" s="214">
        <f t="shared" si="235"/>
        <v>0</v>
      </c>
      <c r="F80" s="209">
        <f>+'[4]3.SZ.TÁBL. SEGÍTŐ SZOLGÁLAT'!$H80</f>
        <v>7</v>
      </c>
      <c r="G80" s="207"/>
      <c r="H80" s="214">
        <f t="shared" si="236"/>
        <v>7</v>
      </c>
      <c r="I80" s="213">
        <f>+'[4]3.SZ.TÁBL. SEGÍTŐ SZOLGÁLAT'!$K80</f>
        <v>0</v>
      </c>
      <c r="J80" s="207"/>
      <c r="K80" s="214">
        <f t="shared" si="237"/>
        <v>0</v>
      </c>
      <c r="L80" s="213">
        <f>+'[4]3.SZ.TÁBL. SEGÍTŐ SZOLGÁLAT'!$N80</f>
        <v>0</v>
      </c>
      <c r="M80" s="207"/>
      <c r="N80" s="214">
        <f t="shared" si="238"/>
        <v>0</v>
      </c>
      <c r="O80" s="213">
        <f>+'[4]3.SZ.TÁBL. SEGÍTŐ SZOLGÁLAT'!$Q80</f>
        <v>0</v>
      </c>
      <c r="P80" s="207"/>
      <c r="Q80" s="214">
        <f t="shared" si="239"/>
        <v>0</v>
      </c>
      <c r="R80" s="213">
        <f>+'[4]3.SZ.TÁBL. SEGÍTŐ SZOLGÁLAT'!$T80</f>
        <v>0</v>
      </c>
      <c r="S80" s="207"/>
      <c r="T80" s="214">
        <f t="shared" si="240"/>
        <v>0</v>
      </c>
      <c r="U80" s="209">
        <f>+'[4]3.SZ.TÁBL. SEGÍTŐ SZOLGÁLAT'!$W80</f>
        <v>0</v>
      </c>
      <c r="V80" s="207"/>
      <c r="W80" s="212">
        <f t="shared" si="241"/>
        <v>0</v>
      </c>
      <c r="X80" s="215">
        <f t="shared" si="246"/>
        <v>7</v>
      </c>
      <c r="Y80" s="207">
        <f t="shared" si="247"/>
        <v>0</v>
      </c>
      <c r="Z80" s="208">
        <f t="shared" si="248"/>
        <v>7</v>
      </c>
    </row>
    <row r="81" spans="1:26" ht="13.5" customHeight="1">
      <c r="A81" s="200" t="s">
        <v>280</v>
      </c>
      <c r="B81" s="210" t="s">
        <v>281</v>
      </c>
      <c r="C81" s="213">
        <f>+'[4]3.SZ.TÁBL. SEGÍTŐ SZOLGÁLAT'!$E81</f>
        <v>0</v>
      </c>
      <c r="D81" s="207"/>
      <c r="E81" s="214">
        <f t="shared" si="235"/>
        <v>0</v>
      </c>
      <c r="F81" s="209">
        <f>+'[4]3.SZ.TÁBL. SEGÍTŐ SZOLGÁLAT'!$H81</f>
        <v>471</v>
      </c>
      <c r="G81" s="207">
        <f>+[5]Seg.Szolgálat!$I$43</f>
        <v>77</v>
      </c>
      <c r="H81" s="214">
        <f t="shared" si="236"/>
        <v>548</v>
      </c>
      <c r="I81" s="213">
        <f>+'[4]3.SZ.TÁBL. SEGÍTŐ SZOLGÁLAT'!$K81</f>
        <v>0</v>
      </c>
      <c r="J81" s="207"/>
      <c r="K81" s="214">
        <f t="shared" si="237"/>
        <v>0</v>
      </c>
      <c r="L81" s="213">
        <f>+'[4]3.SZ.TÁBL. SEGÍTŐ SZOLGÁLAT'!$N81</f>
        <v>1087</v>
      </c>
      <c r="M81" s="207">
        <f>+[5]Seg.Szolgálat!$I$62</f>
        <v>50</v>
      </c>
      <c r="N81" s="214">
        <f t="shared" si="238"/>
        <v>1137</v>
      </c>
      <c r="O81" s="213">
        <f>+'[4]3.SZ.TÁBL. SEGÍTŐ SZOLGÁLAT'!$Q81</f>
        <v>194</v>
      </c>
      <c r="P81" s="207"/>
      <c r="Q81" s="214">
        <f t="shared" si="239"/>
        <v>194</v>
      </c>
      <c r="R81" s="213">
        <f>+'[4]3.SZ.TÁBL. SEGÍTŐ SZOLGÁLAT'!$T81</f>
        <v>0</v>
      </c>
      <c r="S81" s="207"/>
      <c r="T81" s="214">
        <f t="shared" si="240"/>
        <v>0</v>
      </c>
      <c r="U81" s="209">
        <f>+'[4]3.SZ.TÁBL. SEGÍTŐ SZOLGÁLAT'!$W81</f>
        <v>0</v>
      </c>
      <c r="V81" s="207"/>
      <c r="W81" s="212">
        <f t="shared" si="241"/>
        <v>0</v>
      </c>
      <c r="X81" s="215">
        <f t="shared" si="246"/>
        <v>1752</v>
      </c>
      <c r="Y81" s="207">
        <f t="shared" si="247"/>
        <v>127</v>
      </c>
      <c r="Z81" s="208">
        <f t="shared" si="248"/>
        <v>1879</v>
      </c>
    </row>
    <row r="82" spans="1:26" ht="13.5" customHeight="1">
      <c r="A82" s="201" t="s">
        <v>282</v>
      </c>
      <c r="B82" s="248" t="s">
        <v>441</v>
      </c>
      <c r="C82" s="213">
        <f>+'[4]3.SZ.TÁBL. SEGÍTŐ SZOLGÁLAT'!$E82</f>
        <v>700</v>
      </c>
      <c r="D82" s="228"/>
      <c r="E82" s="214">
        <f t="shared" si="235"/>
        <v>700</v>
      </c>
      <c r="F82" s="209">
        <f>+'[4]3.SZ.TÁBL. SEGÍTŐ SZOLGÁLAT'!$H82</f>
        <v>543</v>
      </c>
      <c r="G82" s="228">
        <f>+[5]Seg.Szolgálat!$I$44</f>
        <v>19</v>
      </c>
      <c r="H82" s="214">
        <f t="shared" si="236"/>
        <v>562</v>
      </c>
      <c r="I82" s="213">
        <f>+'[4]3.SZ.TÁBL. SEGÍTŐ SZOLGÁLAT'!$K82</f>
        <v>576</v>
      </c>
      <c r="J82" s="228">
        <f>+[5]Seg.Szolgálat!$I$54</f>
        <v>62</v>
      </c>
      <c r="K82" s="214">
        <f t="shared" si="237"/>
        <v>638</v>
      </c>
      <c r="L82" s="213">
        <f>+'[4]3.SZ.TÁBL. SEGÍTŐ SZOLGÁLAT'!$N82</f>
        <v>1207</v>
      </c>
      <c r="M82" s="228">
        <f>+[5]Seg.Szolgálat!$I$63</f>
        <v>172</v>
      </c>
      <c r="N82" s="214">
        <f t="shared" si="238"/>
        <v>1379</v>
      </c>
      <c r="O82" s="213">
        <f>+'[4]3.SZ.TÁBL. SEGÍTŐ SZOLGÁLAT'!$Q82</f>
        <v>531</v>
      </c>
      <c r="P82" s="228">
        <f>+[5]Seg.Szolgálat!$I$19</f>
        <v>2</v>
      </c>
      <c r="Q82" s="214">
        <f t="shared" si="239"/>
        <v>533</v>
      </c>
      <c r="R82" s="213">
        <f>+'[4]3.SZ.TÁBL. SEGÍTŐ SZOLGÁLAT'!$T82</f>
        <v>30</v>
      </c>
      <c r="S82" s="228"/>
      <c r="T82" s="214">
        <f t="shared" si="240"/>
        <v>30</v>
      </c>
      <c r="U82" s="209">
        <f>+'[4]3.SZ.TÁBL. SEGÍTŐ SZOLGÁLAT'!$W82</f>
        <v>103</v>
      </c>
      <c r="V82" s="228">
        <f>+[5]Seg.Szolgálat!$I$28</f>
        <v>17</v>
      </c>
      <c r="W82" s="212">
        <f t="shared" si="241"/>
        <v>120</v>
      </c>
      <c r="X82" s="232">
        <f t="shared" si="246"/>
        <v>3690</v>
      </c>
      <c r="Y82" s="228">
        <f t="shared" si="247"/>
        <v>272</v>
      </c>
      <c r="Z82" s="233">
        <f t="shared" si="248"/>
        <v>3962</v>
      </c>
    </row>
    <row r="83" spans="1:26" s="317" customFormat="1" ht="13.5" customHeight="1">
      <c r="A83" s="202" t="s">
        <v>221</v>
      </c>
      <c r="B83" s="249" t="s">
        <v>179</v>
      </c>
      <c r="C83" s="315">
        <f>+SUM(C74:C78,C81:C82)</f>
        <v>1546</v>
      </c>
      <c r="D83" s="294">
        <f t="shared" ref="D83:E83" si="249">+SUM(D74:D78,D81:D82)</f>
        <v>-51</v>
      </c>
      <c r="E83" s="599">
        <f t="shared" si="249"/>
        <v>1495</v>
      </c>
      <c r="F83" s="294">
        <f>+SUM(F74:F78,F81:F82)</f>
        <v>1453</v>
      </c>
      <c r="G83" s="294">
        <f>+SUM(G74:G78,G81:G82)</f>
        <v>-124</v>
      </c>
      <c r="H83" s="599">
        <f t="shared" ref="H83" si="250">+SUM(H74:H78,H81:H82)</f>
        <v>1329</v>
      </c>
      <c r="I83" s="315">
        <f>+SUM(I74:I78,I81:I82)</f>
        <v>1125</v>
      </c>
      <c r="J83" s="294">
        <f t="shared" ref="J83" si="251">+SUM(J74:J78,J81:J82)</f>
        <v>62</v>
      </c>
      <c r="K83" s="599">
        <f t="shared" ref="K83" si="252">+SUM(K74:K78,K81:K82)</f>
        <v>1187</v>
      </c>
      <c r="L83" s="315">
        <f>+SUM(L74:L78,L81:L82)</f>
        <v>2931</v>
      </c>
      <c r="M83" s="294">
        <f t="shared" ref="M83" si="253">+SUM(M74:M78,M81:M82)</f>
        <v>222</v>
      </c>
      <c r="N83" s="599">
        <f t="shared" ref="N83" si="254">+SUM(N74:N78,N81:N82)</f>
        <v>3153</v>
      </c>
      <c r="O83" s="315">
        <f>+SUM(O74:O78,O81:O82)</f>
        <v>1454</v>
      </c>
      <c r="P83" s="294">
        <f t="shared" ref="P83" si="255">+SUM(P74:P78,P81:P82)</f>
        <v>2</v>
      </c>
      <c r="Q83" s="599">
        <f t="shared" ref="Q83" si="256">+SUM(Q74:Q78,Q81:Q82)</f>
        <v>1456</v>
      </c>
      <c r="R83" s="315">
        <f>+SUM(R74:R78,R81:R82)</f>
        <v>430</v>
      </c>
      <c r="S83" s="294">
        <f t="shared" ref="S83" si="257">+SUM(S74:S78,S81:S82)</f>
        <v>0</v>
      </c>
      <c r="T83" s="599">
        <f t="shared" ref="T83" si="258">+SUM(T74:T78,T81:T82)</f>
        <v>430</v>
      </c>
      <c r="U83" s="294">
        <f>+SUM(U74:U78,U81:U82)</f>
        <v>279</v>
      </c>
      <c r="V83" s="294">
        <f t="shared" ref="V83" si="259">+SUM(V74:V78,V81:V82)</f>
        <v>-10</v>
      </c>
      <c r="W83" s="294">
        <f t="shared" ref="W83" si="260">+SUM(W74:W78,W81:W82)</f>
        <v>269</v>
      </c>
      <c r="X83" s="288">
        <f>+SUM(X74:X78,X81:X82)</f>
        <v>9218</v>
      </c>
      <c r="Y83" s="292">
        <f t="shared" ref="Y83:Z83" si="261">+SUM(Y74:Y78,Y81:Y82)</f>
        <v>101</v>
      </c>
      <c r="Z83" s="293">
        <f t="shared" si="261"/>
        <v>9319</v>
      </c>
    </row>
    <row r="84" spans="1:26" ht="13.5" customHeight="1">
      <c r="A84" s="199" t="s">
        <v>284</v>
      </c>
      <c r="B84" s="247" t="s">
        <v>285</v>
      </c>
      <c r="C84" s="213">
        <f>+'[4]3.SZ.TÁBL. SEGÍTŐ SZOLGÁLAT'!$E84</f>
        <v>10</v>
      </c>
      <c r="D84" s="218">
        <f>+[5]Seg.Szolgálat!$I$23</f>
        <v>5</v>
      </c>
      <c r="E84" s="214">
        <f t="shared" ref="E84:E85" si="262">+C84+D84</f>
        <v>15</v>
      </c>
      <c r="F84" s="209">
        <f>+'[4]3.SZ.TÁBL. SEGÍTŐ SZOLGÁLAT'!$H84</f>
        <v>330</v>
      </c>
      <c r="G84" s="218">
        <f>+[5]Seg.Szolgálat!$I$45</f>
        <v>91</v>
      </c>
      <c r="H84" s="214">
        <f t="shared" ref="H84:H85" si="263">+F84+G84</f>
        <v>421</v>
      </c>
      <c r="I84" s="213">
        <f>+'[4]3.SZ.TÁBL. SEGÍTŐ SZOLGÁLAT'!$K84</f>
        <v>130</v>
      </c>
      <c r="J84" s="218">
        <f>+[5]Seg.Szolgálat!$I$55</f>
        <v>13</v>
      </c>
      <c r="K84" s="214">
        <f t="shared" ref="K84:K85" si="264">+I84+J84</f>
        <v>143</v>
      </c>
      <c r="L84" s="213">
        <f>+'[4]3.SZ.TÁBL. SEGÍTŐ SZOLGÁLAT'!$N84</f>
        <v>280</v>
      </c>
      <c r="M84" s="218"/>
      <c r="N84" s="214">
        <f t="shared" ref="N84:N85" si="265">+L84+M84</f>
        <v>280</v>
      </c>
      <c r="O84" s="213">
        <f>+'[4]3.SZ.TÁBL. SEGÍTŐ SZOLGÁLAT'!$Q84</f>
        <v>90</v>
      </c>
      <c r="P84" s="218"/>
      <c r="Q84" s="214">
        <f t="shared" ref="Q84:Q85" si="266">+O84+P84</f>
        <v>90</v>
      </c>
      <c r="R84" s="213">
        <f>+'[4]3.SZ.TÁBL. SEGÍTŐ SZOLGÁLAT'!$T84</f>
        <v>0</v>
      </c>
      <c r="S84" s="218"/>
      <c r="T84" s="214">
        <f t="shared" ref="T84:T85" si="267">+R84+S84</f>
        <v>0</v>
      </c>
      <c r="U84" s="209">
        <f>+'[4]3.SZ.TÁBL. SEGÍTŐ SZOLGÁLAT'!$W84</f>
        <v>0</v>
      </c>
      <c r="V84" s="218">
        <f>+[5]Seg.Szolgálat!$I$29</f>
        <v>15</v>
      </c>
      <c r="W84" s="212">
        <f t="shared" ref="W84:W85" si="268">+U84+V84</f>
        <v>15</v>
      </c>
      <c r="X84" s="222">
        <f t="shared" ref="X84:X85" si="269">+C84+F84+I84+L84+O84+R84+U84</f>
        <v>840</v>
      </c>
      <c r="Y84" s="218">
        <f t="shared" ref="Y84:Y85" si="270">+D84+G84+J84+M84+P84+S84+V84</f>
        <v>124</v>
      </c>
      <c r="Z84" s="223">
        <f t="shared" ref="Z84:Z85" si="271">+E84+H84+K84+N84+Q84+T84+W84</f>
        <v>964</v>
      </c>
    </row>
    <row r="85" spans="1:26" ht="13.5" customHeight="1">
      <c r="A85" s="201" t="s">
        <v>286</v>
      </c>
      <c r="B85" s="248" t="s">
        <v>287</v>
      </c>
      <c r="C85" s="213">
        <f>+'[4]3.SZ.TÁBL. SEGÍTŐ SZOLGÁLAT'!$E85</f>
        <v>0</v>
      </c>
      <c r="D85" s="228"/>
      <c r="E85" s="214">
        <f t="shared" si="262"/>
        <v>0</v>
      </c>
      <c r="F85" s="209">
        <f>+'[4]3.SZ.TÁBL. SEGÍTŐ SZOLGÁLAT'!$H85</f>
        <v>0</v>
      </c>
      <c r="G85" s="228"/>
      <c r="H85" s="214">
        <f t="shared" si="263"/>
        <v>0</v>
      </c>
      <c r="I85" s="213">
        <f>+'[4]3.SZ.TÁBL. SEGÍTŐ SZOLGÁLAT'!$K85</f>
        <v>0</v>
      </c>
      <c r="J85" s="228"/>
      <c r="K85" s="214">
        <f t="shared" si="264"/>
        <v>0</v>
      </c>
      <c r="L85" s="213">
        <f>+'[4]3.SZ.TÁBL. SEGÍTŐ SZOLGÁLAT'!$N85</f>
        <v>0</v>
      </c>
      <c r="M85" s="228"/>
      <c r="N85" s="214">
        <f t="shared" si="265"/>
        <v>0</v>
      </c>
      <c r="O85" s="213">
        <f>+'[4]3.SZ.TÁBL. SEGÍTŐ SZOLGÁLAT'!$Q85</f>
        <v>0</v>
      </c>
      <c r="P85" s="228"/>
      <c r="Q85" s="214">
        <f t="shared" si="266"/>
        <v>0</v>
      </c>
      <c r="R85" s="213">
        <f>+'[4]3.SZ.TÁBL. SEGÍTŐ SZOLGÁLAT'!$T85</f>
        <v>0</v>
      </c>
      <c r="S85" s="228"/>
      <c r="T85" s="214">
        <f t="shared" si="267"/>
        <v>0</v>
      </c>
      <c r="U85" s="209">
        <f>+'[4]3.SZ.TÁBL. SEGÍTŐ SZOLGÁLAT'!$W85</f>
        <v>0</v>
      </c>
      <c r="V85" s="228"/>
      <c r="W85" s="212">
        <f t="shared" si="268"/>
        <v>0</v>
      </c>
      <c r="X85" s="232">
        <f t="shared" si="269"/>
        <v>0</v>
      </c>
      <c r="Y85" s="228">
        <f t="shared" si="270"/>
        <v>0</v>
      </c>
      <c r="Z85" s="233">
        <f t="shared" si="271"/>
        <v>0</v>
      </c>
    </row>
    <row r="86" spans="1:26" s="317" customFormat="1" ht="13.5" customHeight="1">
      <c r="A86" s="202" t="s">
        <v>222</v>
      </c>
      <c r="B86" s="249" t="s">
        <v>180</v>
      </c>
      <c r="C86" s="315">
        <f>+SUM(C84:C85)</f>
        <v>10</v>
      </c>
      <c r="D86" s="294">
        <f t="shared" ref="D86:E86" si="272">+SUM(D84:D85)</f>
        <v>5</v>
      </c>
      <c r="E86" s="599">
        <f t="shared" si="272"/>
        <v>15</v>
      </c>
      <c r="F86" s="294">
        <f>+SUM(F84:F85)</f>
        <v>330</v>
      </c>
      <c r="G86" s="294">
        <f t="shared" ref="G86" si="273">+SUM(G84:G85)</f>
        <v>91</v>
      </c>
      <c r="H86" s="599">
        <f t="shared" ref="H86" si="274">+SUM(H84:H85)</f>
        <v>421</v>
      </c>
      <c r="I86" s="315">
        <f>+SUM(I84:I85)</f>
        <v>130</v>
      </c>
      <c r="J86" s="294">
        <f t="shared" ref="J86" si="275">+SUM(J84:J85)</f>
        <v>13</v>
      </c>
      <c r="K86" s="599">
        <f t="shared" ref="K86" si="276">+SUM(K84:K85)</f>
        <v>143</v>
      </c>
      <c r="L86" s="315">
        <f>+SUM(L84:L85)</f>
        <v>280</v>
      </c>
      <c r="M86" s="294">
        <f t="shared" ref="M86" si="277">+SUM(M84:M85)</f>
        <v>0</v>
      </c>
      <c r="N86" s="599">
        <f t="shared" ref="N86" si="278">+SUM(N84:N85)</f>
        <v>280</v>
      </c>
      <c r="O86" s="315">
        <f>+SUM(O84:O85)</f>
        <v>90</v>
      </c>
      <c r="P86" s="294">
        <f t="shared" ref="P86" si="279">+SUM(P84:P85)</f>
        <v>0</v>
      </c>
      <c r="Q86" s="599">
        <f t="shared" ref="Q86" si="280">+SUM(Q84:Q85)</f>
        <v>90</v>
      </c>
      <c r="R86" s="315">
        <f>+SUM(R84:R85)</f>
        <v>0</v>
      </c>
      <c r="S86" s="294">
        <f t="shared" ref="S86" si="281">+SUM(S84:S85)</f>
        <v>0</v>
      </c>
      <c r="T86" s="599">
        <f t="shared" ref="T86" si="282">+SUM(T84:T85)</f>
        <v>0</v>
      </c>
      <c r="U86" s="294">
        <f>+SUM(U84:U85)</f>
        <v>0</v>
      </c>
      <c r="V86" s="294">
        <f t="shared" ref="V86" si="283">+SUM(V84:V85)</f>
        <v>15</v>
      </c>
      <c r="W86" s="294">
        <f t="shared" ref="W86" si="284">+SUM(W84:W85)</f>
        <v>15</v>
      </c>
      <c r="X86" s="288">
        <f>+SUM(X84:X85)</f>
        <v>840</v>
      </c>
      <c r="Y86" s="292">
        <f t="shared" ref="Y86:Z86" si="285">+SUM(Y84:Y85)</f>
        <v>124</v>
      </c>
      <c r="Z86" s="293">
        <f t="shared" si="285"/>
        <v>964</v>
      </c>
    </row>
    <row r="87" spans="1:26" ht="13.5" customHeight="1">
      <c r="A87" s="199" t="s">
        <v>288</v>
      </c>
      <c r="B87" s="247" t="s">
        <v>289</v>
      </c>
      <c r="C87" s="213">
        <f>+'[4]3.SZ.TÁBL. SEGÍTŐ SZOLGÁLAT'!$E87</f>
        <v>505</v>
      </c>
      <c r="D87" s="218"/>
      <c r="E87" s="214">
        <f t="shared" ref="E87:E91" si="286">+C87+D87</f>
        <v>505</v>
      </c>
      <c r="F87" s="209">
        <f>+'[4]3.SZ.TÁBL. SEGÍTŐ SZOLGÁLAT'!$H87</f>
        <v>350</v>
      </c>
      <c r="G87" s="218">
        <f>+[5]Seg.Szolgálat!$J$49</f>
        <v>-59</v>
      </c>
      <c r="H87" s="214">
        <f t="shared" ref="H87:H91" si="287">+F87+G87</f>
        <v>291</v>
      </c>
      <c r="I87" s="213">
        <f>+'[4]3.SZ.TÁBL. SEGÍTŐ SZOLGÁLAT'!$K87</f>
        <v>469</v>
      </c>
      <c r="J87" s="218"/>
      <c r="K87" s="214">
        <f t="shared" ref="K87:K91" si="288">+I87+J87</f>
        <v>469</v>
      </c>
      <c r="L87" s="213">
        <f>+'[4]3.SZ.TÁBL. SEGÍTŐ SZOLGÁLAT'!$N87</f>
        <v>876</v>
      </c>
      <c r="M87" s="218">
        <f>+[5]Seg.Szolgálat!$J$65</f>
        <v>-41</v>
      </c>
      <c r="N87" s="214">
        <f t="shared" ref="N87:N91" si="289">+L87+M87</f>
        <v>835</v>
      </c>
      <c r="O87" s="213">
        <f>+'[4]3.SZ.TÁBL. SEGÍTŐ SZOLGÁLAT'!$Q87</f>
        <v>693</v>
      </c>
      <c r="P87" s="218"/>
      <c r="Q87" s="214">
        <f t="shared" ref="Q87:Q91" si="290">+O87+P87</f>
        <v>693</v>
      </c>
      <c r="R87" s="213">
        <f>+'[4]3.SZ.TÁBL. SEGÍTŐ SZOLGÁLAT'!$T87</f>
        <v>446</v>
      </c>
      <c r="S87" s="218"/>
      <c r="T87" s="214">
        <f t="shared" ref="T87:T91" si="291">+R87+S87</f>
        <v>446</v>
      </c>
      <c r="U87" s="209">
        <f>+'[4]3.SZ.TÁBL. SEGÍTŐ SZOLGÁLAT'!$W87</f>
        <v>90</v>
      </c>
      <c r="V87" s="218">
        <f>+[5]Seg.Szolgálat!$J$33</f>
        <v>-29</v>
      </c>
      <c r="W87" s="212">
        <f t="shared" ref="W87:W91" si="292">+U87+V87</f>
        <v>61</v>
      </c>
      <c r="X87" s="222">
        <f t="shared" ref="X87:X91" si="293">+C87+F87+I87+L87+O87+R87+U87</f>
        <v>3429</v>
      </c>
      <c r="Y87" s="218">
        <f t="shared" ref="Y87:Y91" si="294">+D87+G87+J87+M87+P87+S87+V87</f>
        <v>-129</v>
      </c>
      <c r="Z87" s="223">
        <f t="shared" ref="Z87:Z91" si="295">+E87+H87+K87+N87+Q87+T87+W87</f>
        <v>3300</v>
      </c>
    </row>
    <row r="88" spans="1:26" ht="13.5" customHeight="1">
      <c r="A88" s="200" t="s">
        <v>290</v>
      </c>
      <c r="B88" s="210" t="s">
        <v>291</v>
      </c>
      <c r="C88" s="213">
        <f>+'[4]3.SZ.TÁBL. SEGÍTŐ SZOLGÁLAT'!$E88</f>
        <v>0</v>
      </c>
      <c r="D88" s="207"/>
      <c r="E88" s="214">
        <f t="shared" si="286"/>
        <v>0</v>
      </c>
      <c r="F88" s="209">
        <f>+'[4]3.SZ.TÁBL. SEGÍTŐ SZOLGÁLAT'!$H88</f>
        <v>0</v>
      </c>
      <c r="G88" s="207"/>
      <c r="H88" s="214">
        <f t="shared" si="287"/>
        <v>0</v>
      </c>
      <c r="I88" s="213">
        <f>+'[4]3.SZ.TÁBL. SEGÍTŐ SZOLGÁLAT'!$K88</f>
        <v>0</v>
      </c>
      <c r="J88" s="207"/>
      <c r="K88" s="214">
        <f t="shared" si="288"/>
        <v>0</v>
      </c>
      <c r="L88" s="213">
        <f>+'[4]3.SZ.TÁBL. SEGÍTŐ SZOLGÁLAT'!$N88</f>
        <v>0</v>
      </c>
      <c r="M88" s="207"/>
      <c r="N88" s="214">
        <f t="shared" si="289"/>
        <v>0</v>
      </c>
      <c r="O88" s="213">
        <f>+'[4]3.SZ.TÁBL. SEGÍTŐ SZOLGÁLAT'!$Q88</f>
        <v>0</v>
      </c>
      <c r="P88" s="207"/>
      <c r="Q88" s="214">
        <f t="shared" si="290"/>
        <v>0</v>
      </c>
      <c r="R88" s="213">
        <f>+'[4]3.SZ.TÁBL. SEGÍTŐ SZOLGÁLAT'!$T88</f>
        <v>0</v>
      </c>
      <c r="S88" s="207"/>
      <c r="T88" s="214">
        <f t="shared" si="291"/>
        <v>0</v>
      </c>
      <c r="U88" s="209">
        <f>+'[4]3.SZ.TÁBL. SEGÍTŐ SZOLGÁLAT'!$W88</f>
        <v>0</v>
      </c>
      <c r="V88" s="207"/>
      <c r="W88" s="212">
        <f t="shared" si="292"/>
        <v>0</v>
      </c>
      <c r="X88" s="215">
        <f t="shared" si="293"/>
        <v>0</v>
      </c>
      <c r="Y88" s="207">
        <f t="shared" si="294"/>
        <v>0</v>
      </c>
      <c r="Z88" s="208">
        <f t="shared" si="295"/>
        <v>0</v>
      </c>
    </row>
    <row r="89" spans="1:26" ht="13.5" customHeight="1">
      <c r="A89" s="200" t="s">
        <v>292</v>
      </c>
      <c r="B89" s="210" t="s">
        <v>293</v>
      </c>
      <c r="C89" s="213">
        <f>+'[4]3.SZ.TÁBL. SEGÍTŐ SZOLGÁLAT'!$E89</f>
        <v>0</v>
      </c>
      <c r="D89" s="207"/>
      <c r="E89" s="214">
        <f t="shared" si="286"/>
        <v>0</v>
      </c>
      <c r="F89" s="209">
        <f>+'[4]3.SZ.TÁBL. SEGÍTŐ SZOLGÁLAT'!$H89</f>
        <v>0</v>
      </c>
      <c r="G89" s="207"/>
      <c r="H89" s="214">
        <f t="shared" si="287"/>
        <v>0</v>
      </c>
      <c r="I89" s="213">
        <f>+'[4]3.SZ.TÁBL. SEGÍTŐ SZOLGÁLAT'!$K89</f>
        <v>0</v>
      </c>
      <c r="J89" s="207"/>
      <c r="K89" s="214">
        <f t="shared" si="288"/>
        <v>0</v>
      </c>
      <c r="L89" s="213">
        <f>+'[4]3.SZ.TÁBL. SEGÍTŐ SZOLGÁLAT'!$N89</f>
        <v>0</v>
      </c>
      <c r="M89" s="207"/>
      <c r="N89" s="214">
        <f t="shared" si="289"/>
        <v>0</v>
      </c>
      <c r="O89" s="213">
        <f>+'[4]3.SZ.TÁBL. SEGÍTŐ SZOLGÁLAT'!$Q89</f>
        <v>0</v>
      </c>
      <c r="P89" s="207"/>
      <c r="Q89" s="214">
        <f t="shared" si="290"/>
        <v>0</v>
      </c>
      <c r="R89" s="213">
        <f>+'[4]3.SZ.TÁBL. SEGÍTŐ SZOLGÁLAT'!$T89</f>
        <v>0</v>
      </c>
      <c r="S89" s="207"/>
      <c r="T89" s="214">
        <f t="shared" si="291"/>
        <v>0</v>
      </c>
      <c r="U89" s="209">
        <f>+'[4]3.SZ.TÁBL. SEGÍTŐ SZOLGÁLAT'!$W89</f>
        <v>0</v>
      </c>
      <c r="V89" s="207"/>
      <c r="W89" s="212">
        <f t="shared" si="292"/>
        <v>0</v>
      </c>
      <c r="X89" s="215">
        <f t="shared" si="293"/>
        <v>0</v>
      </c>
      <c r="Y89" s="207">
        <f t="shared" si="294"/>
        <v>0</v>
      </c>
      <c r="Z89" s="208">
        <f t="shared" si="295"/>
        <v>0</v>
      </c>
    </row>
    <row r="90" spans="1:26" ht="13.5" customHeight="1">
      <c r="A90" s="200" t="s">
        <v>294</v>
      </c>
      <c r="B90" s="210" t="s">
        <v>295</v>
      </c>
      <c r="C90" s="213">
        <f>+'[4]3.SZ.TÁBL. SEGÍTŐ SZOLGÁLAT'!$E90</f>
        <v>0</v>
      </c>
      <c r="D90" s="207"/>
      <c r="E90" s="214">
        <f t="shared" si="286"/>
        <v>0</v>
      </c>
      <c r="F90" s="209">
        <f>+'[4]3.SZ.TÁBL. SEGÍTŐ SZOLGÁLAT'!$H90</f>
        <v>0</v>
      </c>
      <c r="G90" s="207"/>
      <c r="H90" s="214">
        <f t="shared" si="287"/>
        <v>0</v>
      </c>
      <c r="I90" s="213">
        <f>+'[4]3.SZ.TÁBL. SEGÍTŐ SZOLGÁLAT'!$K90</f>
        <v>0</v>
      </c>
      <c r="J90" s="207"/>
      <c r="K90" s="214">
        <f t="shared" si="288"/>
        <v>0</v>
      </c>
      <c r="L90" s="213">
        <f>+'[4]3.SZ.TÁBL. SEGÍTŐ SZOLGÁLAT'!$N90</f>
        <v>0</v>
      </c>
      <c r="M90" s="207"/>
      <c r="N90" s="214">
        <f t="shared" si="289"/>
        <v>0</v>
      </c>
      <c r="O90" s="213">
        <f>+'[4]3.SZ.TÁBL. SEGÍTŐ SZOLGÁLAT'!$Q90</f>
        <v>0</v>
      </c>
      <c r="P90" s="207"/>
      <c r="Q90" s="214">
        <f t="shared" si="290"/>
        <v>0</v>
      </c>
      <c r="R90" s="213">
        <f>+'[4]3.SZ.TÁBL. SEGÍTŐ SZOLGÁLAT'!$T90</f>
        <v>0</v>
      </c>
      <c r="S90" s="207"/>
      <c r="T90" s="214">
        <f t="shared" si="291"/>
        <v>0</v>
      </c>
      <c r="U90" s="209">
        <f>+'[4]3.SZ.TÁBL. SEGÍTŐ SZOLGÁLAT'!$W90</f>
        <v>0</v>
      </c>
      <c r="V90" s="207"/>
      <c r="W90" s="212">
        <f t="shared" si="292"/>
        <v>0</v>
      </c>
      <c r="X90" s="215">
        <f t="shared" si="293"/>
        <v>0</v>
      </c>
      <c r="Y90" s="207">
        <f t="shared" si="294"/>
        <v>0</v>
      </c>
      <c r="Z90" s="208">
        <f t="shared" si="295"/>
        <v>0</v>
      </c>
    </row>
    <row r="91" spans="1:26" ht="13.5" customHeight="1">
      <c r="A91" s="201" t="s">
        <v>296</v>
      </c>
      <c r="B91" s="248" t="s">
        <v>442</v>
      </c>
      <c r="C91" s="213">
        <f>+'[4]3.SZ.TÁBL. SEGÍTŐ SZOLGÁLAT'!$E91</f>
        <v>30</v>
      </c>
      <c r="D91" s="228"/>
      <c r="E91" s="214">
        <f t="shared" si="286"/>
        <v>30</v>
      </c>
      <c r="F91" s="209">
        <f>+'[4]3.SZ.TÁBL. SEGÍTŐ SZOLGÁLAT'!$H91</f>
        <v>0</v>
      </c>
      <c r="G91" s="228"/>
      <c r="H91" s="214">
        <f t="shared" si="287"/>
        <v>0</v>
      </c>
      <c r="I91" s="213">
        <f>+'[4]3.SZ.TÁBL. SEGÍTŐ SZOLGÁLAT'!$K91</f>
        <v>44</v>
      </c>
      <c r="J91" s="228"/>
      <c r="K91" s="214">
        <f t="shared" si="288"/>
        <v>44</v>
      </c>
      <c r="L91" s="213">
        <f>+'[4]3.SZ.TÁBL. SEGÍTŐ SZOLGÁLAT'!$N91</f>
        <v>150</v>
      </c>
      <c r="M91" s="228">
        <f>+[5]Seg.Szolgálat!$K$64</f>
        <v>-150</v>
      </c>
      <c r="N91" s="214">
        <f t="shared" si="289"/>
        <v>0</v>
      </c>
      <c r="O91" s="213">
        <f>+'[4]3.SZ.TÁBL. SEGÍTŐ SZOLGÁLAT'!$Q91</f>
        <v>70</v>
      </c>
      <c r="P91" s="228">
        <f>+[5]Seg.Szolgálat!$I$20</f>
        <v>1</v>
      </c>
      <c r="Q91" s="214">
        <f t="shared" si="290"/>
        <v>71</v>
      </c>
      <c r="R91" s="213">
        <f>+'[4]3.SZ.TÁBL. SEGÍTŐ SZOLGÁLAT'!$T91</f>
        <v>470</v>
      </c>
      <c r="S91" s="228"/>
      <c r="T91" s="214">
        <f t="shared" si="291"/>
        <v>470</v>
      </c>
      <c r="U91" s="209">
        <f>+'[4]3.SZ.TÁBL. SEGÍTŐ SZOLGÁLAT'!$W91</f>
        <v>0</v>
      </c>
      <c r="V91" s="228"/>
      <c r="W91" s="212">
        <f t="shared" si="292"/>
        <v>0</v>
      </c>
      <c r="X91" s="232">
        <f t="shared" si="293"/>
        <v>764</v>
      </c>
      <c r="Y91" s="228">
        <f t="shared" si="294"/>
        <v>-149</v>
      </c>
      <c r="Z91" s="233">
        <f t="shared" si="295"/>
        <v>615</v>
      </c>
    </row>
    <row r="92" spans="1:26" s="317" customFormat="1" ht="13.5" customHeight="1">
      <c r="A92" s="202" t="s">
        <v>223</v>
      </c>
      <c r="B92" s="249" t="s">
        <v>181</v>
      </c>
      <c r="C92" s="315">
        <f>SUM(C87:C91)</f>
        <v>535</v>
      </c>
      <c r="D92" s="294">
        <f t="shared" ref="D92:E92" si="296">SUM(D87:D91)</f>
        <v>0</v>
      </c>
      <c r="E92" s="599">
        <f t="shared" si="296"/>
        <v>535</v>
      </c>
      <c r="F92" s="294">
        <f>SUM(F87:F91)</f>
        <v>350</v>
      </c>
      <c r="G92" s="294">
        <f t="shared" ref="G92" si="297">SUM(G87:G91)</f>
        <v>-59</v>
      </c>
      <c r="H92" s="599">
        <f t="shared" ref="H92" si="298">SUM(H87:H91)</f>
        <v>291</v>
      </c>
      <c r="I92" s="315">
        <f>SUM(I87:I91)</f>
        <v>513</v>
      </c>
      <c r="J92" s="294">
        <f t="shared" ref="J92" si="299">SUM(J87:J91)</f>
        <v>0</v>
      </c>
      <c r="K92" s="599">
        <f t="shared" ref="K92" si="300">SUM(K87:K91)</f>
        <v>513</v>
      </c>
      <c r="L92" s="315">
        <f>SUM(L87:L91)</f>
        <v>1026</v>
      </c>
      <c r="M92" s="294">
        <f t="shared" ref="M92" si="301">SUM(M87:M91)</f>
        <v>-191</v>
      </c>
      <c r="N92" s="599">
        <f t="shared" ref="N92" si="302">SUM(N87:N91)</f>
        <v>835</v>
      </c>
      <c r="O92" s="315">
        <f>SUM(O87:O91)</f>
        <v>763</v>
      </c>
      <c r="P92" s="294">
        <f t="shared" ref="P92" si="303">SUM(P87:P91)</f>
        <v>1</v>
      </c>
      <c r="Q92" s="599">
        <f t="shared" ref="Q92" si="304">SUM(Q87:Q91)</f>
        <v>764</v>
      </c>
      <c r="R92" s="315">
        <f>SUM(R87:R91)</f>
        <v>916</v>
      </c>
      <c r="S92" s="294">
        <f t="shared" ref="S92" si="305">SUM(S87:S91)</f>
        <v>0</v>
      </c>
      <c r="T92" s="599">
        <f t="shared" ref="T92" si="306">SUM(T87:T91)</f>
        <v>916</v>
      </c>
      <c r="U92" s="294">
        <f>SUM(U87:U91)</f>
        <v>90</v>
      </c>
      <c r="V92" s="294">
        <f t="shared" ref="V92" si="307">SUM(V87:V91)</f>
        <v>-29</v>
      </c>
      <c r="W92" s="294">
        <f t="shared" ref="W92" si="308">SUM(W87:W91)</f>
        <v>61</v>
      </c>
      <c r="X92" s="288">
        <f>SUM(X87:X91)</f>
        <v>4193</v>
      </c>
      <c r="Y92" s="292">
        <f t="shared" ref="Y92:Z92" si="309">SUM(Y87:Y91)</f>
        <v>-278</v>
      </c>
      <c r="Z92" s="293">
        <f t="shared" si="309"/>
        <v>3915</v>
      </c>
    </row>
    <row r="93" spans="1:26" s="317" customFormat="1" ht="13.5" customHeight="1">
      <c r="A93" s="202" t="s">
        <v>224</v>
      </c>
      <c r="B93" s="249" t="s">
        <v>182</v>
      </c>
      <c r="C93" s="315">
        <f>+C70+C73+C83+C86+C92</f>
        <v>2559</v>
      </c>
      <c r="D93" s="294">
        <f t="shared" ref="D93:E93" si="310">+D70+D73+D83+D86+D92</f>
        <v>0</v>
      </c>
      <c r="E93" s="599">
        <f t="shared" si="310"/>
        <v>2559</v>
      </c>
      <c r="F93" s="294">
        <f>+F70+F73+F83+F86+F92</f>
        <v>2436</v>
      </c>
      <c r="G93" s="294">
        <f t="shared" ref="G93" si="311">+G70+G73+G83+G86+G92</f>
        <v>-78</v>
      </c>
      <c r="H93" s="599">
        <f t="shared" ref="H93" si="312">+H70+H73+H83+H86+H92</f>
        <v>2358</v>
      </c>
      <c r="I93" s="315">
        <f>+I70+I73+I83+I86+I92</f>
        <v>2473</v>
      </c>
      <c r="J93" s="294">
        <f t="shared" ref="J93" si="313">+J70+J73+J83+J86+J92</f>
        <v>88</v>
      </c>
      <c r="K93" s="599">
        <f t="shared" ref="K93" si="314">+K70+K73+K83+K86+K92</f>
        <v>2561</v>
      </c>
      <c r="L93" s="315">
        <f>+L70+L73+L83+L86+L92</f>
        <v>4817</v>
      </c>
      <c r="M93" s="294">
        <f t="shared" ref="M93" si="315">+M70+M73+M83+M86+M92</f>
        <v>51</v>
      </c>
      <c r="N93" s="599">
        <f t="shared" ref="N93" si="316">+N70+N73+N83+N86+N92</f>
        <v>4868</v>
      </c>
      <c r="O93" s="315">
        <f>+O70+O73+O83+O86+O92</f>
        <v>3607</v>
      </c>
      <c r="P93" s="294">
        <f t="shared" ref="P93" si="317">+P70+P73+P83+P86+P92</f>
        <v>24</v>
      </c>
      <c r="Q93" s="599">
        <f t="shared" ref="Q93" si="318">+Q70+Q73+Q83+Q86+Q92</f>
        <v>3631</v>
      </c>
      <c r="R93" s="315">
        <f>+R70+R73+R83+R86+R92</f>
        <v>2600</v>
      </c>
      <c r="S93" s="294">
        <f t="shared" ref="S93" si="319">+S70+S73+S83+S86+S92</f>
        <v>0</v>
      </c>
      <c r="T93" s="599">
        <f t="shared" ref="T93" si="320">+T70+T73+T83+T86+T92</f>
        <v>2600</v>
      </c>
      <c r="U93" s="294">
        <f>+U70+U73+U83+U86+U92</f>
        <v>486</v>
      </c>
      <c r="V93" s="294">
        <f t="shared" ref="V93" si="321">+V70+V73+V83+V86+V92</f>
        <v>-53</v>
      </c>
      <c r="W93" s="294">
        <f t="shared" ref="W93" si="322">+W70+W73+W83+W86+W92</f>
        <v>433</v>
      </c>
      <c r="X93" s="288">
        <f>+X70+X73+X83+X86+X92</f>
        <v>18978</v>
      </c>
      <c r="Y93" s="292">
        <f t="shared" ref="Y93:Z93" si="323">+Y70+Y73+Y83+Y86+Y92</f>
        <v>32</v>
      </c>
      <c r="Z93" s="293">
        <f t="shared" si="323"/>
        <v>19010</v>
      </c>
    </row>
    <row r="94" spans="1:26" ht="13.5" customHeight="1">
      <c r="A94" s="199" t="s">
        <v>449</v>
      </c>
      <c r="B94" s="313" t="s">
        <v>450</v>
      </c>
      <c r="C94" s="213">
        <f>+'[4]3.SZ.TÁBL. SEGÍTŐ SZOLGÁLAT'!$E94</f>
        <v>88</v>
      </c>
      <c r="D94" s="218"/>
      <c r="E94" s="214">
        <f t="shared" ref="E94" si="324">+C94+D94</f>
        <v>88</v>
      </c>
      <c r="F94" s="209">
        <f>+'[4]3.SZ.TÁBL. SEGÍTŐ SZOLGÁLAT'!$H94</f>
        <v>0</v>
      </c>
      <c r="G94" s="218"/>
      <c r="H94" s="270">
        <f t="shared" ref="H94" si="325">+F94+G94</f>
        <v>0</v>
      </c>
      <c r="I94" s="213">
        <f>+'[4]3.SZ.TÁBL. SEGÍTŐ SZOLGÁLAT'!$K94</f>
        <v>160</v>
      </c>
      <c r="J94" s="218"/>
      <c r="K94" s="214">
        <f t="shared" ref="K94" si="326">+I94+J94</f>
        <v>160</v>
      </c>
      <c r="L94" s="213">
        <f>+'[4]3.SZ.TÁBL. SEGÍTŐ SZOLGÁLAT'!$N94</f>
        <v>174</v>
      </c>
      <c r="M94" s="218"/>
      <c r="N94" s="214">
        <f t="shared" ref="N94" si="327">+L94+M94</f>
        <v>174</v>
      </c>
      <c r="O94" s="213">
        <f>+'[4]3.SZ.TÁBL. SEGÍTŐ SZOLGÁLAT'!$Q94</f>
        <v>44</v>
      </c>
      <c r="P94" s="218"/>
      <c r="Q94" s="214">
        <f t="shared" ref="Q94" si="328">+O94+P94</f>
        <v>44</v>
      </c>
      <c r="R94" s="213">
        <f>+'[4]3.SZ.TÁBL. SEGÍTŐ SZOLGÁLAT'!$T94</f>
        <v>174</v>
      </c>
      <c r="S94" s="218"/>
      <c r="T94" s="270">
        <f t="shared" ref="T94" si="329">+R94+S94</f>
        <v>174</v>
      </c>
      <c r="U94" s="209">
        <f>+'[4]3.SZ.TÁBL. SEGÍTŐ SZOLGÁLAT'!$W94</f>
        <v>88</v>
      </c>
      <c r="V94" s="218"/>
      <c r="W94" s="212">
        <f t="shared" ref="W94" si="330">+U94+V94</f>
        <v>88</v>
      </c>
      <c r="X94" s="222">
        <f t="shared" ref="X94" si="331">+C94+F94+I94+L94+O94+R94+U94</f>
        <v>728</v>
      </c>
      <c r="Y94" s="218">
        <f t="shared" ref="Y94" si="332">+D94+G94+J94+M94+P94+S94+V94</f>
        <v>0</v>
      </c>
      <c r="Z94" s="223">
        <f t="shared" ref="Z94" si="333">+E94+H94+K94+N94+Q94+T94+W94</f>
        <v>728</v>
      </c>
    </row>
    <row r="95" spans="1:26" ht="13.5" customHeight="1">
      <c r="A95" s="199" t="s">
        <v>365</v>
      </c>
      <c r="B95" s="604" t="s">
        <v>366</v>
      </c>
      <c r="C95" s="213">
        <f>+'[4]3.SZ.TÁBL. SEGÍTŐ SZOLGÁLAT'!$E95</f>
        <v>0</v>
      </c>
      <c r="D95" s="218"/>
      <c r="E95" s="221"/>
      <c r="F95" s="209">
        <f>+'[4]3.SZ.TÁBL. SEGÍTŐ SZOLGÁLAT'!$H95</f>
        <v>0</v>
      </c>
      <c r="G95" s="218"/>
      <c r="H95" s="221"/>
      <c r="I95" s="213">
        <f>+'[4]3.SZ.TÁBL. SEGÍTŐ SZOLGÁLAT'!$K95</f>
        <v>0</v>
      </c>
      <c r="J95" s="218"/>
      <c r="K95" s="221"/>
      <c r="L95" s="213">
        <f>+'[4]3.SZ.TÁBL. SEGÍTŐ SZOLGÁLAT'!$N95</f>
        <v>350</v>
      </c>
      <c r="M95" s="218">
        <f t="shared" ref="M95:N95" si="334">+M96</f>
        <v>0</v>
      </c>
      <c r="N95" s="221">
        <f t="shared" si="334"/>
        <v>350</v>
      </c>
      <c r="O95" s="213">
        <f>+'[4]3.SZ.TÁBL. SEGÍTŐ SZOLGÁLAT'!$Q95</f>
        <v>0</v>
      </c>
      <c r="P95" s="218"/>
      <c r="Q95" s="221"/>
      <c r="R95" s="213">
        <f>+'[4]3.SZ.TÁBL. SEGÍTŐ SZOLGÁLAT'!$T95</f>
        <v>0</v>
      </c>
      <c r="S95" s="218"/>
      <c r="T95" s="221"/>
      <c r="U95" s="209">
        <f>+'[4]3.SZ.TÁBL. SEGÍTŐ SZOLGÁLAT'!$W95</f>
        <v>0</v>
      </c>
      <c r="V95" s="218"/>
      <c r="W95" s="219"/>
      <c r="X95" s="222">
        <f>+X96</f>
        <v>350</v>
      </c>
      <c r="Y95" s="218">
        <f t="shared" ref="Y95:Z95" si="335">+Y96</f>
        <v>0</v>
      </c>
      <c r="Z95" s="223">
        <f t="shared" si="335"/>
        <v>350</v>
      </c>
    </row>
    <row r="96" spans="1:26" ht="13.5" customHeight="1">
      <c r="A96" s="205" t="s">
        <v>365</v>
      </c>
      <c r="B96" s="251" t="s">
        <v>153</v>
      </c>
      <c r="C96" s="213">
        <f>+'[4]3.SZ.TÁBL. SEGÍTŐ SZOLGÁLAT'!$E96</f>
        <v>0</v>
      </c>
      <c r="D96" s="228"/>
      <c r="E96" s="231"/>
      <c r="F96" s="209">
        <f>+'[4]3.SZ.TÁBL. SEGÍTŐ SZOLGÁLAT'!$H96</f>
        <v>0</v>
      </c>
      <c r="G96" s="228"/>
      <c r="H96" s="231"/>
      <c r="I96" s="213">
        <f>+'[4]3.SZ.TÁBL. SEGÍTŐ SZOLGÁLAT'!$K96</f>
        <v>0</v>
      </c>
      <c r="J96" s="228"/>
      <c r="K96" s="231"/>
      <c r="L96" s="213">
        <f>+'[4]3.SZ.TÁBL. SEGÍTŐ SZOLGÁLAT'!$N96</f>
        <v>350</v>
      </c>
      <c r="M96" s="228"/>
      <c r="N96" s="214">
        <f>+L96+M96</f>
        <v>350</v>
      </c>
      <c r="O96" s="213">
        <f>+'[4]3.SZ.TÁBL. SEGÍTŐ SZOLGÁLAT'!$Q96</f>
        <v>0</v>
      </c>
      <c r="P96" s="228"/>
      <c r="Q96" s="231"/>
      <c r="R96" s="213">
        <f>+'[4]3.SZ.TÁBL. SEGÍTŐ SZOLGÁLAT'!$T96</f>
        <v>0</v>
      </c>
      <c r="S96" s="228"/>
      <c r="T96" s="231"/>
      <c r="U96" s="209">
        <f>+'[4]3.SZ.TÁBL. SEGÍTŐ SZOLGÁLAT'!$W96</f>
        <v>0</v>
      </c>
      <c r="V96" s="228"/>
      <c r="W96" s="229"/>
      <c r="X96" s="232">
        <f t="shared" ref="X96:X97" si="336">+C96+F96+I96+L96+O96+R96+U96</f>
        <v>350</v>
      </c>
      <c r="Y96" s="228">
        <f t="shared" ref="Y96:Y97" si="337">+D96+G96+J96+M96+P96+S96+V96</f>
        <v>0</v>
      </c>
      <c r="Z96" s="233">
        <f t="shared" ref="Z96:Z97" si="338">+E96+H96+K96+N96+Q96+T96+W96</f>
        <v>350</v>
      </c>
    </row>
    <row r="97" spans="1:26" ht="13.5" customHeight="1">
      <c r="A97" s="312" t="s">
        <v>367</v>
      </c>
      <c r="B97" s="314" t="s">
        <v>368</v>
      </c>
      <c r="C97" s="213">
        <f>+'[4]3.SZ.TÁBL. SEGÍTŐ SZOLGÁLAT'!$E97</f>
        <v>0</v>
      </c>
      <c r="D97" s="265"/>
      <c r="E97" s="268"/>
      <c r="F97" s="209">
        <f>+'[4]3.SZ.TÁBL. SEGÍTŐ SZOLGÁLAT'!$H97</f>
        <v>0</v>
      </c>
      <c r="G97" s="265"/>
      <c r="H97" s="268"/>
      <c r="I97" s="213">
        <f>+'[4]3.SZ.TÁBL. SEGÍTŐ SZOLGÁLAT'!$K97</f>
        <v>0</v>
      </c>
      <c r="J97" s="265"/>
      <c r="K97" s="268"/>
      <c r="L97" s="213">
        <f>+'[4]3.SZ.TÁBL. SEGÍTŐ SZOLGÁLAT'!$N97</f>
        <v>0</v>
      </c>
      <c r="M97" s="265"/>
      <c r="N97" s="268"/>
      <c r="O97" s="213">
        <f>+'[4]3.SZ.TÁBL. SEGÍTŐ SZOLGÁLAT'!$Q97</f>
        <v>0</v>
      </c>
      <c r="P97" s="265"/>
      <c r="Q97" s="268"/>
      <c r="R97" s="213">
        <f>+'[4]3.SZ.TÁBL. SEGÍTŐ SZOLGÁLAT'!$T97</f>
        <v>0</v>
      </c>
      <c r="S97" s="265"/>
      <c r="T97" s="268"/>
      <c r="U97" s="209">
        <f>+'[4]3.SZ.TÁBL. SEGÍTŐ SZOLGÁLAT'!$W97</f>
        <v>0</v>
      </c>
      <c r="V97" s="265"/>
      <c r="W97" s="267"/>
      <c r="X97" s="264">
        <f t="shared" si="336"/>
        <v>0</v>
      </c>
      <c r="Y97" s="265">
        <f t="shared" si="337"/>
        <v>0</v>
      </c>
      <c r="Z97" s="266">
        <f t="shared" si="338"/>
        <v>0</v>
      </c>
    </row>
    <row r="98" spans="1:26" s="317" customFormat="1" ht="13.5" customHeight="1">
      <c r="A98" s="202" t="s">
        <v>225</v>
      </c>
      <c r="B98" s="249" t="s">
        <v>183</v>
      </c>
      <c r="C98" s="315">
        <f>+SUM(C94:C97)-C96</f>
        <v>88</v>
      </c>
      <c r="D98" s="294">
        <f t="shared" ref="D98:Z98" si="339">+SUM(D94:D97)-D96</f>
        <v>0</v>
      </c>
      <c r="E98" s="599">
        <f t="shared" si="339"/>
        <v>88</v>
      </c>
      <c r="F98" s="294">
        <f>+SUM(F94:F97)-F96</f>
        <v>0</v>
      </c>
      <c r="G98" s="294">
        <f t="shared" si="339"/>
        <v>0</v>
      </c>
      <c r="H98" s="599">
        <f t="shared" si="339"/>
        <v>0</v>
      </c>
      <c r="I98" s="315">
        <f>+SUM(I94:I97)-I96</f>
        <v>160</v>
      </c>
      <c r="J98" s="294">
        <f t="shared" si="339"/>
        <v>0</v>
      </c>
      <c r="K98" s="599">
        <f t="shared" si="339"/>
        <v>160</v>
      </c>
      <c r="L98" s="315">
        <f>+SUM(L94:L97)-L96</f>
        <v>524</v>
      </c>
      <c r="M98" s="294">
        <f t="shared" si="339"/>
        <v>0</v>
      </c>
      <c r="N98" s="599">
        <f t="shared" si="339"/>
        <v>524</v>
      </c>
      <c r="O98" s="315">
        <f>+SUM(O94:O97)-O96</f>
        <v>44</v>
      </c>
      <c r="P98" s="294">
        <f t="shared" si="339"/>
        <v>0</v>
      </c>
      <c r="Q98" s="599">
        <f t="shared" si="339"/>
        <v>44</v>
      </c>
      <c r="R98" s="315">
        <f>+SUM(R94:R97)-R96</f>
        <v>174</v>
      </c>
      <c r="S98" s="294">
        <f t="shared" si="339"/>
        <v>0</v>
      </c>
      <c r="T98" s="599">
        <f t="shared" si="339"/>
        <v>174</v>
      </c>
      <c r="U98" s="294">
        <f>+SUM(U94:U97)-U96</f>
        <v>88</v>
      </c>
      <c r="V98" s="294">
        <f t="shared" si="339"/>
        <v>0</v>
      </c>
      <c r="W98" s="294">
        <f t="shared" si="339"/>
        <v>88</v>
      </c>
      <c r="X98" s="288">
        <f t="shared" si="339"/>
        <v>1078</v>
      </c>
      <c r="Y98" s="292">
        <f t="shared" si="339"/>
        <v>0</v>
      </c>
      <c r="Z98" s="293">
        <f t="shared" si="339"/>
        <v>1078</v>
      </c>
    </row>
    <row r="99" spans="1:26" ht="13.5" customHeight="1">
      <c r="A99" s="199" t="s">
        <v>297</v>
      </c>
      <c r="B99" s="247" t="s">
        <v>298</v>
      </c>
      <c r="C99" s="213">
        <f>+'[4]3.SZ.TÁBL. SEGÍTŐ SZOLGÁLAT'!$E99</f>
        <v>0</v>
      </c>
      <c r="D99" s="218"/>
      <c r="E99" s="221"/>
      <c r="F99" s="209">
        <f>+'[4]3.SZ.TÁBL. SEGÍTŐ SZOLGÁLAT'!$H99</f>
        <v>0</v>
      </c>
      <c r="G99" s="218"/>
      <c r="H99" s="221"/>
      <c r="I99" s="213">
        <f>+'[4]3.SZ.TÁBL. SEGÍTŐ SZOLGÁLAT'!$K99</f>
        <v>0</v>
      </c>
      <c r="J99" s="218"/>
      <c r="K99" s="221"/>
      <c r="L99" s="213">
        <f>+'[4]3.SZ.TÁBL. SEGÍTŐ SZOLGÁLAT'!$N99</f>
        <v>0</v>
      </c>
      <c r="M99" s="218"/>
      <c r="N99" s="221"/>
      <c r="O99" s="213">
        <f>+'[4]3.SZ.TÁBL. SEGÍTŐ SZOLGÁLAT'!$Q99</f>
        <v>0</v>
      </c>
      <c r="P99" s="218"/>
      <c r="Q99" s="221"/>
      <c r="R99" s="213">
        <f>+'[4]3.SZ.TÁBL. SEGÍTŐ SZOLGÁLAT'!$T99</f>
        <v>0</v>
      </c>
      <c r="S99" s="218"/>
      <c r="T99" s="221"/>
      <c r="U99" s="209">
        <f>+'[4]3.SZ.TÁBL. SEGÍTŐ SZOLGÁLAT'!$W99</f>
        <v>0</v>
      </c>
      <c r="V99" s="218"/>
      <c r="W99" s="219"/>
      <c r="X99" s="222">
        <f t="shared" ref="X99:X105" si="340">+C99+F99+I99+L99+O99+R99+U99</f>
        <v>0</v>
      </c>
      <c r="Y99" s="218">
        <f t="shared" ref="Y99:Y105" si="341">+D99+G99+J99+M99+P99+S99+V99</f>
        <v>0</v>
      </c>
      <c r="Z99" s="223">
        <f t="shared" ref="Z99:Z105" si="342">+E99+H99+K99+N99+Q99+T99+W99</f>
        <v>0</v>
      </c>
    </row>
    <row r="100" spans="1:26" ht="13.5" customHeight="1">
      <c r="A100" s="200" t="s">
        <v>299</v>
      </c>
      <c r="B100" s="210" t="s">
        <v>300</v>
      </c>
      <c r="C100" s="213">
        <f>+'[4]3.SZ.TÁBL. SEGÍTŐ SZOLGÁLAT'!$E100</f>
        <v>0</v>
      </c>
      <c r="D100" s="207"/>
      <c r="E100" s="214"/>
      <c r="F100" s="209">
        <f>+'[4]3.SZ.TÁBL. SEGÍTŐ SZOLGÁLAT'!$H100</f>
        <v>0</v>
      </c>
      <c r="G100" s="207"/>
      <c r="H100" s="214"/>
      <c r="I100" s="213">
        <f>+'[4]3.SZ.TÁBL. SEGÍTŐ SZOLGÁLAT'!$K100</f>
        <v>0</v>
      </c>
      <c r="J100" s="207"/>
      <c r="K100" s="214"/>
      <c r="L100" s="213">
        <f>+'[4]3.SZ.TÁBL. SEGÍTŐ SZOLGÁLAT'!$N100</f>
        <v>0</v>
      </c>
      <c r="M100" s="207"/>
      <c r="N100" s="214"/>
      <c r="O100" s="213">
        <f>+'[4]3.SZ.TÁBL. SEGÍTŐ SZOLGÁLAT'!$Q100</f>
        <v>0</v>
      </c>
      <c r="P100" s="207"/>
      <c r="Q100" s="214"/>
      <c r="R100" s="213">
        <f>+'[4]3.SZ.TÁBL. SEGÍTŐ SZOLGÁLAT'!$T100</f>
        <v>0</v>
      </c>
      <c r="S100" s="207"/>
      <c r="T100" s="214"/>
      <c r="U100" s="209">
        <f>+'[4]3.SZ.TÁBL. SEGÍTŐ SZOLGÁLAT'!$W100</f>
        <v>0</v>
      </c>
      <c r="V100" s="207"/>
      <c r="W100" s="212"/>
      <c r="X100" s="215">
        <f t="shared" si="340"/>
        <v>0</v>
      </c>
      <c r="Y100" s="207">
        <f t="shared" si="341"/>
        <v>0</v>
      </c>
      <c r="Z100" s="208">
        <f t="shared" si="342"/>
        <v>0</v>
      </c>
    </row>
    <row r="101" spans="1:26" ht="13.5" customHeight="1">
      <c r="A101" s="200" t="s">
        <v>301</v>
      </c>
      <c r="B101" s="210" t="s">
        <v>302</v>
      </c>
      <c r="C101" s="213">
        <f>+'[4]3.SZ.TÁBL. SEGÍTŐ SZOLGÁLAT'!$E101</f>
        <v>0</v>
      </c>
      <c r="D101" s="207"/>
      <c r="E101" s="214"/>
      <c r="F101" s="209">
        <f>+'[4]3.SZ.TÁBL. SEGÍTŐ SZOLGÁLAT'!$H101</f>
        <v>0</v>
      </c>
      <c r="G101" s="207"/>
      <c r="H101" s="214"/>
      <c r="I101" s="213">
        <f>+'[4]3.SZ.TÁBL. SEGÍTŐ SZOLGÁLAT'!$K101</f>
        <v>0</v>
      </c>
      <c r="J101" s="207"/>
      <c r="K101" s="214"/>
      <c r="L101" s="213">
        <f>+'[4]3.SZ.TÁBL. SEGÍTŐ SZOLGÁLAT'!$N101</f>
        <v>0</v>
      </c>
      <c r="M101" s="207"/>
      <c r="N101" s="214"/>
      <c r="O101" s="213">
        <f>+'[4]3.SZ.TÁBL. SEGÍTŐ SZOLGÁLAT'!$Q101</f>
        <v>0</v>
      </c>
      <c r="P101" s="207"/>
      <c r="Q101" s="214"/>
      <c r="R101" s="213">
        <f>+'[4]3.SZ.TÁBL. SEGÍTŐ SZOLGÁLAT'!$T101</f>
        <v>0</v>
      </c>
      <c r="S101" s="207"/>
      <c r="T101" s="214"/>
      <c r="U101" s="209">
        <f>+'[4]3.SZ.TÁBL. SEGÍTŐ SZOLGÁLAT'!$W101</f>
        <v>0</v>
      </c>
      <c r="V101" s="207"/>
      <c r="W101" s="212"/>
      <c r="X101" s="215">
        <f t="shared" si="340"/>
        <v>0</v>
      </c>
      <c r="Y101" s="207">
        <f t="shared" si="341"/>
        <v>0</v>
      </c>
      <c r="Z101" s="208">
        <f t="shared" si="342"/>
        <v>0</v>
      </c>
    </row>
    <row r="102" spans="1:26" ht="13.5" customHeight="1">
      <c r="A102" s="200" t="s">
        <v>303</v>
      </c>
      <c r="B102" s="210" t="s">
        <v>304</v>
      </c>
      <c r="C102" s="213">
        <f>+'[4]3.SZ.TÁBL. SEGÍTŐ SZOLGÁLAT'!$E102</f>
        <v>0</v>
      </c>
      <c r="D102" s="207"/>
      <c r="E102" s="214"/>
      <c r="F102" s="209">
        <f>+'[4]3.SZ.TÁBL. SEGÍTŐ SZOLGÁLAT'!$H102</f>
        <v>0</v>
      </c>
      <c r="G102" s="207"/>
      <c r="H102" s="214"/>
      <c r="I102" s="213">
        <f>+'[4]3.SZ.TÁBL. SEGÍTŐ SZOLGÁLAT'!$K102</f>
        <v>0</v>
      </c>
      <c r="J102" s="207"/>
      <c r="K102" s="214"/>
      <c r="L102" s="213">
        <f>+'[4]3.SZ.TÁBL. SEGÍTŐ SZOLGÁLAT'!$N102</f>
        <v>0</v>
      </c>
      <c r="M102" s="207"/>
      <c r="N102" s="214"/>
      <c r="O102" s="213">
        <f>+'[4]3.SZ.TÁBL. SEGÍTŐ SZOLGÁLAT'!$Q102</f>
        <v>0</v>
      </c>
      <c r="P102" s="207"/>
      <c r="Q102" s="214"/>
      <c r="R102" s="213">
        <f>+'[4]3.SZ.TÁBL. SEGÍTŐ SZOLGÁLAT'!$T102</f>
        <v>3</v>
      </c>
      <c r="S102" s="207"/>
      <c r="T102" s="214">
        <f t="shared" ref="T102" si="343">+R102+S102</f>
        <v>3</v>
      </c>
      <c r="U102" s="209">
        <f>+'[4]3.SZ.TÁBL. SEGÍTŐ SZOLGÁLAT'!$W102</f>
        <v>0</v>
      </c>
      <c r="V102" s="207"/>
      <c r="W102" s="212"/>
      <c r="X102" s="215">
        <f t="shared" si="340"/>
        <v>3</v>
      </c>
      <c r="Y102" s="207">
        <f t="shared" si="341"/>
        <v>0</v>
      </c>
      <c r="Z102" s="208">
        <f t="shared" si="342"/>
        <v>3</v>
      </c>
    </row>
    <row r="103" spans="1:26" ht="13.5" customHeight="1">
      <c r="A103" s="200" t="s">
        <v>305</v>
      </c>
      <c r="B103" s="210" t="s">
        <v>306</v>
      </c>
      <c r="C103" s="213">
        <f>+'[4]3.SZ.TÁBL. SEGÍTŐ SZOLGÁLAT'!$E103</f>
        <v>0</v>
      </c>
      <c r="D103" s="207"/>
      <c r="E103" s="214"/>
      <c r="F103" s="209">
        <f>+'[4]3.SZ.TÁBL. SEGÍTŐ SZOLGÁLAT'!$H103</f>
        <v>0</v>
      </c>
      <c r="G103" s="207"/>
      <c r="H103" s="214"/>
      <c r="I103" s="213">
        <f>+'[4]3.SZ.TÁBL. SEGÍTŐ SZOLGÁLAT'!$K103</f>
        <v>0</v>
      </c>
      <c r="J103" s="207"/>
      <c r="K103" s="214"/>
      <c r="L103" s="213">
        <f>+'[4]3.SZ.TÁBL. SEGÍTŐ SZOLGÁLAT'!$N103</f>
        <v>0</v>
      </c>
      <c r="M103" s="207"/>
      <c r="N103" s="214"/>
      <c r="O103" s="213">
        <f>+'[4]3.SZ.TÁBL. SEGÍTŐ SZOLGÁLAT'!$Q103</f>
        <v>0</v>
      </c>
      <c r="P103" s="207"/>
      <c r="Q103" s="214"/>
      <c r="R103" s="213">
        <f>+'[4]3.SZ.TÁBL. SEGÍTŐ SZOLGÁLAT'!$T103</f>
        <v>0</v>
      </c>
      <c r="S103" s="207"/>
      <c r="T103" s="214"/>
      <c r="U103" s="209">
        <f>+'[4]3.SZ.TÁBL. SEGÍTŐ SZOLGÁLAT'!$W103</f>
        <v>0</v>
      </c>
      <c r="V103" s="207"/>
      <c r="W103" s="212"/>
      <c r="X103" s="215">
        <f t="shared" si="340"/>
        <v>0</v>
      </c>
      <c r="Y103" s="207">
        <f t="shared" si="341"/>
        <v>0</v>
      </c>
      <c r="Z103" s="208">
        <f t="shared" si="342"/>
        <v>0</v>
      </c>
    </row>
    <row r="104" spans="1:26" ht="13.5" customHeight="1">
      <c r="A104" s="200" t="s">
        <v>307</v>
      </c>
      <c r="B104" s="210" t="s">
        <v>308</v>
      </c>
      <c r="C104" s="213">
        <f>+'[4]3.SZ.TÁBL. SEGÍTŐ SZOLGÁLAT'!$E104</f>
        <v>0</v>
      </c>
      <c r="D104" s="207"/>
      <c r="E104" s="214"/>
      <c r="F104" s="209">
        <f>+'[4]3.SZ.TÁBL. SEGÍTŐ SZOLGÁLAT'!$H104</f>
        <v>0</v>
      </c>
      <c r="G104" s="207"/>
      <c r="H104" s="214"/>
      <c r="I104" s="213">
        <f>+'[4]3.SZ.TÁBL. SEGÍTŐ SZOLGÁLAT'!$K104</f>
        <v>0</v>
      </c>
      <c r="J104" s="207"/>
      <c r="K104" s="214"/>
      <c r="L104" s="213">
        <f>+'[4]3.SZ.TÁBL. SEGÍTŐ SZOLGÁLAT'!$N104</f>
        <v>0</v>
      </c>
      <c r="M104" s="207"/>
      <c r="N104" s="214"/>
      <c r="O104" s="213">
        <f>+'[4]3.SZ.TÁBL. SEGÍTŐ SZOLGÁLAT'!$Q104</f>
        <v>0</v>
      </c>
      <c r="P104" s="207"/>
      <c r="Q104" s="214"/>
      <c r="R104" s="213">
        <f>+'[4]3.SZ.TÁBL. SEGÍTŐ SZOLGÁLAT'!$T104</f>
        <v>0</v>
      </c>
      <c r="S104" s="207"/>
      <c r="T104" s="214"/>
      <c r="U104" s="209">
        <f>+'[4]3.SZ.TÁBL. SEGÍTŐ SZOLGÁLAT'!$W104</f>
        <v>0</v>
      </c>
      <c r="V104" s="207"/>
      <c r="W104" s="212"/>
      <c r="X104" s="215">
        <f t="shared" si="340"/>
        <v>0</v>
      </c>
      <c r="Y104" s="207">
        <f t="shared" si="341"/>
        <v>0</v>
      </c>
      <c r="Z104" s="208">
        <f t="shared" si="342"/>
        <v>0</v>
      </c>
    </row>
    <row r="105" spans="1:26" ht="13.5" customHeight="1">
      <c r="A105" s="201" t="s">
        <v>309</v>
      </c>
      <c r="B105" s="248" t="s">
        <v>310</v>
      </c>
      <c r="C105" s="213">
        <f>+'[4]3.SZ.TÁBL. SEGÍTŐ SZOLGÁLAT'!$E105</f>
        <v>0</v>
      </c>
      <c r="D105" s="228"/>
      <c r="E105" s="231"/>
      <c r="F105" s="209">
        <f>+'[4]3.SZ.TÁBL. SEGÍTŐ SZOLGÁLAT'!$H105</f>
        <v>0</v>
      </c>
      <c r="G105" s="228"/>
      <c r="H105" s="231"/>
      <c r="I105" s="213">
        <f>+'[4]3.SZ.TÁBL. SEGÍTŐ SZOLGÁLAT'!$K105</f>
        <v>0</v>
      </c>
      <c r="J105" s="228"/>
      <c r="K105" s="231"/>
      <c r="L105" s="213">
        <f>+'[4]3.SZ.TÁBL. SEGÍTŐ SZOLGÁLAT'!$N105</f>
        <v>0</v>
      </c>
      <c r="M105" s="228"/>
      <c r="N105" s="231"/>
      <c r="O105" s="213">
        <f>+'[4]3.SZ.TÁBL. SEGÍTŐ SZOLGÁLAT'!$Q105</f>
        <v>0</v>
      </c>
      <c r="P105" s="228"/>
      <c r="Q105" s="231"/>
      <c r="R105" s="213">
        <f>+'[4]3.SZ.TÁBL. SEGÍTŐ SZOLGÁLAT'!$T105</f>
        <v>1</v>
      </c>
      <c r="S105" s="228"/>
      <c r="T105" s="231">
        <f t="shared" ref="T105" si="344">+R105+S105</f>
        <v>1</v>
      </c>
      <c r="U105" s="209">
        <f>+'[4]3.SZ.TÁBL. SEGÍTŐ SZOLGÁLAT'!$W105</f>
        <v>0</v>
      </c>
      <c r="V105" s="228"/>
      <c r="W105" s="229"/>
      <c r="X105" s="232">
        <f t="shared" si="340"/>
        <v>1</v>
      </c>
      <c r="Y105" s="228">
        <f t="shared" si="341"/>
        <v>0</v>
      </c>
      <c r="Z105" s="233">
        <f t="shared" si="342"/>
        <v>1</v>
      </c>
    </row>
    <row r="106" spans="1:26" s="317" customFormat="1" ht="13.5" customHeight="1">
      <c r="A106" s="202" t="s">
        <v>226</v>
      </c>
      <c r="B106" s="249" t="s">
        <v>139</v>
      </c>
      <c r="C106" s="315">
        <f>SUM(C99:C105)</f>
        <v>0</v>
      </c>
      <c r="D106" s="294">
        <f t="shared" ref="D106:E106" si="345">SUM(D99:D105)</f>
        <v>0</v>
      </c>
      <c r="E106" s="599">
        <f t="shared" si="345"/>
        <v>0</v>
      </c>
      <c r="F106" s="294">
        <f>SUM(F99:F105)</f>
        <v>0</v>
      </c>
      <c r="G106" s="294">
        <f t="shared" ref="G106" si="346">SUM(G99:G105)</f>
        <v>0</v>
      </c>
      <c r="H106" s="599">
        <f t="shared" ref="H106" si="347">SUM(H99:H105)</f>
        <v>0</v>
      </c>
      <c r="I106" s="315">
        <f>SUM(I99:I105)</f>
        <v>0</v>
      </c>
      <c r="J106" s="294">
        <f t="shared" ref="J106" si="348">SUM(J99:J105)</f>
        <v>0</v>
      </c>
      <c r="K106" s="599">
        <f t="shared" ref="K106" si="349">SUM(K99:K105)</f>
        <v>0</v>
      </c>
      <c r="L106" s="315">
        <f>SUM(L99:L105)</f>
        <v>0</v>
      </c>
      <c r="M106" s="294">
        <f t="shared" ref="M106" si="350">SUM(M99:M105)</f>
        <v>0</v>
      </c>
      <c r="N106" s="599">
        <f t="shared" ref="N106" si="351">SUM(N99:N105)</f>
        <v>0</v>
      </c>
      <c r="O106" s="315">
        <f>SUM(O99:O105)</f>
        <v>0</v>
      </c>
      <c r="P106" s="294">
        <f t="shared" ref="P106" si="352">SUM(P99:P105)</f>
        <v>0</v>
      </c>
      <c r="Q106" s="599">
        <f t="shared" ref="Q106" si="353">SUM(Q99:Q105)</f>
        <v>0</v>
      </c>
      <c r="R106" s="315">
        <f>SUM(R99:R105)</f>
        <v>4</v>
      </c>
      <c r="S106" s="294">
        <f t="shared" ref="S106" si="354">SUM(S99:S105)</f>
        <v>0</v>
      </c>
      <c r="T106" s="599">
        <f t="shared" ref="T106" si="355">SUM(T99:T105)</f>
        <v>4</v>
      </c>
      <c r="U106" s="294">
        <f>SUM(U99:U105)</f>
        <v>0</v>
      </c>
      <c r="V106" s="294">
        <f t="shared" ref="V106" si="356">SUM(V99:V105)</f>
        <v>0</v>
      </c>
      <c r="W106" s="294">
        <f t="shared" ref="W106" si="357">SUM(W99:W105)</f>
        <v>0</v>
      </c>
      <c r="X106" s="288">
        <f>SUM(X99:X105)</f>
        <v>4</v>
      </c>
      <c r="Y106" s="292">
        <f t="shared" ref="Y106:Z106" si="358">SUM(Y99:Y105)</f>
        <v>0</v>
      </c>
      <c r="Z106" s="293">
        <f t="shared" si="358"/>
        <v>4</v>
      </c>
    </row>
    <row r="107" spans="1:26" ht="13.5" customHeight="1">
      <c r="A107" s="199" t="s">
        <v>311</v>
      </c>
      <c r="B107" s="247" t="s">
        <v>312</v>
      </c>
      <c r="C107" s="213">
        <f>+'[4]3.SZ.TÁBL. SEGÍTŐ SZOLGÁLAT'!$E107</f>
        <v>0</v>
      </c>
      <c r="D107" s="218"/>
      <c r="E107" s="221"/>
      <c r="F107" s="209">
        <f>+'[4]3.SZ.TÁBL. SEGÍTŐ SZOLGÁLAT'!$H107</f>
        <v>0</v>
      </c>
      <c r="G107" s="218"/>
      <c r="H107" s="221"/>
      <c r="I107" s="213">
        <f>+'[4]3.SZ.TÁBL. SEGÍTŐ SZOLGÁLAT'!$K107</f>
        <v>0</v>
      </c>
      <c r="J107" s="218"/>
      <c r="K107" s="221"/>
      <c r="L107" s="213">
        <f>+'[4]3.SZ.TÁBL. SEGÍTŐ SZOLGÁLAT'!$N107</f>
        <v>0</v>
      </c>
      <c r="M107" s="218"/>
      <c r="N107" s="221"/>
      <c r="O107" s="213">
        <f>+'[4]3.SZ.TÁBL. SEGÍTŐ SZOLGÁLAT'!$Q107</f>
        <v>0</v>
      </c>
      <c r="P107" s="218"/>
      <c r="Q107" s="221"/>
      <c r="R107" s="213">
        <f>+'[4]3.SZ.TÁBL. SEGÍTŐ SZOLGÁLAT'!$T107</f>
        <v>0</v>
      </c>
      <c r="S107" s="218"/>
      <c r="T107" s="221"/>
      <c r="U107" s="209">
        <f>+'[4]3.SZ.TÁBL. SEGÍTŐ SZOLGÁLAT'!$W107</f>
        <v>0</v>
      </c>
      <c r="V107" s="218"/>
      <c r="W107" s="219"/>
      <c r="X107" s="222">
        <f t="shared" ref="X107:X110" si="359">+C107+F107+I107+L107+O107+R107+U107</f>
        <v>0</v>
      </c>
      <c r="Y107" s="218">
        <f t="shared" ref="Y107:Y110" si="360">+D107+G107+J107+M107+P107+S107+V107</f>
        <v>0</v>
      </c>
      <c r="Z107" s="223">
        <f t="shared" ref="Z107:Z110" si="361">+E107+H107+K107+N107+Q107+T107+W107</f>
        <v>0</v>
      </c>
    </row>
    <row r="108" spans="1:26" ht="13.5" customHeight="1">
      <c r="A108" s="200" t="s">
        <v>313</v>
      </c>
      <c r="B108" s="210" t="s">
        <v>314</v>
      </c>
      <c r="C108" s="213">
        <f>+'[4]3.SZ.TÁBL. SEGÍTŐ SZOLGÁLAT'!$E108</f>
        <v>0</v>
      </c>
      <c r="D108" s="207"/>
      <c r="E108" s="214"/>
      <c r="F108" s="209">
        <f>+'[4]3.SZ.TÁBL. SEGÍTŐ SZOLGÁLAT'!$H108</f>
        <v>0</v>
      </c>
      <c r="G108" s="207"/>
      <c r="H108" s="214"/>
      <c r="I108" s="213">
        <f>+'[4]3.SZ.TÁBL. SEGÍTŐ SZOLGÁLAT'!$K108</f>
        <v>0</v>
      </c>
      <c r="J108" s="207"/>
      <c r="K108" s="214"/>
      <c r="L108" s="213">
        <f>+'[4]3.SZ.TÁBL. SEGÍTŐ SZOLGÁLAT'!$N108</f>
        <v>0</v>
      </c>
      <c r="M108" s="207"/>
      <c r="N108" s="214"/>
      <c r="O108" s="213">
        <f>+'[4]3.SZ.TÁBL. SEGÍTŐ SZOLGÁLAT'!$Q108</f>
        <v>0</v>
      </c>
      <c r="P108" s="207"/>
      <c r="Q108" s="214"/>
      <c r="R108" s="213">
        <f>+'[4]3.SZ.TÁBL. SEGÍTŐ SZOLGÁLAT'!$T108</f>
        <v>0</v>
      </c>
      <c r="S108" s="207"/>
      <c r="T108" s="214"/>
      <c r="U108" s="209">
        <f>+'[4]3.SZ.TÁBL. SEGÍTŐ SZOLGÁLAT'!$W108</f>
        <v>0</v>
      </c>
      <c r="V108" s="207"/>
      <c r="W108" s="212"/>
      <c r="X108" s="215">
        <f t="shared" si="359"/>
        <v>0</v>
      </c>
      <c r="Y108" s="207">
        <f t="shared" si="360"/>
        <v>0</v>
      </c>
      <c r="Z108" s="208">
        <f t="shared" si="361"/>
        <v>0</v>
      </c>
    </row>
    <row r="109" spans="1:26" ht="13.5" customHeight="1">
      <c r="A109" s="200" t="s">
        <v>315</v>
      </c>
      <c r="B109" s="210" t="s">
        <v>316</v>
      </c>
      <c r="C109" s="213">
        <f>+'[4]3.SZ.TÁBL. SEGÍTŐ SZOLGÁLAT'!$E109</f>
        <v>0</v>
      </c>
      <c r="D109" s="207"/>
      <c r="E109" s="214"/>
      <c r="F109" s="209">
        <f>+'[4]3.SZ.TÁBL. SEGÍTŐ SZOLGÁLAT'!$H109</f>
        <v>0</v>
      </c>
      <c r="G109" s="207"/>
      <c r="H109" s="214"/>
      <c r="I109" s="213">
        <f>+'[4]3.SZ.TÁBL. SEGÍTŐ SZOLGÁLAT'!$K109</f>
        <v>0</v>
      </c>
      <c r="J109" s="207"/>
      <c r="K109" s="214"/>
      <c r="L109" s="213">
        <f>+'[4]3.SZ.TÁBL. SEGÍTŐ SZOLGÁLAT'!$N109</f>
        <v>0</v>
      </c>
      <c r="M109" s="207"/>
      <c r="N109" s="214"/>
      <c r="O109" s="213">
        <f>+'[4]3.SZ.TÁBL. SEGÍTŐ SZOLGÁLAT'!$Q109</f>
        <v>0</v>
      </c>
      <c r="P109" s="207"/>
      <c r="Q109" s="214"/>
      <c r="R109" s="213">
        <f>+'[4]3.SZ.TÁBL. SEGÍTŐ SZOLGÁLAT'!$T109</f>
        <v>0</v>
      </c>
      <c r="S109" s="207"/>
      <c r="T109" s="214"/>
      <c r="U109" s="209">
        <f>+'[4]3.SZ.TÁBL. SEGÍTŐ SZOLGÁLAT'!$W109</f>
        <v>0</v>
      </c>
      <c r="V109" s="207"/>
      <c r="W109" s="212"/>
      <c r="X109" s="215">
        <f t="shared" si="359"/>
        <v>0</v>
      </c>
      <c r="Y109" s="207">
        <f t="shared" si="360"/>
        <v>0</v>
      </c>
      <c r="Z109" s="208">
        <f t="shared" si="361"/>
        <v>0</v>
      </c>
    </row>
    <row r="110" spans="1:26" ht="13.5" customHeight="1">
      <c r="A110" s="201" t="s">
        <v>317</v>
      </c>
      <c r="B110" s="248" t="s">
        <v>318</v>
      </c>
      <c r="C110" s="213">
        <f>+'[4]3.SZ.TÁBL. SEGÍTŐ SZOLGÁLAT'!$E110</f>
        <v>0</v>
      </c>
      <c r="D110" s="228"/>
      <c r="E110" s="231"/>
      <c r="F110" s="209">
        <f>+'[4]3.SZ.TÁBL. SEGÍTŐ SZOLGÁLAT'!$H110</f>
        <v>0</v>
      </c>
      <c r="G110" s="228"/>
      <c r="H110" s="231"/>
      <c r="I110" s="213">
        <f>+'[4]3.SZ.TÁBL. SEGÍTŐ SZOLGÁLAT'!$K110</f>
        <v>0</v>
      </c>
      <c r="J110" s="228"/>
      <c r="K110" s="231"/>
      <c r="L110" s="213">
        <f>+'[4]3.SZ.TÁBL. SEGÍTŐ SZOLGÁLAT'!$N110</f>
        <v>0</v>
      </c>
      <c r="M110" s="228"/>
      <c r="N110" s="231"/>
      <c r="O110" s="213">
        <f>+'[4]3.SZ.TÁBL. SEGÍTŐ SZOLGÁLAT'!$Q110</f>
        <v>0</v>
      </c>
      <c r="P110" s="228"/>
      <c r="Q110" s="231"/>
      <c r="R110" s="213">
        <f>+'[4]3.SZ.TÁBL. SEGÍTŐ SZOLGÁLAT'!$T110</f>
        <v>0</v>
      </c>
      <c r="S110" s="228"/>
      <c r="T110" s="231"/>
      <c r="U110" s="209">
        <f>+'[4]3.SZ.TÁBL. SEGÍTŐ SZOLGÁLAT'!$W110</f>
        <v>0</v>
      </c>
      <c r="V110" s="228"/>
      <c r="W110" s="229"/>
      <c r="X110" s="232">
        <f t="shared" si="359"/>
        <v>0</v>
      </c>
      <c r="Y110" s="228">
        <f t="shared" si="360"/>
        <v>0</v>
      </c>
      <c r="Z110" s="233">
        <f t="shared" si="361"/>
        <v>0</v>
      </c>
    </row>
    <row r="111" spans="1:26" s="317" customFormat="1" ht="13.5" customHeight="1">
      <c r="A111" s="202" t="s">
        <v>227</v>
      </c>
      <c r="B111" s="249" t="s">
        <v>184</v>
      </c>
      <c r="C111" s="315">
        <f>SUM(C107:C110)</f>
        <v>0</v>
      </c>
      <c r="D111" s="294">
        <f t="shared" ref="D111:E111" si="362">SUM(D107:D110)</f>
        <v>0</v>
      </c>
      <c r="E111" s="599">
        <f t="shared" si="362"/>
        <v>0</v>
      </c>
      <c r="F111" s="294">
        <f>SUM(F107:F110)</f>
        <v>0</v>
      </c>
      <c r="G111" s="294">
        <f t="shared" ref="G111" si="363">SUM(G107:G110)</f>
        <v>0</v>
      </c>
      <c r="H111" s="599">
        <f t="shared" ref="H111" si="364">SUM(H107:H110)</f>
        <v>0</v>
      </c>
      <c r="I111" s="315">
        <f>SUM(I107:I110)</f>
        <v>0</v>
      </c>
      <c r="J111" s="294">
        <f t="shared" ref="J111" si="365">SUM(J107:J110)</f>
        <v>0</v>
      </c>
      <c r="K111" s="599">
        <f t="shared" ref="K111" si="366">SUM(K107:K110)</f>
        <v>0</v>
      </c>
      <c r="L111" s="315">
        <f>SUM(L107:L110)</f>
        <v>0</v>
      </c>
      <c r="M111" s="294">
        <f t="shared" ref="M111" si="367">SUM(M107:M110)</f>
        <v>0</v>
      </c>
      <c r="N111" s="599">
        <f t="shared" ref="N111" si="368">SUM(N107:N110)</f>
        <v>0</v>
      </c>
      <c r="O111" s="315">
        <f>SUM(O107:O110)</f>
        <v>0</v>
      </c>
      <c r="P111" s="294">
        <f t="shared" ref="P111" si="369">SUM(P107:P110)</f>
        <v>0</v>
      </c>
      <c r="Q111" s="599">
        <f t="shared" ref="Q111" si="370">SUM(Q107:Q110)</f>
        <v>0</v>
      </c>
      <c r="R111" s="315">
        <f>SUM(R107:R110)</f>
        <v>0</v>
      </c>
      <c r="S111" s="294">
        <f t="shared" ref="S111" si="371">SUM(S107:S110)</f>
        <v>0</v>
      </c>
      <c r="T111" s="599">
        <f t="shared" ref="T111" si="372">SUM(T107:T110)</f>
        <v>0</v>
      </c>
      <c r="U111" s="294">
        <f>SUM(U107:U110)</f>
        <v>0</v>
      </c>
      <c r="V111" s="294">
        <f t="shared" ref="V111" si="373">SUM(V107:V110)</f>
        <v>0</v>
      </c>
      <c r="W111" s="294">
        <f t="shared" ref="W111" si="374">SUM(W107:W110)</f>
        <v>0</v>
      </c>
      <c r="X111" s="288">
        <f>SUM(X107:X110)</f>
        <v>0</v>
      </c>
      <c r="Y111" s="292">
        <f t="shared" ref="Y111:Z111" si="375">SUM(Y107:Y110)</f>
        <v>0</v>
      </c>
      <c r="Z111" s="293">
        <f t="shared" si="375"/>
        <v>0</v>
      </c>
    </row>
    <row r="112" spans="1:26" s="317" customFormat="1" ht="13.5" customHeight="1">
      <c r="A112" s="202" t="s">
        <v>228</v>
      </c>
      <c r="B112" s="249" t="s">
        <v>185</v>
      </c>
      <c r="C112" s="315"/>
      <c r="D112" s="292"/>
      <c r="E112" s="316"/>
      <c r="F112" s="294"/>
      <c r="G112" s="292"/>
      <c r="H112" s="316"/>
      <c r="I112" s="315"/>
      <c r="J112" s="292"/>
      <c r="K112" s="316"/>
      <c r="L112" s="315"/>
      <c r="M112" s="292"/>
      <c r="N112" s="316"/>
      <c r="O112" s="315"/>
      <c r="P112" s="292"/>
      <c r="Q112" s="316"/>
      <c r="R112" s="315"/>
      <c r="S112" s="292"/>
      <c r="T112" s="316"/>
      <c r="U112" s="294"/>
      <c r="V112" s="292"/>
      <c r="W112" s="295"/>
      <c r="X112" s="235">
        <f>+C112+F112+I112+L112+O112+R112+U112</f>
        <v>0</v>
      </c>
      <c r="Y112" s="595">
        <f t="shared" ref="Y112:Z112" si="376">+D112+G112+J112+M112+P112+S112+V112</f>
        <v>0</v>
      </c>
      <c r="Z112" s="596">
        <f t="shared" si="376"/>
        <v>0</v>
      </c>
    </row>
    <row r="113" spans="1:26" s="317" customFormat="1" ht="13.5" customHeight="1">
      <c r="A113" s="206" t="s">
        <v>229</v>
      </c>
      <c r="B113" s="249" t="s">
        <v>186</v>
      </c>
      <c r="C113" s="315">
        <f>+C60+C61+C93+C98+C106+C111+C112</f>
        <v>6597</v>
      </c>
      <c r="D113" s="294">
        <f t="shared" ref="D113:E113" si="377">+D60+D61+D93+D98+D106+D111+D112</f>
        <v>0</v>
      </c>
      <c r="E113" s="599">
        <f t="shared" si="377"/>
        <v>6597</v>
      </c>
      <c r="F113" s="294">
        <f>+F60+F61+F93+F98+F106+F111+F112</f>
        <v>17521</v>
      </c>
      <c r="G113" s="294">
        <f t="shared" ref="G113" si="378">+G60+G61+G93+G98+G106+G111+G112</f>
        <v>96</v>
      </c>
      <c r="H113" s="599">
        <f t="shared" ref="H113" si="379">+H60+H61+H93+H98+H106+H111+H112</f>
        <v>17617</v>
      </c>
      <c r="I113" s="315">
        <f>+I60+I61+I93+I98+I106+I111+I112</f>
        <v>32219</v>
      </c>
      <c r="J113" s="294">
        <f t="shared" ref="J113" si="380">+J60+J61+J93+J98+J106+J111+J112</f>
        <v>332</v>
      </c>
      <c r="K113" s="599">
        <f t="shared" ref="K113" si="381">+K60+K61+K93+K98+K106+K111+K112</f>
        <v>32551</v>
      </c>
      <c r="L113" s="315">
        <f>+L60+L61+L93+L98+L106+L111+L112</f>
        <v>15227</v>
      </c>
      <c r="M113" s="294">
        <f t="shared" ref="M113" si="382">+M60+M61+M93+M98+M106+M111+M112</f>
        <v>157</v>
      </c>
      <c r="N113" s="599">
        <f t="shared" ref="N113" si="383">+N60+N61+N93+N98+N106+N111+N112</f>
        <v>15384</v>
      </c>
      <c r="O113" s="315">
        <f>+O60+O61+O93+O98+O106+O111+O112</f>
        <v>13002</v>
      </c>
      <c r="P113" s="294">
        <f t="shared" ref="P113" si="384">+P60+P61+P93+P98+P106+P111+P112</f>
        <v>240</v>
      </c>
      <c r="Q113" s="599">
        <f t="shared" ref="Q113" si="385">+Q60+Q61+Q93+Q98+Q106+Q111+Q112</f>
        <v>13242</v>
      </c>
      <c r="R113" s="315">
        <f>+R60+R61+R93+R98+R106+R111+R112</f>
        <v>5278</v>
      </c>
      <c r="S113" s="294">
        <f t="shared" ref="S113" si="386">+S60+S61+S93+S98+S106+S111+S112</f>
        <v>68</v>
      </c>
      <c r="T113" s="599">
        <f t="shared" ref="T113" si="387">+T60+T61+T93+T98+T106+T111+T112</f>
        <v>5346</v>
      </c>
      <c r="U113" s="294">
        <f>+U60+U61+U93+U98+U106+U111+U112</f>
        <v>3659</v>
      </c>
      <c r="V113" s="294">
        <f t="shared" ref="V113" si="388">+V60+V61+V93+V98+V106+V111+V112</f>
        <v>59</v>
      </c>
      <c r="W113" s="294">
        <f t="shared" ref="W113" si="389">+W60+W61+W93+W98+W106+W111+W112</f>
        <v>3718</v>
      </c>
      <c r="X113" s="288">
        <f>+X60+X61+X93+X98+X106+X111+X112</f>
        <v>93503</v>
      </c>
      <c r="Y113" s="292">
        <f t="shared" ref="Y113:Z113" si="390">+Y60+Y61+Y93+Y98+Y106+Y111+Y112</f>
        <v>952</v>
      </c>
      <c r="Z113" s="293">
        <f t="shared" si="390"/>
        <v>94455</v>
      </c>
    </row>
    <row r="114" spans="1:26" s="317" customFormat="1" ht="13.5" customHeight="1" thickBot="1">
      <c r="A114" s="252" t="s">
        <v>230</v>
      </c>
      <c r="B114" s="253" t="s">
        <v>187</v>
      </c>
      <c r="C114" s="318"/>
      <c r="D114" s="308"/>
      <c r="E114" s="319"/>
      <c r="F114" s="310"/>
      <c r="G114" s="308"/>
      <c r="H114" s="319"/>
      <c r="I114" s="318"/>
      <c r="J114" s="308"/>
      <c r="K114" s="319"/>
      <c r="L114" s="318"/>
      <c r="M114" s="308"/>
      <c r="N114" s="319"/>
      <c r="O114" s="318"/>
      <c r="P114" s="308"/>
      <c r="Q114" s="319"/>
      <c r="R114" s="318"/>
      <c r="S114" s="308"/>
      <c r="T114" s="319"/>
      <c r="U114" s="310"/>
      <c r="V114" s="308"/>
      <c r="W114" s="311"/>
      <c r="X114" s="243">
        <f>+C114+F114+I114+L114+O114+R114+U114</f>
        <v>0</v>
      </c>
      <c r="Y114" s="239">
        <f t="shared" ref="Y114:Z114" si="391">+D114+G114+J114+M114+P114+S114+V114</f>
        <v>0</v>
      </c>
      <c r="Z114" s="244">
        <f t="shared" si="391"/>
        <v>0</v>
      </c>
    </row>
    <row r="115" spans="1:26" s="317" customFormat="1" ht="13.5" customHeight="1" thickBot="1">
      <c r="A115" s="865" t="s">
        <v>351</v>
      </c>
      <c r="B115" s="882"/>
      <c r="C115" s="320">
        <f>+SUM(C113:C114)</f>
        <v>6597</v>
      </c>
      <c r="D115" s="303">
        <f t="shared" ref="D115:E115" si="392">+SUM(D113:D114)</f>
        <v>0</v>
      </c>
      <c r="E115" s="601">
        <f t="shared" si="392"/>
        <v>6597</v>
      </c>
      <c r="F115" s="303">
        <f>+SUM(F113:F114)</f>
        <v>17521</v>
      </c>
      <c r="G115" s="303">
        <f t="shared" ref="G115" si="393">+SUM(G113:G114)</f>
        <v>96</v>
      </c>
      <c r="H115" s="601">
        <f t="shared" ref="H115" si="394">+SUM(H113:H114)</f>
        <v>17617</v>
      </c>
      <c r="I115" s="320">
        <f>+SUM(I113:I114)</f>
        <v>32219</v>
      </c>
      <c r="J115" s="303">
        <f t="shared" ref="J115" si="395">+SUM(J113:J114)</f>
        <v>332</v>
      </c>
      <c r="K115" s="601">
        <f t="shared" ref="K115" si="396">+SUM(K113:K114)</f>
        <v>32551</v>
      </c>
      <c r="L115" s="320">
        <f>+SUM(L113:L114)</f>
        <v>15227</v>
      </c>
      <c r="M115" s="303">
        <f t="shared" ref="M115" si="397">+SUM(M113:M114)</f>
        <v>157</v>
      </c>
      <c r="N115" s="601">
        <f t="shared" ref="N115" si="398">+SUM(N113:N114)</f>
        <v>15384</v>
      </c>
      <c r="O115" s="320">
        <f>+SUM(O113:O114)</f>
        <v>13002</v>
      </c>
      <c r="P115" s="303">
        <f t="shared" ref="P115" si="399">+SUM(P113:P114)</f>
        <v>240</v>
      </c>
      <c r="Q115" s="601">
        <f t="shared" ref="Q115" si="400">+SUM(Q113:Q114)</f>
        <v>13242</v>
      </c>
      <c r="R115" s="320">
        <f>+SUM(R113:R114)</f>
        <v>5278</v>
      </c>
      <c r="S115" s="303">
        <f t="shared" ref="S115" si="401">+SUM(S113:S114)</f>
        <v>68</v>
      </c>
      <c r="T115" s="601">
        <f t="shared" ref="T115" si="402">+SUM(T113:T114)</f>
        <v>5346</v>
      </c>
      <c r="U115" s="303">
        <f>+SUM(U113:U114)</f>
        <v>3659</v>
      </c>
      <c r="V115" s="303">
        <f t="shared" ref="V115" si="403">+SUM(V113:V114)</f>
        <v>59</v>
      </c>
      <c r="W115" s="303">
        <f t="shared" ref="W115" si="404">+SUM(W113:W114)</f>
        <v>3718</v>
      </c>
      <c r="X115" s="300">
        <f>+SUM(X113:X114)</f>
        <v>93503</v>
      </c>
      <c r="Y115" s="301">
        <f t="shared" ref="Y115:Z115" si="405">+SUM(Y113:Y114)</f>
        <v>952</v>
      </c>
      <c r="Z115" s="302">
        <f t="shared" si="405"/>
        <v>94455</v>
      </c>
    </row>
    <row r="116" spans="1:26" ht="13.5" customHeight="1" thickBot="1">
      <c r="N116" s="67"/>
      <c r="T116" s="67"/>
      <c r="W116" s="67"/>
      <c r="X116" s="597"/>
      <c r="Y116" s="598"/>
      <c r="Z116" s="597"/>
    </row>
    <row r="117" spans="1:26" s="317" customFormat="1" ht="13.5" customHeight="1" thickBot="1">
      <c r="A117" s="863" t="s">
        <v>369</v>
      </c>
      <c r="B117" s="864"/>
      <c r="C117" s="320">
        <f>+C40-C115</f>
        <v>0</v>
      </c>
      <c r="D117" s="320">
        <f t="shared" ref="D117:E117" si="406">+D40-D115</f>
        <v>0</v>
      </c>
      <c r="E117" s="320">
        <f t="shared" si="406"/>
        <v>0</v>
      </c>
      <c r="F117" s="320">
        <f>+F40-F115</f>
        <v>0</v>
      </c>
      <c r="G117" s="320">
        <f t="shared" ref="G117:H117" si="407">+G40-G115</f>
        <v>0</v>
      </c>
      <c r="H117" s="320">
        <f t="shared" si="407"/>
        <v>0</v>
      </c>
      <c r="I117" s="320">
        <f>+I40-I115</f>
        <v>0</v>
      </c>
      <c r="J117" s="320">
        <f t="shared" ref="J117:K117" si="408">+J40-J115</f>
        <v>0</v>
      </c>
      <c r="K117" s="320">
        <f t="shared" si="408"/>
        <v>0</v>
      </c>
      <c r="L117" s="320">
        <f>+L40-L115</f>
        <v>0</v>
      </c>
      <c r="M117" s="320">
        <f t="shared" ref="M117:N117" si="409">+M40-M115</f>
        <v>0</v>
      </c>
      <c r="N117" s="320">
        <f t="shared" si="409"/>
        <v>0</v>
      </c>
      <c r="O117" s="320">
        <f>+O40-O115</f>
        <v>0</v>
      </c>
      <c r="P117" s="320">
        <f t="shared" ref="P117:Q117" si="410">+P40-P115</f>
        <v>0</v>
      </c>
      <c r="Q117" s="320">
        <f t="shared" si="410"/>
        <v>0</v>
      </c>
      <c r="R117" s="320">
        <f>+R40-R115</f>
        <v>0</v>
      </c>
      <c r="S117" s="320">
        <f t="shared" ref="S117:T117" si="411">+S40-S115</f>
        <v>0</v>
      </c>
      <c r="T117" s="320">
        <f t="shared" si="411"/>
        <v>0</v>
      </c>
      <c r="U117" s="320">
        <f>+U40-U115</f>
        <v>0</v>
      </c>
      <c r="V117" s="320">
        <f t="shared" ref="V117:W117" si="412">+V40-V115</f>
        <v>0</v>
      </c>
      <c r="W117" s="320">
        <f t="shared" si="412"/>
        <v>0</v>
      </c>
      <c r="X117" s="320">
        <f>+X40-X115</f>
        <v>0</v>
      </c>
      <c r="Y117" s="301">
        <f t="shared" ref="Y117:Z117" si="413">+Y40-Y115</f>
        <v>0</v>
      </c>
      <c r="Z117" s="302">
        <f t="shared" si="413"/>
        <v>0</v>
      </c>
    </row>
    <row r="118" spans="1:26" ht="13.5" customHeight="1"/>
    <row r="119" spans="1:26" ht="13.5" customHeight="1"/>
    <row r="120" spans="1:26" ht="13.5" customHeight="1">
      <c r="B120" s="66" t="s">
        <v>363</v>
      </c>
      <c r="C120" s="325">
        <f>+(C70+C73+C83)*0.27</f>
        <v>543.78000000000009</v>
      </c>
      <c r="F120" s="325">
        <f>+(F70+F73+F83)*0.27</f>
        <v>474.12</v>
      </c>
      <c r="I120" s="325">
        <f>+(I70+I73+I83)*0.27</f>
        <v>494.1</v>
      </c>
      <c r="J120" s="68"/>
      <c r="K120" s="68"/>
      <c r="L120" s="325">
        <f>+(L70+L73+L83)*0.27</f>
        <v>947.97</v>
      </c>
      <c r="M120" s="68"/>
      <c r="O120" s="325">
        <f>+(O70+O73+O83)*0.27</f>
        <v>743.58</v>
      </c>
      <c r="R120" s="325">
        <f>+(R70+R73+R83)*0.27</f>
        <v>454.68</v>
      </c>
      <c r="S120" s="68"/>
      <c r="U120" s="325">
        <f>+(U70+U73+U83)*0.27</f>
        <v>106.92</v>
      </c>
      <c r="V120" s="9"/>
      <c r="W120" s="9"/>
      <c r="X120" s="9"/>
      <c r="Y120" s="9"/>
      <c r="Z120" s="9"/>
    </row>
    <row r="121" spans="1:26" ht="13.5" customHeight="1">
      <c r="B121" s="66" t="s">
        <v>359</v>
      </c>
      <c r="C121" s="322">
        <v>525</v>
      </c>
      <c r="D121" s="322"/>
      <c r="E121" s="322"/>
      <c r="F121" s="322">
        <v>418</v>
      </c>
      <c r="G121" s="322"/>
      <c r="H121" s="322"/>
      <c r="I121" s="322">
        <v>469</v>
      </c>
      <c r="J121" s="322"/>
      <c r="K121" s="322"/>
      <c r="L121" s="322">
        <v>863</v>
      </c>
      <c r="M121" s="322"/>
      <c r="N121" s="322"/>
      <c r="O121" s="322">
        <v>693</v>
      </c>
      <c r="P121" s="322"/>
      <c r="Q121" s="322"/>
      <c r="R121" s="322">
        <v>447</v>
      </c>
      <c r="S121" s="322"/>
      <c r="T121" s="322"/>
      <c r="U121" s="425">
        <v>50</v>
      </c>
      <c r="V121" s="425"/>
      <c r="W121" s="425"/>
      <c r="X121" s="425"/>
      <c r="Y121" s="425"/>
      <c r="Z121" s="425"/>
    </row>
    <row r="122" spans="1:26" ht="15" customHeight="1">
      <c r="C122" s="322"/>
      <c r="D122" s="322"/>
      <c r="E122" s="322"/>
      <c r="F122" s="322"/>
      <c r="G122" s="322"/>
      <c r="H122" s="322"/>
      <c r="I122" s="322"/>
      <c r="J122" s="322"/>
      <c r="K122" s="322"/>
      <c r="L122" s="322"/>
      <c r="M122" s="322"/>
      <c r="N122" s="322"/>
      <c r="O122" s="322"/>
      <c r="P122" s="322"/>
      <c r="Q122" s="322"/>
      <c r="R122" s="322"/>
      <c r="S122" s="322"/>
      <c r="T122" s="322"/>
      <c r="U122" s="322"/>
      <c r="V122" s="322"/>
      <c r="W122" s="322"/>
      <c r="X122" s="322"/>
      <c r="Y122" s="322"/>
      <c r="Z122" s="322"/>
    </row>
    <row r="125" spans="1:26" ht="15" customHeight="1">
      <c r="B125" s="66" t="s">
        <v>419</v>
      </c>
      <c r="C125" s="67">
        <v>2516</v>
      </c>
      <c r="E125" s="323"/>
      <c r="W125" s="323"/>
    </row>
    <row r="126" spans="1:26" ht="15" customHeight="1">
      <c r="B126" s="66" t="s">
        <v>4</v>
      </c>
      <c r="C126" s="67">
        <v>1</v>
      </c>
      <c r="D126" s="324">
        <f>+C126/$C$133</f>
        <v>0.1</v>
      </c>
      <c r="E126" s="325">
        <f>+$C$125*$D126</f>
        <v>251.60000000000002</v>
      </c>
      <c r="F126" s="67">
        <v>252</v>
      </c>
      <c r="U126" s="67">
        <v>0</v>
      </c>
      <c r="V126" s="324">
        <f>+U126/$U$133</f>
        <v>0</v>
      </c>
      <c r="W126" s="325">
        <f>+$V$125*$V126</f>
        <v>0</v>
      </c>
    </row>
    <row r="127" spans="1:26" ht="15" customHeight="1">
      <c r="B127" s="66" t="s">
        <v>6</v>
      </c>
      <c r="C127" s="67">
        <v>0</v>
      </c>
      <c r="D127" s="324">
        <f t="shared" ref="D127:D131" si="414">+C127/$C$133</f>
        <v>0</v>
      </c>
      <c r="E127" s="325">
        <f t="shared" ref="E127:E131" si="415">+$C$125*$D127</f>
        <v>0</v>
      </c>
      <c r="U127" s="67">
        <v>0</v>
      </c>
      <c r="V127" s="324">
        <f t="shared" ref="V127:V132" si="416">+U127/$U$133</f>
        <v>0</v>
      </c>
      <c r="W127" s="325">
        <f t="shared" ref="W127:W132" si="417">+$V$125*$V127</f>
        <v>0</v>
      </c>
    </row>
    <row r="128" spans="1:26" ht="15" customHeight="1">
      <c r="B128" s="66" t="s">
        <v>7</v>
      </c>
      <c r="C128" s="67">
        <v>1</v>
      </c>
      <c r="D128" s="324">
        <f t="shared" si="414"/>
        <v>0.1</v>
      </c>
      <c r="E128" s="325">
        <f t="shared" si="415"/>
        <v>251.60000000000002</v>
      </c>
      <c r="F128" s="67">
        <v>252</v>
      </c>
      <c r="U128" s="67">
        <v>0</v>
      </c>
      <c r="V128" s="324">
        <f t="shared" si="416"/>
        <v>0</v>
      </c>
      <c r="W128" s="325">
        <f t="shared" si="417"/>
        <v>0</v>
      </c>
    </row>
    <row r="129" spans="2:24" ht="15" customHeight="1">
      <c r="B129" s="66" t="s">
        <v>8</v>
      </c>
      <c r="C129" s="67">
        <v>7</v>
      </c>
      <c r="D129" s="324">
        <f t="shared" si="414"/>
        <v>0.7</v>
      </c>
      <c r="E129" s="325">
        <f t="shared" si="415"/>
        <v>1761.1999999999998</v>
      </c>
      <c r="F129" s="67">
        <v>1760</v>
      </c>
      <c r="U129" s="67">
        <v>3</v>
      </c>
      <c r="V129" s="324">
        <f t="shared" si="416"/>
        <v>0.42857142857142855</v>
      </c>
      <c r="W129" s="325">
        <f t="shared" si="417"/>
        <v>0</v>
      </c>
    </row>
    <row r="130" spans="2:24" ht="15" customHeight="1">
      <c r="B130" s="66" t="s">
        <v>9</v>
      </c>
      <c r="C130" s="67">
        <v>1</v>
      </c>
      <c r="D130" s="324">
        <f t="shared" si="414"/>
        <v>0.1</v>
      </c>
      <c r="E130" s="325">
        <f t="shared" si="415"/>
        <v>251.60000000000002</v>
      </c>
      <c r="F130" s="67">
        <v>252</v>
      </c>
      <c r="U130" s="67">
        <v>0</v>
      </c>
      <c r="V130" s="324">
        <f t="shared" si="416"/>
        <v>0</v>
      </c>
      <c r="W130" s="325">
        <f t="shared" si="417"/>
        <v>0</v>
      </c>
    </row>
    <row r="131" spans="2:24" ht="15" customHeight="1">
      <c r="B131" s="66" t="s">
        <v>10</v>
      </c>
      <c r="C131" s="67">
        <v>0</v>
      </c>
      <c r="D131" s="324">
        <f t="shared" si="414"/>
        <v>0</v>
      </c>
      <c r="E131" s="325">
        <f t="shared" si="415"/>
        <v>0</v>
      </c>
      <c r="U131" s="67">
        <v>4</v>
      </c>
      <c r="V131" s="324">
        <f t="shared" si="416"/>
        <v>0.5714285714285714</v>
      </c>
      <c r="W131" s="325">
        <f t="shared" si="417"/>
        <v>0</v>
      </c>
    </row>
    <row r="132" spans="2:24" ht="15" customHeight="1">
      <c r="B132" s="66" t="s">
        <v>357</v>
      </c>
      <c r="D132" s="324"/>
      <c r="E132" s="325"/>
      <c r="U132" s="67">
        <v>0</v>
      </c>
      <c r="V132" s="324">
        <f t="shared" si="416"/>
        <v>0</v>
      </c>
      <c r="W132" s="325">
        <f t="shared" si="417"/>
        <v>0</v>
      </c>
    </row>
    <row r="133" spans="2:24" ht="15" customHeight="1">
      <c r="C133" s="67">
        <f>SUM(C126:C132)</f>
        <v>10</v>
      </c>
      <c r="D133" s="328">
        <f>SUM(D126:D132)</f>
        <v>0.99999999999999989</v>
      </c>
      <c r="E133" s="325">
        <f>SUM(E126:E132)</f>
        <v>2515.9999999999995</v>
      </c>
      <c r="F133" s="325">
        <f>SUM(F126:F132)</f>
        <v>2516</v>
      </c>
      <c r="U133" s="67">
        <f>SUM(U126:U132)</f>
        <v>7</v>
      </c>
      <c r="V133" s="434">
        <f>SUM(V126:V132)</f>
        <v>1</v>
      </c>
      <c r="W133" s="325">
        <f>SUM(W126:W132)</f>
        <v>0</v>
      </c>
      <c r="X133" s="325">
        <f>SUM(X126:X132)</f>
        <v>0</v>
      </c>
    </row>
    <row r="134" spans="2:24" ht="15" customHeight="1">
      <c r="E134" s="326"/>
    </row>
    <row r="135" spans="2:24" ht="15" customHeight="1">
      <c r="B135" s="66" t="s">
        <v>371</v>
      </c>
      <c r="F135" s="67">
        <v>4527</v>
      </c>
      <c r="I135" s="67">
        <v>6289</v>
      </c>
      <c r="L135" s="67">
        <v>900</v>
      </c>
      <c r="O135" s="67">
        <v>2337</v>
      </c>
    </row>
    <row r="136" spans="2:24" ht="15" customHeight="1">
      <c r="B136" s="69" t="s">
        <v>4</v>
      </c>
      <c r="C136" s="327">
        <v>2755</v>
      </c>
      <c r="D136" s="324">
        <f>+C136/$C$143</f>
        <v>0.14705097411262344</v>
      </c>
      <c r="F136" s="325">
        <f>+$F$135*D136</f>
        <v>665.69975980784636</v>
      </c>
      <c r="G136" s="67">
        <v>666</v>
      </c>
      <c r="I136" s="325">
        <f>+$I$135*D136</f>
        <v>924.80357619428878</v>
      </c>
      <c r="J136" s="67">
        <v>925</v>
      </c>
      <c r="L136" s="325">
        <f>+$L$135*D136</f>
        <v>132.34587670136111</v>
      </c>
      <c r="M136" s="67">
        <v>133</v>
      </c>
      <c r="O136" s="325">
        <f>+$O$135*D146</f>
        <v>397.53241541121264</v>
      </c>
      <c r="P136" s="67">
        <v>398</v>
      </c>
      <c r="R136" s="67">
        <v>2009</v>
      </c>
    </row>
    <row r="137" spans="2:24" ht="15" customHeight="1">
      <c r="B137" s="69" t="s">
        <v>6</v>
      </c>
      <c r="C137" s="327">
        <v>1248</v>
      </c>
      <c r="D137" s="324">
        <f t="shared" ref="D137:D142" si="418">+C137/$C$143</f>
        <v>6.6613290632506011E-2</v>
      </c>
      <c r="F137" s="325">
        <f t="shared" ref="F137:F142" si="419">+$F$135*D137</f>
        <v>301.55836669335474</v>
      </c>
      <c r="G137" s="67">
        <v>301</v>
      </c>
      <c r="I137" s="325">
        <f t="shared" ref="I137:I142" si="420">+$I$135*D137</f>
        <v>418.93098478783031</v>
      </c>
      <c r="J137" s="67">
        <v>419</v>
      </c>
      <c r="L137" s="325">
        <f t="shared" ref="L137:L142" si="421">+$L$135*D137</f>
        <v>59.95196156925541</v>
      </c>
      <c r="M137" s="67">
        <v>60</v>
      </c>
      <c r="O137" s="325">
        <f t="shared" ref="O137:O141" si="422">+$O$135*D147</f>
        <v>180.08001975796492</v>
      </c>
      <c r="P137" s="67">
        <v>180</v>
      </c>
    </row>
    <row r="138" spans="2:24" ht="15" customHeight="1">
      <c r="B138" s="69" t="s">
        <v>7</v>
      </c>
      <c r="C138" s="327">
        <v>1068</v>
      </c>
      <c r="D138" s="324">
        <f t="shared" si="418"/>
        <v>5.7005604483586866E-2</v>
      </c>
      <c r="F138" s="325">
        <f t="shared" si="419"/>
        <v>258.06437149719773</v>
      </c>
      <c r="G138" s="67">
        <v>258</v>
      </c>
      <c r="I138" s="325">
        <f t="shared" si="420"/>
        <v>358.50824659727778</v>
      </c>
      <c r="J138" s="67">
        <v>359</v>
      </c>
      <c r="L138" s="325">
        <f t="shared" si="421"/>
        <v>51.305044035228178</v>
      </c>
      <c r="M138" s="67">
        <v>51</v>
      </c>
      <c r="O138" s="325">
        <f t="shared" si="422"/>
        <v>154.1069399851815</v>
      </c>
      <c r="P138" s="67">
        <v>154</v>
      </c>
    </row>
    <row r="139" spans="2:24" ht="15" customHeight="1">
      <c r="B139" s="69" t="s">
        <v>8</v>
      </c>
      <c r="C139" s="327">
        <v>5678</v>
      </c>
      <c r="D139" s="324">
        <f t="shared" si="418"/>
        <v>0.30306912196423808</v>
      </c>
      <c r="F139" s="325">
        <f t="shared" si="419"/>
        <v>1371.9939151321057</v>
      </c>
      <c r="G139" s="67">
        <v>1372</v>
      </c>
      <c r="I139" s="325">
        <f t="shared" si="420"/>
        <v>1906.0017080330933</v>
      </c>
      <c r="J139" s="67">
        <v>1906</v>
      </c>
      <c r="L139" s="325">
        <f t="shared" si="421"/>
        <v>272.76220976781428</v>
      </c>
      <c r="M139" s="67">
        <v>273</v>
      </c>
      <c r="O139" s="325">
        <f t="shared" si="422"/>
        <v>819.30637194368978</v>
      </c>
      <c r="P139" s="67">
        <v>819</v>
      </c>
    </row>
    <row r="140" spans="2:24" ht="15" customHeight="1">
      <c r="B140" s="69" t="s">
        <v>9</v>
      </c>
      <c r="C140" s="327">
        <v>3400</v>
      </c>
      <c r="D140" s="324">
        <f t="shared" si="418"/>
        <v>0.18147851614625032</v>
      </c>
      <c r="F140" s="325">
        <f t="shared" si="419"/>
        <v>821.55324259407519</v>
      </c>
      <c r="G140" s="67">
        <v>821</v>
      </c>
      <c r="I140" s="325">
        <f t="shared" si="420"/>
        <v>1141.3183880437682</v>
      </c>
      <c r="J140" s="67">
        <v>1141</v>
      </c>
      <c r="L140" s="325">
        <f t="shared" si="421"/>
        <v>163.3306645316253</v>
      </c>
      <c r="M140" s="67">
        <v>163</v>
      </c>
      <c r="O140" s="325">
        <f t="shared" si="422"/>
        <v>490.60261793035318</v>
      </c>
      <c r="P140" s="67">
        <v>491</v>
      </c>
    </row>
    <row r="141" spans="2:24" ht="15" customHeight="1">
      <c r="B141" s="69" t="s">
        <v>10</v>
      </c>
      <c r="C141" s="327">
        <v>2047</v>
      </c>
      <c r="D141" s="324">
        <f t="shared" si="418"/>
        <v>0.10926074192687484</v>
      </c>
      <c r="E141" s="9"/>
      <c r="F141" s="325">
        <f t="shared" si="419"/>
        <v>494.62337870296238</v>
      </c>
      <c r="G141" s="67">
        <v>495</v>
      </c>
      <c r="I141" s="325">
        <f t="shared" si="420"/>
        <v>687.14080597811585</v>
      </c>
      <c r="J141" s="67">
        <v>687</v>
      </c>
      <c r="L141" s="325">
        <f t="shared" si="421"/>
        <v>98.334667734187349</v>
      </c>
      <c r="M141" s="67">
        <v>98</v>
      </c>
      <c r="O141" s="325">
        <f t="shared" si="422"/>
        <v>295.37163497159793</v>
      </c>
      <c r="P141" s="67">
        <v>295</v>
      </c>
    </row>
    <row r="142" spans="2:24" ht="15" customHeight="1">
      <c r="B142" s="69" t="s">
        <v>357</v>
      </c>
      <c r="C142" s="327">
        <v>2539</v>
      </c>
      <c r="D142" s="324">
        <f t="shared" si="418"/>
        <v>0.13552175073392048</v>
      </c>
      <c r="E142" s="9"/>
      <c r="F142" s="325">
        <f t="shared" si="419"/>
        <v>613.50696557245794</v>
      </c>
      <c r="G142" s="67">
        <v>614</v>
      </c>
      <c r="I142" s="325">
        <f t="shared" si="420"/>
        <v>852.29629036562585</v>
      </c>
      <c r="J142" s="67">
        <v>852</v>
      </c>
      <c r="L142" s="325">
        <f t="shared" si="421"/>
        <v>121.96957566052843</v>
      </c>
      <c r="M142" s="67">
        <v>122</v>
      </c>
      <c r="O142" s="325"/>
    </row>
    <row r="143" spans="2:24" ht="15" customHeight="1">
      <c r="B143" s="69"/>
      <c r="C143" s="46">
        <f>SUM(C136:C142)</f>
        <v>18735</v>
      </c>
      <c r="D143" s="328">
        <f>SUM(D136:D142)</f>
        <v>1</v>
      </c>
      <c r="E143" s="9"/>
      <c r="F143" s="325">
        <f>SUM(F136:F142)</f>
        <v>4527</v>
      </c>
      <c r="G143" s="325">
        <f>SUM(G136:G142)</f>
        <v>4527</v>
      </c>
      <c r="I143" s="325">
        <f>SUM(I136:I142)</f>
        <v>6289.0000000000009</v>
      </c>
      <c r="J143" s="325">
        <f>SUM(J136:J142)</f>
        <v>6289</v>
      </c>
      <c r="L143" s="325">
        <f>SUM(L136:L142)</f>
        <v>900.00000000000011</v>
      </c>
      <c r="M143" s="325">
        <f>SUM(M136:M142)</f>
        <v>900</v>
      </c>
      <c r="O143" s="325">
        <f>SUM(O136:O142)</f>
        <v>2337</v>
      </c>
      <c r="P143" s="325">
        <f>SUM(P136:P142)</f>
        <v>2337</v>
      </c>
    </row>
    <row r="145" spans="2:7" ht="15" customHeight="1">
      <c r="B145" s="66" t="s">
        <v>371</v>
      </c>
    </row>
    <row r="146" spans="2:7" ht="15" customHeight="1">
      <c r="B146" s="69" t="s">
        <v>4</v>
      </c>
      <c r="C146" s="327">
        <v>2755</v>
      </c>
      <c r="D146" s="324">
        <f>+C146/$C$152</f>
        <v>0.17010372931588047</v>
      </c>
    </row>
    <row r="147" spans="2:7" ht="15" customHeight="1">
      <c r="B147" s="69" t="s">
        <v>6</v>
      </c>
      <c r="C147" s="327">
        <v>1248</v>
      </c>
      <c r="D147" s="324">
        <f t="shared" ref="D147:D151" si="423">+C147/$C$152</f>
        <v>7.7056063225487775E-2</v>
      </c>
      <c r="F147" s="426"/>
      <c r="G147" s="426"/>
    </row>
    <row r="148" spans="2:7" ht="15" customHeight="1">
      <c r="B148" s="69" t="s">
        <v>7</v>
      </c>
      <c r="C148" s="327">
        <v>1068</v>
      </c>
      <c r="D148" s="324">
        <f t="shared" si="423"/>
        <v>6.5942207952580878E-2</v>
      </c>
      <c r="F148" s="427"/>
      <c r="G148" s="427"/>
    </row>
    <row r="149" spans="2:7" ht="15" customHeight="1">
      <c r="B149" s="69" t="s">
        <v>8</v>
      </c>
      <c r="C149" s="327">
        <v>5678</v>
      </c>
      <c r="D149" s="324">
        <f t="shared" si="423"/>
        <v>0.35058039021980736</v>
      </c>
      <c r="F149" s="426"/>
      <c r="G149" s="426"/>
    </row>
    <row r="150" spans="2:7" ht="15" customHeight="1">
      <c r="B150" s="69" t="s">
        <v>9</v>
      </c>
      <c r="C150" s="327">
        <v>3400</v>
      </c>
      <c r="D150" s="324">
        <f t="shared" si="423"/>
        <v>0.20992837737713016</v>
      </c>
      <c r="F150" s="427"/>
      <c r="G150" s="427"/>
    </row>
    <row r="151" spans="2:7" ht="15" customHeight="1">
      <c r="B151" s="69" t="s">
        <v>10</v>
      </c>
      <c r="C151" s="327">
        <v>2047</v>
      </c>
      <c r="D151" s="324">
        <f t="shared" si="423"/>
        <v>0.12638923190911336</v>
      </c>
      <c r="F151" s="426"/>
      <c r="G151" s="426"/>
    </row>
    <row r="152" spans="2:7" ht="15" customHeight="1">
      <c r="B152" s="69"/>
      <c r="C152" s="46">
        <f>SUM(C146:C151)</f>
        <v>16196</v>
      </c>
      <c r="D152" s="328">
        <f>SUM(D146:D151)</f>
        <v>1</v>
      </c>
      <c r="F152" s="427"/>
      <c r="G152" s="427"/>
    </row>
    <row r="153" spans="2:7" ht="15" customHeight="1">
      <c r="F153" s="426"/>
      <c r="G153" s="426"/>
    </row>
    <row r="154" spans="2:7" ht="15" customHeight="1">
      <c r="F154" s="427"/>
      <c r="G154" s="427"/>
    </row>
    <row r="155" spans="2:7" ht="15" customHeight="1">
      <c r="F155" s="426"/>
      <c r="G155" s="426"/>
    </row>
    <row r="156" spans="2:7" ht="15" customHeight="1">
      <c r="F156" s="427"/>
      <c r="G156" s="427"/>
    </row>
    <row r="157" spans="2:7" ht="15" customHeight="1">
      <c r="F157" s="426"/>
      <c r="G157" s="426"/>
    </row>
    <row r="158" spans="2:7" ht="15" customHeight="1">
      <c r="F158" s="427"/>
      <c r="G158" s="427"/>
    </row>
    <row r="159" spans="2:7" ht="15" customHeight="1">
      <c r="F159" s="426"/>
      <c r="G159" s="426"/>
    </row>
    <row r="160" spans="2:7" ht="15" customHeight="1">
      <c r="F160" s="427"/>
      <c r="G160" s="427"/>
    </row>
    <row r="161" spans="6:7" ht="15" customHeight="1">
      <c r="F161" s="426"/>
      <c r="G161" s="426"/>
    </row>
  </sheetData>
  <mergeCells count="13">
    <mergeCell ref="A117:B117"/>
    <mergeCell ref="A115:B115"/>
    <mergeCell ref="O1:Q1"/>
    <mergeCell ref="I1:K1"/>
    <mergeCell ref="X1:Z1"/>
    <mergeCell ref="R1:T1"/>
    <mergeCell ref="U1:W1"/>
    <mergeCell ref="L1:N1"/>
    <mergeCell ref="A1:A2"/>
    <mergeCell ref="B1:B2"/>
    <mergeCell ref="A40:B40"/>
    <mergeCell ref="F1:H1"/>
    <mergeCell ref="C1:E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1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T130"/>
  <sheetViews>
    <sheetView zoomScaleSheetLayoutView="70" workbookViewId="0">
      <pane xSplit="2" ySplit="2" topLeftCell="C3" activePane="bottomRight" state="frozen"/>
      <selection activeCell="A35" sqref="A35"/>
      <selection pane="topRight" activeCell="A35" sqref="A35"/>
      <selection pane="bottomLeft" activeCell="A35" sqref="A35"/>
      <selection pane="bottomRight" activeCell="P81" sqref="P81"/>
    </sheetView>
  </sheetViews>
  <sheetFormatPr defaultColWidth="8.85546875" defaultRowHeight="12.75"/>
  <cols>
    <col min="1" max="1" width="6.28515625" style="9" customWidth="1"/>
    <col min="2" max="2" width="60.7109375" style="66" customWidth="1"/>
    <col min="3" max="8" width="11.42578125" style="67" customWidth="1"/>
    <col min="9" max="14" width="11.42578125" style="68" customWidth="1"/>
    <col min="15" max="17" width="11.42578125" style="67" customWidth="1"/>
    <col min="18" max="20" width="11.42578125" style="68" customWidth="1"/>
    <col min="21" max="21" width="8.85546875" style="9"/>
    <col min="22" max="22" width="40.7109375" style="9" customWidth="1"/>
    <col min="23" max="16384" width="8.85546875" style="9"/>
  </cols>
  <sheetData>
    <row r="1" spans="1:20" s="10" customFormat="1" ht="33" customHeight="1">
      <c r="A1" s="869" t="s">
        <v>189</v>
      </c>
      <c r="B1" s="871" t="s">
        <v>214</v>
      </c>
      <c r="C1" s="898" t="s">
        <v>352</v>
      </c>
      <c r="D1" s="899"/>
      <c r="E1" s="900"/>
      <c r="F1" s="898" t="s">
        <v>353</v>
      </c>
      <c r="G1" s="899"/>
      <c r="H1" s="900"/>
      <c r="I1" s="899" t="s">
        <v>18</v>
      </c>
      <c r="J1" s="899"/>
      <c r="K1" s="899"/>
      <c r="L1" s="898" t="s">
        <v>354</v>
      </c>
      <c r="M1" s="899"/>
      <c r="N1" s="900"/>
      <c r="O1" s="899" t="s">
        <v>19</v>
      </c>
      <c r="P1" s="899"/>
      <c r="Q1" s="899"/>
      <c r="R1" s="898" t="s">
        <v>358</v>
      </c>
      <c r="S1" s="899"/>
      <c r="T1" s="900"/>
    </row>
    <row r="2" spans="1:20" s="10" customFormat="1" ht="27" customHeight="1">
      <c r="A2" s="870"/>
      <c r="B2" s="872"/>
      <c r="C2" s="163" t="s">
        <v>467</v>
      </c>
      <c r="D2" s="164" t="s">
        <v>445</v>
      </c>
      <c r="E2" s="160" t="s">
        <v>504</v>
      </c>
      <c r="F2" s="163" t="s">
        <v>467</v>
      </c>
      <c r="G2" s="164" t="s">
        <v>445</v>
      </c>
      <c r="H2" s="160" t="s">
        <v>504</v>
      </c>
      <c r="I2" s="259" t="s">
        <v>467</v>
      </c>
      <c r="J2" s="164" t="s">
        <v>445</v>
      </c>
      <c r="K2" s="260" t="s">
        <v>504</v>
      </c>
      <c r="L2" s="163" t="s">
        <v>467</v>
      </c>
      <c r="M2" s="164" t="s">
        <v>445</v>
      </c>
      <c r="N2" s="160" t="s">
        <v>504</v>
      </c>
      <c r="O2" s="259" t="s">
        <v>467</v>
      </c>
      <c r="P2" s="164" t="s">
        <v>445</v>
      </c>
      <c r="Q2" s="260" t="s">
        <v>504</v>
      </c>
      <c r="R2" s="163" t="s">
        <v>467</v>
      </c>
      <c r="S2" s="164" t="s">
        <v>445</v>
      </c>
      <c r="T2" s="160" t="s">
        <v>504</v>
      </c>
    </row>
    <row r="3" spans="1:20" ht="13.5" customHeight="1">
      <c r="A3" s="174" t="s">
        <v>190</v>
      </c>
      <c r="B3" s="186" t="s">
        <v>150</v>
      </c>
      <c r="C3" s="222"/>
      <c r="D3" s="218"/>
      <c r="E3" s="223"/>
      <c r="F3" s="222"/>
      <c r="G3" s="218"/>
      <c r="H3" s="223"/>
      <c r="I3" s="222"/>
      <c r="J3" s="218"/>
      <c r="K3" s="219"/>
      <c r="L3" s="222"/>
      <c r="M3" s="218"/>
      <c r="N3" s="261"/>
      <c r="O3" s="222"/>
      <c r="P3" s="218"/>
      <c r="Q3" s="219"/>
      <c r="R3" s="222"/>
      <c r="S3" s="218"/>
      <c r="T3" s="261"/>
    </row>
    <row r="4" spans="1:20" ht="13.5" customHeight="1">
      <c r="A4" s="166" t="s">
        <v>191</v>
      </c>
      <c r="B4" s="184" t="s">
        <v>151</v>
      </c>
      <c r="C4" s="215"/>
      <c r="D4" s="207"/>
      <c r="E4" s="208"/>
      <c r="F4" s="215">
        <f t="shared" ref="F4:H4" si="0">+SUM(F5:F7)</f>
        <v>207</v>
      </c>
      <c r="G4" s="207">
        <f t="shared" si="0"/>
        <v>0</v>
      </c>
      <c r="H4" s="208">
        <f t="shared" si="0"/>
        <v>207</v>
      </c>
      <c r="I4" s="215">
        <f t="shared" ref="I4" si="1">+SUM(I5:I7)</f>
        <v>0</v>
      </c>
      <c r="J4" s="207"/>
      <c r="K4" s="212"/>
      <c r="L4" s="215">
        <f t="shared" ref="L4" si="2">+SUM(L5:L7)</f>
        <v>202</v>
      </c>
      <c r="M4" s="207">
        <f t="shared" ref="M4" si="3">+SUM(M5:M7)</f>
        <v>0</v>
      </c>
      <c r="N4" s="208">
        <f t="shared" ref="N4" si="4">+SUM(N5:N7)</f>
        <v>202</v>
      </c>
      <c r="O4" s="215">
        <f t="shared" ref="O4" si="5">+SUM(O5:O7)</f>
        <v>0</v>
      </c>
      <c r="P4" s="207"/>
      <c r="Q4" s="212"/>
      <c r="R4" s="215">
        <f t="shared" ref="R4:R7" si="6">+C4+F4+I4+L4+O4</f>
        <v>409</v>
      </c>
      <c r="S4" s="207">
        <f t="shared" ref="S4:S7" si="7">+D4+G4+J4+M4+P4</f>
        <v>0</v>
      </c>
      <c r="T4" s="208">
        <f t="shared" ref="T4:T7" si="8">+E4+H4+K4+N4+Q4</f>
        <v>409</v>
      </c>
    </row>
    <row r="5" spans="1:20" ht="13.5" customHeight="1">
      <c r="A5" s="166"/>
      <c r="B5" s="184" t="s">
        <v>152</v>
      </c>
      <c r="C5" s="215"/>
      <c r="D5" s="207"/>
      <c r="E5" s="208"/>
      <c r="F5" s="215"/>
      <c r="G5" s="207"/>
      <c r="H5" s="208"/>
      <c r="I5" s="215"/>
      <c r="J5" s="207"/>
      <c r="K5" s="212"/>
      <c r="L5" s="215"/>
      <c r="M5" s="207"/>
      <c r="N5" s="208"/>
      <c r="O5" s="215"/>
      <c r="P5" s="207"/>
      <c r="Q5" s="212"/>
      <c r="R5" s="215">
        <f t="shared" si="6"/>
        <v>0</v>
      </c>
      <c r="S5" s="207">
        <f t="shared" si="7"/>
        <v>0</v>
      </c>
      <c r="T5" s="208">
        <f t="shared" si="8"/>
        <v>0</v>
      </c>
    </row>
    <row r="6" spans="1:20" ht="13.5" customHeight="1">
      <c r="A6" s="176"/>
      <c r="B6" s="187" t="s">
        <v>468</v>
      </c>
      <c r="C6" s="232">
        <f>+'[4]4.SZ.TÁBL. ÓVODA'!$E6</f>
        <v>0</v>
      </c>
      <c r="D6" s="228"/>
      <c r="E6" s="233"/>
      <c r="F6" s="232">
        <f>+'[4]4.SZ.TÁBL. ÓVODA'!$H6</f>
        <v>207</v>
      </c>
      <c r="G6" s="228"/>
      <c r="H6" s="208">
        <f>+F6+G6</f>
        <v>207</v>
      </c>
      <c r="I6" s="232">
        <f>+'[4]4.SZ.TÁBL. ÓVODA'!$K6</f>
        <v>0</v>
      </c>
      <c r="J6" s="228"/>
      <c r="K6" s="229"/>
      <c r="L6" s="232">
        <f>+'[4]4.SZ.TÁBL. ÓVODA'!$N6</f>
        <v>202</v>
      </c>
      <c r="M6" s="228"/>
      <c r="N6" s="208">
        <f>+L6+M6</f>
        <v>202</v>
      </c>
      <c r="O6" s="232">
        <f>+'[4]4.SZ.TÁBL. ÓVODA'!$Q6</f>
        <v>0</v>
      </c>
      <c r="P6" s="228"/>
      <c r="Q6" s="229"/>
      <c r="R6" s="215">
        <f t="shared" si="6"/>
        <v>409</v>
      </c>
      <c r="S6" s="207">
        <f t="shared" si="7"/>
        <v>0</v>
      </c>
      <c r="T6" s="208">
        <f t="shared" si="8"/>
        <v>409</v>
      </c>
    </row>
    <row r="7" spans="1:20" ht="13.5" customHeight="1">
      <c r="A7" s="176"/>
      <c r="B7" s="187" t="s">
        <v>153</v>
      </c>
      <c r="C7" s="232"/>
      <c r="D7" s="228"/>
      <c r="E7" s="233"/>
      <c r="F7" s="232"/>
      <c r="G7" s="228"/>
      <c r="H7" s="233"/>
      <c r="I7" s="232"/>
      <c r="J7" s="228"/>
      <c r="K7" s="229"/>
      <c r="L7" s="232"/>
      <c r="M7" s="228"/>
      <c r="N7" s="233"/>
      <c r="O7" s="232"/>
      <c r="P7" s="228"/>
      <c r="Q7" s="229"/>
      <c r="R7" s="264">
        <f t="shared" si="6"/>
        <v>0</v>
      </c>
      <c r="S7" s="265">
        <f t="shared" si="7"/>
        <v>0</v>
      </c>
      <c r="T7" s="266">
        <f t="shared" si="8"/>
        <v>0</v>
      </c>
    </row>
    <row r="8" spans="1:20" s="317" customFormat="1" ht="13.5" customHeight="1">
      <c r="A8" s="157" t="s">
        <v>192</v>
      </c>
      <c r="B8" s="152" t="s">
        <v>154</v>
      </c>
      <c r="C8" s="288">
        <f>SUM(C3:C4)</f>
        <v>0</v>
      </c>
      <c r="D8" s="292"/>
      <c r="E8" s="293"/>
      <c r="F8" s="288">
        <f>SUM(F3:F4)</f>
        <v>207</v>
      </c>
      <c r="G8" s="292">
        <f t="shared" ref="G8:H8" si="9">SUM(G3:G4)</f>
        <v>0</v>
      </c>
      <c r="H8" s="293">
        <f t="shared" si="9"/>
        <v>207</v>
      </c>
      <c r="I8" s="288">
        <f>SUM(I3:I4)</f>
        <v>0</v>
      </c>
      <c r="J8" s="292"/>
      <c r="K8" s="295"/>
      <c r="L8" s="288">
        <f>SUM(L3:L4)</f>
        <v>202</v>
      </c>
      <c r="M8" s="292">
        <f t="shared" ref="M8:N8" si="10">SUM(M3:M4)</f>
        <v>0</v>
      </c>
      <c r="N8" s="293">
        <f t="shared" si="10"/>
        <v>202</v>
      </c>
      <c r="O8" s="288">
        <f>SUM(O3:O4)</f>
        <v>0</v>
      </c>
      <c r="P8" s="292"/>
      <c r="Q8" s="295"/>
      <c r="R8" s="288">
        <f>SUM(R3:R4)</f>
        <v>409</v>
      </c>
      <c r="S8" s="292">
        <f>SUM(S3:S4)</f>
        <v>0</v>
      </c>
      <c r="T8" s="293">
        <f>SUM(T3:T4)</f>
        <v>409</v>
      </c>
    </row>
    <row r="9" spans="1:20" ht="13.5" customHeight="1">
      <c r="A9" s="174" t="s">
        <v>193</v>
      </c>
      <c r="B9" s="186" t="s">
        <v>188</v>
      </c>
      <c r="C9" s="222"/>
      <c r="D9" s="218"/>
      <c r="E9" s="223"/>
      <c r="F9" s="222"/>
      <c r="G9" s="218"/>
      <c r="H9" s="223"/>
      <c r="I9" s="222"/>
      <c r="J9" s="218"/>
      <c r="K9" s="219"/>
      <c r="L9" s="222"/>
      <c r="M9" s="218"/>
      <c r="N9" s="261"/>
      <c r="O9" s="222"/>
      <c r="P9" s="218"/>
      <c r="Q9" s="219"/>
      <c r="R9" s="222"/>
      <c r="S9" s="218"/>
      <c r="T9" s="223"/>
    </row>
    <row r="10" spans="1:20" ht="13.5" customHeight="1">
      <c r="A10" s="166" t="s">
        <v>194</v>
      </c>
      <c r="B10" s="184" t="s">
        <v>155</v>
      </c>
      <c r="C10" s="215"/>
      <c r="D10" s="207"/>
      <c r="E10" s="208"/>
      <c r="F10" s="215"/>
      <c r="G10" s="207"/>
      <c r="H10" s="208"/>
      <c r="I10" s="215"/>
      <c r="J10" s="207"/>
      <c r="K10" s="212"/>
      <c r="L10" s="215"/>
      <c r="M10" s="207"/>
      <c r="N10" s="262"/>
      <c r="O10" s="215"/>
      <c r="P10" s="207"/>
      <c r="Q10" s="212"/>
      <c r="R10" s="215"/>
      <c r="S10" s="207"/>
      <c r="T10" s="208"/>
    </row>
    <row r="11" spans="1:20" ht="13.5" customHeight="1">
      <c r="A11" s="176"/>
      <c r="B11" s="187" t="s">
        <v>153</v>
      </c>
      <c r="C11" s="232"/>
      <c r="D11" s="228"/>
      <c r="E11" s="233"/>
      <c r="F11" s="232"/>
      <c r="G11" s="228"/>
      <c r="H11" s="233"/>
      <c r="I11" s="232"/>
      <c r="J11" s="228"/>
      <c r="K11" s="229"/>
      <c r="L11" s="232"/>
      <c r="M11" s="228"/>
      <c r="N11" s="263"/>
      <c r="O11" s="232"/>
      <c r="P11" s="228"/>
      <c r="Q11" s="229"/>
      <c r="R11" s="232"/>
      <c r="S11" s="228"/>
      <c r="T11" s="233"/>
    </row>
    <row r="12" spans="1:20" s="317" customFormat="1" ht="13.5" customHeight="1">
      <c r="A12" s="157" t="s">
        <v>195</v>
      </c>
      <c r="B12" s="152" t="s">
        <v>156</v>
      </c>
      <c r="C12" s="288">
        <f>SUM(C9:C10)</f>
        <v>0</v>
      </c>
      <c r="D12" s="292"/>
      <c r="E12" s="293"/>
      <c r="F12" s="288">
        <f>SUM(F9:F10)</f>
        <v>0</v>
      </c>
      <c r="G12" s="292"/>
      <c r="H12" s="293"/>
      <c r="I12" s="288">
        <f>SUM(I9:I10)</f>
        <v>0</v>
      </c>
      <c r="J12" s="292"/>
      <c r="K12" s="295"/>
      <c r="L12" s="288">
        <f>SUM(L9:L10)</f>
        <v>0</v>
      </c>
      <c r="M12" s="292"/>
      <c r="N12" s="296"/>
      <c r="O12" s="288">
        <f>SUM(O9:O10)</f>
        <v>0</v>
      </c>
      <c r="P12" s="292"/>
      <c r="Q12" s="295"/>
      <c r="R12" s="288">
        <f>SUM(R9:R10)</f>
        <v>0</v>
      </c>
      <c r="S12" s="292">
        <f t="shared" ref="S12:T12" si="11">SUM(S9:S10)</f>
        <v>0</v>
      </c>
      <c r="T12" s="293">
        <f t="shared" si="11"/>
        <v>0</v>
      </c>
    </row>
    <row r="13" spans="1:20" ht="13.5" customHeight="1">
      <c r="A13" s="174" t="s">
        <v>196</v>
      </c>
      <c r="B13" s="186" t="s">
        <v>157</v>
      </c>
      <c r="C13" s="232">
        <f>+'[4]4.SZ.TÁBL. ÓVODA'!$E13</f>
        <v>0</v>
      </c>
      <c r="D13" s="218"/>
      <c r="E13" s="223"/>
      <c r="F13" s="232">
        <f>+'[4]4.SZ.TÁBL. ÓVODA'!$H13</f>
        <v>0</v>
      </c>
      <c r="G13" s="218"/>
      <c r="H13" s="223"/>
      <c r="I13" s="232">
        <f>+'[4]4.SZ.TÁBL. ÓVODA'!$K13</f>
        <v>0</v>
      </c>
      <c r="J13" s="218"/>
      <c r="K13" s="219"/>
      <c r="L13" s="232">
        <f>+'[4]4.SZ.TÁBL. ÓVODA'!$N13</f>
        <v>0</v>
      </c>
      <c r="M13" s="218"/>
      <c r="N13" s="261"/>
      <c r="O13" s="232">
        <f>+'[4]4.SZ.TÁBL. ÓVODA'!$Q13</f>
        <v>0</v>
      </c>
      <c r="P13" s="218"/>
      <c r="Q13" s="219"/>
      <c r="R13" s="222"/>
      <c r="S13" s="218"/>
      <c r="T13" s="223"/>
    </row>
    <row r="14" spans="1:20" ht="13.5" customHeight="1">
      <c r="A14" s="166" t="s">
        <v>197</v>
      </c>
      <c r="B14" s="184" t="s">
        <v>158</v>
      </c>
      <c r="C14" s="232">
        <f>+'[4]4.SZ.TÁBL. ÓVODA'!$E14</f>
        <v>0</v>
      </c>
      <c r="D14" s="207"/>
      <c r="E14" s="208"/>
      <c r="F14" s="232">
        <f>+'[4]4.SZ.TÁBL. ÓVODA'!$H14</f>
        <v>0</v>
      </c>
      <c r="G14" s="207"/>
      <c r="H14" s="208"/>
      <c r="I14" s="232">
        <f>+'[4]4.SZ.TÁBL. ÓVODA'!$K14</f>
        <v>0</v>
      </c>
      <c r="J14" s="207"/>
      <c r="K14" s="212"/>
      <c r="L14" s="232">
        <f>+'[4]4.SZ.TÁBL. ÓVODA'!$N14</f>
        <v>0</v>
      </c>
      <c r="M14" s="207"/>
      <c r="N14" s="262"/>
      <c r="O14" s="232">
        <f>+'[4]4.SZ.TÁBL. ÓVODA'!$Q14</f>
        <v>0</v>
      </c>
      <c r="P14" s="207"/>
      <c r="Q14" s="212"/>
      <c r="R14" s="215"/>
      <c r="S14" s="207"/>
      <c r="T14" s="208"/>
    </row>
    <row r="15" spans="1:20" ht="13.5" customHeight="1">
      <c r="A15" s="166" t="s">
        <v>198</v>
      </c>
      <c r="B15" s="184" t="s">
        <v>159</v>
      </c>
      <c r="C15" s="232">
        <f>+'[4]4.SZ.TÁBL. ÓVODA'!$E15</f>
        <v>0</v>
      </c>
      <c r="D15" s="207"/>
      <c r="E15" s="208"/>
      <c r="F15" s="232">
        <f>+'[4]4.SZ.TÁBL. ÓVODA'!$H15</f>
        <v>0</v>
      </c>
      <c r="G15" s="207"/>
      <c r="H15" s="208"/>
      <c r="I15" s="232">
        <f>+'[4]4.SZ.TÁBL. ÓVODA'!$K15</f>
        <v>0</v>
      </c>
      <c r="J15" s="207"/>
      <c r="K15" s="212"/>
      <c r="L15" s="232">
        <f>+'[4]4.SZ.TÁBL. ÓVODA'!$N15</f>
        <v>0</v>
      </c>
      <c r="M15" s="207"/>
      <c r="N15" s="262"/>
      <c r="O15" s="232">
        <f>+'[4]4.SZ.TÁBL. ÓVODA'!$Q15</f>
        <v>0</v>
      </c>
      <c r="P15" s="207"/>
      <c r="Q15" s="212"/>
      <c r="R15" s="215"/>
      <c r="S15" s="207"/>
      <c r="T15" s="208"/>
    </row>
    <row r="16" spans="1:20" ht="13.5" customHeight="1">
      <c r="A16" s="166" t="s">
        <v>199</v>
      </c>
      <c r="B16" s="184" t="s">
        <v>160</v>
      </c>
      <c r="C16" s="232">
        <f>+'[4]4.SZ.TÁBL. ÓVODA'!$E16</f>
        <v>0</v>
      </c>
      <c r="D16" s="207"/>
      <c r="E16" s="208"/>
      <c r="F16" s="232">
        <f>+'[4]4.SZ.TÁBL. ÓVODA'!$H16</f>
        <v>0</v>
      </c>
      <c r="G16" s="207"/>
      <c r="H16" s="208"/>
      <c r="I16" s="232">
        <f>+'[4]4.SZ.TÁBL. ÓVODA'!$K16</f>
        <v>0</v>
      </c>
      <c r="J16" s="207"/>
      <c r="K16" s="212"/>
      <c r="L16" s="232">
        <f>+'[4]4.SZ.TÁBL. ÓVODA'!$N16</f>
        <v>0</v>
      </c>
      <c r="M16" s="207"/>
      <c r="N16" s="262"/>
      <c r="O16" s="232">
        <f>+'[4]4.SZ.TÁBL. ÓVODA'!$Q16</f>
        <v>0</v>
      </c>
      <c r="P16" s="207"/>
      <c r="Q16" s="212"/>
      <c r="R16" s="215"/>
      <c r="S16" s="207"/>
      <c r="T16" s="208"/>
    </row>
    <row r="17" spans="1:20" ht="13.5" customHeight="1">
      <c r="A17" s="166" t="s">
        <v>200</v>
      </c>
      <c r="B17" s="184" t="s">
        <v>161</v>
      </c>
      <c r="C17" s="232">
        <f>+'[4]4.SZ.TÁBL. ÓVODA'!$E17</f>
        <v>3393</v>
      </c>
      <c r="D17" s="207"/>
      <c r="E17" s="208">
        <f>+C17+D17</f>
        <v>3393</v>
      </c>
      <c r="F17" s="232">
        <f>+'[4]4.SZ.TÁBL. ÓVODA'!$H17</f>
        <v>0</v>
      </c>
      <c r="G17" s="207"/>
      <c r="H17" s="208"/>
      <c r="I17" s="232">
        <f>+'[4]4.SZ.TÁBL. ÓVODA'!$K17</f>
        <v>0</v>
      </c>
      <c r="J17" s="207"/>
      <c r="K17" s="212"/>
      <c r="L17" s="232">
        <f>+'[4]4.SZ.TÁBL. ÓVODA'!$N17</f>
        <v>0</v>
      </c>
      <c r="M17" s="207"/>
      <c r="N17" s="262"/>
      <c r="O17" s="232">
        <f>+'[4]4.SZ.TÁBL. ÓVODA'!$Q17</f>
        <v>0</v>
      </c>
      <c r="P17" s="207"/>
      <c r="Q17" s="212"/>
      <c r="R17" s="215">
        <f>+C17+F17+I17+L17+O17</f>
        <v>3393</v>
      </c>
      <c r="S17" s="207">
        <f t="shared" ref="S17:T17" si="12">+D17+G17+J17+M17+P17</f>
        <v>0</v>
      </c>
      <c r="T17" s="208">
        <f t="shared" si="12"/>
        <v>3393</v>
      </c>
    </row>
    <row r="18" spans="1:20" ht="13.5" customHeight="1">
      <c r="A18" s="166" t="s">
        <v>201</v>
      </c>
      <c r="B18" s="184" t="s">
        <v>162</v>
      </c>
      <c r="C18" s="232">
        <f>+'[4]4.SZ.TÁBL. ÓVODA'!$E18</f>
        <v>0</v>
      </c>
      <c r="D18" s="207"/>
      <c r="E18" s="208"/>
      <c r="F18" s="232">
        <f>+'[4]4.SZ.TÁBL. ÓVODA'!$H18</f>
        <v>0</v>
      </c>
      <c r="G18" s="207"/>
      <c r="H18" s="208"/>
      <c r="I18" s="232">
        <f>+'[4]4.SZ.TÁBL. ÓVODA'!$K18</f>
        <v>0</v>
      </c>
      <c r="J18" s="207"/>
      <c r="K18" s="212"/>
      <c r="L18" s="232">
        <f>+'[4]4.SZ.TÁBL. ÓVODA'!$N18</f>
        <v>0</v>
      </c>
      <c r="M18" s="207"/>
      <c r="N18" s="262"/>
      <c r="O18" s="232">
        <f>+'[4]4.SZ.TÁBL. ÓVODA'!$Q18</f>
        <v>0</v>
      </c>
      <c r="P18" s="207"/>
      <c r="Q18" s="212"/>
      <c r="R18" s="215"/>
      <c r="S18" s="207"/>
      <c r="T18" s="208"/>
    </row>
    <row r="19" spans="1:20" ht="13.5" customHeight="1">
      <c r="A19" s="166" t="s">
        <v>202</v>
      </c>
      <c r="B19" s="184" t="s">
        <v>163</v>
      </c>
      <c r="C19" s="232">
        <f>+'[4]4.SZ.TÁBL. ÓVODA'!$E19</f>
        <v>0</v>
      </c>
      <c r="D19" s="207"/>
      <c r="E19" s="208"/>
      <c r="F19" s="232">
        <f>+'[4]4.SZ.TÁBL. ÓVODA'!$H19</f>
        <v>0</v>
      </c>
      <c r="G19" s="207"/>
      <c r="H19" s="208"/>
      <c r="I19" s="232">
        <f>+'[4]4.SZ.TÁBL. ÓVODA'!$K19</f>
        <v>0</v>
      </c>
      <c r="J19" s="207"/>
      <c r="K19" s="212"/>
      <c r="L19" s="232">
        <f>+'[4]4.SZ.TÁBL. ÓVODA'!$N19</f>
        <v>0</v>
      </c>
      <c r="M19" s="207"/>
      <c r="N19" s="262"/>
      <c r="O19" s="232">
        <f>+'[4]4.SZ.TÁBL. ÓVODA'!$Q19</f>
        <v>0</v>
      </c>
      <c r="P19" s="207"/>
      <c r="Q19" s="212"/>
      <c r="R19" s="215"/>
      <c r="S19" s="207"/>
      <c r="T19" s="208"/>
    </row>
    <row r="20" spans="1:20" ht="13.5" customHeight="1">
      <c r="A20" s="166" t="s">
        <v>203</v>
      </c>
      <c r="B20" s="184" t="s">
        <v>164</v>
      </c>
      <c r="C20" s="232">
        <f>+'[4]4.SZ.TÁBL. ÓVODA'!$E20</f>
        <v>0</v>
      </c>
      <c r="D20" s="207"/>
      <c r="E20" s="208"/>
      <c r="F20" s="232">
        <f>+'[4]4.SZ.TÁBL. ÓVODA'!$H20</f>
        <v>0</v>
      </c>
      <c r="G20" s="207"/>
      <c r="H20" s="208"/>
      <c r="I20" s="232">
        <f>+'[4]4.SZ.TÁBL. ÓVODA'!$K20</f>
        <v>0</v>
      </c>
      <c r="J20" s="207"/>
      <c r="K20" s="212"/>
      <c r="L20" s="232">
        <f>+'[4]4.SZ.TÁBL. ÓVODA'!$N20</f>
        <v>0</v>
      </c>
      <c r="M20" s="207"/>
      <c r="N20" s="262"/>
      <c r="O20" s="232">
        <f>+'[4]4.SZ.TÁBL. ÓVODA'!$Q20</f>
        <v>0</v>
      </c>
      <c r="P20" s="207"/>
      <c r="Q20" s="212"/>
      <c r="R20" s="215"/>
      <c r="S20" s="207"/>
      <c r="T20" s="208"/>
    </row>
    <row r="21" spans="1:20" ht="13.5" customHeight="1">
      <c r="A21" s="176" t="s">
        <v>204</v>
      </c>
      <c r="B21" s="187" t="s">
        <v>165</v>
      </c>
      <c r="C21" s="232">
        <f>+'[4]4.SZ.TÁBL. ÓVODA'!$E21</f>
        <v>0</v>
      </c>
      <c r="D21" s="228"/>
      <c r="E21" s="233"/>
      <c r="F21" s="232">
        <f>+'[4]4.SZ.TÁBL. ÓVODA'!$H21</f>
        <v>0</v>
      </c>
      <c r="G21" s="228"/>
      <c r="H21" s="233"/>
      <c r="I21" s="232">
        <f>+'[4]4.SZ.TÁBL. ÓVODA'!$K21</f>
        <v>0</v>
      </c>
      <c r="J21" s="228"/>
      <c r="K21" s="229"/>
      <c r="L21" s="232">
        <f>+'[4]4.SZ.TÁBL. ÓVODA'!$N21</f>
        <v>0</v>
      </c>
      <c r="M21" s="228"/>
      <c r="N21" s="263"/>
      <c r="O21" s="232">
        <f>+'[4]4.SZ.TÁBL. ÓVODA'!$Q21</f>
        <v>0</v>
      </c>
      <c r="P21" s="228"/>
      <c r="Q21" s="229"/>
      <c r="R21" s="232"/>
      <c r="S21" s="228"/>
      <c r="T21" s="233"/>
    </row>
    <row r="22" spans="1:20" s="317" customFormat="1" ht="13.5" customHeight="1">
      <c r="A22" s="157" t="s">
        <v>205</v>
      </c>
      <c r="B22" s="152" t="s">
        <v>166</v>
      </c>
      <c r="C22" s="603">
        <f>SUM(C13:C21)</f>
        <v>3393</v>
      </c>
      <c r="D22" s="292">
        <f t="shared" ref="D22:E22" si="13">SUM(D13:D21)</f>
        <v>0</v>
      </c>
      <c r="E22" s="294">
        <f t="shared" si="13"/>
        <v>3393</v>
      </c>
      <c r="F22" s="603">
        <f>SUM(F13:F21)</f>
        <v>0</v>
      </c>
      <c r="G22" s="292">
        <f t="shared" ref="G22" si="14">SUM(G13:G21)</f>
        <v>0</v>
      </c>
      <c r="H22" s="294">
        <f t="shared" ref="H22" si="15">SUM(H13:H21)</f>
        <v>0</v>
      </c>
      <c r="I22" s="603">
        <f>SUM(I13:I21)</f>
        <v>0</v>
      </c>
      <c r="J22" s="292">
        <f t="shared" ref="J22" si="16">SUM(J13:J21)</f>
        <v>0</v>
      </c>
      <c r="K22" s="294">
        <f t="shared" ref="K22" si="17">SUM(K13:K21)</f>
        <v>0</v>
      </c>
      <c r="L22" s="603">
        <f>SUM(L13:L21)</f>
        <v>0</v>
      </c>
      <c r="M22" s="292">
        <f t="shared" ref="M22" si="18">SUM(M13:M21)</f>
        <v>0</v>
      </c>
      <c r="N22" s="294">
        <f t="shared" ref="N22" si="19">SUM(N13:N21)</f>
        <v>0</v>
      </c>
      <c r="O22" s="603">
        <f>SUM(O13:O21)</f>
        <v>0</v>
      </c>
      <c r="P22" s="292">
        <f t="shared" ref="P22" si="20">SUM(P13:P21)</f>
        <v>0</v>
      </c>
      <c r="Q22" s="294">
        <f t="shared" ref="Q22" si="21">SUM(Q13:Q21)</f>
        <v>0</v>
      </c>
      <c r="R22" s="288">
        <f>SUM(R13:R21)</f>
        <v>3393</v>
      </c>
      <c r="S22" s="292">
        <f t="shared" ref="S22:T22" si="22">SUM(S13:S21)</f>
        <v>0</v>
      </c>
      <c r="T22" s="293">
        <f t="shared" si="22"/>
        <v>3393</v>
      </c>
    </row>
    <row r="23" spans="1:20" s="317" customFormat="1" ht="13.5" customHeight="1">
      <c r="A23" s="157" t="s">
        <v>206</v>
      </c>
      <c r="B23" s="152" t="s">
        <v>167</v>
      </c>
      <c r="C23" s="288"/>
      <c r="D23" s="292"/>
      <c r="E23" s="293"/>
      <c r="F23" s="288"/>
      <c r="G23" s="292"/>
      <c r="H23" s="293"/>
      <c r="I23" s="288"/>
      <c r="J23" s="292"/>
      <c r="K23" s="293"/>
      <c r="L23" s="288"/>
      <c r="M23" s="292"/>
      <c r="N23" s="293"/>
      <c r="O23" s="288"/>
      <c r="P23" s="292"/>
      <c r="Q23" s="293"/>
      <c r="R23" s="288"/>
      <c r="S23" s="292"/>
      <c r="T23" s="293"/>
    </row>
    <row r="24" spans="1:20" ht="13.5" customHeight="1">
      <c r="A24" s="178" t="s">
        <v>207</v>
      </c>
      <c r="B24" s="188" t="s">
        <v>168</v>
      </c>
      <c r="C24" s="232">
        <f>+'[4]4.SZ.TÁBL. ÓVODA'!$E24</f>
        <v>0</v>
      </c>
      <c r="D24" s="239"/>
      <c r="E24" s="244"/>
      <c r="F24" s="232">
        <f>+'[4]4.SZ.TÁBL. ÓVODA'!$H24</f>
        <v>0</v>
      </c>
      <c r="G24" s="239"/>
      <c r="H24" s="244"/>
      <c r="I24" s="232">
        <f>+'[4]4.SZ.TÁBL. ÓVODA'!$K24</f>
        <v>0</v>
      </c>
      <c r="J24" s="239"/>
      <c r="K24" s="244"/>
      <c r="L24" s="232">
        <f>+'[4]4.SZ.TÁBL. ÓVODA'!$N24</f>
        <v>0</v>
      </c>
      <c r="M24" s="239"/>
      <c r="N24" s="244"/>
      <c r="O24" s="232">
        <f>+'[4]4.SZ.TÁBL. ÓVODA'!$Q24</f>
        <v>0</v>
      </c>
      <c r="P24" s="239"/>
      <c r="Q24" s="244"/>
      <c r="R24" s="243"/>
      <c r="S24" s="239"/>
      <c r="T24" s="244"/>
    </row>
    <row r="25" spans="1:20" s="317" customFormat="1" ht="13.5" customHeight="1">
      <c r="A25" s="157" t="s">
        <v>208</v>
      </c>
      <c r="B25" s="152" t="s">
        <v>327</v>
      </c>
      <c r="C25" s="603">
        <f>+C24</f>
        <v>0</v>
      </c>
      <c r="D25" s="292">
        <f t="shared" ref="D25:E25" si="23">+D24</f>
        <v>0</v>
      </c>
      <c r="E25" s="294">
        <f t="shared" si="23"/>
        <v>0</v>
      </c>
      <c r="F25" s="603">
        <f>+F24</f>
        <v>0</v>
      </c>
      <c r="G25" s="292">
        <f t="shared" ref="G25" si="24">+G24</f>
        <v>0</v>
      </c>
      <c r="H25" s="294">
        <f t="shared" ref="H25" si="25">+H24</f>
        <v>0</v>
      </c>
      <c r="I25" s="603">
        <f>+I24</f>
        <v>0</v>
      </c>
      <c r="J25" s="292">
        <f t="shared" ref="J25" si="26">+J24</f>
        <v>0</v>
      </c>
      <c r="K25" s="294">
        <f t="shared" ref="K25" si="27">+K24</f>
        <v>0</v>
      </c>
      <c r="L25" s="603">
        <f>+L24</f>
        <v>0</v>
      </c>
      <c r="M25" s="292">
        <f t="shared" ref="M25" si="28">+M24</f>
        <v>0</v>
      </c>
      <c r="N25" s="294">
        <f t="shared" ref="N25" si="29">+N24</f>
        <v>0</v>
      </c>
      <c r="O25" s="603">
        <f>+O24</f>
        <v>0</v>
      </c>
      <c r="P25" s="292">
        <f t="shared" ref="P25" si="30">+P24</f>
        <v>0</v>
      </c>
      <c r="Q25" s="294">
        <f t="shared" ref="Q25" si="31">+Q24</f>
        <v>0</v>
      </c>
      <c r="R25" s="288">
        <f>+R24</f>
        <v>0</v>
      </c>
      <c r="S25" s="292">
        <f t="shared" ref="S25:T25" si="32">+S24</f>
        <v>0</v>
      </c>
      <c r="T25" s="293">
        <f t="shared" si="32"/>
        <v>0</v>
      </c>
    </row>
    <row r="26" spans="1:20" ht="13.5" customHeight="1">
      <c r="A26" s="178" t="s">
        <v>209</v>
      </c>
      <c r="B26" s="188" t="s">
        <v>169</v>
      </c>
      <c r="C26" s="232">
        <f>+'[4]4.SZ.TÁBL. ÓVODA'!$E26</f>
        <v>0</v>
      </c>
      <c r="D26" s="239"/>
      <c r="E26" s="244"/>
      <c r="F26" s="232">
        <f>+'[4]4.SZ.TÁBL. ÓVODA'!$H26</f>
        <v>0</v>
      </c>
      <c r="G26" s="239"/>
      <c r="H26" s="244"/>
      <c r="I26" s="232">
        <f>+'[4]4.SZ.TÁBL. ÓVODA'!$K26</f>
        <v>0</v>
      </c>
      <c r="J26" s="239"/>
      <c r="K26" s="244"/>
      <c r="L26" s="232">
        <f>+'[4]4.SZ.TÁBL. ÓVODA'!$N26</f>
        <v>0</v>
      </c>
      <c r="M26" s="239"/>
      <c r="N26" s="244"/>
      <c r="O26" s="232">
        <f>+'[4]4.SZ.TÁBL. ÓVODA'!$Q26</f>
        <v>0</v>
      </c>
      <c r="P26" s="239"/>
      <c r="Q26" s="244"/>
      <c r="R26" s="243"/>
      <c r="S26" s="239"/>
      <c r="T26" s="244"/>
    </row>
    <row r="27" spans="1:20" s="317" customFormat="1" ht="13.5" customHeight="1">
      <c r="A27" s="157" t="s">
        <v>210</v>
      </c>
      <c r="B27" s="152" t="s">
        <v>328</v>
      </c>
      <c r="C27" s="603">
        <f>+C26</f>
        <v>0</v>
      </c>
      <c r="D27" s="292">
        <f t="shared" ref="D27:E27" si="33">+D26</f>
        <v>0</v>
      </c>
      <c r="E27" s="294">
        <f t="shared" si="33"/>
        <v>0</v>
      </c>
      <c r="F27" s="603">
        <f>+F26</f>
        <v>0</v>
      </c>
      <c r="G27" s="292">
        <f t="shared" ref="G27" si="34">+G26</f>
        <v>0</v>
      </c>
      <c r="H27" s="294">
        <f t="shared" ref="H27" si="35">+H26</f>
        <v>0</v>
      </c>
      <c r="I27" s="603">
        <f>+I26</f>
        <v>0</v>
      </c>
      <c r="J27" s="292">
        <f t="shared" ref="J27" si="36">+J26</f>
        <v>0</v>
      </c>
      <c r="K27" s="294">
        <f t="shared" ref="K27" si="37">+K26</f>
        <v>0</v>
      </c>
      <c r="L27" s="603">
        <f>+L26</f>
        <v>0</v>
      </c>
      <c r="M27" s="292">
        <f t="shared" ref="M27" si="38">+M26</f>
        <v>0</v>
      </c>
      <c r="N27" s="294">
        <f t="shared" ref="N27" si="39">+N26</f>
        <v>0</v>
      </c>
      <c r="O27" s="603">
        <f>+O26</f>
        <v>0</v>
      </c>
      <c r="P27" s="292">
        <f t="shared" ref="P27" si="40">+P26</f>
        <v>0</v>
      </c>
      <c r="Q27" s="294">
        <f t="shared" ref="Q27" si="41">+Q26</f>
        <v>0</v>
      </c>
      <c r="R27" s="288">
        <f>+R26</f>
        <v>0</v>
      </c>
      <c r="S27" s="292">
        <f t="shared" ref="S27:T27" si="42">+S26</f>
        <v>0</v>
      </c>
      <c r="T27" s="293">
        <f t="shared" si="42"/>
        <v>0</v>
      </c>
    </row>
    <row r="28" spans="1:20" s="317" customFormat="1" ht="13.5" customHeight="1">
      <c r="A28" s="157" t="s">
        <v>211</v>
      </c>
      <c r="B28" s="152" t="s">
        <v>170</v>
      </c>
      <c r="C28" s="288">
        <f>+C8+C12+C22+C23+C25+C27</f>
        <v>3393</v>
      </c>
      <c r="D28" s="292">
        <f t="shared" ref="D28:E28" si="43">+D8+D12+D22+D23+D25+D27</f>
        <v>0</v>
      </c>
      <c r="E28" s="293">
        <f t="shared" si="43"/>
        <v>3393</v>
      </c>
      <c r="F28" s="288">
        <f>+F8+F12+F22+F23+F25+F27</f>
        <v>207</v>
      </c>
      <c r="G28" s="292">
        <f t="shared" ref="G28" si="44">+G8+G12+G22+G23+G25+G27</f>
        <v>0</v>
      </c>
      <c r="H28" s="293">
        <f t="shared" ref="H28" si="45">+H8+H12+H22+H23+H25+H27</f>
        <v>207</v>
      </c>
      <c r="I28" s="288">
        <f>+I8+I12+I22+I23+I25+I27</f>
        <v>0</v>
      </c>
      <c r="J28" s="292">
        <f t="shared" ref="J28" si="46">+J8+J12+J22+J23+J25+J27</f>
        <v>0</v>
      </c>
      <c r="K28" s="293">
        <f t="shared" ref="K28" si="47">+K8+K12+K22+K23+K25+K27</f>
        <v>0</v>
      </c>
      <c r="L28" s="288">
        <f>+L8+L12+L22+L23+L25+L27</f>
        <v>202</v>
      </c>
      <c r="M28" s="292">
        <f t="shared" ref="M28" si="48">+M8+M12+M22+M23+M25+M27</f>
        <v>0</v>
      </c>
      <c r="N28" s="293">
        <f t="shared" ref="N28" si="49">+N8+N12+N22+N23+N25+N27</f>
        <v>202</v>
      </c>
      <c r="O28" s="288">
        <f>+O8+O12+O22+O23+O25+O27</f>
        <v>0</v>
      </c>
      <c r="P28" s="292">
        <f t="shared" ref="P28" si="50">+P8+P12+P22+P23+P25+P27</f>
        <v>0</v>
      </c>
      <c r="Q28" s="293">
        <f t="shared" ref="Q28" si="51">+Q8+Q12+Q22+Q23+Q25+Q27</f>
        <v>0</v>
      </c>
      <c r="R28" s="288">
        <f>+R8+R12+R22+R23+R25+R27</f>
        <v>3802</v>
      </c>
      <c r="S28" s="292">
        <f t="shared" ref="S28:T28" si="52">+S8+S12+S22+S23+S25+S27</f>
        <v>0</v>
      </c>
      <c r="T28" s="293">
        <f t="shared" si="52"/>
        <v>3802</v>
      </c>
    </row>
    <row r="29" spans="1:20" s="317" customFormat="1" ht="13.5" customHeight="1">
      <c r="A29" s="245" t="s">
        <v>212</v>
      </c>
      <c r="B29" s="152" t="s">
        <v>171</v>
      </c>
      <c r="C29" s="232">
        <f>+'[4]4.SZ.TÁBL. ÓVODA'!$E29</f>
        <v>0</v>
      </c>
      <c r="D29" s="292"/>
      <c r="E29" s="293"/>
      <c r="F29" s="232">
        <f>+'[4]4.SZ.TÁBL. ÓVODA'!$H29</f>
        <v>0</v>
      </c>
      <c r="G29" s="292"/>
      <c r="H29" s="293"/>
      <c r="I29" s="232">
        <f>+'[4]4.SZ.TÁBL. ÓVODA'!$K29</f>
        <v>0</v>
      </c>
      <c r="J29" s="292"/>
      <c r="K29" s="293"/>
      <c r="L29" s="232">
        <f>+'[4]4.SZ.TÁBL. ÓVODA'!$N29</f>
        <v>0</v>
      </c>
      <c r="M29" s="292"/>
      <c r="N29" s="293"/>
      <c r="O29" s="232">
        <f>+'[4]4.SZ.TÁBL. ÓVODA'!$Q29</f>
        <v>768</v>
      </c>
      <c r="P29" s="292"/>
      <c r="Q29" s="293">
        <f>+O29+P29</f>
        <v>768</v>
      </c>
      <c r="R29" s="215">
        <f>+C29+F29+I29+L29+O29</f>
        <v>768</v>
      </c>
      <c r="S29" s="595">
        <f t="shared" ref="S29:T29" si="53">+D29+G29+J29+M29+P29</f>
        <v>0</v>
      </c>
      <c r="T29" s="596">
        <f t="shared" si="53"/>
        <v>768</v>
      </c>
    </row>
    <row r="30" spans="1:20" s="317" customFormat="1" ht="13.5" customHeight="1">
      <c r="A30" s="245" t="s">
        <v>325</v>
      </c>
      <c r="B30" s="152" t="s">
        <v>326</v>
      </c>
      <c r="C30" s="288">
        <f t="shared" ref="C30:T30" si="54">+SUM(C31:C33)</f>
        <v>29047</v>
      </c>
      <c r="D30" s="292">
        <f t="shared" si="54"/>
        <v>92</v>
      </c>
      <c r="E30" s="293">
        <f t="shared" si="54"/>
        <v>29139</v>
      </c>
      <c r="F30" s="288">
        <f t="shared" ref="F30" si="55">+SUM(F31:F33)</f>
        <v>50175</v>
      </c>
      <c r="G30" s="292">
        <f t="shared" si="54"/>
        <v>50</v>
      </c>
      <c r="H30" s="293">
        <f t="shared" si="54"/>
        <v>50225</v>
      </c>
      <c r="I30" s="288">
        <f t="shared" si="54"/>
        <v>25261</v>
      </c>
      <c r="J30" s="292">
        <f t="shared" si="54"/>
        <v>717</v>
      </c>
      <c r="K30" s="293">
        <f t="shared" si="54"/>
        <v>25978</v>
      </c>
      <c r="L30" s="288">
        <f t="shared" ref="L30" si="56">+SUM(L31:L33)</f>
        <v>43995</v>
      </c>
      <c r="M30" s="292">
        <f t="shared" si="54"/>
        <v>88</v>
      </c>
      <c r="N30" s="293">
        <f t="shared" si="54"/>
        <v>44083</v>
      </c>
      <c r="O30" s="288">
        <f t="shared" si="54"/>
        <v>10608</v>
      </c>
      <c r="P30" s="292">
        <f t="shared" si="54"/>
        <v>19</v>
      </c>
      <c r="Q30" s="293">
        <f t="shared" si="54"/>
        <v>10627</v>
      </c>
      <c r="R30" s="288">
        <f t="shared" si="54"/>
        <v>159086</v>
      </c>
      <c r="S30" s="292">
        <f t="shared" si="54"/>
        <v>966</v>
      </c>
      <c r="T30" s="293">
        <f t="shared" si="54"/>
        <v>160052</v>
      </c>
    </row>
    <row r="31" spans="1:20" ht="13.5" customHeight="1">
      <c r="A31" s="274"/>
      <c r="B31" s="183" t="s">
        <v>355</v>
      </c>
      <c r="C31" s="232">
        <f>+'[4]4.SZ.TÁBL. ÓVODA'!$E31</f>
        <v>29047</v>
      </c>
      <c r="D31" s="269">
        <f>+[5]MOVI!$Z$5</f>
        <v>92</v>
      </c>
      <c r="E31" s="208">
        <f t="shared" ref="E31:E36" si="57">+C31+D31</f>
        <v>29139</v>
      </c>
      <c r="F31" s="232">
        <f>+'[4]4.SZ.TÁBL. ÓVODA'!$H31</f>
        <v>47606</v>
      </c>
      <c r="G31" s="269">
        <f>+[5]BOVI!$Z$5</f>
        <v>50</v>
      </c>
      <c r="H31" s="208">
        <f t="shared" ref="H31" si="58">+F31+G31</f>
        <v>47656</v>
      </c>
      <c r="I31" s="232">
        <f>+'[4]4.SZ.TÁBL. ÓVODA'!$K31</f>
        <v>25261</v>
      </c>
      <c r="J31" s="269">
        <f>+[5]GYOVI!$Z$5</f>
        <v>55</v>
      </c>
      <c r="K31" s="208">
        <f t="shared" ref="K31" si="59">+I31+J31</f>
        <v>25316</v>
      </c>
      <c r="L31" s="232">
        <f>+'[4]4.SZ.TÁBL. ÓVODA'!$N31</f>
        <v>43995</v>
      </c>
      <c r="M31" s="269">
        <f>+[5]TOVI!$Z$5</f>
        <v>88</v>
      </c>
      <c r="N31" s="208">
        <f t="shared" ref="N31" si="60">+L31+M31</f>
        <v>44083</v>
      </c>
      <c r="O31" s="232">
        <f>+'[4]4.SZ.TÁBL. ÓVODA'!$Q31</f>
        <v>4156</v>
      </c>
      <c r="P31" s="269">
        <f>+[5]KIK!$Z$5</f>
        <v>19</v>
      </c>
      <c r="Q31" s="208">
        <f t="shared" ref="Q31" si="61">+O31+P31</f>
        <v>4175</v>
      </c>
      <c r="R31" s="271">
        <f t="shared" ref="R31:R36" si="62">+C31+F31+I31+L31+O31</f>
        <v>150065</v>
      </c>
      <c r="S31" s="269">
        <f t="shared" ref="S31:S36" si="63">+D31+G31+J31+M31+P31</f>
        <v>304</v>
      </c>
      <c r="T31" s="272">
        <f t="shared" ref="T31:T36" si="64">+E31+H31+K31+N31+Q31</f>
        <v>150369</v>
      </c>
    </row>
    <row r="32" spans="1:20" ht="13.5" customHeight="1">
      <c r="A32" s="608"/>
      <c r="B32" s="184" t="s">
        <v>456</v>
      </c>
      <c r="C32" s="232">
        <f>+'[4]4.SZ.TÁBL. ÓVODA'!$E32</f>
        <v>0</v>
      </c>
      <c r="D32" s="218"/>
      <c r="E32" s="208"/>
      <c r="F32" s="232">
        <f>+'[4]4.SZ.TÁBL. ÓVODA'!$H32</f>
        <v>735</v>
      </c>
      <c r="G32" s="218"/>
      <c r="H32" s="208">
        <f>+F32+G32</f>
        <v>735</v>
      </c>
      <c r="I32" s="232">
        <f>+'[4]4.SZ.TÁBL. ÓVODA'!$K32</f>
        <v>0</v>
      </c>
      <c r="J32" s="218"/>
      <c r="K32" s="208"/>
      <c r="L32" s="232">
        <f>+'[4]4.SZ.TÁBL. ÓVODA'!$N32</f>
        <v>0</v>
      </c>
      <c r="M32" s="218"/>
      <c r="N32" s="208"/>
      <c r="O32" s="232">
        <f>+'[4]4.SZ.TÁBL. ÓVODA'!$Q32</f>
        <v>1500</v>
      </c>
      <c r="P32" s="218"/>
      <c r="Q32" s="208">
        <f>+O32+P32</f>
        <v>1500</v>
      </c>
      <c r="R32" s="222">
        <f>+C32+F32+I32+L32+O32</f>
        <v>2235</v>
      </c>
      <c r="S32" s="218">
        <f t="shared" ref="S32" si="65">+D32+G32+J32+M32+P32</f>
        <v>0</v>
      </c>
      <c r="T32" s="223">
        <f t="shared" ref="T32" si="66">+E32+H32+K32+N32+Q32</f>
        <v>2235</v>
      </c>
    </row>
    <row r="33" spans="1:20" ht="13.5" customHeight="1">
      <c r="A33" s="275"/>
      <c r="B33" s="184" t="s">
        <v>356</v>
      </c>
      <c r="C33" s="215">
        <f>+SUM(C34:C36)</f>
        <v>0</v>
      </c>
      <c r="D33" s="207">
        <f t="shared" ref="D33" si="67">+SUM(D34:D36)</f>
        <v>0</v>
      </c>
      <c r="E33" s="208">
        <f>+SUM(E34:E36)</f>
        <v>0</v>
      </c>
      <c r="F33" s="215">
        <f>+SUM(F34:F36)</f>
        <v>1834</v>
      </c>
      <c r="G33" s="207">
        <f t="shared" ref="G33" si="68">+SUM(G34:G36)</f>
        <v>0</v>
      </c>
      <c r="H33" s="208">
        <f>+SUM(H34:H36)</f>
        <v>1834</v>
      </c>
      <c r="I33" s="215">
        <f>+SUM(I34:I36)</f>
        <v>0</v>
      </c>
      <c r="J33" s="207">
        <f t="shared" ref="J33" si="69">+SUM(J34:J36)</f>
        <v>662</v>
      </c>
      <c r="K33" s="208">
        <f>+SUM(K34:K36)</f>
        <v>662</v>
      </c>
      <c r="L33" s="215">
        <f>+SUM(L34:L36)</f>
        <v>0</v>
      </c>
      <c r="M33" s="207">
        <f t="shared" ref="M33" si="70">+SUM(M34:M36)</f>
        <v>0</v>
      </c>
      <c r="N33" s="208">
        <f>+SUM(N34:N36)</f>
        <v>0</v>
      </c>
      <c r="O33" s="215">
        <f>+SUM(O34:O36)</f>
        <v>4952</v>
      </c>
      <c r="P33" s="207">
        <f t="shared" ref="P33" si="71">+SUM(P34:P36)</f>
        <v>0</v>
      </c>
      <c r="Q33" s="208">
        <f>+SUM(Q34:Q36)</f>
        <v>4952</v>
      </c>
      <c r="R33" s="215">
        <f t="shared" si="62"/>
        <v>6786</v>
      </c>
      <c r="S33" s="207">
        <f t="shared" si="63"/>
        <v>662</v>
      </c>
      <c r="T33" s="208">
        <f t="shared" si="64"/>
        <v>7448</v>
      </c>
    </row>
    <row r="34" spans="1:20" ht="13.5" customHeight="1">
      <c r="A34" s="275"/>
      <c r="B34" s="184" t="s">
        <v>4</v>
      </c>
      <c r="C34" s="232">
        <f>+'[4]4.SZ.TÁBL. ÓVODA'!$E34</f>
        <v>0</v>
      </c>
      <c r="D34" s="207"/>
      <c r="E34" s="208">
        <f t="shared" si="57"/>
        <v>0</v>
      </c>
      <c r="F34" s="232">
        <f>+'[4]4.SZ.TÁBL. ÓVODA'!$H34</f>
        <v>1834</v>
      </c>
      <c r="G34" s="207"/>
      <c r="H34" s="208">
        <f t="shared" ref="H34:H36" si="72">+F34+G34</f>
        <v>1834</v>
      </c>
      <c r="I34" s="232">
        <f>+'[4]4.SZ.TÁBL. ÓVODA'!$K34</f>
        <v>0</v>
      </c>
      <c r="J34" s="207"/>
      <c r="K34" s="208">
        <f t="shared" ref="K34:K36" si="73">+I34+J34</f>
        <v>0</v>
      </c>
      <c r="L34" s="232">
        <f>+'[4]4.SZ.TÁBL. ÓVODA'!$N34</f>
        <v>0</v>
      </c>
      <c r="M34" s="207"/>
      <c r="N34" s="208">
        <f t="shared" ref="N34:N36" si="74">+L34+M34</f>
        <v>0</v>
      </c>
      <c r="O34" s="232">
        <f>+'[4]4.SZ.TÁBL. ÓVODA'!$Q34</f>
        <v>1981</v>
      </c>
      <c r="P34" s="207"/>
      <c r="Q34" s="208">
        <f t="shared" ref="Q34:Q36" si="75">+O34+P34</f>
        <v>1981</v>
      </c>
      <c r="R34" s="215">
        <f t="shared" si="62"/>
        <v>3815</v>
      </c>
      <c r="S34" s="207">
        <f t="shared" si="63"/>
        <v>0</v>
      </c>
      <c r="T34" s="208">
        <f t="shared" si="64"/>
        <v>3815</v>
      </c>
    </row>
    <row r="35" spans="1:20" ht="13.5" customHeight="1">
      <c r="A35" s="275"/>
      <c r="B35" s="184" t="s">
        <v>6</v>
      </c>
      <c r="C35" s="232">
        <f>+'[4]4.SZ.TÁBL. ÓVODA'!$E35</f>
        <v>0</v>
      </c>
      <c r="D35" s="207"/>
      <c r="E35" s="208">
        <f t="shared" si="57"/>
        <v>0</v>
      </c>
      <c r="F35" s="232">
        <f>+'[4]4.SZ.TÁBL. ÓVODA'!$H35</f>
        <v>0</v>
      </c>
      <c r="G35" s="207"/>
      <c r="H35" s="208">
        <f t="shared" si="72"/>
        <v>0</v>
      </c>
      <c r="I35" s="232">
        <f>+'[4]4.SZ.TÁBL. ÓVODA'!$K35</f>
        <v>0</v>
      </c>
      <c r="J35" s="207">
        <f>+[5]GYOVI!$Z$13</f>
        <v>662</v>
      </c>
      <c r="K35" s="208">
        <f t="shared" si="73"/>
        <v>662</v>
      </c>
      <c r="L35" s="232">
        <f>+'[4]4.SZ.TÁBL. ÓVODA'!$N35</f>
        <v>0</v>
      </c>
      <c r="M35" s="207"/>
      <c r="N35" s="208">
        <f t="shared" si="74"/>
        <v>0</v>
      </c>
      <c r="O35" s="232">
        <f>+'[4]4.SZ.TÁBL. ÓVODA'!$Q35</f>
        <v>990</v>
      </c>
      <c r="P35" s="207"/>
      <c r="Q35" s="208">
        <f t="shared" si="75"/>
        <v>990</v>
      </c>
      <c r="R35" s="215">
        <f t="shared" si="62"/>
        <v>990</v>
      </c>
      <c r="S35" s="207">
        <f t="shared" si="63"/>
        <v>662</v>
      </c>
      <c r="T35" s="208">
        <f t="shared" si="64"/>
        <v>1652</v>
      </c>
    </row>
    <row r="36" spans="1:20" ht="13.5" customHeight="1">
      <c r="A36" s="851"/>
      <c r="B36" s="852" t="s">
        <v>10</v>
      </c>
      <c r="C36" s="232">
        <f>+'[4]4.SZ.TÁBL. ÓVODA'!$E36</f>
        <v>0</v>
      </c>
      <c r="D36" s="265"/>
      <c r="E36" s="208">
        <f t="shared" si="57"/>
        <v>0</v>
      </c>
      <c r="F36" s="232">
        <f>+'[4]4.SZ.TÁBL. ÓVODA'!$H36</f>
        <v>0</v>
      </c>
      <c r="G36" s="265"/>
      <c r="H36" s="208">
        <f t="shared" si="72"/>
        <v>0</v>
      </c>
      <c r="I36" s="232">
        <f>+'[4]4.SZ.TÁBL. ÓVODA'!$K36</f>
        <v>0</v>
      </c>
      <c r="J36" s="265"/>
      <c r="K36" s="208">
        <f t="shared" si="73"/>
        <v>0</v>
      </c>
      <c r="L36" s="232">
        <f>+'[4]4.SZ.TÁBL. ÓVODA'!$N36</f>
        <v>0</v>
      </c>
      <c r="M36" s="265"/>
      <c r="N36" s="208">
        <f t="shared" si="74"/>
        <v>0</v>
      </c>
      <c r="O36" s="232">
        <f>+'[4]4.SZ.TÁBL. ÓVODA'!$Q36</f>
        <v>1981</v>
      </c>
      <c r="P36" s="265"/>
      <c r="Q36" s="208">
        <f t="shared" si="75"/>
        <v>1981</v>
      </c>
      <c r="R36" s="264">
        <f t="shared" si="62"/>
        <v>1981</v>
      </c>
      <c r="S36" s="265">
        <f t="shared" si="63"/>
        <v>0</v>
      </c>
      <c r="T36" s="266">
        <f t="shared" si="64"/>
        <v>1981</v>
      </c>
    </row>
    <row r="37" spans="1:20" s="317" customFormat="1" ht="13.5" customHeight="1" thickBot="1">
      <c r="A37" s="285" t="s">
        <v>213</v>
      </c>
      <c r="B37" s="286" t="s">
        <v>172</v>
      </c>
      <c r="C37" s="297">
        <f>SUM(C29:C30)</f>
        <v>29047</v>
      </c>
      <c r="D37" s="298">
        <f t="shared" ref="D37:E37" si="76">SUM(D29:D30)</f>
        <v>92</v>
      </c>
      <c r="E37" s="299">
        <f t="shared" si="76"/>
        <v>29139</v>
      </c>
      <c r="F37" s="297">
        <f>SUM(F29:F30)</f>
        <v>50175</v>
      </c>
      <c r="G37" s="298">
        <f t="shared" ref="G37:H37" si="77">SUM(G29:G30)</f>
        <v>50</v>
      </c>
      <c r="H37" s="299">
        <f t="shared" si="77"/>
        <v>50225</v>
      </c>
      <c r="I37" s="297">
        <f>SUM(I29:I30)</f>
        <v>25261</v>
      </c>
      <c r="J37" s="298">
        <f t="shared" ref="J37:K37" si="78">SUM(J29:J30)</f>
        <v>717</v>
      </c>
      <c r="K37" s="299">
        <f t="shared" si="78"/>
        <v>25978</v>
      </c>
      <c r="L37" s="297">
        <f>SUM(L29:L30)</f>
        <v>43995</v>
      </c>
      <c r="M37" s="298">
        <f t="shared" ref="M37:N37" si="79">SUM(M29:M30)</f>
        <v>88</v>
      </c>
      <c r="N37" s="299">
        <f t="shared" si="79"/>
        <v>44083</v>
      </c>
      <c r="O37" s="297">
        <f>SUM(O29:O30)</f>
        <v>11376</v>
      </c>
      <c r="P37" s="298">
        <f t="shared" ref="P37:Q37" si="80">SUM(P29:P30)</f>
        <v>19</v>
      </c>
      <c r="Q37" s="299">
        <f t="shared" si="80"/>
        <v>11395</v>
      </c>
      <c r="R37" s="297">
        <f>SUM(R29:R30)</f>
        <v>159854</v>
      </c>
      <c r="S37" s="298">
        <f t="shared" ref="S37:T37" si="81">SUM(S29:S30)</f>
        <v>966</v>
      </c>
      <c r="T37" s="299">
        <f t="shared" si="81"/>
        <v>160820</v>
      </c>
    </row>
    <row r="38" spans="1:20" s="317" customFormat="1" ht="13.5" customHeight="1" thickBot="1">
      <c r="A38" s="863" t="s">
        <v>0</v>
      </c>
      <c r="B38" s="901"/>
      <c r="C38" s="300">
        <f t="shared" ref="C38:T38" si="82">+C28+C37</f>
        <v>32440</v>
      </c>
      <c r="D38" s="301">
        <f t="shared" si="82"/>
        <v>92</v>
      </c>
      <c r="E38" s="302">
        <f t="shared" si="82"/>
        <v>32532</v>
      </c>
      <c r="F38" s="300">
        <f t="shared" ref="F38" si="83">+F28+F37</f>
        <v>50382</v>
      </c>
      <c r="G38" s="301">
        <f t="shared" si="82"/>
        <v>50</v>
      </c>
      <c r="H38" s="302">
        <f t="shared" si="82"/>
        <v>50432</v>
      </c>
      <c r="I38" s="300">
        <f t="shared" si="82"/>
        <v>25261</v>
      </c>
      <c r="J38" s="301">
        <f t="shared" si="82"/>
        <v>717</v>
      </c>
      <c r="K38" s="302">
        <f t="shared" si="82"/>
        <v>25978</v>
      </c>
      <c r="L38" s="300">
        <f t="shared" ref="L38" si="84">+L28+L37</f>
        <v>44197</v>
      </c>
      <c r="M38" s="301">
        <f t="shared" si="82"/>
        <v>88</v>
      </c>
      <c r="N38" s="302">
        <f t="shared" si="82"/>
        <v>44285</v>
      </c>
      <c r="O38" s="300">
        <f t="shared" si="82"/>
        <v>11376</v>
      </c>
      <c r="P38" s="301">
        <f t="shared" si="82"/>
        <v>19</v>
      </c>
      <c r="Q38" s="302">
        <f t="shared" si="82"/>
        <v>11395</v>
      </c>
      <c r="R38" s="300">
        <f t="shared" si="82"/>
        <v>163656</v>
      </c>
      <c r="S38" s="301">
        <f t="shared" si="82"/>
        <v>966</v>
      </c>
      <c r="T38" s="302">
        <f t="shared" si="82"/>
        <v>164622</v>
      </c>
    </row>
    <row r="39" spans="1:20" ht="13.5" customHeight="1">
      <c r="A39" s="199" t="s">
        <v>231</v>
      </c>
      <c r="B39" s="254" t="s">
        <v>232</v>
      </c>
      <c r="C39" s="232">
        <f>+'[4]4.SZ.TÁBL. ÓVODA'!$E39</f>
        <v>14400</v>
      </c>
      <c r="D39" s="218">
        <f>+[5]MOVI!$E$4+[5]MOVI!$E$7</f>
        <v>284</v>
      </c>
      <c r="E39" s="223">
        <f t="shared" ref="E39:E52" si="85">+C39+D39</f>
        <v>14684</v>
      </c>
      <c r="F39" s="232">
        <f>+'[4]4.SZ.TÁBL. ÓVODA'!$H39</f>
        <v>26475</v>
      </c>
      <c r="G39" s="218">
        <f>+[5]BOVI!$E$4+[5]BOVI!$E$6</f>
        <v>-1</v>
      </c>
      <c r="H39" s="223">
        <f t="shared" ref="H39:H52" si="86">+F39+G39</f>
        <v>26474</v>
      </c>
      <c r="I39" s="232">
        <f>+'[4]4.SZ.TÁBL. ÓVODA'!$K39</f>
        <v>13821</v>
      </c>
      <c r="J39" s="218">
        <f>+[5]GYOVI!$E$4+[5]GYOVI!$E$6</f>
        <v>1</v>
      </c>
      <c r="K39" s="223">
        <f t="shared" ref="K39:K52" si="87">+I39+J39</f>
        <v>13822</v>
      </c>
      <c r="L39" s="232">
        <f>+'[4]4.SZ.TÁBL. ÓVODA'!$N39</f>
        <v>24779</v>
      </c>
      <c r="M39" s="218">
        <f>+[5]TOVI!$E$4+[5]TOVI!$E$6</f>
        <v>55</v>
      </c>
      <c r="N39" s="223">
        <f t="shared" ref="N39:N52" si="88">+L39+M39</f>
        <v>24834</v>
      </c>
      <c r="O39" s="232">
        <f>+'[4]4.SZ.TÁBL. ÓVODA'!$Q39</f>
        <v>5596</v>
      </c>
      <c r="P39" s="218">
        <f>+[5]KIK!$E$4+[5]KIK!$E$6</f>
        <v>-60</v>
      </c>
      <c r="Q39" s="223">
        <f t="shared" ref="Q39:Q52" si="89">+O39+P39</f>
        <v>5536</v>
      </c>
      <c r="R39" s="222">
        <f>+C39+F39+I39+L39+O39</f>
        <v>85071</v>
      </c>
      <c r="S39" s="218">
        <f t="shared" ref="S39:T52" si="90">+D39+G39+J39+M39+P39</f>
        <v>279</v>
      </c>
      <c r="T39" s="223">
        <f t="shared" si="90"/>
        <v>85350</v>
      </c>
    </row>
    <row r="40" spans="1:20" ht="13.5" customHeight="1">
      <c r="A40" s="200" t="s">
        <v>233</v>
      </c>
      <c r="B40" s="255" t="s">
        <v>234</v>
      </c>
      <c r="C40" s="232">
        <f>+'[4]4.SZ.TÁBL. ÓVODA'!$E40</f>
        <v>0</v>
      </c>
      <c r="D40" s="207"/>
      <c r="E40" s="208">
        <f t="shared" si="85"/>
        <v>0</v>
      </c>
      <c r="F40" s="232">
        <f>+'[4]4.SZ.TÁBL. ÓVODA'!$H40</f>
        <v>0</v>
      </c>
      <c r="G40" s="207"/>
      <c r="H40" s="208">
        <f t="shared" si="86"/>
        <v>0</v>
      </c>
      <c r="I40" s="232">
        <f>+'[4]4.SZ.TÁBL. ÓVODA'!$K40</f>
        <v>0</v>
      </c>
      <c r="J40" s="207"/>
      <c r="K40" s="208">
        <f t="shared" si="87"/>
        <v>0</v>
      </c>
      <c r="L40" s="232">
        <f>+'[4]4.SZ.TÁBL. ÓVODA'!$N40</f>
        <v>0</v>
      </c>
      <c r="M40" s="207"/>
      <c r="N40" s="208">
        <f t="shared" si="88"/>
        <v>0</v>
      </c>
      <c r="O40" s="232">
        <f>+'[4]4.SZ.TÁBL. ÓVODA'!$Q40</f>
        <v>0</v>
      </c>
      <c r="P40" s="207"/>
      <c r="Q40" s="208">
        <f t="shared" si="89"/>
        <v>0</v>
      </c>
      <c r="R40" s="222">
        <f t="shared" ref="R40:R56" si="91">+C40+F40+I40+L40+O40</f>
        <v>0</v>
      </c>
      <c r="S40" s="207">
        <f t="shared" si="90"/>
        <v>0</v>
      </c>
      <c r="T40" s="208">
        <f t="shared" si="90"/>
        <v>0</v>
      </c>
    </row>
    <row r="41" spans="1:20" ht="13.5" customHeight="1">
      <c r="A41" s="200" t="s">
        <v>235</v>
      </c>
      <c r="B41" s="255" t="s">
        <v>236</v>
      </c>
      <c r="C41" s="232">
        <f>+'[4]4.SZ.TÁBL. ÓVODA'!$E41</f>
        <v>0</v>
      </c>
      <c r="D41" s="207"/>
      <c r="E41" s="208">
        <f t="shared" si="85"/>
        <v>0</v>
      </c>
      <c r="F41" s="232">
        <f>+'[4]4.SZ.TÁBL. ÓVODA'!$H41</f>
        <v>0</v>
      </c>
      <c r="G41" s="207"/>
      <c r="H41" s="208">
        <f t="shared" si="86"/>
        <v>0</v>
      </c>
      <c r="I41" s="232">
        <f>+'[4]4.SZ.TÁBL. ÓVODA'!$K41</f>
        <v>0</v>
      </c>
      <c r="J41" s="207"/>
      <c r="K41" s="208">
        <f t="shared" si="87"/>
        <v>0</v>
      </c>
      <c r="L41" s="232">
        <f>+'[4]4.SZ.TÁBL. ÓVODA'!$N41</f>
        <v>0</v>
      </c>
      <c r="M41" s="207"/>
      <c r="N41" s="208">
        <f t="shared" si="88"/>
        <v>0</v>
      </c>
      <c r="O41" s="232">
        <f>+'[4]4.SZ.TÁBL. ÓVODA'!$Q41</f>
        <v>0</v>
      </c>
      <c r="P41" s="207"/>
      <c r="Q41" s="208">
        <f t="shared" si="89"/>
        <v>0</v>
      </c>
      <c r="R41" s="222">
        <f t="shared" si="91"/>
        <v>0</v>
      </c>
      <c r="S41" s="207">
        <f t="shared" si="90"/>
        <v>0</v>
      </c>
      <c r="T41" s="208">
        <f t="shared" si="90"/>
        <v>0</v>
      </c>
    </row>
    <row r="42" spans="1:20" ht="13.5" customHeight="1">
      <c r="A42" s="200" t="s">
        <v>237</v>
      </c>
      <c r="B42" s="255" t="s">
        <v>238</v>
      </c>
      <c r="C42" s="232">
        <f>+'[4]4.SZ.TÁBL. ÓVODA'!$E42</f>
        <v>302</v>
      </c>
      <c r="D42" s="207">
        <f>+[5]MOVI!$E$6</f>
        <v>-216</v>
      </c>
      <c r="E42" s="208">
        <f t="shared" si="85"/>
        <v>86</v>
      </c>
      <c r="F42" s="232">
        <f>+'[4]4.SZ.TÁBL. ÓVODA'!$H42</f>
        <v>615</v>
      </c>
      <c r="G42" s="207"/>
      <c r="H42" s="208">
        <f t="shared" si="86"/>
        <v>615</v>
      </c>
      <c r="I42" s="232">
        <f>+'[4]4.SZ.TÁBL. ÓVODA'!$K42</f>
        <v>2103</v>
      </c>
      <c r="J42" s="207">
        <f>+[5]GYOVI!$E$7</f>
        <v>40</v>
      </c>
      <c r="K42" s="208">
        <f t="shared" si="87"/>
        <v>2143</v>
      </c>
      <c r="L42" s="232">
        <f>+'[4]4.SZ.TÁBL. ÓVODA'!$N42</f>
        <v>554</v>
      </c>
      <c r="M42" s="207">
        <f>+[5]TOVI!$E$7</f>
        <v>13</v>
      </c>
      <c r="N42" s="208">
        <f t="shared" si="88"/>
        <v>567</v>
      </c>
      <c r="O42" s="232">
        <f>+'[4]4.SZ.TÁBL. ÓVODA'!$Q42</f>
        <v>91</v>
      </c>
      <c r="P42" s="207"/>
      <c r="Q42" s="208">
        <f t="shared" si="89"/>
        <v>91</v>
      </c>
      <c r="R42" s="222">
        <f t="shared" si="91"/>
        <v>3665</v>
      </c>
      <c r="S42" s="207">
        <f t="shared" si="90"/>
        <v>-163</v>
      </c>
      <c r="T42" s="208">
        <f t="shared" si="90"/>
        <v>3502</v>
      </c>
    </row>
    <row r="43" spans="1:20" ht="13.5" customHeight="1">
      <c r="A43" s="200" t="s">
        <v>239</v>
      </c>
      <c r="B43" s="255" t="s">
        <v>240</v>
      </c>
      <c r="C43" s="232">
        <f>+'[4]4.SZ.TÁBL. ÓVODA'!$E43</f>
        <v>0</v>
      </c>
      <c r="D43" s="207"/>
      <c r="E43" s="208">
        <f t="shared" si="85"/>
        <v>0</v>
      </c>
      <c r="F43" s="232">
        <f>+'[4]4.SZ.TÁBL. ÓVODA'!$H43</f>
        <v>0</v>
      </c>
      <c r="G43" s="207"/>
      <c r="H43" s="208">
        <f t="shared" si="86"/>
        <v>0</v>
      </c>
      <c r="I43" s="232">
        <f>+'[4]4.SZ.TÁBL. ÓVODA'!$K43</f>
        <v>0</v>
      </c>
      <c r="J43" s="207"/>
      <c r="K43" s="208">
        <f t="shared" si="87"/>
        <v>0</v>
      </c>
      <c r="L43" s="232">
        <f>+'[4]4.SZ.TÁBL. ÓVODA'!$N43</f>
        <v>0</v>
      </c>
      <c r="M43" s="207"/>
      <c r="N43" s="208">
        <f t="shared" si="88"/>
        <v>0</v>
      </c>
      <c r="O43" s="232">
        <f>+'[4]4.SZ.TÁBL. ÓVODA'!$Q43</f>
        <v>0</v>
      </c>
      <c r="P43" s="207"/>
      <c r="Q43" s="208">
        <f t="shared" si="89"/>
        <v>0</v>
      </c>
      <c r="R43" s="222">
        <f t="shared" si="91"/>
        <v>0</v>
      </c>
      <c r="S43" s="207">
        <f t="shared" si="90"/>
        <v>0</v>
      </c>
      <c r="T43" s="208">
        <f t="shared" si="90"/>
        <v>0</v>
      </c>
    </row>
    <row r="44" spans="1:20" ht="13.5" customHeight="1">
      <c r="A44" s="200" t="s">
        <v>241</v>
      </c>
      <c r="B44" s="255" t="s">
        <v>1</v>
      </c>
      <c r="C44" s="232">
        <f>+'[4]4.SZ.TÁBL. ÓVODA'!$E44</f>
        <v>0</v>
      </c>
      <c r="D44" s="207"/>
      <c r="E44" s="208">
        <f t="shared" si="85"/>
        <v>0</v>
      </c>
      <c r="F44" s="232">
        <f>+'[4]4.SZ.TÁBL. ÓVODA'!$H44</f>
        <v>0</v>
      </c>
      <c r="G44" s="207"/>
      <c r="H44" s="208">
        <f t="shared" si="86"/>
        <v>0</v>
      </c>
      <c r="I44" s="232">
        <f>+'[4]4.SZ.TÁBL. ÓVODA'!$K44</f>
        <v>570</v>
      </c>
      <c r="J44" s="207"/>
      <c r="K44" s="208">
        <f t="shared" si="87"/>
        <v>570</v>
      </c>
      <c r="L44" s="232">
        <f>+'[4]4.SZ.TÁBL. ÓVODA'!$N44</f>
        <v>0</v>
      </c>
      <c r="M44" s="207"/>
      <c r="N44" s="208">
        <f t="shared" si="88"/>
        <v>0</v>
      </c>
      <c r="O44" s="232">
        <f>+'[4]4.SZ.TÁBL. ÓVODA'!$Q44</f>
        <v>0</v>
      </c>
      <c r="P44" s="207"/>
      <c r="Q44" s="208">
        <f t="shared" si="89"/>
        <v>0</v>
      </c>
      <c r="R44" s="222">
        <f t="shared" si="91"/>
        <v>570</v>
      </c>
      <c r="S44" s="207">
        <f t="shared" si="90"/>
        <v>0</v>
      </c>
      <c r="T44" s="208">
        <f t="shared" si="90"/>
        <v>570</v>
      </c>
    </row>
    <row r="45" spans="1:20" ht="13.5" customHeight="1">
      <c r="A45" s="200" t="s">
        <v>242</v>
      </c>
      <c r="B45" s="255" t="s">
        <v>243</v>
      </c>
      <c r="C45" s="232">
        <f>+'[4]4.SZ.TÁBL. ÓVODA'!$E45</f>
        <v>624</v>
      </c>
      <c r="D45" s="207"/>
      <c r="E45" s="208">
        <f t="shared" si="85"/>
        <v>624</v>
      </c>
      <c r="F45" s="232">
        <f>+'[4]4.SZ.TÁBL. ÓVODA'!$H45</f>
        <v>1164</v>
      </c>
      <c r="G45" s="207">
        <f>+[5]BOVI!$E$7</f>
        <v>8</v>
      </c>
      <c r="H45" s="208">
        <f t="shared" si="86"/>
        <v>1172</v>
      </c>
      <c r="I45" s="232">
        <f>+'[4]4.SZ.TÁBL. ÓVODA'!$K45</f>
        <v>546</v>
      </c>
      <c r="J45" s="207"/>
      <c r="K45" s="208">
        <f t="shared" si="87"/>
        <v>546</v>
      </c>
      <c r="L45" s="232">
        <f>+'[4]4.SZ.TÁBL. ÓVODA'!$N45</f>
        <v>1088</v>
      </c>
      <c r="M45" s="207"/>
      <c r="N45" s="208">
        <f t="shared" si="88"/>
        <v>1088</v>
      </c>
      <c r="O45" s="232">
        <f>+'[4]4.SZ.TÁBL. ÓVODA'!$Q45</f>
        <v>180</v>
      </c>
      <c r="P45" s="207"/>
      <c r="Q45" s="208">
        <f t="shared" si="89"/>
        <v>180</v>
      </c>
      <c r="R45" s="222">
        <f t="shared" si="91"/>
        <v>3602</v>
      </c>
      <c r="S45" s="207">
        <f t="shared" si="90"/>
        <v>8</v>
      </c>
      <c r="T45" s="208">
        <f t="shared" si="90"/>
        <v>3610</v>
      </c>
    </row>
    <row r="46" spans="1:20" ht="13.5" customHeight="1">
      <c r="A46" s="200" t="s">
        <v>244</v>
      </c>
      <c r="B46" s="255" t="s">
        <v>245</v>
      </c>
      <c r="C46" s="232">
        <f>+'[4]4.SZ.TÁBL. ÓVODA'!$E46</f>
        <v>0</v>
      </c>
      <c r="D46" s="207"/>
      <c r="E46" s="208">
        <f t="shared" si="85"/>
        <v>0</v>
      </c>
      <c r="F46" s="232">
        <f>+'[4]4.SZ.TÁBL. ÓVODA'!$H46</f>
        <v>0</v>
      </c>
      <c r="G46" s="207"/>
      <c r="H46" s="208">
        <f t="shared" si="86"/>
        <v>0</v>
      </c>
      <c r="I46" s="232">
        <f>+'[4]4.SZ.TÁBL. ÓVODA'!$K46</f>
        <v>0</v>
      </c>
      <c r="J46" s="207"/>
      <c r="K46" s="208">
        <f t="shared" si="87"/>
        <v>0</v>
      </c>
      <c r="L46" s="232">
        <f>+'[4]4.SZ.TÁBL. ÓVODA'!$N46</f>
        <v>0</v>
      </c>
      <c r="M46" s="207"/>
      <c r="N46" s="208">
        <f t="shared" si="88"/>
        <v>0</v>
      </c>
      <c r="O46" s="232">
        <f>+'[4]4.SZ.TÁBL. ÓVODA'!$Q46</f>
        <v>0</v>
      </c>
      <c r="P46" s="207"/>
      <c r="Q46" s="208">
        <f t="shared" si="89"/>
        <v>0</v>
      </c>
      <c r="R46" s="222">
        <f t="shared" si="91"/>
        <v>0</v>
      </c>
      <c r="S46" s="207">
        <f t="shared" si="90"/>
        <v>0</v>
      </c>
      <c r="T46" s="208">
        <f t="shared" si="90"/>
        <v>0</v>
      </c>
    </row>
    <row r="47" spans="1:20" ht="13.5" customHeight="1">
      <c r="A47" s="200" t="s">
        <v>246</v>
      </c>
      <c r="B47" s="255" t="s">
        <v>2</v>
      </c>
      <c r="C47" s="232">
        <f>+'[4]4.SZ.TÁBL. ÓVODA'!$E47</f>
        <v>78</v>
      </c>
      <c r="D47" s="207"/>
      <c r="E47" s="208">
        <f t="shared" si="85"/>
        <v>78</v>
      </c>
      <c r="F47" s="232">
        <f>+'[4]4.SZ.TÁBL. ÓVODA'!$H47</f>
        <v>316</v>
      </c>
      <c r="G47" s="207"/>
      <c r="H47" s="208">
        <f t="shared" si="86"/>
        <v>316</v>
      </c>
      <c r="I47" s="232">
        <f>+'[4]4.SZ.TÁBL. ÓVODA'!$K47</f>
        <v>153</v>
      </c>
      <c r="J47" s="207"/>
      <c r="K47" s="208">
        <f t="shared" si="87"/>
        <v>153</v>
      </c>
      <c r="L47" s="232">
        <f>+'[4]4.SZ.TÁBL. ÓVODA'!$N47</f>
        <v>223</v>
      </c>
      <c r="M47" s="207">
        <f>+[5]TOVI!$E$8</f>
        <v>1</v>
      </c>
      <c r="N47" s="208">
        <f t="shared" si="88"/>
        <v>224</v>
      </c>
      <c r="O47" s="232">
        <f>+'[4]4.SZ.TÁBL. ÓVODA'!$Q47</f>
        <v>0</v>
      </c>
      <c r="P47" s="207"/>
      <c r="Q47" s="208">
        <f t="shared" si="89"/>
        <v>0</v>
      </c>
      <c r="R47" s="222">
        <f t="shared" si="91"/>
        <v>770</v>
      </c>
      <c r="S47" s="207">
        <f t="shared" si="90"/>
        <v>1</v>
      </c>
      <c r="T47" s="208">
        <f t="shared" si="90"/>
        <v>771</v>
      </c>
    </row>
    <row r="48" spans="1:20" ht="13.5" customHeight="1">
      <c r="A48" s="200" t="s">
        <v>247</v>
      </c>
      <c r="B48" s="255" t="s">
        <v>248</v>
      </c>
      <c r="C48" s="232">
        <f>+'[4]4.SZ.TÁBL. ÓVODA'!$E48</f>
        <v>0</v>
      </c>
      <c r="D48" s="207"/>
      <c r="E48" s="208">
        <f t="shared" si="85"/>
        <v>0</v>
      </c>
      <c r="F48" s="232">
        <f>+'[4]4.SZ.TÁBL. ÓVODA'!$H48</f>
        <v>0</v>
      </c>
      <c r="G48" s="207"/>
      <c r="H48" s="208">
        <f t="shared" si="86"/>
        <v>0</v>
      </c>
      <c r="I48" s="232">
        <f>+'[4]4.SZ.TÁBL. ÓVODA'!$K48</f>
        <v>0</v>
      </c>
      <c r="J48" s="207"/>
      <c r="K48" s="208">
        <f t="shared" si="87"/>
        <v>0</v>
      </c>
      <c r="L48" s="232">
        <f>+'[4]4.SZ.TÁBL. ÓVODA'!$N48</f>
        <v>0</v>
      </c>
      <c r="M48" s="207"/>
      <c r="N48" s="208">
        <f t="shared" si="88"/>
        <v>0</v>
      </c>
      <c r="O48" s="232">
        <f>+'[4]4.SZ.TÁBL. ÓVODA'!$Q48</f>
        <v>0</v>
      </c>
      <c r="P48" s="207"/>
      <c r="Q48" s="208">
        <f t="shared" si="89"/>
        <v>0</v>
      </c>
      <c r="R48" s="222">
        <f t="shared" si="91"/>
        <v>0</v>
      </c>
      <c r="S48" s="207">
        <f t="shared" si="90"/>
        <v>0</v>
      </c>
      <c r="T48" s="208">
        <f t="shared" si="90"/>
        <v>0</v>
      </c>
    </row>
    <row r="49" spans="1:20" ht="13.5" customHeight="1">
      <c r="A49" s="200" t="s">
        <v>249</v>
      </c>
      <c r="B49" s="255" t="s">
        <v>250</v>
      </c>
      <c r="C49" s="232">
        <f>+'[4]4.SZ.TÁBL. ÓVODA'!$E49</f>
        <v>0</v>
      </c>
      <c r="D49" s="207"/>
      <c r="E49" s="208">
        <f t="shared" si="85"/>
        <v>0</v>
      </c>
      <c r="F49" s="232">
        <f>+'[4]4.SZ.TÁBL. ÓVODA'!$H49</f>
        <v>0</v>
      </c>
      <c r="G49" s="207"/>
      <c r="H49" s="208">
        <f t="shared" si="86"/>
        <v>0</v>
      </c>
      <c r="I49" s="232">
        <f>+'[4]4.SZ.TÁBL. ÓVODA'!$K49</f>
        <v>0</v>
      </c>
      <c r="J49" s="207"/>
      <c r="K49" s="208">
        <f t="shared" si="87"/>
        <v>0</v>
      </c>
      <c r="L49" s="232">
        <f>+'[4]4.SZ.TÁBL. ÓVODA'!$N49</f>
        <v>0</v>
      </c>
      <c r="M49" s="207"/>
      <c r="N49" s="208">
        <f t="shared" si="88"/>
        <v>0</v>
      </c>
      <c r="O49" s="232">
        <f>+'[4]4.SZ.TÁBL. ÓVODA'!$Q49</f>
        <v>0</v>
      </c>
      <c r="P49" s="207"/>
      <c r="Q49" s="208">
        <f t="shared" si="89"/>
        <v>0</v>
      </c>
      <c r="R49" s="222">
        <f t="shared" si="91"/>
        <v>0</v>
      </c>
      <c r="S49" s="207">
        <f t="shared" si="90"/>
        <v>0</v>
      </c>
      <c r="T49" s="208">
        <f t="shared" si="90"/>
        <v>0</v>
      </c>
    </row>
    <row r="50" spans="1:20" ht="13.5" customHeight="1">
      <c r="A50" s="200" t="s">
        <v>251</v>
      </c>
      <c r="B50" s="255" t="s">
        <v>252</v>
      </c>
      <c r="C50" s="232">
        <f>+'[4]4.SZ.TÁBL. ÓVODA'!$E50</f>
        <v>0</v>
      </c>
      <c r="D50" s="207"/>
      <c r="E50" s="208">
        <f t="shared" si="85"/>
        <v>0</v>
      </c>
      <c r="F50" s="232">
        <f>+'[4]4.SZ.TÁBL. ÓVODA'!$H50</f>
        <v>0</v>
      </c>
      <c r="G50" s="207"/>
      <c r="H50" s="208">
        <f t="shared" si="86"/>
        <v>0</v>
      </c>
      <c r="I50" s="232">
        <f>+'[4]4.SZ.TÁBL. ÓVODA'!$K50</f>
        <v>0</v>
      </c>
      <c r="J50" s="207"/>
      <c r="K50" s="208">
        <f t="shared" si="87"/>
        <v>0</v>
      </c>
      <c r="L50" s="232">
        <f>+'[4]4.SZ.TÁBL. ÓVODA'!$N50</f>
        <v>0</v>
      </c>
      <c r="M50" s="207"/>
      <c r="N50" s="208">
        <f t="shared" si="88"/>
        <v>0</v>
      </c>
      <c r="O50" s="232">
        <f>+'[4]4.SZ.TÁBL. ÓVODA'!$Q50</f>
        <v>0</v>
      </c>
      <c r="P50" s="207"/>
      <c r="Q50" s="208">
        <f t="shared" si="89"/>
        <v>0</v>
      </c>
      <c r="R50" s="222">
        <f t="shared" si="91"/>
        <v>0</v>
      </c>
      <c r="S50" s="207">
        <f t="shared" si="90"/>
        <v>0</v>
      </c>
      <c r="T50" s="208">
        <f t="shared" si="90"/>
        <v>0</v>
      </c>
    </row>
    <row r="51" spans="1:20" ht="13.5" customHeight="1">
      <c r="A51" s="200" t="s">
        <v>253</v>
      </c>
      <c r="B51" s="255" t="s">
        <v>448</v>
      </c>
      <c r="C51" s="232">
        <f>+'[4]4.SZ.TÁBL. ÓVODA'!$E51</f>
        <v>30</v>
      </c>
      <c r="D51" s="207">
        <f>+[5]MOVI!$E$8</f>
        <v>4</v>
      </c>
      <c r="E51" s="208">
        <f t="shared" si="85"/>
        <v>34</v>
      </c>
      <c r="F51" s="232">
        <f>+'[4]4.SZ.TÁBL. ÓVODA'!$H51</f>
        <v>260</v>
      </c>
      <c r="G51" s="207">
        <f>+[5]BOVI!$E$8</f>
        <v>32</v>
      </c>
      <c r="H51" s="208">
        <f t="shared" si="86"/>
        <v>292</v>
      </c>
      <c r="I51" s="232">
        <f>+'[4]4.SZ.TÁBL. ÓVODA'!$K51</f>
        <v>230</v>
      </c>
      <c r="J51" s="207"/>
      <c r="K51" s="208">
        <f t="shared" si="87"/>
        <v>230</v>
      </c>
      <c r="L51" s="232">
        <f>+'[4]4.SZ.TÁBL. ÓVODA'!$N51</f>
        <v>230</v>
      </c>
      <c r="M51" s="207"/>
      <c r="N51" s="208">
        <f t="shared" si="88"/>
        <v>230</v>
      </c>
      <c r="O51" s="232">
        <f>+'[4]4.SZ.TÁBL. ÓVODA'!$Q51</f>
        <v>240</v>
      </c>
      <c r="P51" s="207">
        <f>+[5]KIK!$E$7</f>
        <v>58</v>
      </c>
      <c r="Q51" s="208">
        <f t="shared" si="89"/>
        <v>298</v>
      </c>
      <c r="R51" s="222">
        <f t="shared" si="91"/>
        <v>990</v>
      </c>
      <c r="S51" s="207">
        <f t="shared" si="90"/>
        <v>94</v>
      </c>
      <c r="T51" s="208">
        <f t="shared" si="90"/>
        <v>1084</v>
      </c>
    </row>
    <row r="52" spans="1:20" ht="13.5" customHeight="1">
      <c r="A52" s="201" t="s">
        <v>253</v>
      </c>
      <c r="B52" s="256" t="s">
        <v>254</v>
      </c>
      <c r="C52" s="232">
        <f>+'[4]4.SZ.TÁBL. ÓVODA'!$E52</f>
        <v>0</v>
      </c>
      <c r="D52" s="228"/>
      <c r="E52" s="233">
        <f t="shared" si="85"/>
        <v>0</v>
      </c>
      <c r="F52" s="232">
        <f>+'[4]4.SZ.TÁBL. ÓVODA'!$H52</f>
        <v>0</v>
      </c>
      <c r="G52" s="228"/>
      <c r="H52" s="233">
        <f t="shared" si="86"/>
        <v>0</v>
      </c>
      <c r="I52" s="232">
        <f>+'[4]4.SZ.TÁBL. ÓVODA'!$K52</f>
        <v>0</v>
      </c>
      <c r="J52" s="228"/>
      <c r="K52" s="233">
        <f t="shared" si="87"/>
        <v>0</v>
      </c>
      <c r="L52" s="232">
        <f>+'[4]4.SZ.TÁBL. ÓVODA'!$N52</f>
        <v>0</v>
      </c>
      <c r="M52" s="228"/>
      <c r="N52" s="233">
        <f t="shared" si="88"/>
        <v>0</v>
      </c>
      <c r="O52" s="232">
        <f>+'[4]4.SZ.TÁBL. ÓVODA'!$Q52</f>
        <v>0</v>
      </c>
      <c r="P52" s="228"/>
      <c r="Q52" s="233">
        <f t="shared" si="89"/>
        <v>0</v>
      </c>
      <c r="R52" s="222">
        <f t="shared" si="91"/>
        <v>0</v>
      </c>
      <c r="S52" s="228">
        <f t="shared" si="90"/>
        <v>0</v>
      </c>
      <c r="T52" s="233">
        <f t="shared" si="90"/>
        <v>0</v>
      </c>
    </row>
    <row r="53" spans="1:20" s="317" customFormat="1" ht="13.5" customHeight="1">
      <c r="A53" s="202" t="s">
        <v>215</v>
      </c>
      <c r="B53" s="257" t="s">
        <v>173</v>
      </c>
      <c r="C53" s="288">
        <f>SUM(C39:C52)</f>
        <v>15434</v>
      </c>
      <c r="D53" s="292">
        <f t="shared" ref="D53:E53" si="92">SUM(D39:D52)</f>
        <v>72</v>
      </c>
      <c r="E53" s="293">
        <f t="shared" si="92"/>
        <v>15506</v>
      </c>
      <c r="F53" s="288">
        <f>SUM(F39:F52)</f>
        <v>28830</v>
      </c>
      <c r="G53" s="292">
        <f t="shared" ref="G53" si="93">SUM(G39:G52)</f>
        <v>39</v>
      </c>
      <c r="H53" s="293">
        <f t="shared" ref="H53" si="94">SUM(H39:H52)</f>
        <v>28869</v>
      </c>
      <c r="I53" s="288">
        <f>SUM(I39:I52)</f>
        <v>17423</v>
      </c>
      <c r="J53" s="292">
        <f t="shared" ref="J53" si="95">SUM(J39:J52)</f>
        <v>41</v>
      </c>
      <c r="K53" s="293">
        <f t="shared" ref="K53" si="96">SUM(K39:K52)</f>
        <v>17464</v>
      </c>
      <c r="L53" s="288">
        <f>SUM(L39:L52)</f>
        <v>26874</v>
      </c>
      <c r="M53" s="292">
        <f t="shared" ref="M53" si="97">SUM(M39:M52)</f>
        <v>69</v>
      </c>
      <c r="N53" s="293">
        <f t="shared" ref="N53" si="98">SUM(N39:N52)</f>
        <v>26943</v>
      </c>
      <c r="O53" s="288">
        <f>SUM(O39:O52)</f>
        <v>6107</v>
      </c>
      <c r="P53" s="292">
        <f t="shared" ref="P53" si="99">SUM(P39:P52)</f>
        <v>-2</v>
      </c>
      <c r="Q53" s="293">
        <f t="shared" ref="Q53" si="100">SUM(Q39:Q52)</f>
        <v>6105</v>
      </c>
      <c r="R53" s="288">
        <f>SUM(R39:R52)</f>
        <v>94668</v>
      </c>
      <c r="S53" s="292">
        <f t="shared" ref="S53:T53" si="101">SUM(S39:S52)</f>
        <v>219</v>
      </c>
      <c r="T53" s="293">
        <f t="shared" si="101"/>
        <v>94887</v>
      </c>
    </row>
    <row r="54" spans="1:20" ht="13.5" customHeight="1">
      <c r="A54" s="199" t="s">
        <v>255</v>
      </c>
      <c r="B54" s="254" t="s">
        <v>256</v>
      </c>
      <c r="C54" s="232">
        <f>+'[4]4.SZ.TÁBL. ÓVODA'!$E54</f>
        <v>0</v>
      </c>
      <c r="D54" s="218"/>
      <c r="E54" s="223">
        <f t="shared" ref="E54:E56" si="102">+C54+D54</f>
        <v>0</v>
      </c>
      <c r="F54" s="232">
        <f>+'[4]4.SZ.TÁBL. ÓVODA'!$H54</f>
        <v>0</v>
      </c>
      <c r="G54" s="218"/>
      <c r="H54" s="223">
        <f t="shared" ref="H54:H56" si="103">+F54+G54</f>
        <v>0</v>
      </c>
      <c r="I54" s="232">
        <f>+'[4]4.SZ.TÁBL. ÓVODA'!$K54</f>
        <v>0</v>
      </c>
      <c r="J54" s="218"/>
      <c r="K54" s="223">
        <f t="shared" ref="K54:K56" si="104">+I54+J54</f>
        <v>0</v>
      </c>
      <c r="L54" s="232">
        <f>+'[4]4.SZ.TÁBL. ÓVODA'!$N54</f>
        <v>0</v>
      </c>
      <c r="M54" s="218"/>
      <c r="N54" s="223">
        <f t="shared" ref="N54:N56" si="105">+L54+M54</f>
        <v>0</v>
      </c>
      <c r="O54" s="232">
        <f>+'[4]4.SZ.TÁBL. ÓVODA'!$Q54</f>
        <v>0</v>
      </c>
      <c r="P54" s="218"/>
      <c r="Q54" s="223">
        <f t="shared" ref="Q54:Q56" si="106">+O54+P54</f>
        <v>0</v>
      </c>
      <c r="R54" s="222">
        <f t="shared" si="91"/>
        <v>0</v>
      </c>
      <c r="S54" s="218">
        <f t="shared" ref="S54:S56" si="107">+D54+G54+J54+M54+P54</f>
        <v>0</v>
      </c>
      <c r="T54" s="223">
        <f t="shared" ref="T54:T56" si="108">+E54+H54+K54+N54+Q54</f>
        <v>0</v>
      </c>
    </row>
    <row r="55" spans="1:20" ht="13.5" customHeight="1">
      <c r="A55" s="200" t="s">
        <v>257</v>
      </c>
      <c r="B55" s="255" t="s">
        <v>258</v>
      </c>
      <c r="C55" s="232">
        <f>+'[4]4.SZ.TÁBL. ÓVODA'!$E55</f>
        <v>280</v>
      </c>
      <c r="D55" s="207">
        <f>+[5]MOVI!$E$18</f>
        <v>-11</v>
      </c>
      <c r="E55" s="208">
        <f t="shared" si="102"/>
        <v>269</v>
      </c>
      <c r="F55" s="232">
        <f>+'[4]4.SZ.TÁBL. ÓVODA'!$H55</f>
        <v>1500</v>
      </c>
      <c r="G55" s="207">
        <f>+[5]BOVI!$E$17</f>
        <v>-50</v>
      </c>
      <c r="H55" s="208">
        <f t="shared" si="103"/>
        <v>1450</v>
      </c>
      <c r="I55" s="232">
        <f>+'[4]4.SZ.TÁBL. ÓVODA'!$K55</f>
        <v>280</v>
      </c>
      <c r="J55" s="207"/>
      <c r="K55" s="208">
        <f t="shared" si="104"/>
        <v>280</v>
      </c>
      <c r="L55" s="232">
        <f>+'[4]4.SZ.TÁBL. ÓVODA'!$N55</f>
        <v>840</v>
      </c>
      <c r="M55" s="207">
        <f>+[5]TOVI!$E$12</f>
        <v>-67</v>
      </c>
      <c r="N55" s="208">
        <f t="shared" si="105"/>
        <v>773</v>
      </c>
      <c r="O55" s="232">
        <f>+'[4]4.SZ.TÁBL. ÓVODA'!$Q55</f>
        <v>0</v>
      </c>
      <c r="P55" s="207"/>
      <c r="Q55" s="208">
        <f t="shared" si="106"/>
        <v>0</v>
      </c>
      <c r="R55" s="222">
        <f t="shared" si="91"/>
        <v>2900</v>
      </c>
      <c r="S55" s="207">
        <f t="shared" si="107"/>
        <v>-128</v>
      </c>
      <c r="T55" s="208">
        <f t="shared" si="108"/>
        <v>2772</v>
      </c>
    </row>
    <row r="56" spans="1:20" ht="13.5" customHeight="1">
      <c r="A56" s="201" t="s">
        <v>259</v>
      </c>
      <c r="B56" s="256" t="s">
        <v>260</v>
      </c>
      <c r="C56" s="232">
        <f>+'[4]4.SZ.TÁBL. ÓVODA'!$E56</f>
        <v>20</v>
      </c>
      <c r="D56" s="228"/>
      <c r="E56" s="233">
        <f t="shared" si="102"/>
        <v>20</v>
      </c>
      <c r="F56" s="232">
        <f>+'[4]4.SZ.TÁBL. ÓVODA'!$H56</f>
        <v>22</v>
      </c>
      <c r="G56" s="228"/>
      <c r="H56" s="233">
        <f t="shared" si="103"/>
        <v>22</v>
      </c>
      <c r="I56" s="232">
        <f>+'[4]4.SZ.TÁBL. ÓVODA'!$K56</f>
        <v>0</v>
      </c>
      <c r="J56" s="228"/>
      <c r="K56" s="233">
        <f t="shared" si="104"/>
        <v>0</v>
      </c>
      <c r="L56" s="232">
        <f>+'[4]4.SZ.TÁBL. ÓVODA'!$N56</f>
        <v>0</v>
      </c>
      <c r="M56" s="228"/>
      <c r="N56" s="233">
        <f t="shared" si="105"/>
        <v>0</v>
      </c>
      <c r="O56" s="232">
        <f>+'[4]4.SZ.TÁBL. ÓVODA'!$Q56</f>
        <v>20</v>
      </c>
      <c r="P56" s="228"/>
      <c r="Q56" s="233">
        <f t="shared" si="106"/>
        <v>20</v>
      </c>
      <c r="R56" s="222">
        <f t="shared" si="91"/>
        <v>62</v>
      </c>
      <c r="S56" s="228">
        <f t="shared" si="107"/>
        <v>0</v>
      </c>
      <c r="T56" s="233">
        <f t="shared" si="108"/>
        <v>62</v>
      </c>
    </row>
    <row r="57" spans="1:20" s="317" customFormat="1" ht="13.5" customHeight="1">
      <c r="A57" s="202" t="s">
        <v>216</v>
      </c>
      <c r="B57" s="257" t="s">
        <v>174</v>
      </c>
      <c r="C57" s="288">
        <f>SUM(C54:C56)</f>
        <v>300</v>
      </c>
      <c r="D57" s="292">
        <f t="shared" ref="D57:E57" si="109">SUM(D54:D56)</f>
        <v>-11</v>
      </c>
      <c r="E57" s="293">
        <f t="shared" si="109"/>
        <v>289</v>
      </c>
      <c r="F57" s="288">
        <f>SUM(F54:F56)</f>
        <v>1522</v>
      </c>
      <c r="G57" s="292">
        <f t="shared" ref="G57" si="110">SUM(G54:G56)</f>
        <v>-50</v>
      </c>
      <c r="H57" s="293">
        <f t="shared" ref="H57" si="111">SUM(H54:H56)</f>
        <v>1472</v>
      </c>
      <c r="I57" s="288">
        <f>SUM(I54:I56)</f>
        <v>280</v>
      </c>
      <c r="J57" s="292">
        <f t="shared" ref="J57" si="112">SUM(J54:J56)</f>
        <v>0</v>
      </c>
      <c r="K57" s="293">
        <f t="shared" ref="K57" si="113">SUM(K54:K56)</f>
        <v>280</v>
      </c>
      <c r="L57" s="288">
        <f>SUM(L54:L56)</f>
        <v>840</v>
      </c>
      <c r="M57" s="292">
        <f t="shared" ref="M57" si="114">SUM(M54:M56)</f>
        <v>-67</v>
      </c>
      <c r="N57" s="293">
        <f t="shared" ref="N57" si="115">SUM(N54:N56)</f>
        <v>773</v>
      </c>
      <c r="O57" s="288">
        <f>SUM(O54:O56)</f>
        <v>20</v>
      </c>
      <c r="P57" s="292">
        <f t="shared" ref="P57" si="116">SUM(P54:P56)</f>
        <v>0</v>
      </c>
      <c r="Q57" s="293">
        <f t="shared" ref="Q57" si="117">SUM(Q54:Q56)</f>
        <v>20</v>
      </c>
      <c r="R57" s="288">
        <f>SUM(R54:R56)</f>
        <v>2962</v>
      </c>
      <c r="S57" s="292">
        <f t="shared" ref="S57:T57" si="118">SUM(S54:S56)</f>
        <v>-128</v>
      </c>
      <c r="T57" s="293">
        <f t="shared" si="118"/>
        <v>2834</v>
      </c>
    </row>
    <row r="58" spans="1:20" s="317" customFormat="1" ht="13.5" customHeight="1">
      <c r="A58" s="202" t="s">
        <v>217</v>
      </c>
      <c r="B58" s="257" t="s">
        <v>175</v>
      </c>
      <c r="C58" s="288">
        <f>+C53+C57</f>
        <v>15734</v>
      </c>
      <c r="D58" s="292">
        <f t="shared" ref="D58:E58" si="119">+D53+D57</f>
        <v>61</v>
      </c>
      <c r="E58" s="293">
        <f t="shared" si="119"/>
        <v>15795</v>
      </c>
      <c r="F58" s="288">
        <f>+F53+F57</f>
        <v>30352</v>
      </c>
      <c r="G58" s="292">
        <f t="shared" ref="G58" si="120">+G53+G57</f>
        <v>-11</v>
      </c>
      <c r="H58" s="293">
        <f t="shared" ref="H58" si="121">+H53+H57</f>
        <v>30341</v>
      </c>
      <c r="I58" s="288">
        <f>+I53+I57</f>
        <v>17703</v>
      </c>
      <c r="J58" s="292">
        <f t="shared" ref="J58" si="122">+J53+J57</f>
        <v>41</v>
      </c>
      <c r="K58" s="293">
        <f t="shared" ref="K58" si="123">+K53+K57</f>
        <v>17744</v>
      </c>
      <c r="L58" s="288">
        <f>+L53+L57</f>
        <v>27714</v>
      </c>
      <c r="M58" s="292">
        <f t="shared" ref="M58" si="124">+M53+M57</f>
        <v>2</v>
      </c>
      <c r="N58" s="293">
        <f t="shared" ref="N58" si="125">+N53+N57</f>
        <v>27716</v>
      </c>
      <c r="O58" s="288">
        <f>+O53+O57</f>
        <v>6127</v>
      </c>
      <c r="P58" s="292">
        <f t="shared" ref="P58" si="126">+P53+P57</f>
        <v>-2</v>
      </c>
      <c r="Q58" s="293">
        <f t="shared" ref="Q58" si="127">+Q53+Q57</f>
        <v>6125</v>
      </c>
      <c r="R58" s="288">
        <f>+R53+R57</f>
        <v>97630</v>
      </c>
      <c r="S58" s="292">
        <f t="shared" ref="S58:T58" si="128">+S53+S57</f>
        <v>91</v>
      </c>
      <c r="T58" s="293">
        <f t="shared" si="128"/>
        <v>97721</v>
      </c>
    </row>
    <row r="59" spans="1:20" s="317" customFormat="1" ht="13.5" customHeight="1">
      <c r="A59" s="202" t="s">
        <v>218</v>
      </c>
      <c r="B59" s="257" t="s">
        <v>176</v>
      </c>
      <c r="C59" s="288">
        <f>SUM(C60:C64)</f>
        <v>4257</v>
      </c>
      <c r="D59" s="292">
        <f t="shared" ref="D59:E59" si="129">SUM(D60:D64)</f>
        <v>20</v>
      </c>
      <c r="E59" s="293">
        <f t="shared" si="129"/>
        <v>4277</v>
      </c>
      <c r="F59" s="288">
        <f>SUM(F60:F64)</f>
        <v>8975</v>
      </c>
      <c r="G59" s="292">
        <f t="shared" ref="G59" si="130">SUM(G60:G64)</f>
        <v>11</v>
      </c>
      <c r="H59" s="293">
        <f t="shared" ref="H59" si="131">SUM(H60:H64)</f>
        <v>8986</v>
      </c>
      <c r="I59" s="288">
        <f>SUM(I60:I64)</f>
        <v>4661</v>
      </c>
      <c r="J59" s="292">
        <f t="shared" ref="J59" si="132">SUM(J60:J64)</f>
        <v>12</v>
      </c>
      <c r="K59" s="293">
        <f t="shared" ref="K59" si="133">SUM(K60:K64)</f>
        <v>4673</v>
      </c>
      <c r="L59" s="288">
        <f>SUM(L60:L64)</f>
        <v>7629</v>
      </c>
      <c r="M59" s="292">
        <f t="shared" ref="M59" si="134">SUM(M60:M64)</f>
        <v>19</v>
      </c>
      <c r="N59" s="293">
        <f t="shared" ref="N59" si="135">SUM(N60:N64)</f>
        <v>7648</v>
      </c>
      <c r="O59" s="288">
        <f>SUM(O60:O64)</f>
        <v>1693</v>
      </c>
      <c r="P59" s="292">
        <f t="shared" ref="P59" si="136">SUM(P60:P64)</f>
        <v>21</v>
      </c>
      <c r="Q59" s="293">
        <f t="shared" ref="Q59" si="137">SUM(Q60:Q64)</f>
        <v>1714</v>
      </c>
      <c r="R59" s="288">
        <f>SUM(R60:R64)</f>
        <v>27215</v>
      </c>
      <c r="S59" s="292">
        <f t="shared" ref="S59:T59" si="138">SUM(S60:S64)</f>
        <v>83</v>
      </c>
      <c r="T59" s="293">
        <f t="shared" si="138"/>
        <v>27298</v>
      </c>
    </row>
    <row r="60" spans="1:20" ht="13.5" customHeight="1">
      <c r="A60" s="199" t="s">
        <v>218</v>
      </c>
      <c r="B60" s="853" t="s">
        <v>319</v>
      </c>
      <c r="C60" s="232">
        <f>+'[4]4.SZ.TÁBL. ÓVODA'!$E60</f>
        <v>3858</v>
      </c>
      <c r="D60" s="218">
        <f>+[5]MOVI!$F$4+[5]MOVI!$F$9</f>
        <v>-33</v>
      </c>
      <c r="E60" s="223">
        <f t="shared" ref="E60:E67" si="139">+C60+D60</f>
        <v>3825</v>
      </c>
      <c r="F60" s="232">
        <f>+'[4]4.SZ.TÁBL. ÓVODA'!$H60</f>
        <v>8244</v>
      </c>
      <c r="G60" s="218">
        <f>+[5]BOVI!$F$4+[5]BOVI!$F$9</f>
        <v>-75</v>
      </c>
      <c r="H60" s="223">
        <f t="shared" ref="H60:H67" si="140">+F60+G60</f>
        <v>8169</v>
      </c>
      <c r="I60" s="232">
        <f>+'[4]4.SZ.TÁBL. ÓVODA'!$K60</f>
        <v>4312</v>
      </c>
      <c r="J60" s="218">
        <f>+[5]GYOVI!$F$4+[5]GYOVI!$F$8</f>
        <v>-28</v>
      </c>
      <c r="K60" s="223">
        <f t="shared" ref="K60:K67" si="141">+I60+J60</f>
        <v>4284</v>
      </c>
      <c r="L60" s="232">
        <f>+'[4]4.SZ.TÁBL. ÓVODA'!$N60</f>
        <v>6965</v>
      </c>
      <c r="M60" s="218">
        <f>+[5]TOVI!$F$4+[5]TOVI!$F$9</f>
        <v>-76</v>
      </c>
      <c r="N60" s="223">
        <f t="shared" ref="N60:N67" si="142">+L60+M60</f>
        <v>6889</v>
      </c>
      <c r="O60" s="232">
        <f>+'[4]4.SZ.TÁBL. ÓVODA'!$Q60</f>
        <v>1572</v>
      </c>
      <c r="P60" s="218">
        <f>+[5]KIK!$F$4+[5]KIK!$F$8</f>
        <v>14</v>
      </c>
      <c r="Q60" s="223">
        <f t="shared" ref="Q60:Q67" si="143">+O60+P60</f>
        <v>1586</v>
      </c>
      <c r="R60" s="222">
        <f t="shared" ref="R60:R89" si="144">+C60+F60+I60+L60+O60</f>
        <v>24951</v>
      </c>
      <c r="S60" s="218">
        <f t="shared" ref="S60:S67" si="145">+D60+G60+J60+M60+P60</f>
        <v>-198</v>
      </c>
      <c r="T60" s="223">
        <f t="shared" ref="T60:T67" si="146">+E60+H60+K60+N60+Q60</f>
        <v>24753</v>
      </c>
    </row>
    <row r="61" spans="1:20" ht="13.5" customHeight="1">
      <c r="A61" s="200" t="s">
        <v>218</v>
      </c>
      <c r="B61" s="854" t="s">
        <v>320</v>
      </c>
      <c r="C61" s="232">
        <f>+'[4]4.SZ.TÁBL. ÓVODA'!$E61</f>
        <v>167</v>
      </c>
      <c r="D61" s="207">
        <f>+[5]MOVI!$F$10</f>
        <v>41</v>
      </c>
      <c r="E61" s="208">
        <f t="shared" si="139"/>
        <v>208</v>
      </c>
      <c r="F61" s="232">
        <f>+'[4]4.SZ.TÁBL. ÓVODA'!$H61</f>
        <v>314</v>
      </c>
      <c r="G61" s="207">
        <f>+[5]BOVI!$F$10</f>
        <v>78</v>
      </c>
      <c r="H61" s="208">
        <f t="shared" si="140"/>
        <v>392</v>
      </c>
      <c r="I61" s="232">
        <f>+'[4]4.SZ.TÁBL. ÓVODA'!$K61</f>
        <v>154</v>
      </c>
      <c r="J61" s="207">
        <f>+[5]GYOVI!$F$9</f>
        <v>38</v>
      </c>
      <c r="K61" s="208">
        <f t="shared" si="141"/>
        <v>192</v>
      </c>
      <c r="L61" s="232">
        <f>+'[4]4.SZ.TÁBL. ÓVODA'!$N61</f>
        <v>283</v>
      </c>
      <c r="M61" s="207">
        <f>+[5]TOVI!$F$10</f>
        <v>69</v>
      </c>
      <c r="N61" s="208">
        <f t="shared" si="142"/>
        <v>352</v>
      </c>
      <c r="O61" s="232">
        <f>+'[4]4.SZ.TÁBL. ÓVODA'!$Q61</f>
        <v>46</v>
      </c>
      <c r="P61" s="207">
        <f>+[5]KIK!$F$9</f>
        <v>17</v>
      </c>
      <c r="Q61" s="208">
        <f t="shared" si="143"/>
        <v>63</v>
      </c>
      <c r="R61" s="222">
        <f t="shared" si="144"/>
        <v>964</v>
      </c>
      <c r="S61" s="207">
        <f t="shared" si="145"/>
        <v>243</v>
      </c>
      <c r="T61" s="208">
        <f t="shared" si="146"/>
        <v>1207</v>
      </c>
    </row>
    <row r="62" spans="1:20" ht="13.5" customHeight="1">
      <c r="A62" s="200" t="s">
        <v>218</v>
      </c>
      <c r="B62" s="854" t="s">
        <v>321</v>
      </c>
      <c r="C62" s="232">
        <f>+'[4]4.SZ.TÁBL. ÓVODA'!$E62</f>
        <v>71</v>
      </c>
      <c r="D62" s="207"/>
      <c r="E62" s="208">
        <f t="shared" si="139"/>
        <v>71</v>
      </c>
      <c r="F62" s="232">
        <f>+'[4]4.SZ.TÁBL. ÓVODA'!$H62</f>
        <v>128</v>
      </c>
      <c r="G62" s="207">
        <f>+[5]BOVI!$F$11</f>
        <v>3</v>
      </c>
      <c r="H62" s="208">
        <f t="shared" si="140"/>
        <v>131</v>
      </c>
      <c r="I62" s="232">
        <f>+'[4]4.SZ.TÁBL. ÓVODA'!$K62</f>
        <v>60</v>
      </c>
      <c r="J62" s="207"/>
      <c r="K62" s="208">
        <f t="shared" si="141"/>
        <v>60</v>
      </c>
      <c r="L62" s="232">
        <f>+'[4]4.SZ.TÁBL. ÓVODA'!$N62</f>
        <v>110</v>
      </c>
      <c r="M62" s="207"/>
      <c r="N62" s="208">
        <f t="shared" si="142"/>
        <v>110</v>
      </c>
      <c r="O62" s="232">
        <f>+'[4]4.SZ.TÁBL. ÓVODA'!$Q62</f>
        <v>25</v>
      </c>
      <c r="P62" s="207">
        <f>+[5]KIK!$F$10</f>
        <v>-7</v>
      </c>
      <c r="Q62" s="208">
        <f t="shared" si="143"/>
        <v>18</v>
      </c>
      <c r="R62" s="222">
        <f t="shared" si="144"/>
        <v>394</v>
      </c>
      <c r="S62" s="207">
        <f t="shared" si="145"/>
        <v>-4</v>
      </c>
      <c r="T62" s="208">
        <f t="shared" si="146"/>
        <v>390</v>
      </c>
    </row>
    <row r="63" spans="1:20" ht="13.5" customHeight="1">
      <c r="A63" s="200" t="s">
        <v>218</v>
      </c>
      <c r="B63" s="854" t="s">
        <v>505</v>
      </c>
      <c r="C63" s="232">
        <f>+'[4]4.SZ.TÁBL. ÓVODA'!$E63</f>
        <v>0</v>
      </c>
      <c r="D63" s="207">
        <f>+[5]MOVI!$F$11</f>
        <v>12</v>
      </c>
      <c r="E63" s="208">
        <f t="shared" si="139"/>
        <v>12</v>
      </c>
      <c r="F63" s="232">
        <f>+'[4]4.SZ.TÁBL. ÓVODA'!$H63</f>
        <v>0</v>
      </c>
      <c r="G63" s="207">
        <f>+[5]BOVI!$F$12</f>
        <v>3</v>
      </c>
      <c r="H63" s="208">
        <f t="shared" si="140"/>
        <v>3</v>
      </c>
      <c r="I63" s="232">
        <f>+'[4]4.SZ.TÁBL. ÓVODA'!$K63</f>
        <v>0</v>
      </c>
      <c r="J63" s="207">
        <f>+[5]GYOVI!$F$10</f>
        <v>2</v>
      </c>
      <c r="K63" s="208">
        <f t="shared" si="141"/>
        <v>2</v>
      </c>
      <c r="L63" s="232">
        <f>+'[4]4.SZ.TÁBL. ÓVODA'!$N63</f>
        <v>0</v>
      </c>
      <c r="M63" s="207">
        <f>+[5]TOVI!$F$11</f>
        <v>26</v>
      </c>
      <c r="N63" s="208">
        <f t="shared" si="142"/>
        <v>26</v>
      </c>
      <c r="O63" s="232">
        <f>+'[4]4.SZ.TÁBL. ÓVODA'!$Q63</f>
        <v>0</v>
      </c>
      <c r="P63" s="207">
        <f>+[5]KIK!$F$11</f>
        <v>3</v>
      </c>
      <c r="Q63" s="208">
        <f t="shared" si="143"/>
        <v>3</v>
      </c>
      <c r="R63" s="222">
        <f t="shared" si="144"/>
        <v>0</v>
      </c>
      <c r="S63" s="207">
        <f t="shared" si="145"/>
        <v>46</v>
      </c>
      <c r="T63" s="208">
        <f t="shared" si="146"/>
        <v>46</v>
      </c>
    </row>
    <row r="64" spans="1:20" ht="13.5" customHeight="1">
      <c r="A64" s="200" t="s">
        <v>218</v>
      </c>
      <c r="B64" s="854" t="s">
        <v>322</v>
      </c>
      <c r="C64" s="232">
        <f>+'[4]4.SZ.TÁBL. ÓVODA'!$E64</f>
        <v>161</v>
      </c>
      <c r="D64" s="207"/>
      <c r="E64" s="208">
        <f t="shared" si="139"/>
        <v>161</v>
      </c>
      <c r="F64" s="232">
        <f>+'[4]4.SZ.TÁBL. ÓVODA'!$H64</f>
        <v>289</v>
      </c>
      <c r="G64" s="207">
        <f>+[5]BOVI!$F$13</f>
        <v>2</v>
      </c>
      <c r="H64" s="208">
        <f t="shared" si="140"/>
        <v>291</v>
      </c>
      <c r="I64" s="232">
        <f>+'[4]4.SZ.TÁBL. ÓVODA'!$K64</f>
        <v>135</v>
      </c>
      <c r="J64" s="207"/>
      <c r="K64" s="208">
        <f t="shared" si="141"/>
        <v>135</v>
      </c>
      <c r="L64" s="232">
        <f>+'[4]4.SZ.TÁBL. ÓVODA'!$N64</f>
        <v>271</v>
      </c>
      <c r="M64" s="207"/>
      <c r="N64" s="208">
        <f t="shared" si="142"/>
        <v>271</v>
      </c>
      <c r="O64" s="232">
        <f>+'[4]4.SZ.TÁBL. ÓVODA'!$Q64</f>
        <v>50</v>
      </c>
      <c r="P64" s="207">
        <f>+[5]KIK!$F$12</f>
        <v>-6</v>
      </c>
      <c r="Q64" s="208">
        <f t="shared" si="143"/>
        <v>44</v>
      </c>
      <c r="R64" s="222">
        <f t="shared" si="144"/>
        <v>906</v>
      </c>
      <c r="S64" s="207">
        <f t="shared" si="145"/>
        <v>-4</v>
      </c>
      <c r="T64" s="208">
        <f t="shared" si="146"/>
        <v>902</v>
      </c>
    </row>
    <row r="65" spans="1:20" ht="13.5" customHeight="1">
      <c r="A65" s="199" t="s">
        <v>261</v>
      </c>
      <c r="B65" s="254" t="s">
        <v>262</v>
      </c>
      <c r="C65" s="232">
        <f>+'[4]4.SZ.TÁBL. ÓVODA'!$E65</f>
        <v>260</v>
      </c>
      <c r="D65" s="218">
        <f>+[5]MOVI!$G$12</f>
        <v>-26</v>
      </c>
      <c r="E65" s="223">
        <f t="shared" si="139"/>
        <v>234</v>
      </c>
      <c r="F65" s="232">
        <f>+'[4]4.SZ.TÁBL. ÓVODA'!$H65</f>
        <v>712</v>
      </c>
      <c r="G65" s="218">
        <f>+[5]BOVI!$G$14</f>
        <v>154</v>
      </c>
      <c r="H65" s="223">
        <f t="shared" si="140"/>
        <v>866</v>
      </c>
      <c r="I65" s="232">
        <f>+'[4]4.SZ.TÁBL. ÓVODA'!$K65</f>
        <v>0</v>
      </c>
      <c r="J65" s="218"/>
      <c r="K65" s="223">
        <f t="shared" si="141"/>
        <v>0</v>
      </c>
      <c r="L65" s="232">
        <f>+'[4]4.SZ.TÁBL. ÓVODA'!$N65</f>
        <v>87</v>
      </c>
      <c r="M65" s="218"/>
      <c r="N65" s="223">
        <f t="shared" si="142"/>
        <v>87</v>
      </c>
      <c r="O65" s="232">
        <f>+'[4]4.SZ.TÁBL. ÓVODA'!$Q65</f>
        <v>91</v>
      </c>
      <c r="P65" s="218"/>
      <c r="Q65" s="223">
        <f t="shared" si="143"/>
        <v>91</v>
      </c>
      <c r="R65" s="222">
        <f t="shared" si="144"/>
        <v>1150</v>
      </c>
      <c r="S65" s="218">
        <f t="shared" si="145"/>
        <v>128</v>
      </c>
      <c r="T65" s="223">
        <f t="shared" si="146"/>
        <v>1278</v>
      </c>
    </row>
    <row r="66" spans="1:20" ht="13.5" customHeight="1">
      <c r="A66" s="200" t="s">
        <v>263</v>
      </c>
      <c r="B66" s="255" t="s">
        <v>264</v>
      </c>
      <c r="C66" s="232">
        <f>+'[4]4.SZ.TÁBL. ÓVODA'!$E66</f>
        <v>239</v>
      </c>
      <c r="D66" s="207">
        <f>+[5]MOVI!$G$13</f>
        <v>26</v>
      </c>
      <c r="E66" s="208">
        <f t="shared" si="139"/>
        <v>265</v>
      </c>
      <c r="F66" s="232">
        <f>+'[4]4.SZ.TÁBL. ÓVODA'!$H66</f>
        <v>661</v>
      </c>
      <c r="G66" s="207">
        <f>+[5]BOVI!$G$15</f>
        <v>-224</v>
      </c>
      <c r="H66" s="208">
        <f t="shared" si="140"/>
        <v>437</v>
      </c>
      <c r="I66" s="232">
        <f>+'[4]4.SZ.TÁBL. ÓVODA'!$K66</f>
        <v>0</v>
      </c>
      <c r="J66" s="207"/>
      <c r="K66" s="208">
        <f t="shared" si="141"/>
        <v>0</v>
      </c>
      <c r="L66" s="232">
        <f>+'[4]4.SZ.TÁBL. ÓVODA'!$N66</f>
        <v>0</v>
      </c>
      <c r="M66" s="207"/>
      <c r="N66" s="208">
        <f t="shared" si="142"/>
        <v>0</v>
      </c>
      <c r="O66" s="232">
        <f>+'[4]4.SZ.TÁBL. ÓVODA'!$Q66</f>
        <v>161</v>
      </c>
      <c r="P66" s="207"/>
      <c r="Q66" s="208">
        <f t="shared" si="143"/>
        <v>161</v>
      </c>
      <c r="R66" s="215">
        <f t="shared" si="144"/>
        <v>1061</v>
      </c>
      <c r="S66" s="207">
        <f t="shared" si="145"/>
        <v>-198</v>
      </c>
      <c r="T66" s="208">
        <f t="shared" si="146"/>
        <v>863</v>
      </c>
    </row>
    <row r="67" spans="1:20" ht="13.5" customHeight="1">
      <c r="A67" s="201" t="s">
        <v>265</v>
      </c>
      <c r="B67" s="256" t="s">
        <v>266</v>
      </c>
      <c r="C67" s="232">
        <f>+'[4]4.SZ.TÁBL. ÓVODA'!$E67</f>
        <v>0</v>
      </c>
      <c r="D67" s="228"/>
      <c r="E67" s="233">
        <f t="shared" si="139"/>
        <v>0</v>
      </c>
      <c r="F67" s="232">
        <f>+'[4]4.SZ.TÁBL. ÓVODA'!$H67</f>
        <v>0</v>
      </c>
      <c r="G67" s="228"/>
      <c r="H67" s="233">
        <f t="shared" si="140"/>
        <v>0</v>
      </c>
      <c r="I67" s="232">
        <f>+'[4]4.SZ.TÁBL. ÓVODA'!$K67</f>
        <v>0</v>
      </c>
      <c r="J67" s="228"/>
      <c r="K67" s="233">
        <f t="shared" si="141"/>
        <v>0</v>
      </c>
      <c r="L67" s="232">
        <f>+'[4]4.SZ.TÁBL. ÓVODA'!$N67</f>
        <v>0</v>
      </c>
      <c r="M67" s="228"/>
      <c r="N67" s="233">
        <f t="shared" si="142"/>
        <v>0</v>
      </c>
      <c r="O67" s="232">
        <f>+'[4]4.SZ.TÁBL. ÓVODA'!$Q67</f>
        <v>0</v>
      </c>
      <c r="P67" s="228"/>
      <c r="Q67" s="233">
        <f t="shared" si="143"/>
        <v>0</v>
      </c>
      <c r="R67" s="232">
        <f t="shared" si="144"/>
        <v>0</v>
      </c>
      <c r="S67" s="228">
        <f t="shared" si="145"/>
        <v>0</v>
      </c>
      <c r="T67" s="233">
        <f t="shared" si="146"/>
        <v>0</v>
      </c>
    </row>
    <row r="68" spans="1:20" s="317" customFormat="1" ht="13.5" customHeight="1">
      <c r="A68" s="202" t="s">
        <v>219</v>
      </c>
      <c r="B68" s="257" t="s">
        <v>177</v>
      </c>
      <c r="C68" s="288">
        <f>SUM(C65:C67)</f>
        <v>499</v>
      </c>
      <c r="D68" s="292">
        <f t="shared" ref="D68:E68" si="147">SUM(D65:D67)</f>
        <v>0</v>
      </c>
      <c r="E68" s="293">
        <f t="shared" si="147"/>
        <v>499</v>
      </c>
      <c r="F68" s="288">
        <f>SUM(F65:F67)</f>
        <v>1373</v>
      </c>
      <c r="G68" s="292">
        <f t="shared" ref="G68" si="148">SUM(G65:G67)</f>
        <v>-70</v>
      </c>
      <c r="H68" s="293">
        <f t="shared" ref="H68" si="149">SUM(H65:H67)</f>
        <v>1303</v>
      </c>
      <c r="I68" s="288">
        <f>SUM(I65:I67)</f>
        <v>0</v>
      </c>
      <c r="J68" s="292">
        <f t="shared" ref="J68" si="150">SUM(J65:J67)</f>
        <v>0</v>
      </c>
      <c r="K68" s="293">
        <f t="shared" ref="K68" si="151">SUM(K65:K67)</f>
        <v>0</v>
      </c>
      <c r="L68" s="288">
        <f>SUM(L65:L67)</f>
        <v>87</v>
      </c>
      <c r="M68" s="292">
        <f t="shared" ref="M68" si="152">SUM(M65:M67)</f>
        <v>0</v>
      </c>
      <c r="N68" s="293">
        <f t="shared" ref="N68" si="153">SUM(N65:N67)</f>
        <v>87</v>
      </c>
      <c r="O68" s="288">
        <f>SUM(O65:O67)</f>
        <v>252</v>
      </c>
      <c r="P68" s="292">
        <f t="shared" ref="P68" si="154">SUM(P65:P67)</f>
        <v>0</v>
      </c>
      <c r="Q68" s="293">
        <f t="shared" ref="Q68" si="155">SUM(Q65:Q67)</f>
        <v>252</v>
      </c>
      <c r="R68" s="288">
        <f>SUM(R65:R67)</f>
        <v>2211</v>
      </c>
      <c r="S68" s="292">
        <f t="shared" ref="S68:T68" si="156">SUM(S65:S67)</f>
        <v>-70</v>
      </c>
      <c r="T68" s="293">
        <f t="shared" si="156"/>
        <v>2141</v>
      </c>
    </row>
    <row r="69" spans="1:20" ht="13.5" customHeight="1">
      <c r="A69" s="199" t="s">
        <v>267</v>
      </c>
      <c r="B69" s="254" t="s">
        <v>268</v>
      </c>
      <c r="C69" s="232">
        <f>+'[4]4.SZ.TÁBL. ÓVODA'!$E69</f>
        <v>0</v>
      </c>
      <c r="D69" s="218"/>
      <c r="E69" s="223">
        <f t="shared" ref="E69:E70" si="157">+C69+D69</f>
        <v>0</v>
      </c>
      <c r="F69" s="232">
        <f>+'[4]4.SZ.TÁBL. ÓVODA'!$H69</f>
        <v>0</v>
      </c>
      <c r="G69" s="218"/>
      <c r="H69" s="223">
        <f t="shared" ref="H69:H70" si="158">+F69+G69</f>
        <v>0</v>
      </c>
      <c r="I69" s="232">
        <f>+'[4]4.SZ.TÁBL. ÓVODA'!$K69</f>
        <v>0</v>
      </c>
      <c r="J69" s="218"/>
      <c r="K69" s="223">
        <f t="shared" ref="K69:K70" si="159">+I69+J69</f>
        <v>0</v>
      </c>
      <c r="L69" s="232">
        <f>+'[4]4.SZ.TÁBL. ÓVODA'!$N69</f>
        <v>0</v>
      </c>
      <c r="M69" s="218"/>
      <c r="N69" s="223">
        <f t="shared" ref="N69:N70" si="160">+L69+M69</f>
        <v>0</v>
      </c>
      <c r="O69" s="232">
        <f>+'[4]4.SZ.TÁBL. ÓVODA'!$Q69</f>
        <v>180</v>
      </c>
      <c r="P69" s="218"/>
      <c r="Q69" s="223">
        <f t="shared" ref="Q69:Q70" si="161">+O69+P69</f>
        <v>180</v>
      </c>
      <c r="R69" s="222">
        <f t="shared" si="144"/>
        <v>180</v>
      </c>
      <c r="S69" s="218">
        <f t="shared" ref="S69:S70" si="162">+D69+G69+J69+M69+P69</f>
        <v>0</v>
      </c>
      <c r="T69" s="223">
        <f t="shared" ref="T69:T70" si="163">+E69+H69+K69+N69+Q69</f>
        <v>180</v>
      </c>
    </row>
    <row r="70" spans="1:20" ht="13.5" customHeight="1">
      <c r="A70" s="201" t="s">
        <v>269</v>
      </c>
      <c r="B70" s="256" t="s">
        <v>270</v>
      </c>
      <c r="C70" s="232">
        <f>+'[4]4.SZ.TÁBL. ÓVODA'!$E70</f>
        <v>150</v>
      </c>
      <c r="D70" s="228">
        <f>+[5]MOVI!$H$15</f>
        <v>4</v>
      </c>
      <c r="E70" s="233">
        <f t="shared" si="157"/>
        <v>154</v>
      </c>
      <c r="F70" s="232">
        <f>+'[4]4.SZ.TÁBL. ÓVODA'!$H70</f>
        <v>140</v>
      </c>
      <c r="G70" s="228"/>
      <c r="H70" s="233">
        <f t="shared" si="158"/>
        <v>140</v>
      </c>
      <c r="I70" s="232">
        <f>+'[4]4.SZ.TÁBL. ÓVODA'!$K70</f>
        <v>38</v>
      </c>
      <c r="J70" s="228"/>
      <c r="K70" s="233">
        <f t="shared" si="159"/>
        <v>38</v>
      </c>
      <c r="L70" s="232">
        <f>+'[4]4.SZ.TÁBL. ÓVODA'!$N70</f>
        <v>40</v>
      </c>
      <c r="M70" s="228"/>
      <c r="N70" s="233">
        <f t="shared" si="160"/>
        <v>40</v>
      </c>
      <c r="O70" s="232">
        <f>+'[4]4.SZ.TÁBL. ÓVODA'!$Q70</f>
        <v>100</v>
      </c>
      <c r="P70" s="228"/>
      <c r="Q70" s="233">
        <f t="shared" si="161"/>
        <v>100</v>
      </c>
      <c r="R70" s="232">
        <f t="shared" si="144"/>
        <v>468</v>
      </c>
      <c r="S70" s="228">
        <f t="shared" si="162"/>
        <v>4</v>
      </c>
      <c r="T70" s="233">
        <f t="shared" si="163"/>
        <v>472</v>
      </c>
    </row>
    <row r="71" spans="1:20" s="317" customFormat="1" ht="13.5" customHeight="1">
      <c r="A71" s="202" t="s">
        <v>220</v>
      </c>
      <c r="B71" s="257" t="s">
        <v>178</v>
      </c>
      <c r="C71" s="288">
        <f>SUM(C69:C70)</f>
        <v>150</v>
      </c>
      <c r="D71" s="292">
        <f t="shared" ref="D71:E71" si="164">SUM(D69:D70)</f>
        <v>4</v>
      </c>
      <c r="E71" s="293">
        <f t="shared" si="164"/>
        <v>154</v>
      </c>
      <c r="F71" s="288">
        <f>SUM(F69:F70)</f>
        <v>140</v>
      </c>
      <c r="G71" s="292">
        <f t="shared" ref="G71" si="165">SUM(G69:G70)</f>
        <v>0</v>
      </c>
      <c r="H71" s="293">
        <f t="shared" ref="H71" si="166">SUM(H69:H70)</f>
        <v>140</v>
      </c>
      <c r="I71" s="288">
        <f>SUM(I69:I70)</f>
        <v>38</v>
      </c>
      <c r="J71" s="292">
        <f t="shared" ref="J71" si="167">SUM(J69:J70)</f>
        <v>0</v>
      </c>
      <c r="K71" s="293">
        <f t="shared" ref="K71" si="168">SUM(K69:K70)</f>
        <v>38</v>
      </c>
      <c r="L71" s="288">
        <f>SUM(L69:L70)</f>
        <v>40</v>
      </c>
      <c r="M71" s="292">
        <f t="shared" ref="M71" si="169">SUM(M69:M70)</f>
        <v>0</v>
      </c>
      <c r="N71" s="293">
        <f t="shared" ref="N71" si="170">SUM(N69:N70)</f>
        <v>40</v>
      </c>
      <c r="O71" s="288">
        <f>SUM(O69:O70)</f>
        <v>280</v>
      </c>
      <c r="P71" s="292">
        <f t="shared" ref="P71" si="171">SUM(P69:P70)</f>
        <v>0</v>
      </c>
      <c r="Q71" s="293">
        <f t="shared" ref="Q71" si="172">SUM(Q69:Q70)</f>
        <v>280</v>
      </c>
      <c r="R71" s="288">
        <f>SUM(R69:R70)</f>
        <v>648</v>
      </c>
      <c r="S71" s="292">
        <f t="shared" ref="S71:T71" si="173">SUM(S69:S70)</f>
        <v>4</v>
      </c>
      <c r="T71" s="293">
        <f t="shared" si="173"/>
        <v>652</v>
      </c>
    </row>
    <row r="72" spans="1:20" ht="13.5" customHeight="1">
      <c r="A72" s="199" t="s">
        <v>271</v>
      </c>
      <c r="B72" s="254" t="s">
        <v>272</v>
      </c>
      <c r="C72" s="232">
        <f>+'[4]4.SZ.TÁBL. ÓVODA'!$E72</f>
        <v>747</v>
      </c>
      <c r="D72" s="218">
        <f>+[5]MOVI!$I$14+[5]MOVI!$I$16+[5]MOVI!$I$17</f>
        <v>-4</v>
      </c>
      <c r="E72" s="223">
        <f t="shared" ref="E72:E80" si="174">+C72+D72</f>
        <v>743</v>
      </c>
      <c r="F72" s="232">
        <f>+'[4]4.SZ.TÁBL. ÓVODA'!$H72</f>
        <v>3200</v>
      </c>
      <c r="G72" s="218"/>
      <c r="H72" s="223">
        <f t="shared" ref="H72:H80" si="175">+F72+G72</f>
        <v>3200</v>
      </c>
      <c r="I72" s="232">
        <f>+'[4]4.SZ.TÁBL. ÓVODA'!$K72</f>
        <v>0</v>
      </c>
      <c r="J72" s="218"/>
      <c r="K72" s="223">
        <f t="shared" ref="K72:K80" si="176">+I72+J72</f>
        <v>0</v>
      </c>
      <c r="L72" s="232">
        <f>+'[4]4.SZ.TÁBL. ÓVODA'!$N72</f>
        <v>0</v>
      </c>
      <c r="M72" s="218"/>
      <c r="N72" s="223">
        <f t="shared" ref="N72:N80" si="177">+L72+M72</f>
        <v>0</v>
      </c>
      <c r="O72" s="232">
        <f>+'[4]4.SZ.TÁBL. ÓVODA'!$Q72</f>
        <v>0</v>
      </c>
      <c r="P72" s="218"/>
      <c r="Q72" s="223">
        <f t="shared" ref="Q72:Q80" si="178">+O72+P72</f>
        <v>0</v>
      </c>
      <c r="R72" s="222">
        <f t="shared" si="144"/>
        <v>3947</v>
      </c>
      <c r="S72" s="218">
        <f t="shared" ref="S72:S75" si="179">+D72+G72+J72+M72+P72</f>
        <v>-4</v>
      </c>
      <c r="T72" s="223">
        <f t="shared" ref="T72:T75" si="180">+E72+H72+K72+N72+Q72</f>
        <v>3943</v>
      </c>
    </row>
    <row r="73" spans="1:20" ht="13.5" customHeight="1">
      <c r="A73" s="200" t="s">
        <v>273</v>
      </c>
      <c r="B73" s="255" t="s">
        <v>3</v>
      </c>
      <c r="C73" s="232">
        <f>+'[4]4.SZ.TÁBL. ÓVODA'!$E73</f>
        <v>5581</v>
      </c>
      <c r="D73" s="207"/>
      <c r="E73" s="208">
        <f t="shared" si="174"/>
        <v>5581</v>
      </c>
      <c r="F73" s="232">
        <f>+'[4]4.SZ.TÁBL. ÓVODA'!$H73</f>
        <v>0</v>
      </c>
      <c r="G73" s="207"/>
      <c r="H73" s="208">
        <f t="shared" si="175"/>
        <v>0</v>
      </c>
      <c r="I73" s="232">
        <f>+'[4]4.SZ.TÁBL. ÓVODA'!$K73</f>
        <v>0</v>
      </c>
      <c r="J73" s="207"/>
      <c r="K73" s="208">
        <f t="shared" si="176"/>
        <v>0</v>
      </c>
      <c r="L73" s="232">
        <f>+'[4]4.SZ.TÁBL. ÓVODA'!$N73</f>
        <v>0</v>
      </c>
      <c r="M73" s="207"/>
      <c r="N73" s="208">
        <f t="shared" si="177"/>
        <v>0</v>
      </c>
      <c r="O73" s="232">
        <f>+'[4]4.SZ.TÁBL. ÓVODA'!$Q73</f>
        <v>0</v>
      </c>
      <c r="P73" s="207"/>
      <c r="Q73" s="208">
        <f t="shared" si="178"/>
        <v>0</v>
      </c>
      <c r="R73" s="215">
        <f t="shared" si="144"/>
        <v>5581</v>
      </c>
      <c r="S73" s="207">
        <f t="shared" si="179"/>
        <v>0</v>
      </c>
      <c r="T73" s="208">
        <f t="shared" si="180"/>
        <v>5581</v>
      </c>
    </row>
    <row r="74" spans="1:20" ht="13.5" customHeight="1">
      <c r="A74" s="200" t="s">
        <v>274</v>
      </c>
      <c r="B74" s="255" t="s">
        <v>275</v>
      </c>
      <c r="C74" s="232">
        <f>+'[4]4.SZ.TÁBL. ÓVODA'!$E74</f>
        <v>0</v>
      </c>
      <c r="D74" s="207"/>
      <c r="E74" s="208">
        <f t="shared" si="174"/>
        <v>0</v>
      </c>
      <c r="F74" s="232">
        <f>+'[4]4.SZ.TÁBL. ÓVODA'!$H74</f>
        <v>0</v>
      </c>
      <c r="G74" s="207"/>
      <c r="H74" s="208">
        <f t="shared" si="175"/>
        <v>0</v>
      </c>
      <c r="I74" s="232">
        <f>+'[4]4.SZ.TÁBL. ÓVODA'!$K74</f>
        <v>0</v>
      </c>
      <c r="J74" s="207"/>
      <c r="K74" s="208">
        <f t="shared" si="176"/>
        <v>0</v>
      </c>
      <c r="L74" s="232">
        <f>+'[4]4.SZ.TÁBL. ÓVODA'!$N74</f>
        <v>0</v>
      </c>
      <c r="M74" s="207"/>
      <c r="N74" s="208">
        <f t="shared" si="177"/>
        <v>0</v>
      </c>
      <c r="O74" s="232">
        <f>+'[4]4.SZ.TÁBL. ÓVODA'!$Q74</f>
        <v>0</v>
      </c>
      <c r="P74" s="207"/>
      <c r="Q74" s="208">
        <f t="shared" si="178"/>
        <v>0</v>
      </c>
      <c r="R74" s="215">
        <f t="shared" si="144"/>
        <v>0</v>
      </c>
      <c r="S74" s="207">
        <f t="shared" si="179"/>
        <v>0</v>
      </c>
      <c r="T74" s="208">
        <f t="shared" si="180"/>
        <v>0</v>
      </c>
    </row>
    <row r="75" spans="1:20" ht="13.5" customHeight="1">
      <c r="A75" s="200" t="s">
        <v>276</v>
      </c>
      <c r="B75" s="255" t="s">
        <v>277</v>
      </c>
      <c r="C75" s="232">
        <f>+'[4]4.SZ.TÁBL. ÓVODA'!$E75</f>
        <v>250</v>
      </c>
      <c r="D75" s="207"/>
      <c r="E75" s="208">
        <f t="shared" si="174"/>
        <v>250</v>
      </c>
      <c r="F75" s="232">
        <f>+'[4]4.SZ.TÁBL. ÓVODA'!$H75</f>
        <v>510</v>
      </c>
      <c r="G75" s="207">
        <f>+[5]BOVI!$I$16</f>
        <v>11</v>
      </c>
      <c r="H75" s="208">
        <f t="shared" si="175"/>
        <v>521</v>
      </c>
      <c r="I75" s="232">
        <f>+'[4]4.SZ.TÁBL. ÓVODA'!$K75</f>
        <v>0</v>
      </c>
      <c r="J75" s="207"/>
      <c r="K75" s="208">
        <f t="shared" si="176"/>
        <v>0</v>
      </c>
      <c r="L75" s="232">
        <f>+'[4]4.SZ.TÁBL. ÓVODA'!$N75</f>
        <v>0</v>
      </c>
      <c r="M75" s="207"/>
      <c r="N75" s="208">
        <f t="shared" si="177"/>
        <v>0</v>
      </c>
      <c r="O75" s="232">
        <f>+'[4]4.SZ.TÁBL. ÓVODA'!$Q75</f>
        <v>0</v>
      </c>
      <c r="P75" s="207"/>
      <c r="Q75" s="208">
        <f t="shared" si="178"/>
        <v>0</v>
      </c>
      <c r="R75" s="215">
        <f t="shared" si="144"/>
        <v>760</v>
      </c>
      <c r="S75" s="207">
        <f t="shared" si="179"/>
        <v>11</v>
      </c>
      <c r="T75" s="208">
        <f t="shared" si="180"/>
        <v>771</v>
      </c>
    </row>
    <row r="76" spans="1:20" ht="13.5" customHeight="1">
      <c r="A76" s="200" t="s">
        <v>278</v>
      </c>
      <c r="B76" s="255" t="s">
        <v>279</v>
      </c>
      <c r="C76" s="232">
        <f>+'[4]4.SZ.TÁBL. ÓVODA'!$E76</f>
        <v>0</v>
      </c>
      <c r="D76" s="207"/>
      <c r="E76" s="208">
        <f t="shared" si="174"/>
        <v>0</v>
      </c>
      <c r="F76" s="232">
        <f>+'[4]4.SZ.TÁBL. ÓVODA'!$H76</f>
        <v>0</v>
      </c>
      <c r="G76" s="207"/>
      <c r="H76" s="208">
        <f t="shared" si="175"/>
        <v>0</v>
      </c>
      <c r="I76" s="232">
        <f>+'[4]4.SZ.TÁBL. ÓVODA'!$K76</f>
        <v>0</v>
      </c>
      <c r="J76" s="207"/>
      <c r="K76" s="208">
        <f t="shared" si="176"/>
        <v>0</v>
      </c>
      <c r="L76" s="232">
        <f>+'[4]4.SZ.TÁBL. ÓVODA'!$N76</f>
        <v>0</v>
      </c>
      <c r="M76" s="207"/>
      <c r="N76" s="208">
        <f t="shared" si="177"/>
        <v>0</v>
      </c>
      <c r="O76" s="232">
        <f>+'[4]4.SZ.TÁBL. ÓVODA'!$Q76</f>
        <v>0</v>
      </c>
      <c r="P76" s="207"/>
      <c r="Q76" s="208">
        <f t="shared" si="178"/>
        <v>0</v>
      </c>
      <c r="R76" s="215">
        <f>SUM(R77:R78)</f>
        <v>0</v>
      </c>
      <c r="S76" s="207">
        <f t="shared" ref="S76:T76" si="181">SUM(S77:S78)</f>
        <v>0</v>
      </c>
      <c r="T76" s="208">
        <f t="shared" si="181"/>
        <v>0</v>
      </c>
    </row>
    <row r="77" spans="1:20" ht="13.5" customHeight="1">
      <c r="A77" s="200" t="s">
        <v>278</v>
      </c>
      <c r="B77" s="854" t="s">
        <v>323</v>
      </c>
      <c r="C77" s="232">
        <f>+'[4]4.SZ.TÁBL. ÓVODA'!$E77</f>
        <v>0</v>
      </c>
      <c r="D77" s="207"/>
      <c r="E77" s="208">
        <f t="shared" si="174"/>
        <v>0</v>
      </c>
      <c r="F77" s="232">
        <f>+'[4]4.SZ.TÁBL. ÓVODA'!$H77</f>
        <v>0</v>
      </c>
      <c r="G77" s="207"/>
      <c r="H77" s="208">
        <f t="shared" si="175"/>
        <v>0</v>
      </c>
      <c r="I77" s="232">
        <f>+'[4]4.SZ.TÁBL. ÓVODA'!$K77</f>
        <v>0</v>
      </c>
      <c r="J77" s="207"/>
      <c r="K77" s="208">
        <f t="shared" si="176"/>
        <v>0</v>
      </c>
      <c r="L77" s="232">
        <f>+'[4]4.SZ.TÁBL. ÓVODA'!$N77</f>
        <v>0</v>
      </c>
      <c r="M77" s="207"/>
      <c r="N77" s="208">
        <f t="shared" si="177"/>
        <v>0</v>
      </c>
      <c r="O77" s="232">
        <f>+'[4]4.SZ.TÁBL. ÓVODA'!$Q77</f>
        <v>0</v>
      </c>
      <c r="P77" s="207"/>
      <c r="Q77" s="208">
        <f t="shared" si="178"/>
        <v>0</v>
      </c>
      <c r="R77" s="215">
        <f t="shared" si="144"/>
        <v>0</v>
      </c>
      <c r="S77" s="207">
        <f t="shared" ref="S77:S80" si="182">+D77+G77+J77+M77+P77</f>
        <v>0</v>
      </c>
      <c r="T77" s="208">
        <f t="shared" ref="T77:T80" si="183">+E77+H77+K77+N77+Q77</f>
        <v>0</v>
      </c>
    </row>
    <row r="78" spans="1:20" ht="13.5" customHeight="1">
      <c r="A78" s="200" t="s">
        <v>278</v>
      </c>
      <c r="B78" s="854" t="s">
        <v>324</v>
      </c>
      <c r="C78" s="232">
        <f>+'[4]4.SZ.TÁBL. ÓVODA'!$E78</f>
        <v>0</v>
      </c>
      <c r="D78" s="207"/>
      <c r="E78" s="208">
        <f t="shared" si="174"/>
        <v>0</v>
      </c>
      <c r="F78" s="232">
        <f>+'[4]4.SZ.TÁBL. ÓVODA'!$H78</f>
        <v>0</v>
      </c>
      <c r="G78" s="207"/>
      <c r="H78" s="208">
        <f t="shared" si="175"/>
        <v>0</v>
      </c>
      <c r="I78" s="232">
        <f>+'[4]4.SZ.TÁBL. ÓVODA'!$K78</f>
        <v>0</v>
      </c>
      <c r="J78" s="207"/>
      <c r="K78" s="208">
        <f t="shared" si="176"/>
        <v>0</v>
      </c>
      <c r="L78" s="232">
        <f>+'[4]4.SZ.TÁBL. ÓVODA'!$N78</f>
        <v>0</v>
      </c>
      <c r="M78" s="207"/>
      <c r="N78" s="208">
        <f t="shared" si="177"/>
        <v>0</v>
      </c>
      <c r="O78" s="232">
        <f>+'[4]4.SZ.TÁBL. ÓVODA'!$Q78</f>
        <v>0</v>
      </c>
      <c r="P78" s="207"/>
      <c r="Q78" s="208">
        <f t="shared" si="178"/>
        <v>0</v>
      </c>
      <c r="R78" s="215">
        <f t="shared" si="144"/>
        <v>0</v>
      </c>
      <c r="S78" s="207">
        <f t="shared" si="182"/>
        <v>0</v>
      </c>
      <c r="T78" s="208">
        <f t="shared" si="183"/>
        <v>0</v>
      </c>
    </row>
    <row r="79" spans="1:20" ht="13.5" customHeight="1">
      <c r="A79" s="200" t="s">
        <v>280</v>
      </c>
      <c r="B79" s="255" t="s">
        <v>281</v>
      </c>
      <c r="C79" s="232">
        <f>+'[4]4.SZ.TÁBL. ÓVODA'!$E79</f>
        <v>100</v>
      </c>
      <c r="D79" s="207">
        <f>+[5]MOVI!$I$19</f>
        <v>11</v>
      </c>
      <c r="E79" s="208">
        <f t="shared" si="174"/>
        <v>111</v>
      </c>
      <c r="F79" s="232">
        <f>+'[4]4.SZ.TÁBL. ÓVODA'!$H79</f>
        <v>657</v>
      </c>
      <c r="G79" s="207">
        <f>+[5]BOVI!$I$18</f>
        <v>50</v>
      </c>
      <c r="H79" s="208">
        <f t="shared" si="175"/>
        <v>707</v>
      </c>
      <c r="I79" s="232">
        <f>+'[4]4.SZ.TÁBL. ÓVODA'!$K79</f>
        <v>2</v>
      </c>
      <c r="J79" s="207"/>
      <c r="K79" s="208">
        <f t="shared" si="176"/>
        <v>2</v>
      </c>
      <c r="L79" s="232">
        <f>+'[4]4.SZ.TÁBL. ÓVODA'!$N79</f>
        <v>97</v>
      </c>
      <c r="M79" s="207">
        <f>+[5]TOVI!$I$13</f>
        <v>67</v>
      </c>
      <c r="N79" s="208">
        <f t="shared" si="177"/>
        <v>164</v>
      </c>
      <c r="O79" s="232">
        <f>+'[4]4.SZ.TÁBL. ÓVODA'!$Q79</f>
        <v>150</v>
      </c>
      <c r="P79" s="207">
        <f>+[5]KIK!$I$15</f>
        <v>-122</v>
      </c>
      <c r="Q79" s="208">
        <f t="shared" si="178"/>
        <v>28</v>
      </c>
      <c r="R79" s="215">
        <f t="shared" si="144"/>
        <v>1006</v>
      </c>
      <c r="S79" s="207">
        <f t="shared" si="182"/>
        <v>6</v>
      </c>
      <c r="T79" s="208">
        <f t="shared" si="183"/>
        <v>1012</v>
      </c>
    </row>
    <row r="80" spans="1:20" ht="13.5" customHeight="1">
      <c r="A80" s="201" t="s">
        <v>282</v>
      </c>
      <c r="B80" s="256" t="s">
        <v>283</v>
      </c>
      <c r="C80" s="232">
        <f>+'[4]4.SZ.TÁBL. ÓVODA'!$E80</f>
        <v>120</v>
      </c>
      <c r="D80" s="228"/>
      <c r="E80" s="233">
        <f t="shared" si="174"/>
        <v>120</v>
      </c>
      <c r="F80" s="232">
        <f>+'[4]4.SZ.TÁBL. ÓVODA'!$H80</f>
        <v>300</v>
      </c>
      <c r="G80" s="228"/>
      <c r="H80" s="233">
        <f t="shared" si="175"/>
        <v>300</v>
      </c>
      <c r="I80" s="232">
        <f>+'[4]4.SZ.TÁBL. ÓVODA'!$K80</f>
        <v>0</v>
      </c>
      <c r="J80" s="228"/>
      <c r="K80" s="233">
        <f t="shared" si="176"/>
        <v>0</v>
      </c>
      <c r="L80" s="232">
        <f>+'[4]4.SZ.TÁBL. ÓVODA'!$N80</f>
        <v>0</v>
      </c>
      <c r="M80" s="228"/>
      <c r="N80" s="233">
        <f t="shared" si="177"/>
        <v>0</v>
      </c>
      <c r="O80" s="232">
        <f>+'[4]4.SZ.TÁBL. ÓVODA'!$Q80</f>
        <v>800</v>
      </c>
      <c r="P80" s="228">
        <f>+[5]KIK!$I$18</f>
        <v>364</v>
      </c>
      <c r="Q80" s="233">
        <f t="shared" si="178"/>
        <v>1164</v>
      </c>
      <c r="R80" s="232">
        <f t="shared" si="144"/>
        <v>1220</v>
      </c>
      <c r="S80" s="228">
        <f t="shared" si="182"/>
        <v>364</v>
      </c>
      <c r="T80" s="233">
        <f t="shared" si="183"/>
        <v>1584</v>
      </c>
    </row>
    <row r="81" spans="1:20" s="317" customFormat="1" ht="13.5" customHeight="1">
      <c r="A81" s="202" t="s">
        <v>221</v>
      </c>
      <c r="B81" s="257" t="s">
        <v>179</v>
      </c>
      <c r="C81" s="288">
        <f>SUM(C72:C80)-SUM(C77:C78)</f>
        <v>6798</v>
      </c>
      <c r="D81" s="292">
        <f t="shared" ref="D81:E81" si="184">SUM(D72:D80)-SUM(D77:D78)</f>
        <v>7</v>
      </c>
      <c r="E81" s="293">
        <f t="shared" si="184"/>
        <v>6805</v>
      </c>
      <c r="F81" s="288">
        <f>SUM(F72:F80)-SUM(F77:F78)</f>
        <v>4667</v>
      </c>
      <c r="G81" s="292">
        <f t="shared" ref="G81" si="185">SUM(G72:G80)-SUM(G77:G78)</f>
        <v>61</v>
      </c>
      <c r="H81" s="293">
        <f t="shared" ref="H81" si="186">SUM(H72:H80)-SUM(H77:H78)</f>
        <v>4728</v>
      </c>
      <c r="I81" s="288">
        <f>SUM(I72:I80)-SUM(I77:I78)</f>
        <v>2</v>
      </c>
      <c r="J81" s="292">
        <f t="shared" ref="J81" si="187">SUM(J72:J80)-SUM(J77:J78)</f>
        <v>0</v>
      </c>
      <c r="K81" s="293">
        <f t="shared" ref="K81" si="188">SUM(K72:K80)-SUM(K77:K78)</f>
        <v>2</v>
      </c>
      <c r="L81" s="288">
        <f>SUM(L72:L80)-SUM(L77:L78)</f>
        <v>97</v>
      </c>
      <c r="M81" s="292">
        <f t="shared" ref="M81" si="189">SUM(M72:M80)-SUM(M77:M78)</f>
        <v>67</v>
      </c>
      <c r="N81" s="293">
        <f t="shared" ref="N81" si="190">SUM(N72:N80)-SUM(N77:N78)</f>
        <v>164</v>
      </c>
      <c r="O81" s="288">
        <f>SUM(O72:O80)-SUM(O77:O78)</f>
        <v>950</v>
      </c>
      <c r="P81" s="292">
        <f t="shared" ref="P81" si="191">SUM(P72:P80)-SUM(P77:P78)</f>
        <v>242</v>
      </c>
      <c r="Q81" s="293">
        <f t="shared" ref="Q81" si="192">SUM(Q72:Q80)-SUM(Q77:Q78)</f>
        <v>1192</v>
      </c>
      <c r="R81" s="288">
        <f>SUM(R72:R80)-SUM(R77:R78)</f>
        <v>12514</v>
      </c>
      <c r="S81" s="292">
        <f t="shared" ref="S81:T81" si="193">SUM(S72:S80)-SUM(S77:S78)</f>
        <v>377</v>
      </c>
      <c r="T81" s="293">
        <f t="shared" si="193"/>
        <v>12891</v>
      </c>
    </row>
    <row r="82" spans="1:20" ht="13.5" customHeight="1">
      <c r="A82" s="199" t="s">
        <v>284</v>
      </c>
      <c r="B82" s="254" t="s">
        <v>285</v>
      </c>
      <c r="C82" s="232">
        <f>+'[4]4.SZ.TÁBL. ÓVODA'!$E82</f>
        <v>32</v>
      </c>
      <c r="D82" s="218"/>
      <c r="E82" s="223">
        <f t="shared" ref="E82:E83" si="194">+C82+D82</f>
        <v>32</v>
      </c>
      <c r="F82" s="232">
        <f>+'[4]4.SZ.TÁBL. ÓVODA'!$H82</f>
        <v>50</v>
      </c>
      <c r="G82" s="218"/>
      <c r="H82" s="223">
        <f t="shared" ref="H82:H83" si="195">+F82+G82</f>
        <v>50</v>
      </c>
      <c r="I82" s="232">
        <f>+'[4]4.SZ.TÁBL. ÓVODA'!$K82</f>
        <v>0</v>
      </c>
      <c r="J82" s="218">
        <f>+[5]GYOVI!$I$11</f>
        <v>2</v>
      </c>
      <c r="K82" s="223">
        <f t="shared" ref="K82:K83" si="196">+I82+J82</f>
        <v>2</v>
      </c>
      <c r="L82" s="232">
        <f>+'[4]4.SZ.TÁBL. ÓVODA'!$N82</f>
        <v>14</v>
      </c>
      <c r="M82" s="218"/>
      <c r="N82" s="223">
        <f t="shared" ref="N82:N83" si="197">+L82+M82</f>
        <v>14</v>
      </c>
      <c r="O82" s="232">
        <f>+'[4]4.SZ.TÁBL. ÓVODA'!$Q82</f>
        <v>50</v>
      </c>
      <c r="P82" s="218">
        <f>+[5]KIK!$I$16</f>
        <v>-12</v>
      </c>
      <c r="Q82" s="223">
        <f t="shared" ref="Q82:Q83" si="198">+O82+P82</f>
        <v>38</v>
      </c>
      <c r="R82" s="222">
        <f t="shared" si="144"/>
        <v>146</v>
      </c>
      <c r="S82" s="218">
        <f t="shared" ref="S82:S83" si="199">+D82+G82+J82+M82+P82</f>
        <v>-10</v>
      </c>
      <c r="T82" s="223">
        <f t="shared" ref="T82:T83" si="200">+E82+H82+K82+N82+Q82</f>
        <v>136</v>
      </c>
    </row>
    <row r="83" spans="1:20" ht="13.5" customHeight="1">
      <c r="A83" s="201" t="s">
        <v>286</v>
      </c>
      <c r="B83" s="256" t="s">
        <v>287</v>
      </c>
      <c r="C83" s="232">
        <f>+'[4]4.SZ.TÁBL. ÓVODA'!$E83</f>
        <v>0</v>
      </c>
      <c r="D83" s="228"/>
      <c r="E83" s="233">
        <f t="shared" si="194"/>
        <v>0</v>
      </c>
      <c r="F83" s="232">
        <f>+'[4]4.SZ.TÁBL. ÓVODA'!$H83</f>
        <v>0</v>
      </c>
      <c r="G83" s="228"/>
      <c r="H83" s="233">
        <f t="shared" si="195"/>
        <v>0</v>
      </c>
      <c r="I83" s="232">
        <f>+'[4]4.SZ.TÁBL. ÓVODA'!$K83</f>
        <v>0</v>
      </c>
      <c r="J83" s="228"/>
      <c r="K83" s="233">
        <f t="shared" si="196"/>
        <v>0</v>
      </c>
      <c r="L83" s="232">
        <f>+'[4]4.SZ.TÁBL. ÓVODA'!$N83</f>
        <v>0</v>
      </c>
      <c r="M83" s="228"/>
      <c r="N83" s="233">
        <f t="shared" si="197"/>
        <v>0</v>
      </c>
      <c r="O83" s="232">
        <f>+'[4]4.SZ.TÁBL. ÓVODA'!$Q83</f>
        <v>0</v>
      </c>
      <c r="P83" s="228"/>
      <c r="Q83" s="233">
        <f t="shared" si="198"/>
        <v>0</v>
      </c>
      <c r="R83" s="232">
        <f t="shared" si="144"/>
        <v>0</v>
      </c>
      <c r="S83" s="228">
        <f t="shared" si="199"/>
        <v>0</v>
      </c>
      <c r="T83" s="233">
        <f t="shared" si="200"/>
        <v>0</v>
      </c>
    </row>
    <row r="84" spans="1:20" s="317" customFormat="1" ht="13.5" customHeight="1">
      <c r="A84" s="202" t="s">
        <v>222</v>
      </c>
      <c r="B84" s="257" t="s">
        <v>180</v>
      </c>
      <c r="C84" s="288">
        <f>SUM(C82:C83)</f>
        <v>32</v>
      </c>
      <c r="D84" s="292">
        <f t="shared" ref="D84:E84" si="201">SUM(D82:D83)</f>
        <v>0</v>
      </c>
      <c r="E84" s="293">
        <f t="shared" si="201"/>
        <v>32</v>
      </c>
      <c r="F84" s="288">
        <f>SUM(F82:F83)</f>
        <v>50</v>
      </c>
      <c r="G84" s="292">
        <f t="shared" ref="G84" si="202">SUM(G82:G83)</f>
        <v>0</v>
      </c>
      <c r="H84" s="293">
        <f t="shared" ref="H84" si="203">SUM(H82:H83)</f>
        <v>50</v>
      </c>
      <c r="I84" s="288">
        <f>SUM(I82:I83)</f>
        <v>0</v>
      </c>
      <c r="J84" s="292">
        <f t="shared" ref="J84" si="204">SUM(J82:J83)</f>
        <v>2</v>
      </c>
      <c r="K84" s="293">
        <f t="shared" ref="K84" si="205">SUM(K82:K83)</f>
        <v>2</v>
      </c>
      <c r="L84" s="288">
        <f>SUM(L82:L83)</f>
        <v>14</v>
      </c>
      <c r="M84" s="292">
        <f t="shared" ref="M84" si="206">SUM(M82:M83)</f>
        <v>0</v>
      </c>
      <c r="N84" s="293">
        <f t="shared" ref="N84" si="207">SUM(N82:N83)</f>
        <v>14</v>
      </c>
      <c r="O84" s="288">
        <f>SUM(O82:O83)</f>
        <v>50</v>
      </c>
      <c r="P84" s="292">
        <f t="shared" ref="P84" si="208">SUM(P82:P83)</f>
        <v>-12</v>
      </c>
      <c r="Q84" s="293">
        <f t="shared" ref="Q84" si="209">SUM(Q82:Q83)</f>
        <v>38</v>
      </c>
      <c r="R84" s="288">
        <f>SUM(R82:R83)</f>
        <v>146</v>
      </c>
      <c r="S84" s="292">
        <f t="shared" ref="S84:T84" si="210">SUM(S82:S83)</f>
        <v>-10</v>
      </c>
      <c r="T84" s="293">
        <f t="shared" si="210"/>
        <v>136</v>
      </c>
    </row>
    <row r="85" spans="1:20" ht="13.5" customHeight="1">
      <c r="A85" s="199" t="s">
        <v>288</v>
      </c>
      <c r="B85" s="254" t="s">
        <v>289</v>
      </c>
      <c r="C85" s="232">
        <f>+'[4]4.SZ.TÁBL. ÓVODA'!$E85</f>
        <v>2020</v>
      </c>
      <c r="D85" s="218"/>
      <c r="E85" s="223">
        <f t="shared" ref="E85:E89" si="211">+C85+D85</f>
        <v>2020</v>
      </c>
      <c r="F85" s="232">
        <f>+'[4]4.SZ.TÁBL. ÓVODA'!$H85</f>
        <v>1621</v>
      </c>
      <c r="G85" s="218">
        <f>+[5]BOVI!$J$21</f>
        <v>-10</v>
      </c>
      <c r="H85" s="223">
        <f t="shared" ref="H85:H89" si="212">+F85+G85</f>
        <v>1611</v>
      </c>
      <c r="I85" s="232">
        <f>+'[4]4.SZ.TÁBL. ÓVODA'!$K85</f>
        <v>11</v>
      </c>
      <c r="J85" s="218"/>
      <c r="K85" s="223">
        <f t="shared" ref="K85:K89" si="213">+I85+J85</f>
        <v>11</v>
      </c>
      <c r="L85" s="232">
        <f>+'[4]4.SZ.TÁBL. ÓVODA'!$N85</f>
        <v>29</v>
      </c>
      <c r="M85" s="218"/>
      <c r="N85" s="223">
        <f t="shared" ref="N85:N89" si="214">+L85+M85</f>
        <v>29</v>
      </c>
      <c r="O85" s="232">
        <f>+'[4]4.SZ.TÁBL. ÓVODA'!$Q85</f>
        <v>365</v>
      </c>
      <c r="P85" s="218">
        <f>+[5]KIK!$J$17</f>
        <v>-230</v>
      </c>
      <c r="Q85" s="223">
        <f t="shared" ref="Q85:Q89" si="215">+O85+P85</f>
        <v>135</v>
      </c>
      <c r="R85" s="222">
        <f t="shared" si="144"/>
        <v>4046</v>
      </c>
      <c r="S85" s="218">
        <f t="shared" ref="S85:S89" si="216">+D85+G85+J85+M85+P85</f>
        <v>-240</v>
      </c>
      <c r="T85" s="223">
        <f t="shared" ref="T85:T89" si="217">+E85+H85+K85+N85+Q85</f>
        <v>3806</v>
      </c>
    </row>
    <row r="86" spans="1:20" ht="13.5" customHeight="1">
      <c r="A86" s="200" t="s">
        <v>290</v>
      </c>
      <c r="B86" s="255" t="s">
        <v>291</v>
      </c>
      <c r="C86" s="232">
        <f>+'[4]4.SZ.TÁBL. ÓVODA'!$E86</f>
        <v>0</v>
      </c>
      <c r="D86" s="207"/>
      <c r="E86" s="208">
        <f t="shared" si="211"/>
        <v>0</v>
      </c>
      <c r="F86" s="232">
        <f>+'[4]4.SZ.TÁBL. ÓVODA'!$H86</f>
        <v>0</v>
      </c>
      <c r="G86" s="207"/>
      <c r="H86" s="208">
        <f t="shared" si="212"/>
        <v>0</v>
      </c>
      <c r="I86" s="232">
        <f>+'[4]4.SZ.TÁBL. ÓVODA'!$K86</f>
        <v>0</v>
      </c>
      <c r="J86" s="207"/>
      <c r="K86" s="208">
        <f t="shared" si="213"/>
        <v>0</v>
      </c>
      <c r="L86" s="232">
        <f>+'[4]4.SZ.TÁBL. ÓVODA'!$N86</f>
        <v>0</v>
      </c>
      <c r="M86" s="207"/>
      <c r="N86" s="208">
        <f t="shared" si="214"/>
        <v>0</v>
      </c>
      <c r="O86" s="232">
        <f>+'[4]4.SZ.TÁBL. ÓVODA'!$Q86</f>
        <v>0</v>
      </c>
      <c r="P86" s="207"/>
      <c r="Q86" s="208">
        <f t="shared" si="215"/>
        <v>0</v>
      </c>
      <c r="R86" s="215">
        <f t="shared" si="144"/>
        <v>0</v>
      </c>
      <c r="S86" s="207">
        <f t="shared" si="216"/>
        <v>0</v>
      </c>
      <c r="T86" s="208">
        <f t="shared" si="217"/>
        <v>0</v>
      </c>
    </row>
    <row r="87" spans="1:20" ht="13.5" customHeight="1">
      <c r="A87" s="200" t="s">
        <v>292</v>
      </c>
      <c r="B87" s="255" t="s">
        <v>293</v>
      </c>
      <c r="C87" s="232">
        <f>+'[4]4.SZ.TÁBL. ÓVODA'!$E87</f>
        <v>0</v>
      </c>
      <c r="D87" s="207"/>
      <c r="E87" s="208">
        <f t="shared" si="211"/>
        <v>0</v>
      </c>
      <c r="F87" s="232">
        <f>+'[4]4.SZ.TÁBL. ÓVODA'!$H87</f>
        <v>0</v>
      </c>
      <c r="G87" s="207"/>
      <c r="H87" s="208">
        <f t="shared" si="212"/>
        <v>0</v>
      </c>
      <c r="I87" s="232">
        <f>+'[4]4.SZ.TÁBL. ÓVODA'!$K87</f>
        <v>0</v>
      </c>
      <c r="J87" s="207"/>
      <c r="K87" s="208">
        <f t="shared" si="213"/>
        <v>0</v>
      </c>
      <c r="L87" s="232">
        <f>+'[4]4.SZ.TÁBL. ÓVODA'!$N87</f>
        <v>0</v>
      </c>
      <c r="M87" s="207"/>
      <c r="N87" s="208">
        <f t="shared" si="214"/>
        <v>0</v>
      </c>
      <c r="O87" s="232">
        <f>+'[4]4.SZ.TÁBL. ÓVODA'!$Q87</f>
        <v>0</v>
      </c>
      <c r="P87" s="207"/>
      <c r="Q87" s="208">
        <f t="shared" si="215"/>
        <v>0</v>
      </c>
      <c r="R87" s="215">
        <f t="shared" si="144"/>
        <v>0</v>
      </c>
      <c r="S87" s="207">
        <f t="shared" si="216"/>
        <v>0</v>
      </c>
      <c r="T87" s="208">
        <f t="shared" si="217"/>
        <v>0</v>
      </c>
    </row>
    <row r="88" spans="1:20" ht="13.5" customHeight="1">
      <c r="A88" s="200" t="s">
        <v>294</v>
      </c>
      <c r="B88" s="255" t="s">
        <v>295</v>
      </c>
      <c r="C88" s="232">
        <f>+'[4]4.SZ.TÁBL. ÓVODA'!$E88</f>
        <v>0</v>
      </c>
      <c r="D88" s="207"/>
      <c r="E88" s="208">
        <f t="shared" si="211"/>
        <v>0</v>
      </c>
      <c r="F88" s="232">
        <f>+'[4]4.SZ.TÁBL. ÓVODA'!$H88</f>
        <v>0</v>
      </c>
      <c r="G88" s="207"/>
      <c r="H88" s="208">
        <f t="shared" si="212"/>
        <v>0</v>
      </c>
      <c r="I88" s="232">
        <f>+'[4]4.SZ.TÁBL. ÓVODA'!$K88</f>
        <v>0</v>
      </c>
      <c r="J88" s="207"/>
      <c r="K88" s="208">
        <f t="shared" si="213"/>
        <v>0</v>
      </c>
      <c r="L88" s="232">
        <f>+'[4]4.SZ.TÁBL. ÓVODA'!$N88</f>
        <v>0</v>
      </c>
      <c r="M88" s="207"/>
      <c r="N88" s="208">
        <f t="shared" si="214"/>
        <v>0</v>
      </c>
      <c r="O88" s="232">
        <f>+'[4]4.SZ.TÁBL. ÓVODA'!$Q88</f>
        <v>0</v>
      </c>
      <c r="P88" s="207"/>
      <c r="Q88" s="208">
        <f t="shared" si="215"/>
        <v>0</v>
      </c>
      <c r="R88" s="215">
        <f t="shared" si="144"/>
        <v>0</v>
      </c>
      <c r="S88" s="207">
        <f t="shared" si="216"/>
        <v>0</v>
      </c>
      <c r="T88" s="208">
        <f t="shared" si="217"/>
        <v>0</v>
      </c>
    </row>
    <row r="89" spans="1:20" ht="13.5" customHeight="1">
      <c r="A89" s="201" t="s">
        <v>296</v>
      </c>
      <c r="B89" s="256" t="s">
        <v>22</v>
      </c>
      <c r="C89" s="232">
        <f>+'[4]4.SZ.TÁBL. ÓVODA'!$E89</f>
        <v>0</v>
      </c>
      <c r="D89" s="228"/>
      <c r="E89" s="233">
        <f t="shared" si="211"/>
        <v>0</v>
      </c>
      <c r="F89" s="232">
        <f>+'[4]4.SZ.TÁBL. ÓVODA'!$H89</f>
        <v>0</v>
      </c>
      <c r="G89" s="228"/>
      <c r="H89" s="233">
        <f t="shared" si="212"/>
        <v>0</v>
      </c>
      <c r="I89" s="232">
        <f>+'[4]4.SZ.TÁBL. ÓVODA'!$K89</f>
        <v>0</v>
      </c>
      <c r="J89" s="228"/>
      <c r="K89" s="233">
        <f t="shared" si="213"/>
        <v>0</v>
      </c>
      <c r="L89" s="232">
        <f>+'[4]4.SZ.TÁBL. ÓVODA'!$N89</f>
        <v>0</v>
      </c>
      <c r="M89" s="228"/>
      <c r="N89" s="233">
        <f t="shared" si="214"/>
        <v>0</v>
      </c>
      <c r="O89" s="232">
        <f>+'[4]4.SZ.TÁBL. ÓVODA'!$Q89</f>
        <v>0</v>
      </c>
      <c r="P89" s="228"/>
      <c r="Q89" s="233">
        <f t="shared" si="215"/>
        <v>0</v>
      </c>
      <c r="R89" s="232">
        <f t="shared" si="144"/>
        <v>0</v>
      </c>
      <c r="S89" s="228">
        <f t="shared" si="216"/>
        <v>0</v>
      </c>
      <c r="T89" s="233">
        <f t="shared" si="217"/>
        <v>0</v>
      </c>
    </row>
    <row r="90" spans="1:20" s="317" customFormat="1" ht="13.5" customHeight="1">
      <c r="A90" s="202" t="s">
        <v>223</v>
      </c>
      <c r="B90" s="257" t="s">
        <v>181</v>
      </c>
      <c r="C90" s="288">
        <f>SUM(C85:C89)</f>
        <v>2020</v>
      </c>
      <c r="D90" s="292">
        <f t="shared" ref="D90:E90" si="218">SUM(D85:D89)</f>
        <v>0</v>
      </c>
      <c r="E90" s="293">
        <f t="shared" si="218"/>
        <v>2020</v>
      </c>
      <c r="F90" s="288">
        <f>SUM(F85:F89)</f>
        <v>1621</v>
      </c>
      <c r="G90" s="292">
        <f t="shared" ref="G90" si="219">SUM(G85:G89)</f>
        <v>-10</v>
      </c>
      <c r="H90" s="293">
        <f t="shared" ref="H90" si="220">SUM(H85:H89)</f>
        <v>1611</v>
      </c>
      <c r="I90" s="288">
        <f>SUM(I85:I89)</f>
        <v>11</v>
      </c>
      <c r="J90" s="292">
        <f t="shared" ref="J90" si="221">SUM(J85:J89)</f>
        <v>0</v>
      </c>
      <c r="K90" s="293">
        <f t="shared" ref="K90" si="222">SUM(K85:K89)</f>
        <v>11</v>
      </c>
      <c r="L90" s="288">
        <f>SUM(L85:L89)</f>
        <v>29</v>
      </c>
      <c r="M90" s="292">
        <f t="shared" ref="M90" si="223">SUM(M85:M89)</f>
        <v>0</v>
      </c>
      <c r="N90" s="293">
        <f t="shared" ref="N90" si="224">SUM(N85:N89)</f>
        <v>29</v>
      </c>
      <c r="O90" s="288">
        <f>SUM(O85:O89)</f>
        <v>365</v>
      </c>
      <c r="P90" s="292">
        <f t="shared" ref="P90" si="225">SUM(P85:P89)</f>
        <v>-230</v>
      </c>
      <c r="Q90" s="293">
        <f t="shared" ref="Q90" si="226">SUM(Q85:Q89)</f>
        <v>135</v>
      </c>
      <c r="R90" s="288">
        <f>SUM(R85:R89)</f>
        <v>4046</v>
      </c>
      <c r="S90" s="292">
        <f t="shared" ref="S90:T90" si="227">SUM(S85:S89)</f>
        <v>-240</v>
      </c>
      <c r="T90" s="293">
        <f t="shared" si="227"/>
        <v>3806</v>
      </c>
    </row>
    <row r="91" spans="1:20" s="317" customFormat="1" ht="13.5" customHeight="1">
      <c r="A91" s="202" t="s">
        <v>224</v>
      </c>
      <c r="B91" s="257" t="s">
        <v>182</v>
      </c>
      <c r="C91" s="288">
        <f>+C68+C71+C81+C84+C90</f>
        <v>9499</v>
      </c>
      <c r="D91" s="292">
        <f t="shared" ref="D91:E91" si="228">+D68+D71+D81+D84+D90</f>
        <v>11</v>
      </c>
      <c r="E91" s="293">
        <f t="shared" si="228"/>
        <v>9510</v>
      </c>
      <c r="F91" s="288">
        <f>+F68+F71+F81+F84+F90</f>
        <v>7851</v>
      </c>
      <c r="G91" s="292">
        <f t="shared" ref="G91" si="229">+G68+G71+G81+G84+G90</f>
        <v>-19</v>
      </c>
      <c r="H91" s="293">
        <f t="shared" ref="H91" si="230">+H68+H71+H81+H84+H90</f>
        <v>7832</v>
      </c>
      <c r="I91" s="288">
        <f>+I68+I71+I81+I84+I90</f>
        <v>51</v>
      </c>
      <c r="J91" s="292">
        <f t="shared" ref="J91" si="231">+J68+J71+J81+J84+J90</f>
        <v>2</v>
      </c>
      <c r="K91" s="293">
        <f t="shared" ref="K91" si="232">+K68+K71+K81+K84+K90</f>
        <v>53</v>
      </c>
      <c r="L91" s="288">
        <f>+L68+L71+L81+L84+L90</f>
        <v>267</v>
      </c>
      <c r="M91" s="292">
        <f t="shared" ref="M91" si="233">+M68+M71+M81+M84+M90</f>
        <v>67</v>
      </c>
      <c r="N91" s="293">
        <f t="shared" ref="N91" si="234">+N68+N71+N81+N84+N90</f>
        <v>334</v>
      </c>
      <c r="O91" s="288">
        <f>+O68+O71+O81+O84+O90</f>
        <v>1897</v>
      </c>
      <c r="P91" s="292">
        <f t="shared" ref="P91" si="235">+P68+P71+P81+P84+P90</f>
        <v>0</v>
      </c>
      <c r="Q91" s="293">
        <f t="shared" ref="Q91" si="236">+Q68+Q71+Q81+Q84+Q90</f>
        <v>1897</v>
      </c>
      <c r="R91" s="288">
        <f>+R68+R71+R81+R84+R90</f>
        <v>19565</v>
      </c>
      <c r="S91" s="292">
        <f t="shared" ref="S91:T91" si="237">+S68+S71+S81+S84+S90</f>
        <v>61</v>
      </c>
      <c r="T91" s="293">
        <f t="shared" si="237"/>
        <v>19626</v>
      </c>
    </row>
    <row r="92" spans="1:20" ht="13.5" customHeight="1">
      <c r="A92" s="199" t="s">
        <v>449</v>
      </c>
      <c r="B92" s="313" t="s">
        <v>450</v>
      </c>
      <c r="C92" s="232">
        <f>+'[4]4.SZ.TÁBL. ÓVODA'!$E92</f>
        <v>282</v>
      </c>
      <c r="D92" s="218"/>
      <c r="E92" s="223">
        <f t="shared" ref="E92" si="238">+C92+D92</f>
        <v>282</v>
      </c>
      <c r="F92" s="232">
        <f>+'[4]4.SZ.TÁBL. ÓVODA'!$H92</f>
        <v>0</v>
      </c>
      <c r="G92" s="218"/>
      <c r="H92" s="223">
        <f t="shared" ref="H92" si="239">+F92+G92</f>
        <v>0</v>
      </c>
      <c r="I92" s="232">
        <f>+'[4]4.SZ.TÁBL. ÓVODA'!$K92</f>
        <v>348</v>
      </c>
      <c r="J92" s="218"/>
      <c r="K92" s="223">
        <f t="shared" ref="K92" si="240">+I92+J92</f>
        <v>348</v>
      </c>
      <c r="L92" s="232">
        <f>+'[4]4.SZ.TÁBL. ÓVODA'!$N92</f>
        <v>324</v>
      </c>
      <c r="M92" s="218"/>
      <c r="N92" s="223">
        <f t="shared" ref="N92" si="241">+L92+M92</f>
        <v>324</v>
      </c>
      <c r="O92" s="232">
        <f>+'[4]4.SZ.TÁBL. ÓVODA'!$Q92</f>
        <v>0</v>
      </c>
      <c r="P92" s="218"/>
      <c r="Q92" s="223">
        <f t="shared" ref="Q92" si="242">+O92+P92</f>
        <v>0</v>
      </c>
      <c r="R92" s="222">
        <f t="shared" ref="R92" si="243">+C92+F92+I92+L92+O92</f>
        <v>954</v>
      </c>
      <c r="S92" s="218">
        <f t="shared" ref="S92" si="244">+D92+G92+J92+M92+P92</f>
        <v>0</v>
      </c>
      <c r="T92" s="223">
        <f t="shared" ref="T92" si="245">+E92+H92+K92+N92+Q92</f>
        <v>954</v>
      </c>
    </row>
    <row r="93" spans="1:20" ht="13.5" customHeight="1">
      <c r="A93" s="199" t="s">
        <v>365</v>
      </c>
      <c r="B93" s="195" t="s">
        <v>366</v>
      </c>
      <c r="C93" s="232">
        <f>+'[4]4.SZ.TÁBL. ÓVODA'!$E93</f>
        <v>0</v>
      </c>
      <c r="D93" s="218"/>
      <c r="E93" s="223">
        <f t="shared" ref="E93:E98" si="246">+C93+D93</f>
        <v>0</v>
      </c>
      <c r="F93" s="232">
        <f>+'[4]4.SZ.TÁBL. ÓVODA'!$H93</f>
        <v>735</v>
      </c>
      <c r="G93" s="218">
        <f>+G94</f>
        <v>0</v>
      </c>
      <c r="H93" s="223">
        <f t="shared" ref="H93:H98" si="247">+F93+G93</f>
        <v>735</v>
      </c>
      <c r="I93" s="232">
        <f>+'[4]4.SZ.TÁBL. ÓVODA'!$K93</f>
        <v>2498</v>
      </c>
      <c r="J93" s="218">
        <f>+J94</f>
        <v>662</v>
      </c>
      <c r="K93" s="223">
        <f t="shared" ref="K93:K98" si="248">+I93+J93</f>
        <v>3160</v>
      </c>
      <c r="L93" s="232">
        <f>+'[4]4.SZ.TÁBL. ÓVODA'!$N93</f>
        <v>8263</v>
      </c>
      <c r="M93" s="218">
        <f>+SUM(M94:M95)</f>
        <v>0</v>
      </c>
      <c r="N93" s="223">
        <f t="shared" ref="N93:N98" si="249">+L93+M93</f>
        <v>8263</v>
      </c>
      <c r="O93" s="232">
        <f>+'[4]4.SZ.TÁBL. ÓVODA'!$Q93</f>
        <v>768</v>
      </c>
      <c r="P93" s="218">
        <f>+SUM(P94:P95)</f>
        <v>0</v>
      </c>
      <c r="Q93" s="223">
        <f t="shared" ref="Q93:Q98" si="250">+O93+P93</f>
        <v>768</v>
      </c>
      <c r="R93" s="222">
        <f t="shared" ref="R93:R98" si="251">+C93+F93+I93+L93+O93</f>
        <v>12264</v>
      </c>
      <c r="S93" s="218">
        <f t="shared" ref="S93:S98" si="252">+D93+G93+J93+M93+P93</f>
        <v>662</v>
      </c>
      <c r="T93" s="223">
        <f t="shared" ref="T93:T98" si="253">+E93+H93+K93+N93+Q93</f>
        <v>12926</v>
      </c>
    </row>
    <row r="94" spans="1:20" ht="13.5" customHeight="1">
      <c r="A94" s="563" t="s">
        <v>365</v>
      </c>
      <c r="B94" s="564" t="s">
        <v>153</v>
      </c>
      <c r="C94" s="232">
        <f>+'[4]4.SZ.TÁBL. ÓVODA'!$E94</f>
        <v>0</v>
      </c>
      <c r="D94" s="228"/>
      <c r="E94" s="233">
        <f t="shared" si="246"/>
        <v>0</v>
      </c>
      <c r="F94" s="232">
        <f>+'[4]4.SZ.TÁBL. ÓVODA'!$H94</f>
        <v>735</v>
      </c>
      <c r="G94" s="228"/>
      <c r="H94" s="233">
        <f t="shared" si="247"/>
        <v>735</v>
      </c>
      <c r="I94" s="232">
        <f>+'[4]4.SZ.TÁBL. ÓVODA'!$K94</f>
        <v>2498</v>
      </c>
      <c r="J94" s="228">
        <f>+[5]GYOVI!$O$12</f>
        <v>662</v>
      </c>
      <c r="K94" s="233">
        <f t="shared" si="248"/>
        <v>3160</v>
      </c>
      <c r="L94" s="232">
        <f>+'[4]4.SZ.TÁBL. ÓVODA'!$N94</f>
        <v>8263</v>
      </c>
      <c r="M94" s="228"/>
      <c r="N94" s="233">
        <f t="shared" si="249"/>
        <v>8263</v>
      </c>
      <c r="O94" s="232">
        <f>+'[4]4.SZ.TÁBL. ÓVODA'!$Q94</f>
        <v>0</v>
      </c>
      <c r="P94" s="228"/>
      <c r="Q94" s="233">
        <f t="shared" si="250"/>
        <v>0</v>
      </c>
      <c r="R94" s="232">
        <f t="shared" ref="R94" si="254">+C94+F94+I94+L94+O94</f>
        <v>11496</v>
      </c>
      <c r="S94" s="228">
        <f t="shared" si="252"/>
        <v>662</v>
      </c>
      <c r="T94" s="233">
        <f t="shared" si="253"/>
        <v>12158</v>
      </c>
    </row>
    <row r="95" spans="1:20" ht="13.5" customHeight="1">
      <c r="A95" s="563" t="s">
        <v>459</v>
      </c>
      <c r="B95" s="564" t="s">
        <v>460</v>
      </c>
      <c r="C95" s="232">
        <f>+'[4]4.SZ.TÁBL. ÓVODA'!$E95</f>
        <v>0</v>
      </c>
      <c r="D95" s="228"/>
      <c r="E95" s="233"/>
      <c r="F95" s="232">
        <f>+'[4]4.SZ.TÁBL. ÓVODA'!$H95</f>
        <v>0</v>
      </c>
      <c r="G95" s="228"/>
      <c r="H95" s="233"/>
      <c r="I95" s="232">
        <f>+'[4]4.SZ.TÁBL. ÓVODA'!$K95</f>
        <v>0</v>
      </c>
      <c r="J95" s="228"/>
      <c r="K95" s="233"/>
      <c r="L95" s="232">
        <f>+'[4]4.SZ.TÁBL. ÓVODA'!$N95</f>
        <v>0</v>
      </c>
      <c r="M95" s="228"/>
      <c r="N95" s="233"/>
      <c r="O95" s="232">
        <f>+'[4]4.SZ.TÁBL. ÓVODA'!$Q95</f>
        <v>768</v>
      </c>
      <c r="P95" s="228"/>
      <c r="Q95" s="233">
        <f t="shared" si="250"/>
        <v>768</v>
      </c>
      <c r="R95" s="232">
        <f t="shared" ref="R95" si="255">+C95+F95+I95+L95+O95</f>
        <v>768</v>
      </c>
      <c r="S95" s="228">
        <f t="shared" ref="S95" si="256">+D95+G95+J95+M95+P95</f>
        <v>0</v>
      </c>
      <c r="T95" s="233">
        <f t="shared" ref="T95" si="257">+E95+H95+K95+N95+Q95</f>
        <v>768</v>
      </c>
    </row>
    <row r="96" spans="1:20" ht="13.5" customHeight="1">
      <c r="A96" s="563" t="s">
        <v>367</v>
      </c>
      <c r="B96" s="564" t="s">
        <v>368</v>
      </c>
      <c r="C96" s="232">
        <f>+'[4]4.SZ.TÁBL. ÓVODA'!$E96</f>
        <v>0</v>
      </c>
      <c r="D96" s="228">
        <f>+D97+D98</f>
        <v>0</v>
      </c>
      <c r="E96" s="233">
        <f t="shared" si="246"/>
        <v>0</v>
      </c>
      <c r="F96" s="232">
        <f>+'[4]4.SZ.TÁBL. ÓVODA'!$H96</f>
        <v>0</v>
      </c>
      <c r="G96" s="228">
        <f>+G97+G98</f>
        <v>0</v>
      </c>
      <c r="H96" s="233">
        <f t="shared" si="247"/>
        <v>0</v>
      </c>
      <c r="I96" s="232">
        <f>+'[4]4.SZ.TÁBL. ÓVODA'!$K96</f>
        <v>0</v>
      </c>
      <c r="J96" s="228">
        <f>+J97+J98</f>
        <v>0</v>
      </c>
      <c r="K96" s="233">
        <f t="shared" si="248"/>
        <v>0</v>
      </c>
      <c r="L96" s="232">
        <f>+'[4]4.SZ.TÁBL. ÓVODA'!$N96</f>
        <v>0</v>
      </c>
      <c r="M96" s="228">
        <f>+M97+M98</f>
        <v>0</v>
      </c>
      <c r="N96" s="233">
        <f t="shared" si="249"/>
        <v>0</v>
      </c>
      <c r="O96" s="232">
        <f>+'[4]4.SZ.TÁBL. ÓVODA'!$Q96</f>
        <v>0</v>
      </c>
      <c r="P96" s="228">
        <f>+P97+P98</f>
        <v>0</v>
      </c>
      <c r="Q96" s="233">
        <f t="shared" si="250"/>
        <v>0</v>
      </c>
      <c r="R96" s="232">
        <f t="shared" si="251"/>
        <v>0</v>
      </c>
      <c r="S96" s="228">
        <f t="shared" si="252"/>
        <v>0</v>
      </c>
      <c r="T96" s="233">
        <f t="shared" si="253"/>
        <v>0</v>
      </c>
    </row>
    <row r="97" spans="1:20" ht="13.5" customHeight="1">
      <c r="A97" s="428"/>
      <c r="B97" s="429" t="s">
        <v>409</v>
      </c>
      <c r="C97" s="232">
        <f>+'[4]4.SZ.TÁBL. ÓVODA'!$E97</f>
        <v>0</v>
      </c>
      <c r="D97" s="207"/>
      <c r="E97" s="208">
        <f t="shared" si="246"/>
        <v>0</v>
      </c>
      <c r="F97" s="232">
        <f>+'[4]4.SZ.TÁBL. ÓVODA'!$H97</f>
        <v>0</v>
      </c>
      <c r="G97" s="207"/>
      <c r="H97" s="208">
        <f t="shared" si="247"/>
        <v>0</v>
      </c>
      <c r="I97" s="232">
        <f>+'[4]4.SZ.TÁBL. ÓVODA'!$K97</f>
        <v>0</v>
      </c>
      <c r="J97" s="207"/>
      <c r="K97" s="208">
        <f t="shared" si="248"/>
        <v>0</v>
      </c>
      <c r="L97" s="232">
        <f>+'[4]4.SZ.TÁBL. ÓVODA'!$N97</f>
        <v>0</v>
      </c>
      <c r="M97" s="207"/>
      <c r="N97" s="208">
        <f t="shared" si="249"/>
        <v>0</v>
      </c>
      <c r="O97" s="232">
        <f>+'[4]4.SZ.TÁBL. ÓVODA'!$Q97</f>
        <v>0</v>
      </c>
      <c r="P97" s="207"/>
      <c r="Q97" s="208">
        <f t="shared" si="250"/>
        <v>0</v>
      </c>
      <c r="R97" s="232">
        <f t="shared" si="251"/>
        <v>0</v>
      </c>
      <c r="S97" s="207">
        <f t="shared" si="252"/>
        <v>0</v>
      </c>
      <c r="T97" s="208">
        <f t="shared" si="253"/>
        <v>0</v>
      </c>
    </row>
    <row r="98" spans="1:20" ht="13.5" customHeight="1">
      <c r="A98" s="312"/>
      <c r="B98" s="429" t="s">
        <v>410</v>
      </c>
      <c r="C98" s="232">
        <f>+'[4]4.SZ.TÁBL. ÓVODA'!$E98</f>
        <v>0</v>
      </c>
      <c r="D98" s="265"/>
      <c r="E98" s="266">
        <f t="shared" si="246"/>
        <v>0</v>
      </c>
      <c r="F98" s="232">
        <f>+'[4]4.SZ.TÁBL. ÓVODA'!$H98</f>
        <v>0</v>
      </c>
      <c r="G98" s="265"/>
      <c r="H98" s="266">
        <f t="shared" si="247"/>
        <v>0</v>
      </c>
      <c r="I98" s="232">
        <f>+'[4]4.SZ.TÁBL. ÓVODA'!$K98</f>
        <v>0</v>
      </c>
      <c r="J98" s="265"/>
      <c r="K98" s="266">
        <f t="shared" si="248"/>
        <v>0</v>
      </c>
      <c r="L98" s="232">
        <f>+'[4]4.SZ.TÁBL. ÓVODA'!$N98</f>
        <v>0</v>
      </c>
      <c r="M98" s="265"/>
      <c r="N98" s="266">
        <f t="shared" si="249"/>
        <v>0</v>
      </c>
      <c r="O98" s="232">
        <f>+'[4]4.SZ.TÁBL. ÓVODA'!$Q98</f>
        <v>0</v>
      </c>
      <c r="P98" s="265"/>
      <c r="Q98" s="266">
        <f t="shared" si="250"/>
        <v>0</v>
      </c>
      <c r="R98" s="232">
        <f t="shared" si="251"/>
        <v>0</v>
      </c>
      <c r="S98" s="265">
        <f t="shared" si="252"/>
        <v>0</v>
      </c>
      <c r="T98" s="266">
        <f t="shared" si="253"/>
        <v>0</v>
      </c>
    </row>
    <row r="99" spans="1:20" s="317" customFormat="1" ht="13.5" customHeight="1">
      <c r="A99" s="202" t="s">
        <v>225</v>
      </c>
      <c r="B99" s="257" t="s">
        <v>183</v>
      </c>
      <c r="C99" s="288">
        <f t="shared" ref="C99:T99" si="258">+C93+C96+C92</f>
        <v>282</v>
      </c>
      <c r="D99" s="292">
        <f t="shared" si="258"/>
        <v>0</v>
      </c>
      <c r="E99" s="293">
        <f t="shared" si="258"/>
        <v>282</v>
      </c>
      <c r="F99" s="288">
        <f t="shared" ref="F99" si="259">+F93+F96+F92</f>
        <v>735</v>
      </c>
      <c r="G99" s="292">
        <f t="shared" si="258"/>
        <v>0</v>
      </c>
      <c r="H99" s="293">
        <f t="shared" si="258"/>
        <v>735</v>
      </c>
      <c r="I99" s="288">
        <f t="shared" si="258"/>
        <v>2846</v>
      </c>
      <c r="J99" s="292">
        <f t="shared" si="258"/>
        <v>662</v>
      </c>
      <c r="K99" s="293">
        <f t="shared" si="258"/>
        <v>3508</v>
      </c>
      <c r="L99" s="288">
        <f t="shared" ref="L99" si="260">+L93+L96+L92</f>
        <v>8587</v>
      </c>
      <c r="M99" s="292">
        <f t="shared" si="258"/>
        <v>0</v>
      </c>
      <c r="N99" s="293">
        <f t="shared" si="258"/>
        <v>8587</v>
      </c>
      <c r="O99" s="288">
        <f t="shared" si="258"/>
        <v>768</v>
      </c>
      <c r="P99" s="292">
        <f t="shared" si="258"/>
        <v>0</v>
      </c>
      <c r="Q99" s="293">
        <f t="shared" si="258"/>
        <v>768</v>
      </c>
      <c r="R99" s="288">
        <f t="shared" si="258"/>
        <v>13218</v>
      </c>
      <c r="S99" s="292">
        <f t="shared" si="258"/>
        <v>662</v>
      </c>
      <c r="T99" s="293">
        <f t="shared" si="258"/>
        <v>13880</v>
      </c>
    </row>
    <row r="100" spans="1:20" ht="13.5" customHeight="1">
      <c r="A100" s="199" t="s">
        <v>297</v>
      </c>
      <c r="B100" s="254" t="s">
        <v>298</v>
      </c>
      <c r="C100" s="232">
        <f>+'[4]4.SZ.TÁBL. ÓVODA'!$E100</f>
        <v>0</v>
      </c>
      <c r="D100" s="218"/>
      <c r="E100" s="223">
        <f t="shared" ref="E100:E106" si="261">+C100+D100</f>
        <v>0</v>
      </c>
      <c r="F100" s="232">
        <f>+'[4]4.SZ.TÁBL. ÓVODA'!$H100</f>
        <v>0</v>
      </c>
      <c r="G100" s="218"/>
      <c r="H100" s="223">
        <f t="shared" ref="H100:H106" si="262">+F100+G100</f>
        <v>0</v>
      </c>
      <c r="I100" s="232">
        <f>+'[4]4.SZ.TÁBL. ÓVODA'!$K100</f>
        <v>0</v>
      </c>
      <c r="J100" s="218"/>
      <c r="K100" s="223">
        <f t="shared" ref="K100:K106" si="263">+I100+J100</f>
        <v>0</v>
      </c>
      <c r="L100" s="232">
        <f>+'[4]4.SZ.TÁBL. ÓVODA'!$N100</f>
        <v>0</v>
      </c>
      <c r="M100" s="218"/>
      <c r="N100" s="223">
        <f t="shared" ref="N100:N106" si="264">+L100+M100</f>
        <v>0</v>
      </c>
      <c r="O100" s="232">
        <f>+'[4]4.SZ.TÁBL. ÓVODA'!$Q100</f>
        <v>0</v>
      </c>
      <c r="P100" s="218"/>
      <c r="Q100" s="223">
        <f t="shared" ref="Q100:Q106" si="265">+O100+P100</f>
        <v>0</v>
      </c>
      <c r="R100" s="222">
        <f t="shared" ref="R100:R106" si="266">+C100+F100+I100+L100+O100</f>
        <v>0</v>
      </c>
      <c r="S100" s="218">
        <f t="shared" ref="S100:S106" si="267">+D100+G100+J100+M100+P100</f>
        <v>0</v>
      </c>
      <c r="T100" s="223">
        <f t="shared" ref="T100:T106" si="268">+E100+H100+K100+N100+Q100</f>
        <v>0</v>
      </c>
    </row>
    <row r="101" spans="1:20" ht="13.5" customHeight="1">
      <c r="A101" s="200" t="s">
        <v>299</v>
      </c>
      <c r="B101" s="255" t="s">
        <v>300</v>
      </c>
      <c r="C101" s="232">
        <f>+'[4]4.SZ.TÁBL. ÓVODA'!$E101</f>
        <v>0</v>
      </c>
      <c r="D101" s="207"/>
      <c r="E101" s="208">
        <f t="shared" si="261"/>
        <v>0</v>
      </c>
      <c r="F101" s="232">
        <f>+'[4]4.SZ.TÁBL. ÓVODA'!$H101</f>
        <v>0</v>
      </c>
      <c r="G101" s="207"/>
      <c r="H101" s="208">
        <f t="shared" si="262"/>
        <v>0</v>
      </c>
      <c r="I101" s="232">
        <f>+'[4]4.SZ.TÁBL. ÓVODA'!$K101</f>
        <v>0</v>
      </c>
      <c r="J101" s="207"/>
      <c r="K101" s="208">
        <f t="shared" si="263"/>
        <v>0</v>
      </c>
      <c r="L101" s="232">
        <f>+'[4]4.SZ.TÁBL. ÓVODA'!$N101</f>
        <v>0</v>
      </c>
      <c r="M101" s="207"/>
      <c r="N101" s="208">
        <f t="shared" si="264"/>
        <v>0</v>
      </c>
      <c r="O101" s="232">
        <f>+'[4]4.SZ.TÁBL. ÓVODA'!$Q101</f>
        <v>0</v>
      </c>
      <c r="P101" s="207"/>
      <c r="Q101" s="208">
        <f t="shared" si="265"/>
        <v>0</v>
      </c>
      <c r="R101" s="215">
        <f t="shared" si="266"/>
        <v>0</v>
      </c>
      <c r="S101" s="207">
        <f t="shared" si="267"/>
        <v>0</v>
      </c>
      <c r="T101" s="208">
        <f t="shared" si="268"/>
        <v>0</v>
      </c>
    </row>
    <row r="102" spans="1:20" ht="13.5" customHeight="1">
      <c r="A102" s="200" t="s">
        <v>301</v>
      </c>
      <c r="B102" s="255" t="s">
        <v>302</v>
      </c>
      <c r="C102" s="232">
        <f>+'[4]4.SZ.TÁBL. ÓVODA'!$E102</f>
        <v>0</v>
      </c>
      <c r="D102" s="207"/>
      <c r="E102" s="208">
        <f t="shared" si="261"/>
        <v>0</v>
      </c>
      <c r="F102" s="232">
        <f>+'[4]4.SZ.TÁBL. ÓVODA'!$H102</f>
        <v>300</v>
      </c>
      <c r="G102" s="207">
        <f>+[5]BOVI!$Q$19</f>
        <v>-150</v>
      </c>
      <c r="H102" s="208">
        <f t="shared" si="262"/>
        <v>150</v>
      </c>
      <c r="I102" s="232">
        <f>+'[4]4.SZ.TÁBL. ÓVODA'!$K102</f>
        <v>0</v>
      </c>
      <c r="J102" s="207"/>
      <c r="K102" s="208">
        <f t="shared" si="263"/>
        <v>0</v>
      </c>
      <c r="L102" s="232">
        <f>+'[4]4.SZ.TÁBL. ÓVODA'!$N102</f>
        <v>0</v>
      </c>
      <c r="M102" s="207"/>
      <c r="N102" s="208">
        <f t="shared" si="264"/>
        <v>0</v>
      </c>
      <c r="O102" s="232">
        <f>+'[4]4.SZ.TÁBL. ÓVODA'!$Q102</f>
        <v>250</v>
      </c>
      <c r="P102" s="207">
        <f>+[5]KIK!$Q$13</f>
        <v>-24</v>
      </c>
      <c r="Q102" s="208">
        <f t="shared" si="265"/>
        <v>226</v>
      </c>
      <c r="R102" s="215">
        <f t="shared" si="266"/>
        <v>550</v>
      </c>
      <c r="S102" s="207">
        <f t="shared" si="267"/>
        <v>-174</v>
      </c>
      <c r="T102" s="208">
        <f t="shared" si="268"/>
        <v>376</v>
      </c>
    </row>
    <row r="103" spans="1:20" ht="13.5" customHeight="1">
      <c r="A103" s="200" t="s">
        <v>303</v>
      </c>
      <c r="B103" s="255" t="s">
        <v>304</v>
      </c>
      <c r="C103" s="232">
        <f>+'[4]4.SZ.TÁBL. ÓVODA'!$E103</f>
        <v>724</v>
      </c>
      <c r="D103" s="207"/>
      <c r="E103" s="208">
        <f t="shared" si="261"/>
        <v>724</v>
      </c>
      <c r="F103" s="232">
        <f>+'[4]4.SZ.TÁBL. ÓVODA'!$H103</f>
        <v>312</v>
      </c>
      <c r="G103" s="207">
        <f>+[5]BOVI!$Q$20</f>
        <v>209</v>
      </c>
      <c r="H103" s="208">
        <f t="shared" si="262"/>
        <v>521</v>
      </c>
      <c r="I103" s="232">
        <f>+'[4]4.SZ.TÁBL. ÓVODA'!$K103</f>
        <v>0</v>
      </c>
      <c r="J103" s="207"/>
      <c r="K103" s="208">
        <f t="shared" si="263"/>
        <v>0</v>
      </c>
      <c r="L103" s="232">
        <f>+'[4]4.SZ.TÁBL. ÓVODA'!$N103</f>
        <v>0</v>
      </c>
      <c r="M103" s="207"/>
      <c r="N103" s="208">
        <f t="shared" si="264"/>
        <v>0</v>
      </c>
      <c r="O103" s="232">
        <f>+'[4]4.SZ.TÁBL. ÓVODA'!$Q103</f>
        <v>50</v>
      </c>
      <c r="P103" s="207">
        <f>+[5]KIK!$Q$14</f>
        <v>24</v>
      </c>
      <c r="Q103" s="208">
        <f t="shared" si="265"/>
        <v>74</v>
      </c>
      <c r="R103" s="215">
        <f t="shared" si="266"/>
        <v>1086</v>
      </c>
      <c r="S103" s="207">
        <f t="shared" si="267"/>
        <v>233</v>
      </c>
      <c r="T103" s="208">
        <f t="shared" si="268"/>
        <v>1319</v>
      </c>
    </row>
    <row r="104" spans="1:20" ht="13.5" customHeight="1">
      <c r="A104" s="200" t="s">
        <v>305</v>
      </c>
      <c r="B104" s="255" t="s">
        <v>306</v>
      </c>
      <c r="C104" s="232">
        <f>+'[4]4.SZ.TÁBL. ÓVODA'!$E104</f>
        <v>0</v>
      </c>
      <c r="D104" s="207"/>
      <c r="E104" s="208">
        <f t="shared" si="261"/>
        <v>0</v>
      </c>
      <c r="F104" s="232">
        <f>+'[4]4.SZ.TÁBL. ÓVODA'!$H104</f>
        <v>0</v>
      </c>
      <c r="G104" s="207"/>
      <c r="H104" s="208">
        <f t="shared" si="262"/>
        <v>0</v>
      </c>
      <c r="I104" s="232">
        <f>+'[4]4.SZ.TÁBL. ÓVODA'!$K104</f>
        <v>0</v>
      </c>
      <c r="J104" s="207"/>
      <c r="K104" s="208">
        <f t="shared" si="263"/>
        <v>0</v>
      </c>
      <c r="L104" s="232">
        <f>+'[4]4.SZ.TÁBL. ÓVODA'!$N104</f>
        <v>0</v>
      </c>
      <c r="M104" s="207"/>
      <c r="N104" s="208">
        <f t="shared" si="264"/>
        <v>0</v>
      </c>
      <c r="O104" s="232">
        <f>+'[4]4.SZ.TÁBL. ÓVODA'!$Q104</f>
        <v>0</v>
      </c>
      <c r="P104" s="207"/>
      <c r="Q104" s="208">
        <f t="shared" si="265"/>
        <v>0</v>
      </c>
      <c r="R104" s="215">
        <f t="shared" si="266"/>
        <v>0</v>
      </c>
      <c r="S104" s="207">
        <f t="shared" si="267"/>
        <v>0</v>
      </c>
      <c r="T104" s="208">
        <f t="shared" si="268"/>
        <v>0</v>
      </c>
    </row>
    <row r="105" spans="1:20" ht="13.5" customHeight="1">
      <c r="A105" s="200" t="s">
        <v>307</v>
      </c>
      <c r="B105" s="255" t="s">
        <v>308</v>
      </c>
      <c r="C105" s="232">
        <f>+'[4]4.SZ.TÁBL. ÓVODA'!$E105</f>
        <v>0</v>
      </c>
      <c r="D105" s="207"/>
      <c r="E105" s="208">
        <f t="shared" si="261"/>
        <v>0</v>
      </c>
      <c r="F105" s="232">
        <f>+'[4]4.SZ.TÁBL. ÓVODA'!$H105</f>
        <v>0</v>
      </c>
      <c r="G105" s="207"/>
      <c r="H105" s="208">
        <f t="shared" si="262"/>
        <v>0</v>
      </c>
      <c r="I105" s="232">
        <f>+'[4]4.SZ.TÁBL. ÓVODA'!$K105</f>
        <v>0</v>
      </c>
      <c r="J105" s="207"/>
      <c r="K105" s="208">
        <f t="shared" si="263"/>
        <v>0</v>
      </c>
      <c r="L105" s="232">
        <f>+'[4]4.SZ.TÁBL. ÓVODA'!$N105</f>
        <v>0</v>
      </c>
      <c r="M105" s="207"/>
      <c r="N105" s="208">
        <f t="shared" si="264"/>
        <v>0</v>
      </c>
      <c r="O105" s="232">
        <f>+'[4]4.SZ.TÁBL. ÓVODA'!$Q105</f>
        <v>0</v>
      </c>
      <c r="P105" s="207"/>
      <c r="Q105" s="208">
        <f t="shared" si="265"/>
        <v>0</v>
      </c>
      <c r="R105" s="215">
        <f t="shared" si="266"/>
        <v>0</v>
      </c>
      <c r="S105" s="207">
        <f t="shared" si="267"/>
        <v>0</v>
      </c>
      <c r="T105" s="208">
        <f t="shared" si="268"/>
        <v>0</v>
      </c>
    </row>
    <row r="106" spans="1:20" ht="13.5" customHeight="1">
      <c r="A106" s="201" t="s">
        <v>309</v>
      </c>
      <c r="B106" s="256" t="s">
        <v>310</v>
      </c>
      <c r="C106" s="232">
        <f>+'[4]4.SZ.TÁBL. ÓVODA'!$E106</f>
        <v>195</v>
      </c>
      <c r="D106" s="228"/>
      <c r="E106" s="233">
        <f t="shared" si="261"/>
        <v>195</v>
      </c>
      <c r="F106" s="232">
        <f>+'[4]4.SZ.TÁBL. ÓVODA'!$H106</f>
        <v>165</v>
      </c>
      <c r="G106" s="228">
        <f>+[5]BOVI!$Q$22</f>
        <v>10</v>
      </c>
      <c r="H106" s="233">
        <f t="shared" si="262"/>
        <v>175</v>
      </c>
      <c r="I106" s="232">
        <f>+'[4]4.SZ.TÁBL. ÓVODA'!$K106</f>
        <v>0</v>
      </c>
      <c r="J106" s="228"/>
      <c r="K106" s="233">
        <f t="shared" si="263"/>
        <v>0</v>
      </c>
      <c r="L106" s="232">
        <f>+'[4]4.SZ.TÁBL. ÓVODA'!$N106</f>
        <v>0</v>
      </c>
      <c r="M106" s="228"/>
      <c r="N106" s="233">
        <f t="shared" si="264"/>
        <v>0</v>
      </c>
      <c r="O106" s="232">
        <f>+'[4]4.SZ.TÁBL. ÓVODA'!$Q106</f>
        <v>82</v>
      </c>
      <c r="P106" s="228"/>
      <c r="Q106" s="233">
        <f t="shared" si="265"/>
        <v>82</v>
      </c>
      <c r="R106" s="232">
        <f t="shared" si="266"/>
        <v>442</v>
      </c>
      <c r="S106" s="228">
        <f t="shared" si="267"/>
        <v>10</v>
      </c>
      <c r="T106" s="233">
        <f t="shared" si="268"/>
        <v>452</v>
      </c>
    </row>
    <row r="107" spans="1:20" s="317" customFormat="1" ht="13.5" customHeight="1">
      <c r="A107" s="202" t="s">
        <v>226</v>
      </c>
      <c r="B107" s="257" t="s">
        <v>139</v>
      </c>
      <c r="C107" s="288">
        <f>SUM(C100:C106)</f>
        <v>919</v>
      </c>
      <c r="D107" s="292">
        <f t="shared" ref="D107:E107" si="269">SUM(D100:D106)</f>
        <v>0</v>
      </c>
      <c r="E107" s="293">
        <f t="shared" si="269"/>
        <v>919</v>
      </c>
      <c r="F107" s="288">
        <f>SUM(F100:F106)</f>
        <v>777</v>
      </c>
      <c r="G107" s="292">
        <f t="shared" ref="G107" si="270">SUM(G100:G106)</f>
        <v>69</v>
      </c>
      <c r="H107" s="293">
        <f t="shared" ref="H107" si="271">SUM(H100:H106)</f>
        <v>846</v>
      </c>
      <c r="I107" s="288">
        <f>SUM(I100:I106)</f>
        <v>0</v>
      </c>
      <c r="J107" s="292">
        <f t="shared" ref="J107" si="272">SUM(J100:J106)</f>
        <v>0</v>
      </c>
      <c r="K107" s="293">
        <f t="shared" ref="K107" si="273">SUM(K100:K106)</f>
        <v>0</v>
      </c>
      <c r="L107" s="288">
        <f>SUM(L100:L106)</f>
        <v>0</v>
      </c>
      <c r="M107" s="292">
        <f t="shared" ref="M107" si="274">SUM(M100:M106)</f>
        <v>0</v>
      </c>
      <c r="N107" s="293">
        <f t="shared" ref="N107" si="275">SUM(N100:N106)</f>
        <v>0</v>
      </c>
      <c r="O107" s="288">
        <f>SUM(O100:O106)</f>
        <v>382</v>
      </c>
      <c r="P107" s="292">
        <f t="shared" ref="P107" si="276">SUM(P100:P106)</f>
        <v>0</v>
      </c>
      <c r="Q107" s="293">
        <f t="shared" ref="Q107" si="277">SUM(Q100:Q106)</f>
        <v>382</v>
      </c>
      <c r="R107" s="288">
        <f>SUM(R100:R106)</f>
        <v>2078</v>
      </c>
      <c r="S107" s="292">
        <f t="shared" ref="S107:T107" si="278">SUM(S100:S106)</f>
        <v>69</v>
      </c>
      <c r="T107" s="293">
        <f t="shared" si="278"/>
        <v>2147</v>
      </c>
    </row>
    <row r="108" spans="1:20" ht="13.5" customHeight="1">
      <c r="A108" s="199" t="s">
        <v>311</v>
      </c>
      <c r="B108" s="254" t="s">
        <v>312</v>
      </c>
      <c r="C108" s="232">
        <f>+'[4]4.SZ.TÁBL. ÓVODA'!$E108</f>
        <v>597</v>
      </c>
      <c r="D108" s="218"/>
      <c r="E108" s="223">
        <f t="shared" ref="E108:E111" si="279">+C108+D108</f>
        <v>597</v>
      </c>
      <c r="F108" s="232">
        <f>+'[4]4.SZ.TÁBL. ÓVODA'!$H108</f>
        <v>545</v>
      </c>
      <c r="G108" s="218"/>
      <c r="H108" s="223">
        <f t="shared" ref="H108:H111" si="280">+F108+G108</f>
        <v>545</v>
      </c>
      <c r="I108" s="232">
        <f>+'[4]4.SZ.TÁBL. ÓVODA'!$K108</f>
        <v>0</v>
      </c>
      <c r="J108" s="218"/>
      <c r="K108" s="223">
        <f t="shared" ref="K108:K111" si="281">+I108+J108</f>
        <v>0</v>
      </c>
      <c r="L108" s="232">
        <f>+'[4]4.SZ.TÁBL. ÓVODA'!$N108</f>
        <v>0</v>
      </c>
      <c r="M108" s="218"/>
      <c r="N108" s="223">
        <f t="shared" ref="N108:N111" si="282">+L108+M108</f>
        <v>0</v>
      </c>
      <c r="O108" s="232">
        <f>+'[4]4.SZ.TÁBL. ÓVODA'!$Q108</f>
        <v>0</v>
      </c>
      <c r="P108" s="218"/>
      <c r="Q108" s="223">
        <f t="shared" ref="Q108:Q111" si="283">+O108+P108</f>
        <v>0</v>
      </c>
      <c r="R108" s="222">
        <f t="shared" ref="R108:R111" si="284">+C108+F108+I108+L108+O108</f>
        <v>1142</v>
      </c>
      <c r="S108" s="218">
        <f t="shared" ref="S108:S111" si="285">+D108+G108+J108+M108+P108</f>
        <v>0</v>
      </c>
      <c r="T108" s="223">
        <f t="shared" ref="T108:T111" si="286">+E108+H108+K108+N108+Q108</f>
        <v>1142</v>
      </c>
    </row>
    <row r="109" spans="1:20" ht="13.5" customHeight="1">
      <c r="A109" s="200" t="s">
        <v>313</v>
      </c>
      <c r="B109" s="255" t="s">
        <v>314</v>
      </c>
      <c r="C109" s="232">
        <f>+'[4]4.SZ.TÁBL. ÓVODA'!$E109</f>
        <v>0</v>
      </c>
      <c r="D109" s="207"/>
      <c r="E109" s="208">
        <f t="shared" si="279"/>
        <v>0</v>
      </c>
      <c r="F109" s="232">
        <f>+'[4]4.SZ.TÁBL. ÓVODA'!$H109</f>
        <v>0</v>
      </c>
      <c r="G109" s="207"/>
      <c r="H109" s="208">
        <f t="shared" si="280"/>
        <v>0</v>
      </c>
      <c r="I109" s="232">
        <f>+'[4]4.SZ.TÁBL. ÓVODA'!$K109</f>
        <v>0</v>
      </c>
      <c r="J109" s="207"/>
      <c r="K109" s="208">
        <f t="shared" si="281"/>
        <v>0</v>
      </c>
      <c r="L109" s="232">
        <f>+'[4]4.SZ.TÁBL. ÓVODA'!$N109</f>
        <v>0</v>
      </c>
      <c r="M109" s="207"/>
      <c r="N109" s="208">
        <f t="shared" si="282"/>
        <v>0</v>
      </c>
      <c r="O109" s="232">
        <f>+'[4]4.SZ.TÁBL. ÓVODA'!$Q109</f>
        <v>0</v>
      </c>
      <c r="P109" s="207"/>
      <c r="Q109" s="208">
        <f t="shared" si="283"/>
        <v>0</v>
      </c>
      <c r="R109" s="215">
        <f t="shared" si="284"/>
        <v>0</v>
      </c>
      <c r="S109" s="207">
        <f t="shared" si="285"/>
        <v>0</v>
      </c>
      <c r="T109" s="208">
        <f t="shared" si="286"/>
        <v>0</v>
      </c>
    </row>
    <row r="110" spans="1:20" ht="13.5" customHeight="1">
      <c r="A110" s="200" t="s">
        <v>315</v>
      </c>
      <c r="B110" s="255" t="s">
        <v>316</v>
      </c>
      <c r="C110" s="232">
        <f>+'[4]4.SZ.TÁBL. ÓVODA'!$E110</f>
        <v>0</v>
      </c>
      <c r="D110" s="207"/>
      <c r="E110" s="208">
        <f t="shared" si="279"/>
        <v>0</v>
      </c>
      <c r="F110" s="232">
        <f>+'[4]4.SZ.TÁBL. ÓVODA'!$H110</f>
        <v>0</v>
      </c>
      <c r="G110" s="207"/>
      <c r="H110" s="208">
        <f t="shared" si="280"/>
        <v>0</v>
      </c>
      <c r="I110" s="232">
        <f>+'[4]4.SZ.TÁBL. ÓVODA'!$K110</f>
        <v>0</v>
      </c>
      <c r="J110" s="207"/>
      <c r="K110" s="208">
        <f t="shared" si="281"/>
        <v>0</v>
      </c>
      <c r="L110" s="232">
        <f>+'[4]4.SZ.TÁBL. ÓVODA'!$N110</f>
        <v>0</v>
      </c>
      <c r="M110" s="207"/>
      <c r="N110" s="208">
        <f t="shared" si="282"/>
        <v>0</v>
      </c>
      <c r="O110" s="232">
        <f>+'[4]4.SZ.TÁBL. ÓVODA'!$Q110</f>
        <v>0</v>
      </c>
      <c r="P110" s="207"/>
      <c r="Q110" s="208">
        <f t="shared" si="283"/>
        <v>0</v>
      </c>
      <c r="R110" s="215">
        <f t="shared" si="284"/>
        <v>0</v>
      </c>
      <c r="S110" s="207">
        <f t="shared" si="285"/>
        <v>0</v>
      </c>
      <c r="T110" s="208">
        <f t="shared" si="286"/>
        <v>0</v>
      </c>
    </row>
    <row r="111" spans="1:20" ht="13.5" customHeight="1">
      <c r="A111" s="201" t="s">
        <v>317</v>
      </c>
      <c r="B111" s="256" t="s">
        <v>318</v>
      </c>
      <c r="C111" s="232">
        <f>+'[4]4.SZ.TÁBL. ÓVODA'!$E111</f>
        <v>161</v>
      </c>
      <c r="D111" s="228"/>
      <c r="E111" s="233">
        <f t="shared" si="279"/>
        <v>161</v>
      </c>
      <c r="F111" s="232">
        <f>+'[4]4.SZ.TÁBL. ÓVODA'!$H111</f>
        <v>147</v>
      </c>
      <c r="G111" s="228"/>
      <c r="H111" s="233">
        <f t="shared" si="280"/>
        <v>147</v>
      </c>
      <c r="I111" s="232">
        <f>+'[4]4.SZ.TÁBL. ÓVODA'!$K111</f>
        <v>0</v>
      </c>
      <c r="J111" s="228"/>
      <c r="K111" s="233">
        <f t="shared" si="281"/>
        <v>0</v>
      </c>
      <c r="L111" s="232">
        <f>+'[4]4.SZ.TÁBL. ÓVODA'!$N111</f>
        <v>0</v>
      </c>
      <c r="M111" s="228"/>
      <c r="N111" s="233">
        <f t="shared" si="282"/>
        <v>0</v>
      </c>
      <c r="O111" s="232">
        <f>+'[4]4.SZ.TÁBL. ÓVODA'!$Q111</f>
        <v>0</v>
      </c>
      <c r="P111" s="228"/>
      <c r="Q111" s="233">
        <f t="shared" si="283"/>
        <v>0</v>
      </c>
      <c r="R111" s="232">
        <f t="shared" si="284"/>
        <v>308</v>
      </c>
      <c r="S111" s="228">
        <f t="shared" si="285"/>
        <v>0</v>
      </c>
      <c r="T111" s="233">
        <f t="shared" si="286"/>
        <v>308</v>
      </c>
    </row>
    <row r="112" spans="1:20" s="317" customFormat="1" ht="13.5" customHeight="1">
      <c r="A112" s="202" t="s">
        <v>227</v>
      </c>
      <c r="B112" s="257" t="s">
        <v>184</v>
      </c>
      <c r="C112" s="288">
        <f>SUM(C108:C111)</f>
        <v>758</v>
      </c>
      <c r="D112" s="292">
        <f t="shared" ref="D112:E112" si="287">SUM(D108:D111)</f>
        <v>0</v>
      </c>
      <c r="E112" s="293">
        <f t="shared" si="287"/>
        <v>758</v>
      </c>
      <c r="F112" s="288">
        <f>SUM(F108:F111)</f>
        <v>692</v>
      </c>
      <c r="G112" s="292">
        <f t="shared" ref="G112" si="288">SUM(G108:G111)</f>
        <v>0</v>
      </c>
      <c r="H112" s="293">
        <f t="shared" ref="H112" si="289">SUM(H108:H111)</f>
        <v>692</v>
      </c>
      <c r="I112" s="288">
        <f>SUM(I108:I111)</f>
        <v>0</v>
      </c>
      <c r="J112" s="292">
        <f t="shared" ref="J112" si="290">SUM(J108:J111)</f>
        <v>0</v>
      </c>
      <c r="K112" s="293">
        <f t="shared" ref="K112" si="291">SUM(K108:K111)</f>
        <v>0</v>
      </c>
      <c r="L112" s="288">
        <f>SUM(L108:L111)</f>
        <v>0</v>
      </c>
      <c r="M112" s="292">
        <f t="shared" ref="M112" si="292">SUM(M108:M111)</f>
        <v>0</v>
      </c>
      <c r="N112" s="293">
        <f t="shared" ref="N112" si="293">SUM(N108:N111)</f>
        <v>0</v>
      </c>
      <c r="O112" s="288">
        <f>SUM(O108:O111)</f>
        <v>0</v>
      </c>
      <c r="P112" s="292">
        <f t="shared" ref="P112" si="294">SUM(P108:P111)</f>
        <v>0</v>
      </c>
      <c r="Q112" s="293">
        <f t="shared" ref="Q112" si="295">SUM(Q108:Q111)</f>
        <v>0</v>
      </c>
      <c r="R112" s="288">
        <f>SUM(R108:R111)</f>
        <v>1450</v>
      </c>
      <c r="S112" s="292">
        <f t="shared" ref="S112:T112" si="296">SUM(S108:S111)</f>
        <v>0</v>
      </c>
      <c r="T112" s="293">
        <f t="shared" si="296"/>
        <v>1450</v>
      </c>
    </row>
    <row r="113" spans="1:20" s="317" customFormat="1" ht="13.5" customHeight="1">
      <c r="A113" s="202" t="s">
        <v>228</v>
      </c>
      <c r="B113" s="257" t="s">
        <v>185</v>
      </c>
      <c r="C113" s="232">
        <f>+'[4]4.SZ.TÁBL. ÓVODA'!$E113</f>
        <v>0</v>
      </c>
      <c r="D113" s="292"/>
      <c r="E113" s="293"/>
      <c r="F113" s="232">
        <f>+'[4]4.SZ.TÁBL. ÓVODA'!$H113</f>
        <v>1000</v>
      </c>
      <c r="G113" s="292"/>
      <c r="H113" s="293">
        <f>+F113+G113</f>
        <v>1000</v>
      </c>
      <c r="I113" s="232">
        <f>+'[4]4.SZ.TÁBL. ÓVODA'!$K113</f>
        <v>0</v>
      </c>
      <c r="J113" s="292"/>
      <c r="K113" s="293"/>
      <c r="L113" s="232">
        <f>+'[4]4.SZ.TÁBL. ÓVODA'!$N113</f>
        <v>0</v>
      </c>
      <c r="M113" s="292"/>
      <c r="N113" s="293"/>
      <c r="O113" s="232">
        <f>+'[4]4.SZ.TÁBL. ÓVODA'!$Q113</f>
        <v>1500</v>
      </c>
      <c r="P113" s="292"/>
      <c r="Q113" s="293">
        <f>+O113+P113</f>
        <v>1500</v>
      </c>
      <c r="R113" s="235">
        <f t="shared" ref="R113" si="297">+C113+F113+I113+L113+O113</f>
        <v>2500</v>
      </c>
      <c r="S113" s="595">
        <f t="shared" ref="S113" si="298">+D113+G113+J113+M113+P113</f>
        <v>0</v>
      </c>
      <c r="T113" s="596">
        <f t="shared" ref="T113" si="299">+E113+H113+K113+N113+Q113</f>
        <v>2500</v>
      </c>
    </row>
    <row r="114" spans="1:20" s="317" customFormat="1" ht="13.5" customHeight="1">
      <c r="A114" s="206" t="s">
        <v>229</v>
      </c>
      <c r="B114" s="257" t="s">
        <v>186</v>
      </c>
      <c r="C114" s="288">
        <f>+C58+C59+C91+C99+C107+C112+C113</f>
        <v>31449</v>
      </c>
      <c r="D114" s="292">
        <f t="shared" ref="D114:E114" si="300">+D58+D59+D91+D99+D107+D112+D113</f>
        <v>92</v>
      </c>
      <c r="E114" s="293">
        <f t="shared" si="300"/>
        <v>31541</v>
      </c>
      <c r="F114" s="288">
        <f>+F58+F59+F91+F99+F107+F112+F113</f>
        <v>50382</v>
      </c>
      <c r="G114" s="292">
        <f t="shared" ref="G114" si="301">+G58+G59+G91+G99+G107+G112+G113</f>
        <v>50</v>
      </c>
      <c r="H114" s="293">
        <f t="shared" ref="H114" si="302">+H58+H59+H91+H99+H107+H112+H113</f>
        <v>50432</v>
      </c>
      <c r="I114" s="288">
        <f>+I58+I59+I91+I99+I107+I112+I113</f>
        <v>25261</v>
      </c>
      <c r="J114" s="292">
        <f t="shared" ref="J114" si="303">+J58+J59+J91+J99+J107+J112+J113</f>
        <v>717</v>
      </c>
      <c r="K114" s="293">
        <f t="shared" ref="K114" si="304">+K58+K59+K91+K99+K107+K112+K113</f>
        <v>25978</v>
      </c>
      <c r="L114" s="288">
        <f>+L58+L59+L91+L99+L107+L112+L113</f>
        <v>44197</v>
      </c>
      <c r="M114" s="292">
        <f t="shared" ref="M114" si="305">+M58+M59+M91+M99+M107+M112+M113</f>
        <v>88</v>
      </c>
      <c r="N114" s="293">
        <f t="shared" ref="N114" si="306">+N58+N59+N91+N99+N107+N112+N113</f>
        <v>44285</v>
      </c>
      <c r="O114" s="288">
        <f>+O58+O59+O91+O99+O107+O112+O113</f>
        <v>12367</v>
      </c>
      <c r="P114" s="292">
        <f t="shared" ref="P114" si="307">+P58+P59+P91+P99+P107+P112+P113</f>
        <v>19</v>
      </c>
      <c r="Q114" s="293">
        <f t="shared" ref="Q114" si="308">+Q58+Q59+Q91+Q99+Q107+Q112+Q113</f>
        <v>12386</v>
      </c>
      <c r="R114" s="288">
        <f>+R58+R59+R91+R99+R107+R112+R113</f>
        <v>163656</v>
      </c>
      <c r="S114" s="292">
        <f t="shared" ref="S114:T114" si="309">+S58+S59+S91+S99+S107+S112+S113</f>
        <v>966</v>
      </c>
      <c r="T114" s="293">
        <f t="shared" si="309"/>
        <v>164622</v>
      </c>
    </row>
    <row r="115" spans="1:20" s="317" customFormat="1" ht="13.5" customHeight="1" thickBot="1">
      <c r="A115" s="252" t="s">
        <v>230</v>
      </c>
      <c r="B115" s="258" t="s">
        <v>187</v>
      </c>
      <c r="C115" s="307"/>
      <c r="D115" s="308"/>
      <c r="E115" s="309"/>
      <c r="F115" s="307"/>
      <c r="G115" s="308"/>
      <c r="H115" s="309"/>
      <c r="I115" s="307"/>
      <c r="J115" s="308"/>
      <c r="K115" s="309"/>
      <c r="L115" s="307"/>
      <c r="M115" s="308"/>
      <c r="N115" s="309"/>
      <c r="O115" s="307"/>
      <c r="P115" s="308"/>
      <c r="Q115" s="309"/>
      <c r="R115" s="243">
        <f t="shared" ref="R115" si="310">+C115+F115+I115+L115+O115</f>
        <v>0</v>
      </c>
      <c r="S115" s="239">
        <f t="shared" ref="S115" si="311">+D115+G115+J115+M115+P115</f>
        <v>0</v>
      </c>
      <c r="T115" s="244">
        <f t="shared" ref="T115" si="312">+E115+H115+K115+N115+Q115</f>
        <v>0</v>
      </c>
    </row>
    <row r="116" spans="1:20" s="317" customFormat="1" ht="13.5" customHeight="1" thickBot="1">
      <c r="A116" s="865" t="s">
        <v>351</v>
      </c>
      <c r="B116" s="866"/>
      <c r="C116" s="300">
        <f>SUM(C114:C115)</f>
        <v>31449</v>
      </c>
      <c r="D116" s="301">
        <f t="shared" ref="D116:E116" si="313">SUM(D114:D115)</f>
        <v>92</v>
      </c>
      <c r="E116" s="302">
        <f t="shared" si="313"/>
        <v>31541</v>
      </c>
      <c r="F116" s="300">
        <f>SUM(F114:F115)</f>
        <v>50382</v>
      </c>
      <c r="G116" s="301">
        <f t="shared" ref="G116" si="314">SUM(G114:G115)</f>
        <v>50</v>
      </c>
      <c r="H116" s="302">
        <f t="shared" ref="H116" si="315">SUM(H114:H115)</f>
        <v>50432</v>
      </c>
      <c r="I116" s="300">
        <f>SUM(I114:I115)</f>
        <v>25261</v>
      </c>
      <c r="J116" s="301">
        <f t="shared" ref="J116" si="316">SUM(J114:J115)</f>
        <v>717</v>
      </c>
      <c r="K116" s="302">
        <f t="shared" ref="K116" si="317">SUM(K114:K115)</f>
        <v>25978</v>
      </c>
      <c r="L116" s="300">
        <f>SUM(L114:L115)</f>
        <v>44197</v>
      </c>
      <c r="M116" s="301">
        <f t="shared" ref="M116" si="318">SUM(M114:M115)</f>
        <v>88</v>
      </c>
      <c r="N116" s="302">
        <f t="shared" ref="N116" si="319">SUM(N114:N115)</f>
        <v>44285</v>
      </c>
      <c r="O116" s="300">
        <f>SUM(O114:O115)</f>
        <v>12367</v>
      </c>
      <c r="P116" s="301">
        <f t="shared" ref="P116" si="320">SUM(P114:P115)</f>
        <v>19</v>
      </c>
      <c r="Q116" s="302">
        <f t="shared" ref="Q116" si="321">SUM(Q114:Q115)</f>
        <v>12386</v>
      </c>
      <c r="R116" s="300">
        <f>SUM(R114:R115)</f>
        <v>163656</v>
      </c>
      <c r="S116" s="301">
        <f t="shared" ref="S116:T116" si="322">SUM(S114:S115)</f>
        <v>966</v>
      </c>
      <c r="T116" s="302">
        <f t="shared" si="322"/>
        <v>164622</v>
      </c>
    </row>
    <row r="117" spans="1:20" ht="13.5" customHeight="1" thickBot="1">
      <c r="J117" s="67"/>
      <c r="K117" s="67"/>
      <c r="M117" s="67"/>
      <c r="N117" s="67"/>
      <c r="R117" s="67"/>
      <c r="S117" s="67"/>
      <c r="T117" s="67"/>
    </row>
    <row r="118" spans="1:20" s="317" customFormat="1" ht="13.5" customHeight="1" thickBot="1">
      <c r="A118" s="863" t="s">
        <v>369</v>
      </c>
      <c r="B118" s="901"/>
      <c r="C118" s="300">
        <f>+C38-C116</f>
        <v>991</v>
      </c>
      <c r="D118" s="301">
        <f t="shared" ref="D118:E118" si="323">+D38-D116</f>
        <v>0</v>
      </c>
      <c r="E118" s="302">
        <f t="shared" si="323"/>
        <v>991</v>
      </c>
      <c r="F118" s="300">
        <f>+F38-F116</f>
        <v>0</v>
      </c>
      <c r="G118" s="301">
        <f t="shared" ref="G118:H118" si="324">+G38-G116</f>
        <v>0</v>
      </c>
      <c r="H118" s="302">
        <f t="shared" si="324"/>
        <v>0</v>
      </c>
      <c r="I118" s="300">
        <f>+I38-I116</f>
        <v>0</v>
      </c>
      <c r="J118" s="301">
        <f t="shared" ref="J118:K118" si="325">+J38-J116</f>
        <v>0</v>
      </c>
      <c r="K118" s="302">
        <f t="shared" si="325"/>
        <v>0</v>
      </c>
      <c r="L118" s="300">
        <f>+L38-L116</f>
        <v>0</v>
      </c>
      <c r="M118" s="301">
        <f t="shared" ref="M118:N118" si="326">+M38-M116</f>
        <v>0</v>
      </c>
      <c r="N118" s="302">
        <f t="shared" si="326"/>
        <v>0</v>
      </c>
      <c r="O118" s="300">
        <f>+O38-O116</f>
        <v>-991</v>
      </c>
      <c r="P118" s="301">
        <f t="shared" ref="P118:Q118" si="327">+P38-P116</f>
        <v>0</v>
      </c>
      <c r="Q118" s="302">
        <f t="shared" si="327"/>
        <v>-991</v>
      </c>
      <c r="R118" s="300">
        <f>+R38-R116</f>
        <v>0</v>
      </c>
      <c r="S118" s="301">
        <f t="shared" ref="S118:T118" si="328">+S38-S116</f>
        <v>0</v>
      </c>
      <c r="T118" s="302">
        <f t="shared" si="328"/>
        <v>0</v>
      </c>
    </row>
    <row r="119" spans="1:20" ht="13.5" customHeight="1"/>
    <row r="120" spans="1:20" ht="13.5" customHeight="1">
      <c r="B120" s="66" t="s">
        <v>363</v>
      </c>
      <c r="C120" s="325">
        <f>(+C91-C90)*0.27</f>
        <v>2019.3300000000002</v>
      </c>
      <c r="F120" s="325">
        <f>(+F91-F90)*0.27</f>
        <v>1682.1000000000001</v>
      </c>
      <c r="I120" s="325">
        <f>(+I91-I90)*0.27</f>
        <v>10.8</v>
      </c>
      <c r="L120" s="325">
        <f>(+L91-L90)*0.27</f>
        <v>64.260000000000005</v>
      </c>
      <c r="O120" s="325">
        <f>(+O91-O90)*0.27</f>
        <v>413.64000000000004</v>
      </c>
    </row>
    <row r="121" spans="1:20" ht="13.5" customHeight="1">
      <c r="B121" s="66" t="s">
        <v>359</v>
      </c>
      <c r="C121" s="67">
        <v>2058</v>
      </c>
      <c r="F121" s="325">
        <v>1510</v>
      </c>
      <c r="I121" s="67">
        <v>11</v>
      </c>
      <c r="L121" s="67">
        <v>11</v>
      </c>
      <c r="O121" s="67">
        <v>446</v>
      </c>
    </row>
    <row r="122" spans="1:20" ht="13.5" customHeight="1">
      <c r="B122" s="66" t="s">
        <v>364</v>
      </c>
      <c r="C122" s="325">
        <f>+SUM(C100:C105)*0.27</f>
        <v>195.48000000000002</v>
      </c>
      <c r="F122" s="325">
        <f>+SUM(F100:F105)*0.27</f>
        <v>165.24</v>
      </c>
      <c r="I122" s="325">
        <f>+SUM(I100:I105)*0.27</f>
        <v>0</v>
      </c>
      <c r="L122" s="325">
        <f>+SUM(L100:L105)*0.27</f>
        <v>0</v>
      </c>
      <c r="O122" s="325">
        <f>+SUM(O100:O105)*0.27</f>
        <v>81</v>
      </c>
    </row>
    <row r="123" spans="1:20" ht="13.5" customHeight="1">
      <c r="B123" s="66" t="s">
        <v>359</v>
      </c>
      <c r="C123" s="67">
        <v>189</v>
      </c>
      <c r="F123" s="67">
        <v>81</v>
      </c>
      <c r="O123" s="67">
        <v>14</v>
      </c>
    </row>
    <row r="125" spans="1:20">
      <c r="B125" s="66" t="s">
        <v>370</v>
      </c>
      <c r="N125" s="67"/>
      <c r="O125" s="67">
        <v>5943</v>
      </c>
      <c r="Q125" s="68" t="s">
        <v>359</v>
      </c>
      <c r="T125" s="9"/>
    </row>
    <row r="126" spans="1:20">
      <c r="B126" s="66" t="s">
        <v>413</v>
      </c>
      <c r="N126" s="67">
        <v>4</v>
      </c>
      <c r="O126" s="434">
        <f>+N126/N130</f>
        <v>0.33333333333333331</v>
      </c>
      <c r="P126" s="328">
        <f>+O125*O126</f>
        <v>1981</v>
      </c>
      <c r="Q126" s="322">
        <v>1981</v>
      </c>
      <c r="T126" s="9"/>
    </row>
    <row r="127" spans="1:20">
      <c r="B127" s="66" t="s">
        <v>414</v>
      </c>
      <c r="N127" s="67">
        <v>2</v>
      </c>
      <c r="O127" s="434">
        <f>+N127/N130</f>
        <v>0.16666666666666666</v>
      </c>
      <c r="P127" s="328">
        <f>+O125*O127</f>
        <v>990.5</v>
      </c>
      <c r="Q127" s="322">
        <v>990</v>
      </c>
      <c r="T127" s="9"/>
    </row>
    <row r="128" spans="1:20">
      <c r="B128" s="66" t="s">
        <v>415</v>
      </c>
      <c r="N128" s="67">
        <v>4</v>
      </c>
      <c r="O128" s="434">
        <f>+N128/N130</f>
        <v>0.33333333333333331</v>
      </c>
      <c r="P128" s="328">
        <f>+O125*O128</f>
        <v>1981</v>
      </c>
      <c r="Q128" s="322">
        <v>1981</v>
      </c>
      <c r="T128" s="9"/>
    </row>
    <row r="129" spans="2:20">
      <c r="B129" s="66" t="s">
        <v>416</v>
      </c>
      <c r="N129" s="67">
        <v>2</v>
      </c>
      <c r="O129" s="434">
        <f>+N129/N130</f>
        <v>0.16666666666666666</v>
      </c>
      <c r="P129" s="328">
        <f>+O125*O129</f>
        <v>990.5</v>
      </c>
      <c r="Q129" s="322">
        <v>991</v>
      </c>
      <c r="T129" s="9"/>
    </row>
    <row r="130" spans="2:20">
      <c r="N130" s="67">
        <f>SUM(N126:N129)</f>
        <v>12</v>
      </c>
      <c r="O130" s="434">
        <f>SUM(O126:O129)</f>
        <v>0.99999999999999989</v>
      </c>
      <c r="P130" s="328">
        <f>SUM(P126:P129)</f>
        <v>5943</v>
      </c>
      <c r="Q130" s="322">
        <f>SUM(Q126:Q129)</f>
        <v>5943</v>
      </c>
      <c r="T130" s="9"/>
    </row>
  </sheetData>
  <mergeCells count="11">
    <mergeCell ref="R1:T1"/>
    <mergeCell ref="L1:N1"/>
    <mergeCell ref="O1:Q1"/>
    <mergeCell ref="A116:B116"/>
    <mergeCell ref="A118:B118"/>
    <mergeCell ref="A38:B38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&amp;R4. sz. táblázat
ÓVODA
Adatok: eFt</oddHeader>
    <oddFooter>&amp;L&amp;F&amp;R&amp;P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R109"/>
  <sheetViews>
    <sheetView topLeftCell="A13" zoomScaleSheetLayoutView="85" workbookViewId="0">
      <pane xSplit="1" topLeftCell="M1" activePane="topRight" state="frozen"/>
      <selection activeCell="A35" sqref="A35"/>
      <selection pane="topRight" activeCell="A35" sqref="A35"/>
    </sheetView>
  </sheetViews>
  <sheetFormatPr defaultColWidth="8.85546875" defaultRowHeight="12.75"/>
  <cols>
    <col min="1" max="1" width="33.42578125" style="19" customWidth="1"/>
    <col min="2" max="4" width="12.85546875" style="18" customWidth="1"/>
    <col min="5" max="5" width="12.85546875" style="20" customWidth="1"/>
    <col min="6" max="6" width="12.85546875" style="19" customWidth="1"/>
    <col min="7" max="7" width="13.42578125" style="19" customWidth="1"/>
    <col min="8" max="10" width="11.5703125" style="19" customWidth="1"/>
    <col min="11" max="11" width="13.85546875" style="19" customWidth="1"/>
    <col min="12" max="15" width="11.5703125" style="19" customWidth="1"/>
    <col min="16" max="16" width="15.7109375" style="19" customWidth="1"/>
    <col min="17" max="17" width="13.5703125" style="19" customWidth="1"/>
    <col min="18" max="18" width="14.42578125" style="644" customWidth="1"/>
    <col min="19" max="19" width="14.85546875" style="644" customWidth="1"/>
    <col min="20" max="20" width="15.85546875" style="644" customWidth="1"/>
    <col min="21" max="21" width="14.7109375" style="18" customWidth="1"/>
    <col min="22" max="22" width="13.28515625" style="18" customWidth="1"/>
    <col min="23" max="23" width="10.140625" style="19" bestFit="1" customWidth="1"/>
    <col min="24" max="24" width="5.85546875" style="19" customWidth="1"/>
    <col min="25" max="25" width="11.140625" style="19" bestFit="1" customWidth="1"/>
    <col min="26" max="26" width="10" style="19" bestFit="1" customWidth="1"/>
    <col min="27" max="27" width="8.85546875" style="19"/>
    <col min="28" max="28" width="10.7109375" style="19" customWidth="1"/>
    <col min="29" max="29" width="12.28515625" style="19" customWidth="1"/>
    <col min="30" max="16384" width="8.85546875" style="19"/>
  </cols>
  <sheetData>
    <row r="1" spans="1:44">
      <c r="A1" s="24"/>
      <c r="B1" s="22"/>
      <c r="C1" s="22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2"/>
      <c r="S1" s="642"/>
      <c r="T1" s="642"/>
      <c r="U1" s="643"/>
      <c r="V1" s="643"/>
      <c r="AE1" s="18"/>
    </row>
    <row r="2" spans="1:44">
      <c r="A2" s="24" t="s">
        <v>118</v>
      </c>
      <c r="B2" s="22">
        <v>4012000</v>
      </c>
      <c r="C2" s="22"/>
      <c r="E2" s="18"/>
      <c r="F2" s="20"/>
      <c r="W2" s="18"/>
      <c r="X2" s="18"/>
      <c r="Y2" s="18"/>
    </row>
    <row r="3" spans="1:44">
      <c r="A3" s="24"/>
      <c r="B3" s="22"/>
      <c r="C3" s="22"/>
      <c r="E3" s="18"/>
      <c r="F3" s="20"/>
      <c r="P3" s="906" t="s">
        <v>471</v>
      </c>
      <c r="Q3" s="906"/>
      <c r="R3" s="906"/>
      <c r="S3" s="906"/>
      <c r="T3" s="906"/>
      <c r="U3" s="906"/>
      <c r="V3" s="906"/>
      <c r="W3" s="906"/>
      <c r="X3" s="906"/>
      <c r="Y3" s="906"/>
      <c r="Z3" s="906"/>
      <c r="AA3" s="906"/>
      <c r="AB3" s="906"/>
      <c r="AE3" s="906" t="s">
        <v>498</v>
      </c>
      <c r="AF3" s="906"/>
      <c r="AG3" s="906"/>
      <c r="AH3" s="906"/>
      <c r="AI3" s="906"/>
      <c r="AJ3" s="906"/>
      <c r="AK3" s="906"/>
      <c r="AL3" s="906"/>
      <c r="AM3" s="906"/>
      <c r="AN3" s="906"/>
      <c r="AO3" s="906"/>
      <c r="AP3" s="906"/>
      <c r="AQ3" s="906"/>
    </row>
    <row r="4" spans="1:44">
      <c r="A4" s="24"/>
      <c r="B4" s="22"/>
      <c r="C4" s="22"/>
      <c r="D4" s="19"/>
      <c r="E4" s="19"/>
      <c r="F4" s="20"/>
      <c r="G4" s="902"/>
      <c r="H4" s="902"/>
      <c r="I4" s="902"/>
      <c r="J4" s="902"/>
      <c r="K4" s="902"/>
      <c r="L4" s="902"/>
      <c r="M4" s="902"/>
      <c r="N4" s="752"/>
      <c r="O4" s="752"/>
      <c r="P4" s="752"/>
      <c r="Q4" s="752"/>
      <c r="Y4" s="18"/>
      <c r="AE4" s="752"/>
      <c r="AF4" s="752"/>
      <c r="AG4" s="644"/>
      <c r="AH4" s="644"/>
      <c r="AI4" s="644"/>
      <c r="AJ4" s="18"/>
      <c r="AK4" s="18"/>
      <c r="AN4" s="18"/>
    </row>
    <row r="5" spans="1:44">
      <c r="A5" s="645" t="s">
        <v>329</v>
      </c>
      <c r="B5" s="18" t="s">
        <v>17</v>
      </c>
      <c r="C5" s="19" t="s">
        <v>99</v>
      </c>
      <c r="D5" s="19" t="s">
        <v>98</v>
      </c>
      <c r="E5" s="19" t="s">
        <v>108</v>
      </c>
      <c r="F5" s="20" t="s">
        <v>109</v>
      </c>
      <c r="G5" s="19" t="s">
        <v>110</v>
      </c>
      <c r="H5" s="109" t="s">
        <v>112</v>
      </c>
      <c r="I5" s="19" t="s">
        <v>113</v>
      </c>
      <c r="J5" s="752" t="s">
        <v>115</v>
      </c>
      <c r="K5" s="19" t="s">
        <v>116</v>
      </c>
      <c r="L5" s="645" t="s">
        <v>114</v>
      </c>
      <c r="M5" s="752" t="s">
        <v>117</v>
      </c>
      <c r="N5" s="752" t="s">
        <v>119</v>
      </c>
      <c r="O5" s="752"/>
      <c r="P5" s="18" t="s">
        <v>17</v>
      </c>
      <c r="Q5" s="19" t="s">
        <v>99</v>
      </c>
      <c r="R5" s="19" t="s">
        <v>98</v>
      </c>
      <c r="S5" s="19" t="s">
        <v>108</v>
      </c>
      <c r="T5" s="20" t="s">
        <v>109</v>
      </c>
      <c r="U5" s="19" t="s">
        <v>110</v>
      </c>
      <c r="V5" s="109" t="s">
        <v>112</v>
      </c>
      <c r="W5" s="19" t="s">
        <v>113</v>
      </c>
      <c r="X5" s="752" t="s">
        <v>115</v>
      </c>
      <c r="Y5" s="19" t="s">
        <v>116</v>
      </c>
      <c r="Z5" s="645" t="s">
        <v>114</v>
      </c>
      <c r="AA5" s="752" t="s">
        <v>117</v>
      </c>
      <c r="AB5" s="752" t="s">
        <v>119</v>
      </c>
      <c r="AC5" s="645" t="s">
        <v>472</v>
      </c>
      <c r="AE5" s="18" t="s">
        <v>17</v>
      </c>
      <c r="AF5" s="19" t="s">
        <v>99</v>
      </c>
      <c r="AG5" s="19" t="s">
        <v>98</v>
      </c>
      <c r="AH5" s="19" t="s">
        <v>108</v>
      </c>
      <c r="AI5" s="20" t="s">
        <v>109</v>
      </c>
      <c r="AJ5" s="19" t="s">
        <v>110</v>
      </c>
      <c r="AK5" s="109" t="s">
        <v>112</v>
      </c>
      <c r="AL5" s="19" t="s">
        <v>113</v>
      </c>
      <c r="AM5" s="752" t="s">
        <v>115</v>
      </c>
      <c r="AN5" s="19" t="s">
        <v>116</v>
      </c>
      <c r="AO5" s="645" t="s">
        <v>114</v>
      </c>
      <c r="AP5" s="752" t="s">
        <v>117</v>
      </c>
      <c r="AQ5" s="752" t="s">
        <v>119</v>
      </c>
      <c r="AR5" s="645" t="s">
        <v>472</v>
      </c>
    </row>
    <row r="6" spans="1:44">
      <c r="A6" s="19" t="s">
        <v>44</v>
      </c>
      <c r="B6" s="18">
        <v>57</v>
      </c>
      <c r="C6" s="19">
        <v>1</v>
      </c>
      <c r="D6" s="19"/>
      <c r="E6" s="19">
        <f>+B6+C6+(D6*2)</f>
        <v>58</v>
      </c>
      <c r="F6" s="18">
        <v>20</v>
      </c>
      <c r="G6" s="19">
        <v>1.62</v>
      </c>
      <c r="H6" s="19">
        <v>1</v>
      </c>
      <c r="I6" s="19">
        <v>22</v>
      </c>
      <c r="J6" s="43">
        <f>H6*(1-I6/(H6*32))</f>
        <v>0.3125</v>
      </c>
      <c r="K6" s="43">
        <f>+E6/F6*G6</f>
        <v>4.6980000000000004</v>
      </c>
      <c r="L6" s="43">
        <f>+J6+K6</f>
        <v>5.0105000000000004</v>
      </c>
      <c r="M6" s="43">
        <v>5</v>
      </c>
      <c r="N6" s="18">
        <f>+M6*$B$2*(8/12)</f>
        <v>13373333.333333332</v>
      </c>
      <c r="P6" s="18">
        <v>56</v>
      </c>
      <c r="Q6" s="19">
        <v>1</v>
      </c>
      <c r="R6" s="19"/>
      <c r="S6" s="19">
        <f>+P6+Q6+(R6*2)</f>
        <v>57</v>
      </c>
      <c r="T6" s="18">
        <v>20</v>
      </c>
      <c r="U6" s="19">
        <v>1.62</v>
      </c>
      <c r="V6" s="19">
        <v>1</v>
      </c>
      <c r="W6" s="19">
        <v>24</v>
      </c>
      <c r="X6" s="43">
        <f>V6*(1-W6/(V6*32))</f>
        <v>0.25</v>
      </c>
      <c r="Y6" s="43">
        <f>+S6/T6*U6</f>
        <v>4.6170000000000009</v>
      </c>
      <c r="Z6" s="43">
        <f>+X6+Y6</f>
        <v>4.8670000000000009</v>
      </c>
      <c r="AA6" s="43">
        <v>4.9000000000000004</v>
      </c>
      <c r="AB6" s="18">
        <f>+AA6*$B$2*(8/12)</f>
        <v>13105866.666666666</v>
      </c>
      <c r="AC6" s="18">
        <f>+AB6-N6+0.67</f>
        <v>-267465.99666666606</v>
      </c>
      <c r="AE6" s="18">
        <v>56</v>
      </c>
      <c r="AF6" s="19">
        <v>1</v>
      </c>
      <c r="AH6" s="19">
        <f>+AE6+AF6+(AG6*2)</f>
        <v>57</v>
      </c>
      <c r="AI6" s="18">
        <v>20</v>
      </c>
      <c r="AJ6" s="19">
        <v>1.62</v>
      </c>
      <c r="AK6" s="19">
        <v>1</v>
      </c>
      <c r="AL6" s="19">
        <v>24</v>
      </c>
      <c r="AM6" s="43">
        <f>AK6*(1-AL6/(AK6*32))</f>
        <v>0.25</v>
      </c>
      <c r="AN6" s="43">
        <f>+AH6/AI6*AJ6</f>
        <v>4.6170000000000009</v>
      </c>
      <c r="AO6" s="43">
        <f>+AM6+AN6</f>
        <v>4.8670000000000009</v>
      </c>
      <c r="AP6" s="43">
        <v>4.9000000000000004</v>
      </c>
      <c r="AQ6" s="18">
        <f>+AP6*$B$2*(8/12)</f>
        <v>13105866.666666666</v>
      </c>
      <c r="AR6" s="18">
        <f>+AQ6-AB6</f>
        <v>0</v>
      </c>
    </row>
    <row r="7" spans="1:44">
      <c r="A7" s="19" t="s">
        <v>45</v>
      </c>
      <c r="B7" s="18">
        <v>92</v>
      </c>
      <c r="C7" s="19"/>
      <c r="D7" s="19">
        <v>1</v>
      </c>
      <c r="E7" s="19">
        <f>+B7+C7+(D7*2)</f>
        <v>94</v>
      </c>
      <c r="F7" s="18">
        <v>20</v>
      </c>
      <c r="G7" s="19">
        <v>1.62</v>
      </c>
      <c r="H7" s="19">
        <v>2</v>
      </c>
      <c r="I7" s="19">
        <f>22+22</f>
        <v>44</v>
      </c>
      <c r="J7" s="43">
        <f>H7*(1-I7/(H7*32))</f>
        <v>0.625</v>
      </c>
      <c r="K7" s="43">
        <f>+E7/F7*G7</f>
        <v>7.6140000000000008</v>
      </c>
      <c r="L7" s="43">
        <f t="shared" ref="L7:L11" si="0">+J7+K7</f>
        <v>8.2390000000000008</v>
      </c>
      <c r="M7" s="43">
        <v>8.1999999999999993</v>
      </c>
      <c r="N7" s="18">
        <f t="shared" ref="N7:N11" si="1">+M7*$B$2*(8/12)</f>
        <v>21932266.666666664</v>
      </c>
      <c r="P7" s="18">
        <v>91</v>
      </c>
      <c r="R7" s="19">
        <v>1</v>
      </c>
      <c r="S7" s="19">
        <f>+P7+Q7+(R7*2)</f>
        <v>93</v>
      </c>
      <c r="T7" s="18">
        <v>20</v>
      </c>
      <c r="U7" s="19">
        <v>1.62</v>
      </c>
      <c r="V7" s="19">
        <v>2</v>
      </c>
      <c r="W7" s="19">
        <f>22+22</f>
        <v>44</v>
      </c>
      <c r="X7" s="43">
        <f>V7*(1-W7/(V7*32))</f>
        <v>0.625</v>
      </c>
      <c r="Y7" s="43">
        <f>+S7/T7*U7</f>
        <v>7.5330000000000013</v>
      </c>
      <c r="Z7" s="43">
        <f t="shared" ref="Z7:Z11" si="2">+X7+Y7</f>
        <v>8.1580000000000013</v>
      </c>
      <c r="AA7" s="43">
        <v>8.1999999999999993</v>
      </c>
      <c r="AB7" s="18">
        <f t="shared" ref="AB7:AB11" si="3">+AA7*$B$2*(8/12)</f>
        <v>21932266.666666664</v>
      </c>
      <c r="AC7" s="18">
        <f t="shared" ref="AC7:AC10" si="4">+AB7-N7</f>
        <v>0</v>
      </c>
      <c r="AE7" s="18">
        <v>91</v>
      </c>
      <c r="AG7" s="19">
        <v>1</v>
      </c>
      <c r="AH7" s="19">
        <f>+AE7+AF7+(AG7*2)</f>
        <v>93</v>
      </c>
      <c r="AI7" s="18">
        <v>20</v>
      </c>
      <c r="AJ7" s="19">
        <v>1.62</v>
      </c>
      <c r="AK7" s="19">
        <v>2</v>
      </c>
      <c r="AL7" s="19">
        <f>22+22</f>
        <v>44</v>
      </c>
      <c r="AM7" s="43">
        <f>AK7*(1-AL7/(AK7*32))</f>
        <v>0.625</v>
      </c>
      <c r="AN7" s="43">
        <f>+AH7/AI7*AJ7</f>
        <v>7.5330000000000013</v>
      </c>
      <c r="AO7" s="43">
        <f t="shared" ref="AO7:AO11" si="5">+AM7+AN7</f>
        <v>8.1580000000000013</v>
      </c>
      <c r="AP7" s="43">
        <v>8.1999999999999993</v>
      </c>
      <c r="AQ7" s="18">
        <f t="shared" ref="AQ7:AQ11" si="6">+AP7*$B$2*(8/12)</f>
        <v>21932266.666666664</v>
      </c>
      <c r="AR7" s="18">
        <f t="shared" ref="AR7:AR10" si="7">+AQ7-AB7</f>
        <v>0</v>
      </c>
    </row>
    <row r="8" spans="1:44">
      <c r="A8" s="19" t="s">
        <v>46</v>
      </c>
      <c r="B8" s="18">
        <v>55</v>
      </c>
      <c r="C8" s="19">
        <v>1</v>
      </c>
      <c r="D8" s="19"/>
      <c r="E8" s="19">
        <f>+B8+C8+(D8*2)</f>
        <v>56</v>
      </c>
      <c r="F8" s="18">
        <v>20</v>
      </c>
      <c r="G8" s="19">
        <v>1.62</v>
      </c>
      <c r="H8" s="19">
        <v>1</v>
      </c>
      <c r="I8" s="19">
        <v>22</v>
      </c>
      <c r="J8" s="43">
        <f>H8*(1-I8/(H8*32))</f>
        <v>0.3125</v>
      </c>
      <c r="K8" s="43">
        <f>+E8/F8*G8</f>
        <v>4.5359999999999996</v>
      </c>
      <c r="L8" s="43">
        <f t="shared" si="0"/>
        <v>4.8484999999999996</v>
      </c>
      <c r="M8" s="43">
        <v>4.9000000000000004</v>
      </c>
      <c r="N8" s="18">
        <f t="shared" si="1"/>
        <v>13105866.666666666</v>
      </c>
      <c r="P8" s="18">
        <v>52</v>
      </c>
      <c r="Q8" s="19">
        <v>1</v>
      </c>
      <c r="R8" s="19"/>
      <c r="S8" s="19">
        <f>+P8+Q8+(R8*2)</f>
        <v>53</v>
      </c>
      <c r="T8" s="18">
        <v>20</v>
      </c>
      <c r="U8" s="19">
        <v>1.62</v>
      </c>
      <c r="V8" s="19">
        <v>1</v>
      </c>
      <c r="W8" s="19">
        <v>24</v>
      </c>
      <c r="X8" s="43">
        <f>V8*(1-W8/(V8*32))</f>
        <v>0.25</v>
      </c>
      <c r="Y8" s="43">
        <f>+S8/T8*U8</f>
        <v>4.2930000000000001</v>
      </c>
      <c r="Z8" s="43">
        <f t="shared" si="2"/>
        <v>4.5430000000000001</v>
      </c>
      <c r="AA8" s="43">
        <v>4.5</v>
      </c>
      <c r="AB8" s="18">
        <f t="shared" si="3"/>
        <v>12036000</v>
      </c>
      <c r="AC8" s="18">
        <f>+AB8-N8+0.67</f>
        <v>-1069865.9966666661</v>
      </c>
      <c r="AE8" s="18">
        <v>52</v>
      </c>
      <c r="AF8" s="19">
        <v>1</v>
      </c>
      <c r="AH8" s="19">
        <f>+AE8+AF8+(AG8*2)</f>
        <v>53</v>
      </c>
      <c r="AI8" s="18">
        <v>20</v>
      </c>
      <c r="AJ8" s="19">
        <v>1.62</v>
      </c>
      <c r="AK8" s="19">
        <v>1</v>
      </c>
      <c r="AL8" s="19">
        <v>24</v>
      </c>
      <c r="AM8" s="43">
        <f>AK8*(1-AL8/(AK8*32))</f>
        <v>0.25</v>
      </c>
      <c r="AN8" s="43">
        <f>+AH8/AI8*AJ8</f>
        <v>4.2930000000000001</v>
      </c>
      <c r="AO8" s="43">
        <f t="shared" si="5"/>
        <v>4.5430000000000001</v>
      </c>
      <c r="AP8" s="43">
        <v>4.5</v>
      </c>
      <c r="AQ8" s="18">
        <f t="shared" si="6"/>
        <v>12036000</v>
      </c>
      <c r="AR8" s="18">
        <f t="shared" si="7"/>
        <v>0</v>
      </c>
    </row>
    <row r="9" spans="1:44">
      <c r="A9" s="19" t="s">
        <v>47</v>
      </c>
      <c r="B9" s="18">
        <v>88</v>
      </c>
      <c r="C9" s="19">
        <v>1</v>
      </c>
      <c r="D9" s="19">
        <v>1</v>
      </c>
      <c r="E9" s="19">
        <f>+B9+C9+(D9*2)</f>
        <v>91</v>
      </c>
      <c r="F9" s="18">
        <v>20</v>
      </c>
      <c r="G9" s="19">
        <v>1.62</v>
      </c>
      <c r="H9" s="19">
        <v>1</v>
      </c>
      <c r="I9" s="19">
        <v>22</v>
      </c>
      <c r="J9" s="43">
        <f>H9*(1-I9/(H9*32))</f>
        <v>0.3125</v>
      </c>
      <c r="K9" s="43">
        <f>+E9/F9*G9</f>
        <v>7.3710000000000004</v>
      </c>
      <c r="L9" s="43">
        <f t="shared" si="0"/>
        <v>7.6835000000000004</v>
      </c>
      <c r="M9" s="43">
        <v>7.7</v>
      </c>
      <c r="N9" s="18">
        <f t="shared" si="1"/>
        <v>20594933.333333332</v>
      </c>
      <c r="P9" s="18">
        <v>87</v>
      </c>
      <c r="R9" s="19">
        <v>1</v>
      </c>
      <c r="S9" s="19">
        <f>+P9+Q9+(R9*2)</f>
        <v>89</v>
      </c>
      <c r="T9" s="18">
        <v>20</v>
      </c>
      <c r="U9" s="19">
        <v>1.62</v>
      </c>
      <c r="V9" s="19">
        <v>1</v>
      </c>
      <c r="W9" s="19">
        <v>24</v>
      </c>
      <c r="X9" s="43">
        <f>V9*(1-W9/(V9*32))</f>
        <v>0.25</v>
      </c>
      <c r="Y9" s="43">
        <f>+S9/T9*U9</f>
        <v>7.2090000000000005</v>
      </c>
      <c r="Z9" s="43">
        <f t="shared" si="2"/>
        <v>7.4590000000000005</v>
      </c>
      <c r="AA9" s="43">
        <v>7.4</v>
      </c>
      <c r="AB9" s="18">
        <f t="shared" si="3"/>
        <v>19792533.333333332</v>
      </c>
      <c r="AC9" s="18">
        <f t="shared" si="4"/>
        <v>-802400</v>
      </c>
      <c r="AE9" s="18">
        <v>87</v>
      </c>
      <c r="AG9" s="19">
        <v>1</v>
      </c>
      <c r="AH9" s="19">
        <f>+AE9+AF9+(AG9*2)</f>
        <v>89</v>
      </c>
      <c r="AI9" s="18">
        <v>20</v>
      </c>
      <c r="AJ9" s="19">
        <v>1.62</v>
      </c>
      <c r="AK9" s="19">
        <v>1</v>
      </c>
      <c r="AL9" s="19">
        <v>24</v>
      </c>
      <c r="AM9" s="43">
        <f>AK9*(1-AL9/(AK9*32))</f>
        <v>0.25</v>
      </c>
      <c r="AN9" s="43">
        <f>+AH9/AI9*AJ9</f>
        <v>7.2090000000000005</v>
      </c>
      <c r="AO9" s="43">
        <f t="shared" si="5"/>
        <v>7.4590000000000005</v>
      </c>
      <c r="AP9" s="43">
        <v>7.4</v>
      </c>
      <c r="AQ9" s="18">
        <f t="shared" si="6"/>
        <v>19792533.333333332</v>
      </c>
      <c r="AR9" s="18">
        <f t="shared" si="7"/>
        <v>0</v>
      </c>
    </row>
    <row r="10" spans="1:44">
      <c r="A10" s="19" t="s">
        <v>111</v>
      </c>
      <c r="B10" s="20"/>
      <c r="C10" s="19"/>
      <c r="D10" s="19"/>
      <c r="E10" s="19">
        <v>0</v>
      </c>
      <c r="F10" s="18">
        <v>0</v>
      </c>
      <c r="G10" s="19">
        <v>0</v>
      </c>
      <c r="H10" s="19">
        <v>1</v>
      </c>
      <c r="I10" s="18">
        <v>8</v>
      </c>
      <c r="J10" s="43">
        <f>H10*(1-I10/(H10*32))</f>
        <v>0.75</v>
      </c>
      <c r="K10" s="43">
        <v>0</v>
      </c>
      <c r="L10" s="43">
        <f t="shared" si="0"/>
        <v>0.75</v>
      </c>
      <c r="M10" s="43">
        <v>0.8</v>
      </c>
      <c r="N10" s="18">
        <f t="shared" si="1"/>
        <v>2139733.333333333</v>
      </c>
      <c r="O10" s="18"/>
      <c r="P10" s="20"/>
      <c r="R10" s="19"/>
      <c r="S10" s="19">
        <v>0</v>
      </c>
      <c r="T10" s="18">
        <v>0</v>
      </c>
      <c r="U10" s="19">
        <v>0</v>
      </c>
      <c r="V10" s="19">
        <v>1</v>
      </c>
      <c r="W10" s="18">
        <v>8</v>
      </c>
      <c r="X10" s="43">
        <f>V10*(1-W10/(V10*32))</f>
        <v>0.75</v>
      </c>
      <c r="Y10" s="43">
        <v>0</v>
      </c>
      <c r="Z10" s="43">
        <f t="shared" si="2"/>
        <v>0.75</v>
      </c>
      <c r="AA10" s="43">
        <v>0.8</v>
      </c>
      <c r="AB10" s="18">
        <f t="shared" si="3"/>
        <v>2139733.333333333</v>
      </c>
      <c r="AC10" s="18">
        <f t="shared" si="4"/>
        <v>0</v>
      </c>
      <c r="AE10" s="20"/>
      <c r="AH10" s="19">
        <v>0</v>
      </c>
      <c r="AI10" s="18">
        <v>0</v>
      </c>
      <c r="AJ10" s="19">
        <v>0</v>
      </c>
      <c r="AK10" s="19">
        <v>1</v>
      </c>
      <c r="AL10" s="18">
        <v>8</v>
      </c>
      <c r="AM10" s="43">
        <f>AK10*(1-AL10/(AK10*32))</f>
        <v>0.75</v>
      </c>
      <c r="AN10" s="43">
        <v>0</v>
      </c>
      <c r="AO10" s="43">
        <f t="shared" si="5"/>
        <v>0.75</v>
      </c>
      <c r="AP10" s="43">
        <v>0.8</v>
      </c>
      <c r="AQ10" s="18">
        <f t="shared" si="6"/>
        <v>2139733.333333333</v>
      </c>
      <c r="AR10" s="18">
        <f t="shared" si="7"/>
        <v>0</v>
      </c>
    </row>
    <row r="11" spans="1:44">
      <c r="A11" s="19" t="s">
        <v>97</v>
      </c>
      <c r="B11" s="18">
        <f>+SUM(B6:B9)</f>
        <v>292</v>
      </c>
      <c r="C11" s="18">
        <f>+SUM(C6:C9)</f>
        <v>3</v>
      </c>
      <c r="D11" s="18">
        <f>+SUM(D6:D9)</f>
        <v>2</v>
      </c>
      <c r="E11" s="18">
        <f>SUM(E6:E9)</f>
        <v>299</v>
      </c>
      <c r="F11" s="18">
        <v>20</v>
      </c>
      <c r="G11" s="19">
        <v>1.62</v>
      </c>
      <c r="H11" s="18">
        <f>SUM(H6:H10)</f>
        <v>6</v>
      </c>
      <c r="I11" s="18">
        <f>SUM(I6:I10)</f>
        <v>118</v>
      </c>
      <c r="J11" s="20">
        <f>SUM(J6:J10)</f>
        <v>2.3125</v>
      </c>
      <c r="K11" s="43">
        <f>SUM(K6:K10)</f>
        <v>24.219000000000001</v>
      </c>
      <c r="L11" s="646">
        <f t="shared" si="0"/>
        <v>26.531500000000001</v>
      </c>
      <c r="M11" s="43">
        <f>SUM(M6:M10)</f>
        <v>26.6</v>
      </c>
      <c r="N11" s="18">
        <f t="shared" si="1"/>
        <v>71146133.333333328</v>
      </c>
      <c r="O11" s="18"/>
      <c r="P11" s="18">
        <f>+SUM(P6:P9)</f>
        <v>286</v>
      </c>
      <c r="Q11" s="18">
        <f>+SUM(Q6:Q9)</f>
        <v>2</v>
      </c>
      <c r="R11" s="18">
        <f>+SUM(R6:R9)</f>
        <v>2</v>
      </c>
      <c r="S11" s="18">
        <f>SUM(S6:S9)</f>
        <v>292</v>
      </c>
      <c r="T11" s="18">
        <v>20</v>
      </c>
      <c r="U11" s="19">
        <v>1.62</v>
      </c>
      <c r="V11" s="18">
        <f>SUM(V6:V10)</f>
        <v>6</v>
      </c>
      <c r="W11" s="18">
        <f>SUM(W6:W10)</f>
        <v>124</v>
      </c>
      <c r="X11" s="20">
        <f>SUM(X6:X10)</f>
        <v>2.125</v>
      </c>
      <c r="Y11" s="43">
        <f>SUM(Y6:Y10)</f>
        <v>23.652000000000001</v>
      </c>
      <c r="Z11" s="646">
        <f t="shared" si="2"/>
        <v>25.777000000000001</v>
      </c>
      <c r="AA11" s="43">
        <f>SUM(AA6:AA10)</f>
        <v>25.8</v>
      </c>
      <c r="AB11" s="18">
        <f t="shared" si="3"/>
        <v>69006400</v>
      </c>
      <c r="AC11" s="18">
        <f>SUM(AC6:AC10)</f>
        <v>-2139731.9933333322</v>
      </c>
      <c r="AE11" s="18">
        <f>+SUM(AE6:AE9)</f>
        <v>286</v>
      </c>
      <c r="AF11" s="18">
        <f>+SUM(AF6:AF9)</f>
        <v>2</v>
      </c>
      <c r="AG11" s="18">
        <f>+SUM(AG6:AG9)</f>
        <v>2</v>
      </c>
      <c r="AH11" s="18">
        <f>SUM(AH6:AH9)</f>
        <v>292</v>
      </c>
      <c r="AI11" s="18">
        <v>20</v>
      </c>
      <c r="AJ11" s="19">
        <v>1.62</v>
      </c>
      <c r="AK11" s="18">
        <f>SUM(AK6:AK10)</f>
        <v>6</v>
      </c>
      <c r="AL11" s="18">
        <f>SUM(AL6:AL10)</f>
        <v>124</v>
      </c>
      <c r="AM11" s="20">
        <f>SUM(AM6:AM10)</f>
        <v>2.125</v>
      </c>
      <c r="AN11" s="43">
        <f>SUM(AN6:AN10)</f>
        <v>23.652000000000001</v>
      </c>
      <c r="AO11" s="646">
        <f t="shared" si="5"/>
        <v>25.777000000000001</v>
      </c>
      <c r="AP11" s="43">
        <f>SUM(AP6:AP10)</f>
        <v>25.8</v>
      </c>
      <c r="AQ11" s="18">
        <f t="shared" si="6"/>
        <v>69006400</v>
      </c>
      <c r="AR11" s="18">
        <f>SUM(AR6:AR10)</f>
        <v>0</v>
      </c>
    </row>
    <row r="12" spans="1:44">
      <c r="C12" s="19"/>
      <c r="D12" s="19"/>
      <c r="E12" s="19"/>
      <c r="F12" s="20"/>
      <c r="P12" s="18"/>
      <c r="R12" s="19"/>
      <c r="S12" s="19"/>
      <c r="T12" s="20"/>
      <c r="U12" s="19"/>
      <c r="V12" s="19"/>
      <c r="AC12" s="18"/>
      <c r="AE12" s="18"/>
      <c r="AI12" s="20"/>
      <c r="AR12" s="18"/>
    </row>
    <row r="13" spans="1:44">
      <c r="A13" s="645" t="s">
        <v>330</v>
      </c>
      <c r="C13" s="19"/>
      <c r="D13" s="19"/>
      <c r="E13" s="19"/>
      <c r="F13" s="20"/>
      <c r="P13" s="18"/>
      <c r="R13" s="19"/>
      <c r="S13" s="19"/>
      <c r="T13" s="20"/>
      <c r="U13" s="19"/>
      <c r="V13" s="19"/>
      <c r="AC13" s="686" t="s">
        <v>472</v>
      </c>
      <c r="AE13" s="18"/>
      <c r="AI13" s="20"/>
      <c r="AR13" s="686" t="s">
        <v>472</v>
      </c>
    </row>
    <row r="14" spans="1:44">
      <c r="A14" s="19" t="s">
        <v>44</v>
      </c>
      <c r="B14" s="18">
        <v>56</v>
      </c>
      <c r="C14" s="19">
        <v>1</v>
      </c>
      <c r="D14" s="19"/>
      <c r="E14" s="19">
        <f>+B14+C14+(D14*2)</f>
        <v>57</v>
      </c>
      <c r="F14" s="18">
        <v>20</v>
      </c>
      <c r="G14" s="19">
        <v>1.62</v>
      </c>
      <c r="H14" s="19">
        <v>1</v>
      </c>
      <c r="I14" s="19">
        <v>22</v>
      </c>
      <c r="J14" s="43">
        <f t="shared" ref="J14:J18" si="8">H14*(1-I14/(H14*32))</f>
        <v>0.3125</v>
      </c>
      <c r="K14" s="43">
        <f>+E14/F14*G14</f>
        <v>4.6170000000000009</v>
      </c>
      <c r="L14" s="43">
        <f t="shared" ref="L14:L18" si="9">+K14+J14</f>
        <v>4.9295000000000009</v>
      </c>
      <c r="M14" s="644">
        <v>4.9000000000000004</v>
      </c>
      <c r="N14" s="18">
        <f t="shared" ref="N14:N18" si="10">+M14*$B$2*(4/12)</f>
        <v>6552933.333333333</v>
      </c>
      <c r="P14" s="18">
        <v>50</v>
      </c>
      <c r="Q14" s="19">
        <v>1</v>
      </c>
      <c r="R14" s="19"/>
      <c r="S14" s="19">
        <f>+P14+Q14+(R14*2)</f>
        <v>51</v>
      </c>
      <c r="T14" s="18">
        <v>20</v>
      </c>
      <c r="U14" s="19">
        <v>1.62</v>
      </c>
      <c r="V14" s="19">
        <v>1</v>
      </c>
      <c r="W14" s="19">
        <v>24</v>
      </c>
      <c r="X14" s="43">
        <f t="shared" ref="X14:X18" si="11">V14*(1-W14/(V14*32))</f>
        <v>0.25</v>
      </c>
      <c r="Y14" s="43">
        <f>+S14/T14*U14</f>
        <v>4.1310000000000002</v>
      </c>
      <c r="Z14" s="43">
        <f t="shared" ref="Z14:Z18" si="12">+Y14+X14</f>
        <v>4.3810000000000002</v>
      </c>
      <c r="AA14" s="644">
        <v>4.4000000000000004</v>
      </c>
      <c r="AB14" s="18">
        <f t="shared" ref="AB14:AB18" si="13">+AA14*$B$2*(4/12)</f>
        <v>5884266.666666666</v>
      </c>
      <c r="AC14" s="18">
        <f>+AB14-N14-0.33</f>
        <v>-668666.99666666694</v>
      </c>
      <c r="AE14" s="18">
        <v>49</v>
      </c>
      <c r="AF14" s="19">
        <v>1</v>
      </c>
      <c r="AH14" s="19">
        <f>+AE14+AF14+(AG14*2)</f>
        <v>50</v>
      </c>
      <c r="AI14" s="18">
        <v>20</v>
      </c>
      <c r="AJ14" s="19">
        <v>1.62</v>
      </c>
      <c r="AK14" s="19">
        <v>1</v>
      </c>
      <c r="AL14" s="19">
        <v>24</v>
      </c>
      <c r="AM14" s="43">
        <f t="shared" ref="AM14:AM18" si="14">AK14*(1-AL14/(AK14*32))</f>
        <v>0.25</v>
      </c>
      <c r="AN14" s="43">
        <f>+AH14/AI14*AJ14</f>
        <v>4.0500000000000007</v>
      </c>
      <c r="AO14" s="43">
        <f t="shared" ref="AO14:AO18" si="15">+AN14+AM14</f>
        <v>4.3000000000000007</v>
      </c>
      <c r="AP14" s="644">
        <v>4.3</v>
      </c>
      <c r="AQ14" s="18">
        <f t="shared" ref="AQ14:AQ18" si="16">+AP14*$B$2*(4/12)</f>
        <v>5750533.333333333</v>
      </c>
      <c r="AR14" s="18">
        <f t="shared" ref="AR14:AR18" si="17">+AQ14-AB14</f>
        <v>-133733.33333333302</v>
      </c>
    </row>
    <row r="15" spans="1:44">
      <c r="A15" s="19" t="s">
        <v>45</v>
      </c>
      <c r="B15" s="18">
        <v>96</v>
      </c>
      <c r="C15" s="19"/>
      <c r="D15" s="19">
        <v>1</v>
      </c>
      <c r="E15" s="19">
        <f>+B15+C15+(D15*2)</f>
        <v>98</v>
      </c>
      <c r="F15" s="18">
        <v>20</v>
      </c>
      <c r="G15" s="19">
        <v>1.62</v>
      </c>
      <c r="H15" s="19">
        <v>2</v>
      </c>
      <c r="I15" s="19">
        <f>22+22</f>
        <v>44</v>
      </c>
      <c r="J15" s="43">
        <f t="shared" si="8"/>
        <v>0.625</v>
      </c>
      <c r="K15" s="43">
        <f>+E15/F15*G15</f>
        <v>7.9380000000000015</v>
      </c>
      <c r="L15" s="43">
        <f t="shared" si="9"/>
        <v>8.5630000000000024</v>
      </c>
      <c r="M15" s="644">
        <v>8.6</v>
      </c>
      <c r="N15" s="18">
        <f t="shared" si="10"/>
        <v>11501066.666666666</v>
      </c>
      <c r="P15" s="18">
        <v>97</v>
      </c>
      <c r="Q15" s="19">
        <v>1</v>
      </c>
      <c r="R15" s="19">
        <v>2</v>
      </c>
      <c r="S15" s="19">
        <f>+P15+Q15+(R15*2)</f>
        <v>102</v>
      </c>
      <c r="T15" s="18">
        <v>20</v>
      </c>
      <c r="U15" s="19">
        <v>1.62</v>
      </c>
      <c r="V15" s="19">
        <v>2</v>
      </c>
      <c r="W15" s="19">
        <f>22+22</f>
        <v>44</v>
      </c>
      <c r="X15" s="43">
        <f t="shared" si="11"/>
        <v>0.625</v>
      </c>
      <c r="Y15" s="43">
        <f>+S15/T15*U15</f>
        <v>8.2620000000000005</v>
      </c>
      <c r="Z15" s="43">
        <f t="shared" si="12"/>
        <v>8.8870000000000005</v>
      </c>
      <c r="AA15" s="644">
        <v>8.9</v>
      </c>
      <c r="AB15" s="18">
        <f t="shared" si="13"/>
        <v>11902266.666666666</v>
      </c>
      <c r="AC15" s="18">
        <f t="shared" ref="AC15:AC18" si="18">+AB15-N15</f>
        <v>401200</v>
      </c>
      <c r="AE15" s="18">
        <v>94</v>
      </c>
      <c r="AF15" s="19">
        <v>1</v>
      </c>
      <c r="AG15" s="19">
        <v>1</v>
      </c>
      <c r="AH15" s="19">
        <f>+AE15+AF15+(AG15*2)</f>
        <v>97</v>
      </c>
      <c r="AI15" s="18">
        <v>20</v>
      </c>
      <c r="AJ15" s="19">
        <v>1.62</v>
      </c>
      <c r="AK15" s="19">
        <v>2</v>
      </c>
      <c r="AL15" s="19">
        <f>22+22</f>
        <v>44</v>
      </c>
      <c r="AM15" s="43">
        <f t="shared" si="14"/>
        <v>0.625</v>
      </c>
      <c r="AN15" s="43">
        <f>+AH15/AI15*AJ15</f>
        <v>7.8570000000000002</v>
      </c>
      <c r="AO15" s="43">
        <f t="shared" si="15"/>
        <v>8.4819999999999993</v>
      </c>
      <c r="AP15" s="644">
        <v>8.4</v>
      </c>
      <c r="AQ15" s="18">
        <f t="shared" si="16"/>
        <v>11233600</v>
      </c>
      <c r="AR15" s="18">
        <f t="shared" si="17"/>
        <v>-668666.66666666605</v>
      </c>
    </row>
    <row r="16" spans="1:44">
      <c r="A16" s="19" t="s">
        <v>46</v>
      </c>
      <c r="B16" s="18">
        <v>56</v>
      </c>
      <c r="C16" s="19">
        <v>1</v>
      </c>
      <c r="D16" s="19"/>
      <c r="E16" s="19">
        <f>+B16+C16+(D16*2)</f>
        <v>57</v>
      </c>
      <c r="F16" s="18">
        <v>20</v>
      </c>
      <c r="G16" s="19">
        <v>1.62</v>
      </c>
      <c r="H16" s="19">
        <v>1</v>
      </c>
      <c r="I16" s="19">
        <v>22</v>
      </c>
      <c r="J16" s="43">
        <f t="shared" si="8"/>
        <v>0.3125</v>
      </c>
      <c r="K16" s="43">
        <f>+E16/F16*G16</f>
        <v>4.6170000000000009</v>
      </c>
      <c r="L16" s="43">
        <f t="shared" si="9"/>
        <v>4.9295000000000009</v>
      </c>
      <c r="M16" s="644">
        <v>4.9000000000000004</v>
      </c>
      <c r="N16" s="18">
        <f t="shared" si="10"/>
        <v>6552933.333333333</v>
      </c>
      <c r="P16" s="18">
        <v>57</v>
      </c>
      <c r="R16" s="19"/>
      <c r="S16" s="19">
        <f>+P16+Q16+(R16*2)</f>
        <v>57</v>
      </c>
      <c r="T16" s="18">
        <v>20</v>
      </c>
      <c r="U16" s="19">
        <v>1.62</v>
      </c>
      <c r="V16" s="19">
        <v>1</v>
      </c>
      <c r="W16" s="19">
        <v>24</v>
      </c>
      <c r="X16" s="43">
        <f t="shared" si="11"/>
        <v>0.25</v>
      </c>
      <c r="Y16" s="43">
        <f>+S16/T16*U16</f>
        <v>4.6170000000000009</v>
      </c>
      <c r="Z16" s="43">
        <f t="shared" si="12"/>
        <v>4.8670000000000009</v>
      </c>
      <c r="AA16" s="644">
        <v>4.8</v>
      </c>
      <c r="AB16" s="18">
        <f t="shared" si="13"/>
        <v>6419200</v>
      </c>
      <c r="AC16" s="18">
        <f>+AB16-N16+0.33</f>
        <v>-133733.00333333304</v>
      </c>
      <c r="AE16" s="18">
        <v>55</v>
      </c>
      <c r="AH16" s="19">
        <f>+AE16+AF16+(AG16*2)</f>
        <v>55</v>
      </c>
      <c r="AI16" s="18">
        <v>20</v>
      </c>
      <c r="AJ16" s="19">
        <v>1.62</v>
      </c>
      <c r="AK16" s="19">
        <v>1</v>
      </c>
      <c r="AL16" s="19">
        <v>24</v>
      </c>
      <c r="AM16" s="43">
        <f t="shared" si="14"/>
        <v>0.25</v>
      </c>
      <c r="AN16" s="43">
        <f>+AH16/AI16*AJ16</f>
        <v>4.4550000000000001</v>
      </c>
      <c r="AO16" s="43">
        <f t="shared" si="15"/>
        <v>4.7050000000000001</v>
      </c>
      <c r="AP16" s="644">
        <v>4.7</v>
      </c>
      <c r="AQ16" s="18">
        <f t="shared" si="16"/>
        <v>6285466.666666666</v>
      </c>
      <c r="AR16" s="18">
        <f t="shared" si="17"/>
        <v>-133733.33333333395</v>
      </c>
    </row>
    <row r="17" spans="1:44">
      <c r="A17" s="19" t="s">
        <v>47</v>
      </c>
      <c r="B17" s="18">
        <v>87</v>
      </c>
      <c r="C17" s="19">
        <v>1</v>
      </c>
      <c r="D17" s="19">
        <v>1</v>
      </c>
      <c r="E17" s="19">
        <f>+B17+C17+(D17*2)</f>
        <v>90</v>
      </c>
      <c r="F17" s="18">
        <v>20</v>
      </c>
      <c r="G17" s="19">
        <v>1.62</v>
      </c>
      <c r="H17" s="19">
        <v>1</v>
      </c>
      <c r="I17" s="19">
        <v>22</v>
      </c>
      <c r="J17" s="43">
        <f t="shared" si="8"/>
        <v>0.3125</v>
      </c>
      <c r="K17" s="43">
        <f>+E17/F17*G17</f>
        <v>7.2900000000000009</v>
      </c>
      <c r="L17" s="43">
        <f t="shared" si="9"/>
        <v>7.6025000000000009</v>
      </c>
      <c r="M17" s="644">
        <v>7.6</v>
      </c>
      <c r="N17" s="18">
        <f t="shared" si="10"/>
        <v>10163733.333333332</v>
      </c>
      <c r="P17" s="18">
        <v>93</v>
      </c>
      <c r="Q17" s="19">
        <v>1</v>
      </c>
      <c r="R17" s="19">
        <v>1</v>
      </c>
      <c r="S17" s="19">
        <f>+P17+Q17+(R17*2)</f>
        <v>96</v>
      </c>
      <c r="T17" s="18">
        <v>20</v>
      </c>
      <c r="U17" s="19">
        <v>1.62</v>
      </c>
      <c r="V17" s="19">
        <v>1</v>
      </c>
      <c r="W17" s="19">
        <v>24</v>
      </c>
      <c r="X17" s="43">
        <f t="shared" si="11"/>
        <v>0.25</v>
      </c>
      <c r="Y17" s="43">
        <f>+S17/T17*U17</f>
        <v>7.7759999999999998</v>
      </c>
      <c r="Z17" s="43">
        <f t="shared" si="12"/>
        <v>8.0259999999999998</v>
      </c>
      <c r="AA17" s="644">
        <v>8</v>
      </c>
      <c r="AB17" s="18">
        <f t="shared" si="13"/>
        <v>10698666.666666666</v>
      </c>
      <c r="AC17" s="18">
        <f>+AB17-N17-0.33</f>
        <v>534933.003333334</v>
      </c>
      <c r="AE17" s="18">
        <v>94</v>
      </c>
      <c r="AF17" s="19">
        <v>1</v>
      </c>
      <c r="AG17" s="19">
        <v>1</v>
      </c>
      <c r="AH17" s="19">
        <f>+AE17+AF17+(AG17*2)</f>
        <v>97</v>
      </c>
      <c r="AI17" s="18">
        <v>20</v>
      </c>
      <c r="AJ17" s="19">
        <v>1.62</v>
      </c>
      <c r="AK17" s="19">
        <v>1</v>
      </c>
      <c r="AL17" s="19">
        <v>24</v>
      </c>
      <c r="AM17" s="43">
        <f t="shared" si="14"/>
        <v>0.25</v>
      </c>
      <c r="AN17" s="43">
        <f>+AH17/AI17*AJ17</f>
        <v>7.8570000000000002</v>
      </c>
      <c r="AO17" s="43">
        <f t="shared" si="15"/>
        <v>8.1069999999999993</v>
      </c>
      <c r="AP17" s="644">
        <v>8.1</v>
      </c>
      <c r="AQ17" s="18">
        <f t="shared" si="16"/>
        <v>10832400</v>
      </c>
      <c r="AR17" s="18">
        <f t="shared" si="17"/>
        <v>133733.33333333395</v>
      </c>
    </row>
    <row r="18" spans="1:44">
      <c r="A18" s="19" t="s">
        <v>111</v>
      </c>
      <c r="C18" s="19"/>
      <c r="D18" s="19"/>
      <c r="E18" s="19"/>
      <c r="F18" s="18"/>
      <c r="H18" s="19">
        <v>1</v>
      </c>
      <c r="I18" s="19">
        <v>8</v>
      </c>
      <c r="J18" s="43">
        <f t="shared" si="8"/>
        <v>0.75</v>
      </c>
      <c r="K18" s="43">
        <v>0</v>
      </c>
      <c r="L18" s="43">
        <f t="shared" si="9"/>
        <v>0.75</v>
      </c>
      <c r="M18" s="644">
        <v>0.8</v>
      </c>
      <c r="N18" s="18">
        <f t="shared" si="10"/>
        <v>1069866.6666666665</v>
      </c>
      <c r="P18" s="18"/>
      <c r="R18" s="19"/>
      <c r="S18" s="19"/>
      <c r="T18" s="18"/>
      <c r="U18" s="19"/>
      <c r="V18" s="19">
        <v>1</v>
      </c>
      <c r="W18" s="18">
        <v>8</v>
      </c>
      <c r="X18" s="43">
        <f t="shared" si="11"/>
        <v>0.75</v>
      </c>
      <c r="Y18" s="43">
        <v>0</v>
      </c>
      <c r="Z18" s="43">
        <f t="shared" si="12"/>
        <v>0.75</v>
      </c>
      <c r="AA18" s="644">
        <v>0.8</v>
      </c>
      <c r="AB18" s="18">
        <f t="shared" si="13"/>
        <v>1069866.6666666665</v>
      </c>
      <c r="AC18" s="18">
        <f t="shared" si="18"/>
        <v>0</v>
      </c>
      <c r="AE18" s="18"/>
      <c r="AI18" s="18"/>
      <c r="AK18" s="19">
        <v>1</v>
      </c>
      <c r="AL18" s="18">
        <v>8</v>
      </c>
      <c r="AM18" s="43">
        <f t="shared" si="14"/>
        <v>0.75</v>
      </c>
      <c r="AN18" s="43">
        <v>0</v>
      </c>
      <c r="AO18" s="43">
        <f t="shared" si="15"/>
        <v>0.75</v>
      </c>
      <c r="AP18" s="644">
        <v>0.8</v>
      </c>
      <c r="AQ18" s="18">
        <f t="shared" si="16"/>
        <v>1069866.6666666665</v>
      </c>
      <c r="AR18" s="18">
        <f t="shared" si="17"/>
        <v>0</v>
      </c>
    </row>
    <row r="19" spans="1:44">
      <c r="A19" s="19" t="s">
        <v>97</v>
      </c>
      <c r="B19" s="18">
        <f>+SUM(B14:B17)</f>
        <v>295</v>
      </c>
      <c r="C19" s="18">
        <f>+SUM(C14:C17)</f>
        <v>3</v>
      </c>
      <c r="D19" s="18">
        <f>+SUM(D14:D17)</f>
        <v>2</v>
      </c>
      <c r="E19" s="18">
        <f>SUM(E14:E17)</f>
        <v>302</v>
      </c>
      <c r="F19" s="18">
        <v>20</v>
      </c>
      <c r="G19" s="19">
        <v>1.62</v>
      </c>
      <c r="H19" s="19">
        <f t="shared" ref="H19:N19" si="19">SUM(H14:H18)</f>
        <v>6</v>
      </c>
      <c r="I19" s="19">
        <f t="shared" si="19"/>
        <v>118</v>
      </c>
      <c r="J19" s="20">
        <f t="shared" si="19"/>
        <v>2.3125</v>
      </c>
      <c r="K19" s="43">
        <f t="shared" si="19"/>
        <v>24.462000000000003</v>
      </c>
      <c r="L19" s="43">
        <f t="shared" si="19"/>
        <v>26.774500000000003</v>
      </c>
      <c r="M19" s="644">
        <f t="shared" si="19"/>
        <v>26.8</v>
      </c>
      <c r="N19" s="18">
        <f t="shared" si="19"/>
        <v>35840533.333333328</v>
      </c>
      <c r="P19" s="18">
        <f>+SUM(P14:P17)</f>
        <v>297</v>
      </c>
      <c r="Q19" s="18">
        <f>+SUM(Q14:Q17)</f>
        <v>3</v>
      </c>
      <c r="R19" s="18">
        <f>+SUM(R14:R17)</f>
        <v>3</v>
      </c>
      <c r="S19" s="18">
        <f>SUM(S14:S17)</f>
        <v>306</v>
      </c>
      <c r="T19" s="18">
        <v>20</v>
      </c>
      <c r="U19" s="19">
        <v>1.62</v>
      </c>
      <c r="V19" s="19">
        <f t="shared" ref="V19:AB19" si="20">SUM(V14:V18)</f>
        <v>6</v>
      </c>
      <c r="W19" s="19">
        <f t="shared" si="20"/>
        <v>124</v>
      </c>
      <c r="X19" s="20">
        <f t="shared" si="20"/>
        <v>2.125</v>
      </c>
      <c r="Y19" s="43">
        <f t="shared" si="20"/>
        <v>24.786000000000001</v>
      </c>
      <c r="Z19" s="43">
        <f t="shared" si="20"/>
        <v>26.911000000000001</v>
      </c>
      <c r="AA19" s="644">
        <f t="shared" si="20"/>
        <v>26.900000000000002</v>
      </c>
      <c r="AB19" s="18">
        <f t="shared" si="20"/>
        <v>35974266.666666664</v>
      </c>
      <c r="AC19" s="18">
        <f>SUM(AC14:AC18)</f>
        <v>133733.003333334</v>
      </c>
      <c r="AE19" s="18">
        <f>+SUM(AE14:AE17)</f>
        <v>292</v>
      </c>
      <c r="AF19" s="18">
        <f>+SUM(AF14:AF17)</f>
        <v>3</v>
      </c>
      <c r="AG19" s="18">
        <f>+SUM(AG14:AG17)</f>
        <v>2</v>
      </c>
      <c r="AH19" s="18">
        <f>SUM(AH14:AH17)</f>
        <v>299</v>
      </c>
      <c r="AI19" s="18">
        <v>20</v>
      </c>
      <c r="AJ19" s="19">
        <v>1.62</v>
      </c>
      <c r="AK19" s="19">
        <f t="shared" ref="AK19:AQ19" si="21">SUM(AK14:AK18)</f>
        <v>6</v>
      </c>
      <c r="AL19" s="19">
        <f t="shared" si="21"/>
        <v>124</v>
      </c>
      <c r="AM19" s="20">
        <f t="shared" si="21"/>
        <v>2.125</v>
      </c>
      <c r="AN19" s="43">
        <f t="shared" si="21"/>
        <v>24.219000000000001</v>
      </c>
      <c r="AO19" s="43">
        <f t="shared" si="21"/>
        <v>26.344000000000001</v>
      </c>
      <c r="AP19" s="644">
        <f t="shared" si="21"/>
        <v>26.3</v>
      </c>
      <c r="AQ19" s="18">
        <f t="shared" si="21"/>
        <v>35171866.666666664</v>
      </c>
      <c r="AR19" s="18">
        <f>SUM(AR14:AR18)</f>
        <v>-802399.99999999907</v>
      </c>
    </row>
    <row r="20" spans="1:44" ht="10.15" customHeight="1">
      <c r="D20" s="19"/>
      <c r="E20" s="19"/>
      <c r="F20" s="20"/>
      <c r="S20" s="18"/>
      <c r="T20" s="18"/>
      <c r="AC20" s="20"/>
      <c r="AG20" s="644"/>
      <c r="AH20" s="18"/>
      <c r="AI20" s="18"/>
      <c r="AJ20" s="18"/>
      <c r="AK20" s="18"/>
      <c r="AR20" s="20"/>
    </row>
    <row r="21" spans="1:44" ht="17.25" customHeight="1">
      <c r="A21" s="647" t="s">
        <v>331</v>
      </c>
      <c r="B21" s="18">
        <v>34400</v>
      </c>
      <c r="D21" s="19"/>
      <c r="E21" s="19"/>
      <c r="F21" s="20"/>
      <c r="S21" s="18"/>
      <c r="T21" s="18"/>
      <c r="AG21" s="644"/>
      <c r="AH21" s="18"/>
      <c r="AI21" s="18"/>
      <c r="AJ21" s="18"/>
      <c r="AK21" s="18"/>
    </row>
    <row r="22" spans="1:44">
      <c r="A22" s="645" t="s">
        <v>330</v>
      </c>
      <c r="C22" s="19"/>
      <c r="D22" s="19"/>
      <c r="E22" s="19"/>
      <c r="F22" s="20"/>
      <c r="P22" s="906" t="s">
        <v>471</v>
      </c>
      <c r="Q22" s="906"/>
      <c r="R22" s="906"/>
      <c r="S22" s="906"/>
      <c r="T22" s="906"/>
      <c r="U22" s="906"/>
      <c r="V22" s="906"/>
      <c r="W22" s="906"/>
      <c r="X22" s="906"/>
      <c r="Y22" s="906"/>
      <c r="Z22" s="906"/>
      <c r="AA22" s="906"/>
      <c r="AB22" s="906"/>
      <c r="AC22" s="645" t="s">
        <v>472</v>
      </c>
      <c r="AE22" s="906" t="s">
        <v>498</v>
      </c>
      <c r="AF22" s="906"/>
      <c r="AG22" s="906"/>
      <c r="AH22" s="906"/>
      <c r="AI22" s="906"/>
      <c r="AJ22" s="906"/>
      <c r="AK22" s="906"/>
      <c r="AL22" s="906"/>
      <c r="AM22" s="906"/>
      <c r="AN22" s="906"/>
      <c r="AO22" s="906"/>
      <c r="AP22" s="906"/>
      <c r="AQ22" s="906"/>
      <c r="AR22" s="645" t="s">
        <v>472</v>
      </c>
    </row>
    <row r="23" spans="1:44">
      <c r="A23" s="19" t="s">
        <v>44</v>
      </c>
      <c r="B23" s="18">
        <v>56</v>
      </c>
      <c r="C23" s="19">
        <v>1</v>
      </c>
      <c r="D23" s="19"/>
      <c r="E23" s="19">
        <f>+B23+C23+(D23*2)</f>
        <v>57</v>
      </c>
      <c r="F23" s="18">
        <v>20</v>
      </c>
      <c r="G23" s="19">
        <v>1.62</v>
      </c>
      <c r="H23" s="19">
        <v>1</v>
      </c>
      <c r="I23" s="19">
        <v>22</v>
      </c>
      <c r="J23" s="43">
        <f t="shared" ref="J23:J27" si="22">H23*(1-I23/(H23*32))</f>
        <v>0.3125</v>
      </c>
      <c r="K23" s="43">
        <f>+E23/F23*G23</f>
        <v>4.6170000000000009</v>
      </c>
      <c r="L23" s="43">
        <f t="shared" ref="L23:L27" si="23">+K23+J23</f>
        <v>4.9295000000000009</v>
      </c>
      <c r="M23" s="644">
        <v>4.9000000000000004</v>
      </c>
      <c r="N23" s="18">
        <f>+M23*$B$21</f>
        <v>168560</v>
      </c>
      <c r="P23" s="18">
        <v>50</v>
      </c>
      <c r="Q23" s="19">
        <v>1</v>
      </c>
      <c r="R23" s="19"/>
      <c r="S23" s="19">
        <f>+P23+Q23+(R23*2)</f>
        <v>51</v>
      </c>
      <c r="T23" s="18">
        <v>20</v>
      </c>
      <c r="U23" s="19">
        <v>1.62</v>
      </c>
      <c r="V23" s="19">
        <v>1</v>
      </c>
      <c r="W23" s="19">
        <v>24</v>
      </c>
      <c r="X23" s="43">
        <f t="shared" ref="X23:X27" si="24">V23*(1-W23/(V23*32))</f>
        <v>0.25</v>
      </c>
      <c r="Y23" s="43">
        <f>+S23/T23*U23</f>
        <v>4.1310000000000002</v>
      </c>
      <c r="Z23" s="43">
        <f t="shared" ref="Z23:Z27" si="25">+Y23+X23</f>
        <v>4.3810000000000002</v>
      </c>
      <c r="AA23" s="644">
        <v>4.4000000000000004</v>
      </c>
      <c r="AB23" s="18">
        <f>+AA23*$B$21</f>
        <v>151360</v>
      </c>
      <c r="AC23" s="18">
        <f>+AB23-N23</f>
        <v>-17200</v>
      </c>
      <c r="AE23" s="18">
        <v>49</v>
      </c>
      <c r="AF23" s="19">
        <v>1</v>
      </c>
      <c r="AH23" s="19">
        <f>+AE23+AF23+(AG23*2)</f>
        <v>50</v>
      </c>
      <c r="AI23" s="18">
        <v>20</v>
      </c>
      <c r="AJ23" s="19">
        <v>1.62</v>
      </c>
      <c r="AK23" s="19">
        <v>1</v>
      </c>
      <c r="AL23" s="19">
        <v>24</v>
      </c>
      <c r="AM23" s="43">
        <f t="shared" ref="AM23:AM27" si="26">AK23*(1-AL23/(AK23*32))</f>
        <v>0.25</v>
      </c>
      <c r="AN23" s="43">
        <f>+AH23/AI23*AJ23</f>
        <v>4.0500000000000007</v>
      </c>
      <c r="AO23" s="43">
        <f t="shared" ref="AO23:AO27" si="27">+AN23+AM23</f>
        <v>4.3000000000000007</v>
      </c>
      <c r="AP23" s="644">
        <v>4.3</v>
      </c>
      <c r="AQ23" s="18">
        <f>+AP23*$B$21</f>
        <v>147920</v>
      </c>
      <c r="AR23" s="18">
        <f t="shared" ref="AR23:AR27" si="28">+AQ23-AB23</f>
        <v>-3440</v>
      </c>
    </row>
    <row r="24" spans="1:44">
      <c r="A24" s="19" t="s">
        <v>45</v>
      </c>
      <c r="B24" s="18">
        <v>96</v>
      </c>
      <c r="C24" s="19"/>
      <c r="D24" s="19">
        <v>1</v>
      </c>
      <c r="E24" s="19">
        <f>+B24+C24+(D24*2)</f>
        <v>98</v>
      </c>
      <c r="F24" s="18">
        <v>20</v>
      </c>
      <c r="G24" s="19">
        <v>1.62</v>
      </c>
      <c r="H24" s="19">
        <v>2</v>
      </c>
      <c r="I24" s="19">
        <f>22+22</f>
        <v>44</v>
      </c>
      <c r="J24" s="43">
        <f t="shared" si="22"/>
        <v>0.625</v>
      </c>
      <c r="K24" s="43">
        <f>+E24/F24*G24</f>
        <v>7.9380000000000015</v>
      </c>
      <c r="L24" s="43">
        <f t="shared" si="23"/>
        <v>8.5630000000000024</v>
      </c>
      <c r="M24" s="644">
        <v>8.6</v>
      </c>
      <c r="N24" s="18">
        <f t="shared" ref="N24:N27" si="29">+M24*$B$21</f>
        <v>295840</v>
      </c>
      <c r="P24" s="18">
        <v>97</v>
      </c>
      <c r="Q24" s="19">
        <v>1</v>
      </c>
      <c r="R24" s="19">
        <v>2</v>
      </c>
      <c r="S24" s="19">
        <f>+P24+Q24+(R24*2)</f>
        <v>102</v>
      </c>
      <c r="T24" s="18">
        <v>20</v>
      </c>
      <c r="U24" s="19">
        <v>1.62</v>
      </c>
      <c r="V24" s="19">
        <v>2</v>
      </c>
      <c r="W24" s="19">
        <f>22+22</f>
        <v>44</v>
      </c>
      <c r="X24" s="43">
        <f t="shared" si="24"/>
        <v>0.625</v>
      </c>
      <c r="Y24" s="43">
        <f>+S24/T24*U24</f>
        <v>8.2620000000000005</v>
      </c>
      <c r="Z24" s="43">
        <f t="shared" si="25"/>
        <v>8.8870000000000005</v>
      </c>
      <c r="AA24" s="644">
        <v>8.9</v>
      </c>
      <c r="AB24" s="18">
        <f t="shared" ref="AB24:AB27" si="30">+AA24*$B$21</f>
        <v>306160</v>
      </c>
      <c r="AC24" s="18">
        <f t="shared" ref="AC24:AC27" si="31">+AB24-N24</f>
        <v>10320</v>
      </c>
      <c r="AE24" s="18">
        <v>94</v>
      </c>
      <c r="AF24" s="19">
        <v>1</v>
      </c>
      <c r="AG24" s="19">
        <v>1</v>
      </c>
      <c r="AH24" s="19">
        <f>+AE24+AF24+(AG24*2)</f>
        <v>97</v>
      </c>
      <c r="AI24" s="18">
        <v>20</v>
      </c>
      <c r="AJ24" s="19">
        <v>1.62</v>
      </c>
      <c r="AK24" s="19">
        <v>2</v>
      </c>
      <c r="AL24" s="19">
        <f>22+22</f>
        <v>44</v>
      </c>
      <c r="AM24" s="43">
        <f t="shared" si="26"/>
        <v>0.625</v>
      </c>
      <c r="AN24" s="43">
        <f>+AH24/AI24*AJ24</f>
        <v>7.8570000000000002</v>
      </c>
      <c r="AO24" s="43">
        <f t="shared" si="27"/>
        <v>8.4819999999999993</v>
      </c>
      <c r="AP24" s="644">
        <v>8.4</v>
      </c>
      <c r="AQ24" s="18">
        <f t="shared" ref="AQ24:AQ27" si="32">+AP24*$B$21</f>
        <v>288960</v>
      </c>
      <c r="AR24" s="18">
        <f t="shared" si="28"/>
        <v>-17200</v>
      </c>
    </row>
    <row r="25" spans="1:44">
      <c r="A25" s="19" t="s">
        <v>46</v>
      </c>
      <c r="B25" s="18">
        <v>56</v>
      </c>
      <c r="C25" s="19">
        <v>1</v>
      </c>
      <c r="D25" s="19"/>
      <c r="E25" s="19">
        <f>+B25+C25+(D25*2)</f>
        <v>57</v>
      </c>
      <c r="F25" s="18">
        <v>20</v>
      </c>
      <c r="G25" s="19">
        <v>1.62</v>
      </c>
      <c r="H25" s="19">
        <v>1</v>
      </c>
      <c r="I25" s="19">
        <v>22</v>
      </c>
      <c r="J25" s="43">
        <f t="shared" si="22"/>
        <v>0.3125</v>
      </c>
      <c r="K25" s="43">
        <f>+E25/F25*G25</f>
        <v>4.6170000000000009</v>
      </c>
      <c r="L25" s="43">
        <f t="shared" si="23"/>
        <v>4.9295000000000009</v>
      </c>
      <c r="M25" s="644">
        <v>4.9000000000000004</v>
      </c>
      <c r="N25" s="18">
        <f t="shared" si="29"/>
        <v>168560</v>
      </c>
      <c r="P25" s="18">
        <v>57</v>
      </c>
      <c r="R25" s="19"/>
      <c r="S25" s="19">
        <f>+P25+Q25+(R25*2)</f>
        <v>57</v>
      </c>
      <c r="T25" s="18">
        <v>20</v>
      </c>
      <c r="U25" s="19">
        <v>1.62</v>
      </c>
      <c r="V25" s="19">
        <v>1</v>
      </c>
      <c r="W25" s="19">
        <v>24</v>
      </c>
      <c r="X25" s="43">
        <f t="shared" si="24"/>
        <v>0.25</v>
      </c>
      <c r="Y25" s="43">
        <f>+S25/T25*U25</f>
        <v>4.6170000000000009</v>
      </c>
      <c r="Z25" s="43">
        <f t="shared" si="25"/>
        <v>4.8670000000000009</v>
      </c>
      <c r="AA25" s="644">
        <v>4.8</v>
      </c>
      <c r="AB25" s="18">
        <f t="shared" si="30"/>
        <v>165120</v>
      </c>
      <c r="AC25" s="18">
        <f>+AB25-N25</f>
        <v>-3440</v>
      </c>
      <c r="AE25" s="18">
        <v>55</v>
      </c>
      <c r="AH25" s="19">
        <f>+AE25+AF25+(AG25*2)</f>
        <v>55</v>
      </c>
      <c r="AI25" s="18">
        <v>20</v>
      </c>
      <c r="AJ25" s="19">
        <v>1.62</v>
      </c>
      <c r="AK25" s="19">
        <v>1</v>
      </c>
      <c r="AL25" s="19">
        <v>24</v>
      </c>
      <c r="AM25" s="43">
        <f t="shared" si="26"/>
        <v>0.25</v>
      </c>
      <c r="AN25" s="43">
        <f>+AH25/AI25*AJ25</f>
        <v>4.4550000000000001</v>
      </c>
      <c r="AO25" s="43">
        <f t="shared" si="27"/>
        <v>4.7050000000000001</v>
      </c>
      <c r="AP25" s="644">
        <v>4.7</v>
      </c>
      <c r="AQ25" s="18">
        <f t="shared" si="32"/>
        <v>161680</v>
      </c>
      <c r="AR25" s="18">
        <f t="shared" si="28"/>
        <v>-3440</v>
      </c>
    </row>
    <row r="26" spans="1:44">
      <c r="A26" s="19" t="s">
        <v>47</v>
      </c>
      <c r="B26" s="18">
        <v>87</v>
      </c>
      <c r="C26" s="19">
        <v>1</v>
      </c>
      <c r="D26" s="19">
        <v>1</v>
      </c>
      <c r="E26" s="19">
        <f>+B26+C26+(D26*2)</f>
        <v>90</v>
      </c>
      <c r="F26" s="18">
        <v>20</v>
      </c>
      <c r="G26" s="19">
        <v>1.62</v>
      </c>
      <c r="H26" s="19">
        <v>1</v>
      </c>
      <c r="I26" s="19">
        <v>22</v>
      </c>
      <c r="J26" s="43">
        <f t="shared" si="22"/>
        <v>0.3125</v>
      </c>
      <c r="K26" s="43">
        <f>+E26/F26*G26</f>
        <v>7.2900000000000009</v>
      </c>
      <c r="L26" s="43">
        <f t="shared" si="23"/>
        <v>7.6025000000000009</v>
      </c>
      <c r="M26" s="644">
        <v>7.6</v>
      </c>
      <c r="N26" s="18">
        <f t="shared" si="29"/>
        <v>261440</v>
      </c>
      <c r="P26" s="18">
        <v>93</v>
      </c>
      <c r="Q26" s="19">
        <v>1</v>
      </c>
      <c r="R26" s="19">
        <v>1</v>
      </c>
      <c r="S26" s="19">
        <f>+P26+Q26+(R26*2)</f>
        <v>96</v>
      </c>
      <c r="T26" s="18">
        <v>20</v>
      </c>
      <c r="U26" s="19">
        <v>1.62</v>
      </c>
      <c r="V26" s="19">
        <v>1</v>
      </c>
      <c r="W26" s="19">
        <v>24</v>
      </c>
      <c r="X26" s="43">
        <f t="shared" si="24"/>
        <v>0.25</v>
      </c>
      <c r="Y26" s="43">
        <f>+S26/T26*U26</f>
        <v>7.7759999999999998</v>
      </c>
      <c r="Z26" s="43">
        <f t="shared" si="25"/>
        <v>8.0259999999999998</v>
      </c>
      <c r="AA26" s="644">
        <v>8</v>
      </c>
      <c r="AB26" s="18">
        <f t="shared" si="30"/>
        <v>275200</v>
      </c>
      <c r="AC26" s="18">
        <f t="shared" si="31"/>
        <v>13760</v>
      </c>
      <c r="AE26" s="18">
        <v>94</v>
      </c>
      <c r="AF26" s="19">
        <v>1</v>
      </c>
      <c r="AG26" s="19">
        <v>1</v>
      </c>
      <c r="AH26" s="19">
        <f>+AE26+AF26+(AG26*2)</f>
        <v>97</v>
      </c>
      <c r="AI26" s="18">
        <v>20</v>
      </c>
      <c r="AJ26" s="19">
        <v>1.62</v>
      </c>
      <c r="AK26" s="19">
        <v>1</v>
      </c>
      <c r="AL26" s="19">
        <v>24</v>
      </c>
      <c r="AM26" s="43">
        <f t="shared" si="26"/>
        <v>0.25</v>
      </c>
      <c r="AN26" s="43">
        <f>+AH26/AI26*AJ26</f>
        <v>7.8570000000000002</v>
      </c>
      <c r="AO26" s="43">
        <f t="shared" si="27"/>
        <v>8.1069999999999993</v>
      </c>
      <c r="AP26" s="644">
        <v>8.1</v>
      </c>
      <c r="AQ26" s="18">
        <f t="shared" si="32"/>
        <v>278640</v>
      </c>
      <c r="AR26" s="18">
        <f t="shared" si="28"/>
        <v>3440</v>
      </c>
    </row>
    <row r="27" spans="1:44">
      <c r="A27" s="19" t="s">
        <v>111</v>
      </c>
      <c r="C27" s="19"/>
      <c r="D27" s="19"/>
      <c r="E27" s="19"/>
      <c r="F27" s="18"/>
      <c r="H27" s="19">
        <v>1</v>
      </c>
      <c r="I27" s="19">
        <v>8</v>
      </c>
      <c r="J27" s="43">
        <f t="shared" si="22"/>
        <v>0.75</v>
      </c>
      <c r="K27" s="43">
        <v>0</v>
      </c>
      <c r="L27" s="43">
        <f t="shared" si="23"/>
        <v>0.75</v>
      </c>
      <c r="M27" s="644">
        <v>0.8</v>
      </c>
      <c r="N27" s="18">
        <f t="shared" si="29"/>
        <v>27520</v>
      </c>
      <c r="P27" s="18"/>
      <c r="R27" s="19"/>
      <c r="S27" s="19"/>
      <c r="T27" s="18"/>
      <c r="U27" s="19"/>
      <c r="V27" s="19">
        <v>1</v>
      </c>
      <c r="W27" s="19">
        <v>8</v>
      </c>
      <c r="X27" s="43">
        <f t="shared" si="24"/>
        <v>0.75</v>
      </c>
      <c r="Y27" s="43">
        <v>0</v>
      </c>
      <c r="Z27" s="43">
        <f t="shared" si="25"/>
        <v>0.75</v>
      </c>
      <c r="AA27" s="644">
        <v>0.8</v>
      </c>
      <c r="AB27" s="18">
        <f t="shared" si="30"/>
        <v>27520</v>
      </c>
      <c r="AC27" s="18">
        <f t="shared" si="31"/>
        <v>0</v>
      </c>
      <c r="AE27" s="18"/>
      <c r="AI27" s="18"/>
      <c r="AK27" s="19">
        <v>1</v>
      </c>
      <c r="AL27" s="19">
        <v>8</v>
      </c>
      <c r="AM27" s="43">
        <f t="shared" si="26"/>
        <v>0.75</v>
      </c>
      <c r="AN27" s="43">
        <v>0</v>
      </c>
      <c r="AO27" s="43">
        <f t="shared" si="27"/>
        <v>0.75</v>
      </c>
      <c r="AP27" s="644">
        <v>0.8</v>
      </c>
      <c r="AQ27" s="18">
        <f t="shared" si="32"/>
        <v>27520</v>
      </c>
      <c r="AR27" s="18">
        <f t="shared" si="28"/>
        <v>0</v>
      </c>
    </row>
    <row r="28" spans="1:44">
      <c r="A28" s="19" t="s">
        <v>97</v>
      </c>
      <c r="B28" s="18">
        <f>+SUM(B23:B26)</f>
        <v>295</v>
      </c>
      <c r="C28" s="18">
        <f>+SUM(C23:C26)</f>
        <v>3</v>
      </c>
      <c r="D28" s="18">
        <f>+SUM(D23:D26)</f>
        <v>2</v>
      </c>
      <c r="E28" s="18">
        <f>SUM(E23:E26)</f>
        <v>302</v>
      </c>
      <c r="F28" s="18">
        <v>20</v>
      </c>
      <c r="G28" s="19">
        <v>1.62</v>
      </c>
      <c r="H28" s="19">
        <f t="shared" ref="H28:N28" si="33">SUM(H23:H27)</f>
        <v>6</v>
      </c>
      <c r="I28" s="19">
        <f t="shared" si="33"/>
        <v>118</v>
      </c>
      <c r="J28" s="20">
        <f t="shared" si="33"/>
        <v>2.3125</v>
      </c>
      <c r="K28" s="43">
        <f t="shared" si="33"/>
        <v>24.462000000000003</v>
      </c>
      <c r="L28" s="43">
        <f t="shared" si="33"/>
        <v>26.774500000000003</v>
      </c>
      <c r="M28" s="644">
        <f t="shared" si="33"/>
        <v>26.8</v>
      </c>
      <c r="N28" s="18">
        <f t="shared" si="33"/>
        <v>921920</v>
      </c>
      <c r="P28" s="18">
        <f>+SUM(P23:P26)</f>
        <v>297</v>
      </c>
      <c r="Q28" s="18">
        <f>+SUM(Q23:Q26)</f>
        <v>3</v>
      </c>
      <c r="R28" s="18">
        <f>+SUM(R23:R26)</f>
        <v>3</v>
      </c>
      <c r="S28" s="18">
        <f>SUM(S23:S26)</f>
        <v>306</v>
      </c>
      <c r="T28" s="18">
        <v>20</v>
      </c>
      <c r="U28" s="19">
        <v>1.62</v>
      </c>
      <c r="V28" s="19">
        <f t="shared" ref="V28:AB28" si="34">SUM(V23:V27)</f>
        <v>6</v>
      </c>
      <c r="W28" s="19">
        <f t="shared" si="34"/>
        <v>124</v>
      </c>
      <c r="X28" s="20">
        <f t="shared" si="34"/>
        <v>2.125</v>
      </c>
      <c r="Y28" s="43">
        <f t="shared" si="34"/>
        <v>24.786000000000001</v>
      </c>
      <c r="Z28" s="43">
        <f t="shared" si="34"/>
        <v>26.911000000000001</v>
      </c>
      <c r="AA28" s="644">
        <f t="shared" si="34"/>
        <v>26.900000000000002</v>
      </c>
      <c r="AB28" s="18">
        <f t="shared" si="34"/>
        <v>925360</v>
      </c>
      <c r="AC28" s="18">
        <f>SUM(AC23:AC27)</f>
        <v>3440</v>
      </c>
      <c r="AE28" s="18">
        <f>+SUM(AE23:AE26)</f>
        <v>292</v>
      </c>
      <c r="AF28" s="18">
        <f>+SUM(AF23:AF26)</f>
        <v>3</v>
      </c>
      <c r="AG28" s="18">
        <f>+SUM(AG23:AG26)</f>
        <v>2</v>
      </c>
      <c r="AH28" s="18">
        <f>SUM(AH23:AH26)</f>
        <v>299</v>
      </c>
      <c r="AI28" s="18">
        <v>20</v>
      </c>
      <c r="AJ28" s="19">
        <v>1.62</v>
      </c>
      <c r="AK28" s="19">
        <f t="shared" ref="AK28:AQ28" si="35">SUM(AK23:AK27)</f>
        <v>6</v>
      </c>
      <c r="AL28" s="19">
        <f t="shared" si="35"/>
        <v>124</v>
      </c>
      <c r="AM28" s="20">
        <f t="shared" si="35"/>
        <v>2.125</v>
      </c>
      <c r="AN28" s="43">
        <f t="shared" si="35"/>
        <v>24.219000000000001</v>
      </c>
      <c r="AO28" s="43">
        <f t="shared" si="35"/>
        <v>26.344000000000001</v>
      </c>
      <c r="AP28" s="644">
        <f t="shared" si="35"/>
        <v>26.3</v>
      </c>
      <c r="AQ28" s="18">
        <f t="shared" si="35"/>
        <v>904720</v>
      </c>
      <c r="AR28" s="18">
        <f>SUM(AR23:AR27)</f>
        <v>-20640</v>
      </c>
    </row>
    <row r="29" spans="1:44" s="32" customFormat="1" ht="17.45" customHeight="1" thickBot="1">
      <c r="A29" s="19"/>
      <c r="B29" s="18"/>
      <c r="C29" s="18"/>
      <c r="D29" s="19"/>
      <c r="E29" s="19"/>
      <c r="F29" s="20"/>
      <c r="G29" s="19"/>
      <c r="H29" s="19"/>
      <c r="I29" s="19"/>
      <c r="J29" s="19"/>
      <c r="K29" s="19"/>
      <c r="L29" s="19"/>
      <c r="P29" s="19"/>
      <c r="Q29" s="18"/>
      <c r="R29" s="19"/>
      <c r="S29" s="19"/>
      <c r="T29" s="20"/>
      <c r="U29" s="19"/>
      <c r="V29" s="109"/>
    </row>
    <row r="30" spans="1:44" ht="13.9" customHeight="1">
      <c r="B30" s="907" t="s">
        <v>44</v>
      </c>
      <c r="C30" s="908"/>
      <c r="D30" s="909"/>
      <c r="E30" s="910" t="s">
        <v>45</v>
      </c>
      <c r="F30" s="911"/>
      <c r="G30" s="912"/>
      <c r="H30" s="913" t="s">
        <v>46</v>
      </c>
      <c r="I30" s="914"/>
      <c r="J30" s="915"/>
      <c r="K30" s="910" t="s">
        <v>47</v>
      </c>
      <c r="L30" s="911"/>
      <c r="M30" s="912"/>
      <c r="N30" s="916" t="s">
        <v>101</v>
      </c>
      <c r="O30" s="917"/>
      <c r="P30" s="918"/>
      <c r="Q30" s="922" t="s">
        <v>25</v>
      </c>
      <c r="R30" s="924" t="s">
        <v>473</v>
      </c>
      <c r="S30" s="926" t="s">
        <v>499</v>
      </c>
      <c r="T30" s="19"/>
      <c r="U30" s="19"/>
      <c r="V30" s="921" t="s">
        <v>343</v>
      </c>
      <c r="W30" s="919" t="s">
        <v>344</v>
      </c>
      <c r="X30" s="919" t="s">
        <v>345</v>
      </c>
      <c r="Y30" s="919" t="s">
        <v>346</v>
      </c>
      <c r="Z30" s="920" t="s">
        <v>347</v>
      </c>
      <c r="AA30" s="920" t="s">
        <v>348</v>
      </c>
      <c r="AB30" s="920" t="s">
        <v>349</v>
      </c>
      <c r="AC30" s="18"/>
    </row>
    <row r="31" spans="1:44" ht="27" customHeight="1" thickBot="1">
      <c r="A31" s="172"/>
      <c r="B31" s="648" t="s">
        <v>474</v>
      </c>
      <c r="C31" s="649" t="s">
        <v>475</v>
      </c>
      <c r="D31" s="649" t="s">
        <v>500</v>
      </c>
      <c r="E31" s="650" t="s">
        <v>474</v>
      </c>
      <c r="F31" s="649" t="s">
        <v>475</v>
      </c>
      <c r="G31" s="649" t="s">
        <v>500</v>
      </c>
      <c r="H31" s="650" t="s">
        <v>474</v>
      </c>
      <c r="I31" s="649" t="s">
        <v>475</v>
      </c>
      <c r="J31" s="649" t="s">
        <v>500</v>
      </c>
      <c r="K31" s="650" t="s">
        <v>474</v>
      </c>
      <c r="L31" s="649" t="s">
        <v>475</v>
      </c>
      <c r="M31" s="649" t="s">
        <v>500</v>
      </c>
      <c r="N31" s="650" t="s">
        <v>474</v>
      </c>
      <c r="O31" s="649" t="s">
        <v>475</v>
      </c>
      <c r="P31" s="649" t="s">
        <v>500</v>
      </c>
      <c r="Q31" s="923"/>
      <c r="R31" s="925"/>
      <c r="S31" s="927"/>
      <c r="T31" s="22"/>
      <c r="U31" s="19"/>
      <c r="V31" s="921"/>
      <c r="W31" s="919"/>
      <c r="X31" s="919"/>
      <c r="Y31" s="919"/>
      <c r="Z31" s="920"/>
      <c r="AA31" s="920"/>
      <c r="AB31" s="920"/>
      <c r="AC31" s="644"/>
      <c r="AD31" s="644"/>
      <c r="AE31" s="18"/>
      <c r="AF31" s="18"/>
    </row>
    <row r="32" spans="1:44" ht="13.9" customHeight="1">
      <c r="A32" s="651" t="s">
        <v>329</v>
      </c>
      <c r="B32" s="652">
        <f>+N6</f>
        <v>13373333.333333332</v>
      </c>
      <c r="C32" s="652">
        <f>+AC6</f>
        <v>-267465.99666666606</v>
      </c>
      <c r="D32" s="652">
        <f>+AR6</f>
        <v>0</v>
      </c>
      <c r="E32" s="652">
        <f>+N7</f>
        <v>21932266.666666664</v>
      </c>
      <c r="F32" s="652">
        <f>+AC7</f>
        <v>0</v>
      </c>
      <c r="G32" s="652">
        <f>+AR7</f>
        <v>0</v>
      </c>
      <c r="H32" s="652">
        <f>+N8</f>
        <v>13105866.666666666</v>
      </c>
      <c r="I32" s="652">
        <f>+AC8</f>
        <v>-1069865.9966666661</v>
      </c>
      <c r="J32" s="652">
        <f>+AR8</f>
        <v>0</v>
      </c>
      <c r="K32" s="652">
        <f>+N9</f>
        <v>20594933.333333332</v>
      </c>
      <c r="L32" s="652">
        <f>+AC9</f>
        <v>-802400</v>
      </c>
      <c r="M32" s="652">
        <f>+AR9</f>
        <v>0</v>
      </c>
      <c r="N32" s="652">
        <f>+N10</f>
        <v>2139733.333333333</v>
      </c>
      <c r="O32" s="653"/>
      <c r="P32" s="653"/>
      <c r="Q32" s="653">
        <f t="shared" ref="Q32:S33" si="36">+B32+E32+H32+K32+N32</f>
        <v>71146133.333333328</v>
      </c>
      <c r="R32" s="653">
        <f t="shared" si="36"/>
        <v>-2139731.9933333322</v>
      </c>
      <c r="S32" s="654">
        <f t="shared" si="36"/>
        <v>0</v>
      </c>
      <c r="T32" s="22"/>
      <c r="U32" s="22"/>
      <c r="V32" s="12" t="s">
        <v>44</v>
      </c>
      <c r="W32" s="22">
        <v>7088378</v>
      </c>
      <c r="X32" s="22">
        <v>3308095.9999999995</v>
      </c>
      <c r="Y32" s="22">
        <v>3863277.2111999993</v>
      </c>
      <c r="Z32" s="22">
        <v>1403520</v>
      </c>
      <c r="AA32" s="22">
        <v>1821580.7888000007</v>
      </c>
      <c r="AB32" s="23">
        <v>1730502</v>
      </c>
      <c r="AD32" s="644"/>
      <c r="AE32" s="644"/>
      <c r="AF32" s="644"/>
      <c r="AG32" s="18"/>
      <c r="AH32" s="18"/>
    </row>
    <row r="33" spans="1:41" ht="13.9" customHeight="1">
      <c r="A33" s="655" t="s">
        <v>330</v>
      </c>
      <c r="B33" s="656">
        <f>+N14</f>
        <v>6552933.333333333</v>
      </c>
      <c r="C33" s="656">
        <f>+AC14</f>
        <v>-668666.99666666694</v>
      </c>
      <c r="D33" s="656">
        <f>+AR14</f>
        <v>-133733.33333333302</v>
      </c>
      <c r="E33" s="656">
        <f>+N15</f>
        <v>11501066.666666666</v>
      </c>
      <c r="F33" s="656">
        <f>+AC15</f>
        <v>401200</v>
      </c>
      <c r="G33" s="656">
        <f>+AR15</f>
        <v>-668666.66666666605</v>
      </c>
      <c r="H33" s="656">
        <f>+N16</f>
        <v>6552933.333333333</v>
      </c>
      <c r="I33" s="656">
        <f>+AC16</f>
        <v>-133733.00333333304</v>
      </c>
      <c r="J33" s="656">
        <f>+AR16</f>
        <v>-133733.33333333395</v>
      </c>
      <c r="K33" s="656">
        <f>+N17</f>
        <v>10163733.333333332</v>
      </c>
      <c r="L33" s="656">
        <f>+AC17</f>
        <v>534933.003333334</v>
      </c>
      <c r="M33" s="656">
        <f>+AR17</f>
        <v>133733.33333333395</v>
      </c>
      <c r="N33" s="656">
        <f>+N18</f>
        <v>1069866.6666666665</v>
      </c>
      <c r="O33" s="657"/>
      <c r="P33" s="657"/>
      <c r="Q33" s="653">
        <f t="shared" si="36"/>
        <v>35840533.333333328</v>
      </c>
      <c r="R33" s="755">
        <f t="shared" si="36"/>
        <v>133733.003333334</v>
      </c>
      <c r="S33" s="658">
        <f t="shared" si="36"/>
        <v>-802399.99999999907</v>
      </c>
      <c r="T33" s="22"/>
      <c r="U33" s="22"/>
      <c r="V33" s="19"/>
      <c r="W33" s="22"/>
      <c r="X33" s="22"/>
      <c r="Y33" s="22"/>
      <c r="Z33" s="22"/>
      <c r="AA33" s="22"/>
      <c r="AB33" s="23"/>
      <c r="AD33" s="644"/>
      <c r="AE33" s="644"/>
      <c r="AF33" s="644"/>
      <c r="AG33" s="18"/>
      <c r="AH33" s="18"/>
    </row>
    <row r="34" spans="1:41" ht="13.9" customHeight="1">
      <c r="A34" s="647" t="s">
        <v>92</v>
      </c>
      <c r="B34" s="659">
        <f>SUM(B32:B33)</f>
        <v>19926266.666666664</v>
      </c>
      <c r="C34" s="659">
        <f>SUM(C32:C33)</f>
        <v>-936132.99333333294</v>
      </c>
      <c r="D34" s="659">
        <f>SUM(D32:D33)</f>
        <v>-133733.33333333302</v>
      </c>
      <c r="E34" s="659">
        <f t="shared" ref="E34:N34" si="37">SUM(E32:E33)</f>
        <v>33433333.333333328</v>
      </c>
      <c r="F34" s="659">
        <f t="shared" si="37"/>
        <v>401200</v>
      </c>
      <c r="G34" s="659">
        <f t="shared" si="37"/>
        <v>-668666.66666666605</v>
      </c>
      <c r="H34" s="659">
        <f t="shared" si="37"/>
        <v>19658800</v>
      </c>
      <c r="I34" s="659">
        <f t="shared" si="37"/>
        <v>-1203598.9999999991</v>
      </c>
      <c r="J34" s="659">
        <f t="shared" si="37"/>
        <v>-133733.33333333395</v>
      </c>
      <c r="K34" s="659">
        <f t="shared" si="37"/>
        <v>30758666.666666664</v>
      </c>
      <c r="L34" s="659">
        <f t="shared" si="37"/>
        <v>-267466.996666666</v>
      </c>
      <c r="M34" s="659">
        <f t="shared" si="37"/>
        <v>133733.33333333395</v>
      </c>
      <c r="N34" s="659">
        <f t="shared" si="37"/>
        <v>3209599.9999999995</v>
      </c>
      <c r="O34" s="660"/>
      <c r="P34" s="660"/>
      <c r="Q34" s="660">
        <f>SUM(Q32:Q33)</f>
        <v>106986666.66666666</v>
      </c>
      <c r="R34" s="660">
        <f>SUM(R32:R33)</f>
        <v>-2005998.9899999984</v>
      </c>
      <c r="S34" s="661">
        <f>SUM(S32:S33)</f>
        <v>-802399.99999999907</v>
      </c>
      <c r="T34" s="22"/>
      <c r="U34" s="22"/>
      <c r="V34" s="19"/>
      <c r="Y34" s="644"/>
      <c r="Z34" s="644"/>
      <c r="AA34" s="644"/>
      <c r="AB34" s="18"/>
      <c r="AD34" s="644"/>
      <c r="AE34" s="644"/>
      <c r="AF34" s="644"/>
      <c r="AG34" s="18"/>
      <c r="AH34" s="18"/>
    </row>
    <row r="35" spans="1:41">
      <c r="A35" s="647" t="s">
        <v>331</v>
      </c>
      <c r="B35" s="659">
        <f>+N23</f>
        <v>168560</v>
      </c>
      <c r="C35" s="659">
        <f>+AC23</f>
        <v>-17200</v>
      </c>
      <c r="D35" s="659">
        <f>+AR23</f>
        <v>-3440</v>
      </c>
      <c r="E35" s="659">
        <f>+N24</f>
        <v>295840</v>
      </c>
      <c r="F35" s="659">
        <f>+AC24</f>
        <v>10320</v>
      </c>
      <c r="G35" s="659">
        <f>+AR24</f>
        <v>-17200</v>
      </c>
      <c r="H35" s="659">
        <f>+N25</f>
        <v>168560</v>
      </c>
      <c r="I35" s="659">
        <f>+AC25</f>
        <v>-3440</v>
      </c>
      <c r="J35" s="659">
        <f>+AR25</f>
        <v>-3440</v>
      </c>
      <c r="K35" s="659">
        <f>+N26</f>
        <v>261440</v>
      </c>
      <c r="L35" s="659">
        <f>+AC26</f>
        <v>13760</v>
      </c>
      <c r="M35" s="660">
        <f>+AR26</f>
        <v>3440</v>
      </c>
      <c r="N35" s="660">
        <f>+N27</f>
        <v>27520</v>
      </c>
      <c r="O35" s="660"/>
      <c r="P35" s="660"/>
      <c r="Q35" s="659">
        <f t="shared" ref="Q35:S37" si="38">+B35+E35+H35+K35+N35</f>
        <v>921920</v>
      </c>
      <c r="R35" s="660">
        <f t="shared" si="38"/>
        <v>3440</v>
      </c>
      <c r="S35" s="661">
        <f t="shared" si="38"/>
        <v>-20640</v>
      </c>
      <c r="T35" s="22"/>
      <c r="U35" s="22"/>
      <c r="V35" s="19"/>
      <c r="Y35" s="644"/>
      <c r="Z35" s="644"/>
      <c r="AA35" s="644"/>
      <c r="AB35" s="18"/>
      <c r="AD35" s="644"/>
      <c r="AE35" s="644"/>
      <c r="AF35" s="644"/>
      <c r="AG35" s="18"/>
      <c r="AH35" s="18"/>
    </row>
    <row r="36" spans="1:41" ht="13.9" customHeight="1">
      <c r="A36" s="662" t="s">
        <v>329</v>
      </c>
      <c r="B36" s="652">
        <f>+F47</f>
        <v>2400000</v>
      </c>
      <c r="C36" s="652"/>
      <c r="D36" s="652"/>
      <c r="E36" s="652">
        <f>+F48</f>
        <v>5400000</v>
      </c>
      <c r="F36" s="652"/>
      <c r="G36" s="652"/>
      <c r="H36" s="652">
        <f>+F49</f>
        <v>2400000</v>
      </c>
      <c r="I36" s="652"/>
      <c r="J36" s="652"/>
      <c r="K36" s="652">
        <f>+F50</f>
        <v>4800000</v>
      </c>
      <c r="L36" s="652"/>
      <c r="M36" s="653"/>
      <c r="N36" s="653">
        <f>+F51</f>
        <v>600000</v>
      </c>
      <c r="O36" s="653"/>
      <c r="P36" s="653"/>
      <c r="Q36" s="653">
        <f t="shared" si="38"/>
        <v>15600000</v>
      </c>
      <c r="R36" s="653">
        <f t="shared" si="38"/>
        <v>0</v>
      </c>
      <c r="S36" s="654">
        <f t="shared" si="38"/>
        <v>0</v>
      </c>
      <c r="T36" s="22"/>
      <c r="U36" s="22"/>
      <c r="V36" s="19"/>
      <c r="AB36" s="644"/>
      <c r="AD36" s="644"/>
      <c r="AE36" s="644"/>
      <c r="AF36" s="644"/>
      <c r="AG36" s="18"/>
      <c r="AH36" s="18"/>
      <c r="AM36" s="663"/>
    </row>
    <row r="37" spans="1:41" ht="13.9" customHeight="1">
      <c r="A37" s="655" t="s">
        <v>330</v>
      </c>
      <c r="B37" s="656">
        <f>+F55</f>
        <v>1200000</v>
      </c>
      <c r="C37" s="656"/>
      <c r="D37" s="656"/>
      <c r="E37" s="656">
        <f>+F56</f>
        <v>2700000</v>
      </c>
      <c r="F37" s="656">
        <f>+L56</f>
        <v>600000</v>
      </c>
      <c r="G37" s="656"/>
      <c r="H37" s="656">
        <f>+F57</f>
        <v>1200000</v>
      </c>
      <c r="I37" s="656"/>
      <c r="J37" s="656"/>
      <c r="K37" s="656">
        <f>+F58</f>
        <v>2400000</v>
      </c>
      <c r="L37" s="656">
        <f>+L58</f>
        <v>600000</v>
      </c>
      <c r="M37" s="664"/>
      <c r="N37" s="664">
        <f>+F59</f>
        <v>300000</v>
      </c>
      <c r="O37" s="657"/>
      <c r="P37" s="657"/>
      <c r="Q37" s="653">
        <f t="shared" si="38"/>
        <v>7800000</v>
      </c>
      <c r="R37" s="755">
        <f t="shared" si="38"/>
        <v>1200000</v>
      </c>
      <c r="S37" s="658">
        <f t="shared" si="38"/>
        <v>0</v>
      </c>
      <c r="T37" s="22"/>
      <c r="U37" s="22"/>
      <c r="V37" s="928" t="s">
        <v>332</v>
      </c>
      <c r="W37" s="928"/>
      <c r="X37" s="902" t="s">
        <v>333</v>
      </c>
      <c r="Y37" s="902"/>
      <c r="Z37" s="902"/>
      <c r="AB37" s="903" t="s">
        <v>334</v>
      </c>
      <c r="AC37" s="22"/>
      <c r="AD37" s="644"/>
      <c r="AE37" s="644"/>
      <c r="AF37" s="644"/>
      <c r="AG37" s="753"/>
      <c r="AH37" s="752"/>
      <c r="AI37" s="753"/>
      <c r="AJ37" s="752"/>
      <c r="AK37" s="753"/>
      <c r="AL37" s="752"/>
      <c r="AM37" s="753"/>
      <c r="AN37" s="752"/>
      <c r="AO37" s="753"/>
    </row>
    <row r="38" spans="1:41" ht="13.9" customHeight="1">
      <c r="A38" s="94" t="s">
        <v>93</v>
      </c>
      <c r="B38" s="659">
        <f t="shared" ref="B38:N38" si="39">SUM(B36:B37)</f>
        <v>3600000</v>
      </c>
      <c r="C38" s="659">
        <f t="shared" si="39"/>
        <v>0</v>
      </c>
      <c r="D38" s="659"/>
      <c r="E38" s="659">
        <f t="shared" si="39"/>
        <v>8100000</v>
      </c>
      <c r="F38" s="659">
        <f t="shared" si="39"/>
        <v>600000</v>
      </c>
      <c r="G38" s="659"/>
      <c r="H38" s="659">
        <f t="shared" si="39"/>
        <v>3600000</v>
      </c>
      <c r="I38" s="659">
        <f t="shared" si="39"/>
        <v>0</v>
      </c>
      <c r="J38" s="659"/>
      <c r="K38" s="659">
        <f t="shared" si="39"/>
        <v>7200000</v>
      </c>
      <c r="L38" s="659">
        <f t="shared" ref="L38" si="40">SUM(L36:L37)</f>
        <v>600000</v>
      </c>
      <c r="M38" s="659"/>
      <c r="N38" s="659">
        <f t="shared" si="39"/>
        <v>900000</v>
      </c>
      <c r="O38" s="660"/>
      <c r="P38" s="660"/>
      <c r="Q38" s="660">
        <f>SUM(Q36:Q37)</f>
        <v>23400000</v>
      </c>
      <c r="R38" s="660">
        <f>SUM(R36:R37)</f>
        <v>1200000</v>
      </c>
      <c r="S38" s="661">
        <f>SUM(S36:S37)</f>
        <v>0</v>
      </c>
      <c r="T38" s="22"/>
      <c r="U38" s="23"/>
      <c r="V38" s="22">
        <v>1632000</v>
      </c>
      <c r="W38" s="754" t="s">
        <v>21</v>
      </c>
      <c r="X38" s="19" t="s">
        <v>335</v>
      </c>
      <c r="Y38" s="19" t="s">
        <v>336</v>
      </c>
      <c r="Z38" s="19" t="s">
        <v>337</v>
      </c>
      <c r="AA38" s="19" t="s">
        <v>338</v>
      </c>
      <c r="AB38" s="903"/>
      <c r="AC38" s="22"/>
      <c r="AD38" s="22"/>
      <c r="AE38" s="644"/>
      <c r="AF38" s="644"/>
      <c r="AG38" s="665"/>
      <c r="AH38" s="22"/>
      <c r="AI38" s="22"/>
      <c r="AM38" s="663"/>
    </row>
    <row r="39" spans="1:41" ht="13.9" customHeight="1">
      <c r="A39" s="666" t="s">
        <v>329</v>
      </c>
      <c r="B39" s="667">
        <f>+Q53</f>
        <v>2128000</v>
      </c>
      <c r="C39" s="667">
        <f>+S53</f>
        <v>-37333.333333333489</v>
      </c>
      <c r="D39" s="667">
        <f>+U53</f>
        <v>0</v>
      </c>
      <c r="E39" s="667">
        <f>+Q54</f>
        <v>3434666.6666666665</v>
      </c>
      <c r="F39" s="667">
        <f>+S54</f>
        <v>-37333.333333333489</v>
      </c>
      <c r="G39" s="667">
        <f>+U54</f>
        <v>0</v>
      </c>
      <c r="H39" s="667">
        <f>+Q55</f>
        <v>2053333.3333333333</v>
      </c>
      <c r="I39" s="667">
        <f>+S55</f>
        <v>-112000</v>
      </c>
      <c r="J39" s="667">
        <f>+U55</f>
        <v>0</v>
      </c>
      <c r="K39" s="667">
        <f>+Q56</f>
        <v>3285333.333333333</v>
      </c>
      <c r="L39" s="667">
        <f>+S56</f>
        <v>-37333.333333333023</v>
      </c>
      <c r="M39" s="668">
        <f>+U56</f>
        <v>0</v>
      </c>
      <c r="N39" s="668"/>
      <c r="O39" s="653"/>
      <c r="P39" s="653"/>
      <c r="Q39" s="653">
        <f t="shared" ref="Q39:S40" si="41">+B39+E39+H39+K39+N39</f>
        <v>10901333.333333332</v>
      </c>
      <c r="R39" s="653">
        <f t="shared" si="41"/>
        <v>-224000</v>
      </c>
      <c r="S39" s="654">
        <f t="shared" si="41"/>
        <v>0</v>
      </c>
      <c r="T39" s="22"/>
      <c r="U39" s="23"/>
      <c r="V39" s="19" t="s">
        <v>44</v>
      </c>
      <c r="W39" s="18">
        <f>+V38*AB39</f>
        <v>1403520</v>
      </c>
      <c r="X39" s="19">
        <v>2</v>
      </c>
      <c r="Y39" s="19">
        <v>18</v>
      </c>
      <c r="Z39" s="19">
        <v>23</v>
      </c>
      <c r="AA39" s="19">
        <f>SUM(X39:Z39)</f>
        <v>43</v>
      </c>
      <c r="AB39" s="43">
        <f>+AA39/AB43*V46</f>
        <v>0.86</v>
      </c>
      <c r="AC39" s="22"/>
      <c r="AD39" s="22"/>
      <c r="AE39" s="644"/>
      <c r="AF39" s="644"/>
      <c r="AG39" s="904"/>
      <c r="AH39" s="902"/>
      <c r="AI39" s="753"/>
      <c r="AJ39" s="753"/>
      <c r="AK39" s="905"/>
      <c r="AL39" s="905"/>
      <c r="AM39" s="905"/>
      <c r="AN39" s="905"/>
    </row>
    <row r="40" spans="1:41" ht="15" customHeight="1">
      <c r="A40" s="655" t="s">
        <v>330</v>
      </c>
      <c r="B40" s="656">
        <f>+Q60</f>
        <v>1045333.3333333333</v>
      </c>
      <c r="C40" s="656">
        <f>+S60</f>
        <v>-112000</v>
      </c>
      <c r="D40" s="656">
        <f>+U60</f>
        <v>-18666.666666666628</v>
      </c>
      <c r="E40" s="656">
        <f>+Q61</f>
        <v>1792000</v>
      </c>
      <c r="F40" s="656">
        <f>+S61</f>
        <v>18666.666666666511</v>
      </c>
      <c r="G40" s="656">
        <f>+U61</f>
        <v>-56000</v>
      </c>
      <c r="H40" s="656">
        <f>+Q62</f>
        <v>1045333.3333333333</v>
      </c>
      <c r="I40" s="656">
        <f>+S62</f>
        <v>18665.996666666746</v>
      </c>
      <c r="J40" s="656">
        <f>+U62</f>
        <v>-37333.333333333372</v>
      </c>
      <c r="K40" s="656">
        <f>+Q63</f>
        <v>1624000</v>
      </c>
      <c r="L40" s="656">
        <f>+S63</f>
        <v>112000</v>
      </c>
      <c r="M40" s="664">
        <f>+U63</f>
        <v>18666.666666666511</v>
      </c>
      <c r="N40" s="664"/>
      <c r="O40" s="657"/>
      <c r="P40" s="657"/>
      <c r="Q40" s="653">
        <f t="shared" si="41"/>
        <v>5506666.666666666</v>
      </c>
      <c r="R40" s="755">
        <f t="shared" si="41"/>
        <v>37332.663333333257</v>
      </c>
      <c r="S40" s="658">
        <f t="shared" si="41"/>
        <v>-93333.333333333489</v>
      </c>
      <c r="T40" s="22"/>
      <c r="U40" s="22"/>
      <c r="V40" s="19" t="s">
        <v>97</v>
      </c>
      <c r="W40" s="18">
        <f>SUM(W39:W39)</f>
        <v>1403520</v>
      </c>
      <c r="X40" s="18">
        <f>+SUM(X39:X39)</f>
        <v>2</v>
      </c>
      <c r="Y40" s="18">
        <f>+SUM(Y39:Y39)</f>
        <v>18</v>
      </c>
      <c r="Z40" s="18">
        <f>+SUM(Z39:Z39)</f>
        <v>23</v>
      </c>
      <c r="AA40" s="18">
        <f>+SUM(AA39:AA39)</f>
        <v>43</v>
      </c>
      <c r="AB40" s="20">
        <f>+SUM(AB39:AB39)</f>
        <v>0.86</v>
      </c>
      <c r="AC40" s="22"/>
      <c r="AE40" s="644"/>
      <c r="AG40" s="18"/>
      <c r="AH40" s="18"/>
      <c r="AI40" s="18"/>
      <c r="AJ40" s="18"/>
      <c r="AL40" s="669"/>
      <c r="AM40" s="18"/>
    </row>
    <row r="41" spans="1:41" ht="13.9" customHeight="1">
      <c r="A41" s="647" t="s">
        <v>94</v>
      </c>
      <c r="B41" s="659">
        <f>SUM(B39:B40)</f>
        <v>3173333.333333333</v>
      </c>
      <c r="C41" s="659">
        <f>SUM(C39:C40)</f>
        <v>-149333.33333333349</v>
      </c>
      <c r="D41" s="659">
        <f>SUM(D39:D40)</f>
        <v>-18666.666666666628</v>
      </c>
      <c r="E41" s="659">
        <f t="shared" ref="E41:M41" si="42">SUM(E39:E40)</f>
        <v>5226666.666666666</v>
      </c>
      <c r="F41" s="659">
        <f t="shared" si="42"/>
        <v>-18666.666666666977</v>
      </c>
      <c r="G41" s="659">
        <f t="shared" si="42"/>
        <v>-56000</v>
      </c>
      <c r="H41" s="659">
        <f t="shared" si="42"/>
        <v>3098666.6666666665</v>
      </c>
      <c r="I41" s="659">
        <f t="shared" si="42"/>
        <v>-93334.003333333254</v>
      </c>
      <c r="J41" s="659">
        <f t="shared" si="42"/>
        <v>-37333.333333333372</v>
      </c>
      <c r="K41" s="659">
        <f t="shared" si="42"/>
        <v>4909333.333333333</v>
      </c>
      <c r="L41" s="659">
        <f t="shared" si="42"/>
        <v>74666.666666666977</v>
      </c>
      <c r="M41" s="659">
        <f t="shared" si="42"/>
        <v>18666.666666666511</v>
      </c>
      <c r="N41" s="660"/>
      <c r="O41" s="660"/>
      <c r="P41" s="660"/>
      <c r="Q41" s="660">
        <f>SUM(Q39:Q40)</f>
        <v>16407999.999999998</v>
      </c>
      <c r="R41" s="660">
        <f>SUM(R39:R40)</f>
        <v>-186667.33666666673</v>
      </c>
      <c r="S41" s="661">
        <f>SUM(S39:S40)</f>
        <v>-93333.333333333489</v>
      </c>
      <c r="T41" s="22"/>
      <c r="U41" s="46"/>
      <c r="V41" s="19"/>
      <c r="W41" s="18"/>
      <c r="X41" s="18"/>
      <c r="Y41" s="18"/>
      <c r="Z41" s="22"/>
      <c r="AC41" s="23"/>
      <c r="AD41" s="18"/>
      <c r="AF41" s="18"/>
      <c r="AG41" s="18"/>
      <c r="AH41" s="18"/>
      <c r="AI41" s="18"/>
      <c r="AK41" s="18"/>
      <c r="AL41" s="18"/>
    </row>
    <row r="42" spans="1:41" s="32" customFormat="1" ht="15" customHeight="1" thickBot="1">
      <c r="A42" s="670" t="s">
        <v>95</v>
      </c>
      <c r="B42" s="671">
        <f>+W39+AB32</f>
        <v>3134022</v>
      </c>
      <c r="C42" s="671"/>
      <c r="D42" s="671"/>
      <c r="E42" s="671"/>
      <c r="F42" s="671"/>
      <c r="G42" s="671"/>
      <c r="H42" s="671"/>
      <c r="I42" s="671"/>
      <c r="J42" s="671"/>
      <c r="K42" s="671"/>
      <c r="L42" s="671"/>
      <c r="M42" s="672"/>
      <c r="N42" s="672"/>
      <c r="O42" s="672"/>
      <c r="P42" s="672"/>
      <c r="Q42" s="672">
        <f>+B42+E42+H42+K42+N42</f>
        <v>3134022</v>
      </c>
      <c r="R42" s="657">
        <f>+C42+F42+I42+L42+O42</f>
        <v>0</v>
      </c>
      <c r="S42" s="673">
        <f>+D42+G42+J42+M42+P42</f>
        <v>0</v>
      </c>
      <c r="T42" s="22"/>
      <c r="U42" s="22"/>
      <c r="V42" s="19"/>
      <c r="W42" s="18"/>
      <c r="X42" s="18"/>
      <c r="Y42" s="18"/>
      <c r="Z42" s="22"/>
      <c r="AA42" s="22" t="s">
        <v>339</v>
      </c>
      <c r="AB42" s="22"/>
      <c r="AC42" s="18"/>
      <c r="AD42" s="30"/>
      <c r="AF42" s="31"/>
      <c r="AG42" s="31"/>
      <c r="AH42" s="18"/>
      <c r="AI42" s="18"/>
      <c r="AJ42" s="47"/>
      <c r="AK42" s="48"/>
      <c r="AL42" s="31"/>
    </row>
    <row r="43" spans="1:41" ht="13.9" customHeight="1" thickBot="1">
      <c r="A43" s="674" t="s">
        <v>96</v>
      </c>
      <c r="B43" s="675">
        <f t="shared" ref="B43:S43" si="43">+B34+B35+B38+B41+B42</f>
        <v>30002181.999999996</v>
      </c>
      <c r="C43" s="675">
        <f>+C34+C35+C38+C41+C42</f>
        <v>-1102666.3266666664</v>
      </c>
      <c r="D43" s="675">
        <f>+D34+D35+D38+D41+D42</f>
        <v>-155839.99999999965</v>
      </c>
      <c r="E43" s="675">
        <f t="shared" si="43"/>
        <v>47055839.999999993</v>
      </c>
      <c r="F43" s="675">
        <f t="shared" si="43"/>
        <v>992853.33333333302</v>
      </c>
      <c r="G43" s="675">
        <f t="shared" si="43"/>
        <v>-741866.66666666605</v>
      </c>
      <c r="H43" s="675">
        <f t="shared" si="43"/>
        <v>26526026.666666668</v>
      </c>
      <c r="I43" s="675">
        <f t="shared" si="43"/>
        <v>-1300373.0033333322</v>
      </c>
      <c r="J43" s="675">
        <f t="shared" si="43"/>
        <v>-174506.66666666733</v>
      </c>
      <c r="K43" s="675">
        <f t="shared" si="43"/>
        <v>43129440</v>
      </c>
      <c r="L43" s="675">
        <f t="shared" si="43"/>
        <v>420959.67000000097</v>
      </c>
      <c r="M43" s="675">
        <f t="shared" si="43"/>
        <v>155840.00000000047</v>
      </c>
      <c r="N43" s="675">
        <f t="shared" si="43"/>
        <v>4137119.9999999995</v>
      </c>
      <c r="O43" s="675">
        <f t="shared" si="43"/>
        <v>0</v>
      </c>
      <c r="P43" s="675"/>
      <c r="Q43" s="675">
        <f t="shared" si="43"/>
        <v>150850608.66666666</v>
      </c>
      <c r="R43" s="756">
        <f t="shared" si="43"/>
        <v>-989226.32666666503</v>
      </c>
      <c r="S43" s="676">
        <f t="shared" si="43"/>
        <v>-916373.33333333256</v>
      </c>
      <c r="T43" s="23"/>
      <c r="U43" s="644"/>
      <c r="V43" s="19"/>
      <c r="W43" s="18"/>
      <c r="X43" s="18"/>
      <c r="Y43" s="18"/>
      <c r="Z43" s="22"/>
      <c r="AA43" s="22" t="s">
        <v>340</v>
      </c>
      <c r="AB43" s="22">
        <v>60</v>
      </c>
      <c r="AC43" s="18"/>
      <c r="AD43" s="18"/>
      <c r="AE43" s="18"/>
      <c r="AF43" s="18"/>
      <c r="AH43" s="18"/>
      <c r="AI43" s="18"/>
    </row>
    <row r="44" spans="1:41" ht="13.9" customHeight="1">
      <c r="E44" s="18"/>
      <c r="F44" s="18"/>
      <c r="G44" s="18"/>
      <c r="H44" s="22"/>
      <c r="I44" s="22"/>
      <c r="J44" s="22"/>
      <c r="K44" s="22"/>
      <c r="L44" s="22"/>
      <c r="M44" s="22"/>
      <c r="N44" s="22"/>
      <c r="O44" s="22"/>
      <c r="Q44" s="18"/>
      <c r="R44" s="18"/>
      <c r="S44" s="18"/>
      <c r="T44" s="22"/>
      <c r="U44" s="22"/>
      <c r="V44" s="22"/>
      <c r="X44" s="644"/>
      <c r="Z44" s="18"/>
      <c r="AA44" s="18"/>
      <c r="AB44" s="18"/>
      <c r="AC44" s="18"/>
      <c r="AE44" s="18"/>
      <c r="AF44" s="18"/>
    </row>
    <row r="45" spans="1:41" ht="13.9" customHeight="1">
      <c r="A45" s="24" t="s">
        <v>125</v>
      </c>
      <c r="B45" s="18">
        <v>1800000</v>
      </c>
      <c r="E45" s="18"/>
      <c r="F45" s="18"/>
      <c r="G45" s="18"/>
      <c r="H45" s="46"/>
      <c r="I45" s="46"/>
      <c r="J45" s="46"/>
      <c r="K45" s="22"/>
      <c r="N45" s="22"/>
      <c r="O45" s="22"/>
      <c r="Q45" s="18"/>
      <c r="R45" s="18"/>
      <c r="S45" s="18"/>
      <c r="T45" s="22"/>
      <c r="U45" s="22" t="s">
        <v>341</v>
      </c>
      <c r="V45" s="22"/>
      <c r="W45" s="18"/>
      <c r="X45" s="18"/>
      <c r="Z45" s="18"/>
      <c r="AA45" s="18"/>
    </row>
    <row r="46" spans="1:41" ht="13.9" customHeight="1">
      <c r="A46" s="645" t="s">
        <v>329</v>
      </c>
      <c r="B46" s="18" t="s">
        <v>122</v>
      </c>
      <c r="C46" s="753" t="s">
        <v>123</v>
      </c>
      <c r="D46" s="753" t="s">
        <v>124</v>
      </c>
      <c r="E46" s="752" t="s">
        <v>25</v>
      </c>
      <c r="F46" s="644" t="s">
        <v>126</v>
      </c>
      <c r="G46" s="644"/>
      <c r="H46" s="644"/>
      <c r="I46" s="644"/>
      <c r="J46" s="644"/>
      <c r="K46" s="644"/>
      <c r="L46" s="644"/>
      <c r="M46" s="644"/>
      <c r="N46" s="644"/>
      <c r="O46" s="644"/>
      <c r="Q46" s="18"/>
      <c r="R46" s="18"/>
      <c r="S46" s="18"/>
      <c r="T46" s="22"/>
      <c r="U46" s="22" t="s">
        <v>342</v>
      </c>
      <c r="V46" s="677">
        <v>1.2</v>
      </c>
      <c r="X46" s="21"/>
      <c r="Y46" s="18"/>
      <c r="Z46" s="18"/>
    </row>
    <row r="47" spans="1:41" ht="13.9" customHeight="1">
      <c r="A47" s="19" t="s">
        <v>44</v>
      </c>
      <c r="B47" s="20">
        <v>2</v>
      </c>
      <c r="C47" s="20"/>
      <c r="D47" s="20"/>
      <c r="E47" s="678">
        <f>SUM(B47:D47)</f>
        <v>2</v>
      </c>
      <c r="F47" s="18">
        <f>+E47*$B$45*(8/12)</f>
        <v>2400000</v>
      </c>
      <c r="G47" s="18"/>
      <c r="H47" s="18"/>
      <c r="I47" s="18"/>
      <c r="J47" s="18"/>
      <c r="K47" s="18"/>
      <c r="L47" s="18"/>
      <c r="M47" s="18"/>
      <c r="N47" s="18"/>
      <c r="O47" s="18"/>
      <c r="P47" s="23"/>
      <c r="Q47" s="644"/>
      <c r="X47" s="21"/>
      <c r="Y47" s="18"/>
      <c r="Z47" s="18"/>
      <c r="AA47" s="18"/>
    </row>
    <row r="48" spans="1:41" ht="13.9" customHeight="1">
      <c r="A48" s="19" t="s">
        <v>45</v>
      </c>
      <c r="B48" s="20">
        <v>4</v>
      </c>
      <c r="C48" s="678">
        <v>0.5</v>
      </c>
      <c r="E48" s="678">
        <f>SUM(B48:D48)</f>
        <v>4.5</v>
      </c>
      <c r="F48" s="18">
        <f t="shared" ref="F48:F51" si="44">+E48*$B$45*(8/12)</f>
        <v>5400000</v>
      </c>
      <c r="G48" s="18"/>
      <c r="H48" s="18"/>
      <c r="I48" s="18"/>
      <c r="J48" s="18"/>
      <c r="K48" s="18"/>
      <c r="L48" s="18"/>
      <c r="M48" s="18"/>
      <c r="N48" s="18"/>
      <c r="O48" s="22"/>
      <c r="P48" s="22"/>
      <c r="Q48" s="22"/>
      <c r="R48" s="19"/>
      <c r="S48" s="21"/>
      <c r="T48" s="18"/>
      <c r="U48" s="753"/>
      <c r="V48" s="752"/>
      <c r="W48" s="644"/>
      <c r="X48" s="21"/>
      <c r="Y48" s="18"/>
      <c r="Z48" s="18"/>
      <c r="AG48" s="18"/>
    </row>
    <row r="49" spans="1:28" ht="13.9" customHeight="1">
      <c r="A49" s="19" t="s">
        <v>46</v>
      </c>
      <c r="B49" s="20">
        <v>2</v>
      </c>
      <c r="C49" s="678"/>
      <c r="E49" s="678">
        <f>SUM(B49:D49)</f>
        <v>2</v>
      </c>
      <c r="F49" s="18">
        <f t="shared" si="44"/>
        <v>2400000</v>
      </c>
      <c r="G49" s="18"/>
      <c r="H49" s="18"/>
      <c r="I49" s="18"/>
      <c r="J49" s="18"/>
      <c r="K49" s="18"/>
      <c r="L49" s="18"/>
      <c r="M49" s="18"/>
      <c r="N49" s="18"/>
      <c r="O49" s="22"/>
      <c r="P49" s="904" t="s">
        <v>100</v>
      </c>
      <c r="Q49" s="904"/>
      <c r="R49" s="904" t="s">
        <v>100</v>
      </c>
      <c r="S49" s="904"/>
      <c r="T49" s="904" t="s">
        <v>100</v>
      </c>
      <c r="U49" s="904"/>
      <c r="V49" s="22"/>
      <c r="W49" s="644"/>
      <c r="X49" s="21"/>
      <c r="Y49" s="18"/>
      <c r="Z49" s="18"/>
    </row>
    <row r="50" spans="1:28" ht="13.9" customHeight="1">
      <c r="A50" s="19" t="s">
        <v>47</v>
      </c>
      <c r="B50" s="20">
        <v>4</v>
      </c>
      <c r="C50" s="678"/>
      <c r="E50" s="678">
        <f>SUM(B50:D50)</f>
        <v>4</v>
      </c>
      <c r="F50" s="18">
        <f t="shared" si="44"/>
        <v>4800000</v>
      </c>
      <c r="G50" s="18"/>
      <c r="H50" s="18"/>
      <c r="I50" s="18"/>
      <c r="J50" s="18"/>
      <c r="K50" s="18"/>
      <c r="L50" s="18"/>
      <c r="M50" s="18"/>
      <c r="N50" s="18"/>
      <c r="O50" s="18"/>
      <c r="P50" s="905">
        <v>56000</v>
      </c>
      <c r="Q50" s="905"/>
      <c r="R50" s="929" t="s">
        <v>471</v>
      </c>
      <c r="S50" s="929"/>
      <c r="T50" s="929" t="s">
        <v>498</v>
      </c>
      <c r="U50" s="929"/>
      <c r="V50" s="22"/>
      <c r="W50" s="644"/>
      <c r="X50" s="21"/>
      <c r="Y50" s="18"/>
      <c r="Z50" s="18"/>
    </row>
    <row r="51" spans="1:28" ht="13.9" customHeight="1">
      <c r="A51" s="19" t="s">
        <v>111</v>
      </c>
      <c r="B51" s="20">
        <v>0</v>
      </c>
      <c r="C51" s="678">
        <v>0.5</v>
      </c>
      <c r="E51" s="678">
        <f>SUM(B51:D51)</f>
        <v>0.5</v>
      </c>
      <c r="F51" s="18">
        <f t="shared" si="44"/>
        <v>600000</v>
      </c>
      <c r="G51" s="18"/>
      <c r="H51" s="18"/>
      <c r="I51" s="18"/>
      <c r="J51" s="18"/>
      <c r="K51" s="18"/>
      <c r="L51" s="18"/>
      <c r="M51" s="18"/>
      <c r="N51" s="18"/>
      <c r="O51" s="18"/>
      <c r="P51" s="32"/>
      <c r="Q51" s="32"/>
      <c r="R51" s="32"/>
      <c r="S51" s="32"/>
      <c r="T51" s="32"/>
      <c r="U51" s="32"/>
      <c r="V51" s="22"/>
      <c r="W51" s="753"/>
      <c r="X51" s="752"/>
      <c r="Z51" s="18"/>
      <c r="AA51" s="18"/>
    </row>
    <row r="52" spans="1:28" ht="13.9" customHeight="1">
      <c r="A52" s="19" t="s">
        <v>97</v>
      </c>
      <c r="B52" s="20">
        <f>SUM(B47:B51)</f>
        <v>12</v>
      </c>
      <c r="C52" s="679">
        <f t="shared" ref="C52:D52" si="45">SUM(C47:C51)</f>
        <v>1</v>
      </c>
      <c r="D52" s="679">
        <f t="shared" si="45"/>
        <v>0</v>
      </c>
      <c r="E52" s="678">
        <f>SUM(E47:E51)</f>
        <v>13</v>
      </c>
      <c r="F52" s="18">
        <f>SUM(F47:F51)</f>
        <v>15600000</v>
      </c>
      <c r="G52" s="18"/>
      <c r="H52" s="18"/>
      <c r="I52" s="18"/>
      <c r="J52" s="18"/>
      <c r="K52" s="18"/>
      <c r="L52" s="18"/>
      <c r="M52" s="18"/>
      <c r="N52" s="18"/>
      <c r="O52" s="18"/>
      <c r="P52" s="46" t="s">
        <v>120</v>
      </c>
      <c r="Q52" s="18" t="s">
        <v>21</v>
      </c>
      <c r="R52" s="18" t="s">
        <v>21</v>
      </c>
      <c r="S52" s="18" t="s">
        <v>476</v>
      </c>
      <c r="T52" s="18" t="s">
        <v>21</v>
      </c>
      <c r="U52" s="18" t="s">
        <v>476</v>
      </c>
      <c r="V52" s="22"/>
      <c r="W52" s="18"/>
      <c r="Z52" s="18"/>
    </row>
    <row r="53" spans="1:28" ht="13.9" customHeight="1">
      <c r="E53" s="19"/>
      <c r="H53" s="902" t="s">
        <v>471</v>
      </c>
      <c r="I53" s="902"/>
      <c r="J53" s="902"/>
      <c r="K53" s="902"/>
      <c r="L53" s="902"/>
      <c r="P53" s="19" t="s">
        <v>44</v>
      </c>
      <c r="Q53" s="18">
        <f>+B6*(8/12)*$P$50</f>
        <v>2128000</v>
      </c>
      <c r="R53" s="18">
        <f>+P6*(8/12)*$P$50</f>
        <v>2090666.6666666665</v>
      </c>
      <c r="S53" s="18">
        <f>+R53-Q53</f>
        <v>-37333.333333333489</v>
      </c>
      <c r="T53" s="18">
        <f>+AE6*(8/12)*$P$50</f>
        <v>2090666.6666666665</v>
      </c>
      <c r="U53" s="18">
        <f>+T53-R53</f>
        <v>0</v>
      </c>
      <c r="V53" s="22"/>
      <c r="W53" s="18"/>
      <c r="X53" s="18"/>
      <c r="Z53" s="18"/>
    </row>
    <row r="54" spans="1:28" ht="13.9" customHeight="1">
      <c r="A54" s="645" t="s">
        <v>330</v>
      </c>
      <c r="B54" s="753" t="s">
        <v>122</v>
      </c>
      <c r="C54" s="753" t="s">
        <v>123</v>
      </c>
      <c r="D54" s="753" t="s">
        <v>124</v>
      </c>
      <c r="E54" s="752" t="s">
        <v>25</v>
      </c>
      <c r="F54" s="752" t="s">
        <v>126</v>
      </c>
      <c r="G54" s="752"/>
      <c r="H54" s="753" t="s">
        <v>122</v>
      </c>
      <c r="I54" s="753" t="s">
        <v>123</v>
      </c>
      <c r="J54" s="753" t="s">
        <v>124</v>
      </c>
      <c r="K54" s="752" t="s">
        <v>25</v>
      </c>
      <c r="L54" s="752" t="s">
        <v>126</v>
      </c>
      <c r="M54" s="752"/>
      <c r="N54" s="752"/>
      <c r="O54" s="752"/>
      <c r="P54" s="19" t="s">
        <v>45</v>
      </c>
      <c r="Q54" s="18">
        <f>+B7*(8/12)*$P$50</f>
        <v>3434666.6666666665</v>
      </c>
      <c r="R54" s="18">
        <f t="shared" ref="R54:R56" si="46">+P7*(8/12)*$P$50</f>
        <v>3397333.333333333</v>
      </c>
      <c r="S54" s="18">
        <f>+R54-Q54</f>
        <v>-37333.333333333489</v>
      </c>
      <c r="T54" s="18">
        <f>+AE7*(8/12)*$P$50</f>
        <v>3397333.333333333</v>
      </c>
      <c r="U54" s="18">
        <f t="shared" ref="U54:U56" si="47">+T54-R54</f>
        <v>0</v>
      </c>
      <c r="V54" s="21"/>
      <c r="W54" s="18"/>
      <c r="X54" s="18"/>
    </row>
    <row r="55" spans="1:28" ht="13.9" customHeight="1">
      <c r="A55" s="19" t="s">
        <v>44</v>
      </c>
      <c r="B55" s="20">
        <v>2</v>
      </c>
      <c r="C55" s="20"/>
      <c r="D55" s="680"/>
      <c r="E55" s="678">
        <f>SUM(B55:D55)</f>
        <v>2</v>
      </c>
      <c r="F55" s="18">
        <f>+E55*$B$45*(4/12)</f>
        <v>1200000</v>
      </c>
      <c r="G55" s="18"/>
      <c r="H55" s="20"/>
      <c r="I55" s="20"/>
      <c r="J55" s="680"/>
      <c r="K55" s="678">
        <f>SUM(H55:J55)</f>
        <v>0</v>
      </c>
      <c r="L55" s="18">
        <f>+K55*$B$45*(4/12)</f>
        <v>0</v>
      </c>
      <c r="M55" s="18"/>
      <c r="N55" s="18"/>
      <c r="O55" s="18"/>
      <c r="P55" s="19" t="s">
        <v>46</v>
      </c>
      <c r="Q55" s="18">
        <f>+B8*(8/12)*$P$50</f>
        <v>2053333.3333333333</v>
      </c>
      <c r="R55" s="18">
        <f t="shared" si="46"/>
        <v>1941333.3333333333</v>
      </c>
      <c r="S55" s="18">
        <f>+R55-Q55</f>
        <v>-112000</v>
      </c>
      <c r="T55" s="18">
        <f>+AE8*(8/12)*$P$50</f>
        <v>1941333.3333333333</v>
      </c>
      <c r="U55" s="18">
        <f t="shared" si="47"/>
        <v>0</v>
      </c>
      <c r="V55" s="21"/>
    </row>
    <row r="56" spans="1:28" ht="13.9" customHeight="1">
      <c r="A56" s="19" t="s">
        <v>45</v>
      </c>
      <c r="B56" s="20">
        <v>4</v>
      </c>
      <c r="C56" s="678">
        <v>0.5</v>
      </c>
      <c r="D56" s="680"/>
      <c r="E56" s="678">
        <f>SUM(B56:D56)</f>
        <v>4.5</v>
      </c>
      <c r="F56" s="18">
        <f t="shared" ref="F56:F59" si="48">+E56*$B$45*(4/12)</f>
        <v>2700000</v>
      </c>
      <c r="G56" s="18"/>
      <c r="H56" s="20"/>
      <c r="I56" s="678"/>
      <c r="J56" s="679">
        <v>1</v>
      </c>
      <c r="K56" s="678">
        <f>SUM(H56:J56)</f>
        <v>1</v>
      </c>
      <c r="L56" s="18">
        <f t="shared" ref="L56:L59" si="49">+K56*$B$45*(4/12)</f>
        <v>600000</v>
      </c>
      <c r="M56" s="18"/>
      <c r="N56" s="18"/>
      <c r="O56" s="18"/>
      <c r="P56" s="19" t="s">
        <v>47</v>
      </c>
      <c r="Q56" s="18">
        <f>+B9*(8/12)*$P$50</f>
        <v>3285333.333333333</v>
      </c>
      <c r="R56" s="18">
        <f t="shared" si="46"/>
        <v>3248000</v>
      </c>
      <c r="S56" s="18">
        <f>+R56-Q56</f>
        <v>-37333.333333333023</v>
      </c>
      <c r="T56" s="18">
        <f>+AE9*(8/12)*$P$50</f>
        <v>3248000</v>
      </c>
      <c r="U56" s="18">
        <f t="shared" si="47"/>
        <v>0</v>
      </c>
      <c r="V56" s="21"/>
    </row>
    <row r="57" spans="1:28" ht="13.9" customHeight="1">
      <c r="A57" s="19" t="s">
        <v>46</v>
      </c>
      <c r="B57" s="20">
        <v>2</v>
      </c>
      <c r="C57" s="678"/>
      <c r="D57" s="679"/>
      <c r="E57" s="678">
        <f>SUM(B57:D57)</f>
        <v>2</v>
      </c>
      <c r="F57" s="18">
        <f t="shared" si="48"/>
        <v>1200000</v>
      </c>
      <c r="G57" s="18"/>
      <c r="H57" s="20"/>
      <c r="I57" s="678"/>
      <c r="J57" s="679"/>
      <c r="K57" s="678">
        <f>SUM(H57:J57)</f>
        <v>0</v>
      </c>
      <c r="L57" s="18">
        <f t="shared" si="49"/>
        <v>0</v>
      </c>
      <c r="M57" s="18"/>
      <c r="N57" s="18"/>
      <c r="O57" s="18"/>
      <c r="P57" s="19" t="s">
        <v>97</v>
      </c>
      <c r="Q57" s="18">
        <f>SUM(Q53:Q56)</f>
        <v>10901333.333333332</v>
      </c>
      <c r="R57" s="18">
        <f>SUM(R53:R56)</f>
        <v>10677333.333333332</v>
      </c>
      <c r="S57" s="18">
        <f>SUM(S53:S56)</f>
        <v>-224000</v>
      </c>
      <c r="T57" s="18">
        <f>SUM(T53:T56)</f>
        <v>10677333.333333332</v>
      </c>
      <c r="U57" s="18">
        <f>SUM(U53:U56)</f>
        <v>0</v>
      </c>
      <c r="V57" s="21"/>
      <c r="W57" s="22"/>
      <c r="X57" s="22"/>
      <c r="Y57" s="18"/>
    </row>
    <row r="58" spans="1:28" ht="13.9" customHeight="1">
      <c r="A58" s="19" t="s">
        <v>47</v>
      </c>
      <c r="B58" s="20">
        <v>4</v>
      </c>
      <c r="C58" s="678"/>
      <c r="D58" s="679"/>
      <c r="E58" s="678">
        <f>SUM(B58:D58)</f>
        <v>4</v>
      </c>
      <c r="F58" s="18">
        <f t="shared" si="48"/>
        <v>2400000</v>
      </c>
      <c r="G58" s="18"/>
      <c r="H58" s="20"/>
      <c r="I58" s="678"/>
      <c r="J58" s="679">
        <v>1</v>
      </c>
      <c r="K58" s="678">
        <f>SUM(H58:J58)</f>
        <v>1</v>
      </c>
      <c r="L58" s="18">
        <f t="shared" si="49"/>
        <v>600000</v>
      </c>
      <c r="M58" s="18"/>
      <c r="N58" s="18"/>
      <c r="O58" s="18"/>
      <c r="P58" s="22"/>
      <c r="Q58" s="18"/>
      <c r="R58" s="18"/>
      <c r="S58" s="18"/>
      <c r="T58" s="18"/>
      <c r="V58" s="19"/>
      <c r="W58" s="22"/>
      <c r="X58" s="22"/>
      <c r="Y58" s="22"/>
    </row>
    <row r="59" spans="1:28" ht="13.9" customHeight="1">
      <c r="A59" s="19" t="s">
        <v>111</v>
      </c>
      <c r="B59" s="20">
        <v>0</v>
      </c>
      <c r="C59" s="678">
        <v>0.5</v>
      </c>
      <c r="D59" s="679"/>
      <c r="E59" s="678">
        <f>SUM(B59:D59)</f>
        <v>0.5</v>
      </c>
      <c r="F59" s="18">
        <f t="shared" si="48"/>
        <v>300000</v>
      </c>
      <c r="G59" s="18"/>
      <c r="H59" s="20"/>
      <c r="I59" s="678"/>
      <c r="J59" s="679"/>
      <c r="K59" s="678">
        <f>SUM(H59:J59)</f>
        <v>0</v>
      </c>
      <c r="L59" s="18">
        <f t="shared" si="49"/>
        <v>0</v>
      </c>
      <c r="M59" s="18"/>
      <c r="N59" s="18"/>
      <c r="O59" s="18"/>
      <c r="P59" s="22" t="s">
        <v>121</v>
      </c>
      <c r="Q59" s="18"/>
      <c r="R59" s="18"/>
      <c r="S59" s="18"/>
      <c r="T59" s="18"/>
      <c r="W59" s="22"/>
      <c r="X59" s="22"/>
      <c r="Y59" s="22"/>
    </row>
    <row r="60" spans="1:28" ht="13.9" customHeight="1">
      <c r="A60" s="19" t="s">
        <v>97</v>
      </c>
      <c r="B60" s="679">
        <f t="shared" ref="B60:D60" si="50">SUM(B55:B59)</f>
        <v>12</v>
      </c>
      <c r="C60" s="679">
        <f t="shared" si="50"/>
        <v>1</v>
      </c>
      <c r="D60" s="679">
        <f t="shared" si="50"/>
        <v>0</v>
      </c>
      <c r="E60" s="678">
        <f>SUM(E55:E59)</f>
        <v>13</v>
      </c>
      <c r="F60" s="18">
        <f>SUM(F55:F59)</f>
        <v>7800000</v>
      </c>
      <c r="G60" s="18"/>
      <c r="H60" s="679">
        <f t="shared" ref="H60:J60" si="51">SUM(H55:H59)</f>
        <v>0</v>
      </c>
      <c r="I60" s="679">
        <f t="shared" si="51"/>
        <v>0</v>
      </c>
      <c r="J60" s="679">
        <f t="shared" si="51"/>
        <v>2</v>
      </c>
      <c r="K60" s="678">
        <f>SUM(K55:K59)</f>
        <v>2</v>
      </c>
      <c r="L60" s="18">
        <f>SUM(L55:L59)</f>
        <v>1200000</v>
      </c>
      <c r="M60" s="18"/>
      <c r="N60" s="18"/>
      <c r="O60" s="18"/>
      <c r="P60" s="19" t="s">
        <v>44</v>
      </c>
      <c r="Q60" s="18">
        <f>+B14*(4/12)*$P$50</f>
        <v>1045333.3333333333</v>
      </c>
      <c r="R60" s="18">
        <f>+P14*(4/12)*$P$50</f>
        <v>933333.33333333326</v>
      </c>
      <c r="S60" s="18">
        <f>+R60-Q60</f>
        <v>-112000</v>
      </c>
      <c r="T60" s="18">
        <f>+AE14*(4/12)*$P$50</f>
        <v>914666.66666666663</v>
      </c>
      <c r="U60" s="18">
        <f t="shared" ref="U60:U63" si="52">+T60-R60</f>
        <v>-18666.666666666628</v>
      </c>
      <c r="W60" s="22"/>
      <c r="X60" s="22"/>
      <c r="Y60" s="18"/>
      <c r="Z60" s="18"/>
      <c r="AA60" s="18"/>
    </row>
    <row r="61" spans="1:28" ht="13.9" customHeight="1">
      <c r="A61" s="681"/>
      <c r="B61" s="682"/>
      <c r="C61" s="49"/>
      <c r="D61" s="683"/>
      <c r="E61" s="684"/>
      <c r="F61" s="683"/>
      <c r="G61" s="683"/>
      <c r="H61" s="683"/>
      <c r="I61" s="683"/>
      <c r="J61" s="683"/>
      <c r="K61" s="683"/>
      <c r="L61" s="683"/>
      <c r="M61" s="683"/>
      <c r="N61" s="683"/>
      <c r="O61" s="683"/>
      <c r="P61" s="19" t="s">
        <v>45</v>
      </c>
      <c r="Q61" s="18">
        <f>+B15*(4/12)*$P$50</f>
        <v>1792000</v>
      </c>
      <c r="R61" s="18">
        <f t="shared" ref="R61:R63" si="53">+P15*(4/12)*$P$50</f>
        <v>1810666.6666666665</v>
      </c>
      <c r="S61" s="18">
        <f>+R61-Q61</f>
        <v>18666.666666666511</v>
      </c>
      <c r="T61" s="18">
        <f>+AE15*(4/12)*$P$50</f>
        <v>1754666.6666666665</v>
      </c>
      <c r="U61" s="18">
        <f t="shared" si="52"/>
        <v>-56000</v>
      </c>
      <c r="V61" s="22"/>
      <c r="X61" s="21"/>
      <c r="Y61" s="685"/>
      <c r="Z61" s="686"/>
      <c r="AA61" s="645"/>
    </row>
    <row r="62" spans="1:28" ht="13.9" customHeight="1">
      <c r="B62" s="682"/>
      <c r="C62" s="49"/>
      <c r="D62" s="679"/>
      <c r="E62" s="679"/>
      <c r="F62" s="679"/>
      <c r="G62" s="679"/>
      <c r="H62" s="679"/>
      <c r="I62" s="679"/>
      <c r="J62" s="679"/>
      <c r="K62" s="679"/>
      <c r="L62" s="679"/>
      <c r="M62" s="679"/>
      <c r="N62" s="679"/>
      <c r="O62" s="18"/>
      <c r="P62" s="19" t="s">
        <v>46</v>
      </c>
      <c r="Q62" s="18">
        <f>+B16*(4/12)*$P$50</f>
        <v>1045333.3333333333</v>
      </c>
      <c r="R62" s="18">
        <f t="shared" si="53"/>
        <v>1064000</v>
      </c>
      <c r="S62" s="18">
        <f>+R62-Q62-0.67</f>
        <v>18665.996666666746</v>
      </c>
      <c r="T62" s="18">
        <f>+AE16*(4/12)*$P$50</f>
        <v>1026666.6666666666</v>
      </c>
      <c r="U62" s="18">
        <f t="shared" si="52"/>
        <v>-37333.333333333372</v>
      </c>
      <c r="V62" s="22"/>
      <c r="W62" s="23"/>
      <c r="X62" s="644"/>
      <c r="Y62" s="685"/>
      <c r="Z62" s="685"/>
      <c r="AA62" s="686"/>
      <c r="AB62" s="686"/>
    </row>
    <row r="63" spans="1:28" ht="13.9" customHeight="1">
      <c r="A63" s="681"/>
      <c r="B63" s="682"/>
      <c r="C63" s="49"/>
      <c r="D63" s="683"/>
      <c r="E63" s="684"/>
      <c r="F63" s="683"/>
      <c r="G63" s="683"/>
      <c r="J63" s="22"/>
      <c r="M63" s="23"/>
      <c r="N63" s="23"/>
      <c r="O63" s="18"/>
      <c r="P63" s="19" t="s">
        <v>47</v>
      </c>
      <c r="Q63" s="18">
        <f>+B17*(4/12)*$P$50</f>
        <v>1624000</v>
      </c>
      <c r="R63" s="18">
        <f t="shared" si="53"/>
        <v>1736000</v>
      </c>
      <c r="S63" s="18">
        <f>+R63-Q63</f>
        <v>112000</v>
      </c>
      <c r="T63" s="18">
        <f>+AE17*(4/12)*$P$50</f>
        <v>1754666.6666666665</v>
      </c>
      <c r="U63" s="18">
        <f t="shared" si="52"/>
        <v>18666.666666666511</v>
      </c>
      <c r="V63" s="22"/>
      <c r="X63" s="645"/>
    </row>
    <row r="64" spans="1:28" ht="13.9" customHeight="1">
      <c r="A64" s="645"/>
      <c r="B64" s="682"/>
      <c r="C64" s="49"/>
      <c r="E64" s="43"/>
      <c r="F64" s="18"/>
      <c r="G64" s="18"/>
      <c r="J64" s="22"/>
      <c r="M64" s="23"/>
      <c r="N64" s="23"/>
      <c r="O64" s="18"/>
      <c r="P64" s="19" t="s">
        <v>97</v>
      </c>
      <c r="Q64" s="18">
        <f>SUM(Q60:Q63)</f>
        <v>5506666.666666666</v>
      </c>
      <c r="R64" s="18">
        <f>SUM(R60:R63)</f>
        <v>5544000</v>
      </c>
      <c r="S64" s="18">
        <f>SUM(S60:S63)</f>
        <v>37332.663333333257</v>
      </c>
      <c r="T64" s="18">
        <f>SUM(T60:T63)</f>
        <v>5450666.666666666</v>
      </c>
      <c r="U64" s="18">
        <f>SUM(U60:U63)</f>
        <v>-93333.333333333489</v>
      </c>
      <c r="V64" s="644"/>
      <c r="W64" s="645"/>
      <c r="Y64" s="645"/>
    </row>
    <row r="65" spans="1:32" ht="13.9" customHeight="1">
      <c r="A65" s="24"/>
      <c r="B65" s="51"/>
      <c r="C65" s="50"/>
      <c r="F65" s="18"/>
      <c r="G65" s="686"/>
      <c r="H65" s="22"/>
      <c r="I65" s="22"/>
      <c r="J65" s="22"/>
      <c r="M65" s="23"/>
      <c r="N65" s="23"/>
      <c r="O65" s="18"/>
      <c r="P65" s="22"/>
      <c r="R65" s="22"/>
      <c r="S65" s="22"/>
      <c r="T65" s="23"/>
      <c r="U65" s="23"/>
      <c r="V65" s="23"/>
      <c r="W65" s="645"/>
      <c r="Y65" s="645"/>
    </row>
    <row r="66" spans="1:32" ht="13.9" customHeight="1">
      <c r="B66" s="682"/>
      <c r="C66" s="49"/>
      <c r="F66" s="18"/>
      <c r="G66" s="18"/>
      <c r="H66" s="22"/>
      <c r="I66" s="23"/>
      <c r="J66" s="23"/>
      <c r="K66" s="23"/>
      <c r="L66" s="23"/>
      <c r="M66" s="23"/>
      <c r="N66" s="23"/>
      <c r="O66" s="18"/>
      <c r="P66" s="23"/>
      <c r="Q66" s="23"/>
      <c r="S66" s="685"/>
      <c r="T66" s="685"/>
      <c r="U66" s="686"/>
      <c r="V66" s="686"/>
      <c r="X66" s="645"/>
      <c r="Y66" s="645"/>
    </row>
    <row r="67" spans="1:32" ht="13.9" customHeight="1">
      <c r="B67" s="682"/>
      <c r="C67" s="49"/>
      <c r="F67" s="18"/>
      <c r="G67" s="18"/>
      <c r="H67" s="23"/>
      <c r="I67" s="23"/>
      <c r="J67" s="23"/>
      <c r="K67" s="23"/>
      <c r="L67" s="23"/>
      <c r="M67" s="18"/>
      <c r="N67" s="18"/>
      <c r="O67" s="18"/>
      <c r="P67" s="23"/>
      <c r="Q67" s="23"/>
      <c r="S67" s="685"/>
      <c r="Z67" s="645"/>
      <c r="AA67" s="645"/>
      <c r="AB67" s="645"/>
    </row>
    <row r="68" spans="1:32" ht="13.9" customHeight="1">
      <c r="B68" s="682"/>
      <c r="C68" s="49"/>
      <c r="F68" s="18"/>
      <c r="G68" s="18"/>
      <c r="H68" s="23"/>
      <c r="I68" s="23"/>
      <c r="J68" s="23"/>
      <c r="K68" s="23"/>
      <c r="L68" s="23"/>
      <c r="M68" s="18"/>
      <c r="N68" s="18"/>
      <c r="O68" s="18"/>
      <c r="P68" s="23"/>
      <c r="Q68" s="23"/>
      <c r="Z68" s="645"/>
      <c r="AA68" s="645"/>
      <c r="AB68" s="645"/>
    </row>
    <row r="69" spans="1:32" ht="13.9" customHeight="1">
      <c r="B69" s="682"/>
      <c r="C69" s="49"/>
      <c r="F69" s="18"/>
      <c r="G69" s="18"/>
      <c r="H69" s="23"/>
      <c r="I69" s="23"/>
      <c r="J69" s="23"/>
      <c r="K69" s="23"/>
      <c r="L69" s="23"/>
      <c r="M69" s="18"/>
      <c r="N69" s="18"/>
      <c r="O69" s="18"/>
      <c r="P69" s="18"/>
      <c r="Q69" s="18"/>
      <c r="R69" s="685"/>
    </row>
    <row r="70" spans="1:32" s="645" customFormat="1" ht="15" customHeight="1">
      <c r="A70" s="681"/>
      <c r="B70" s="682"/>
      <c r="C70" s="49"/>
      <c r="D70" s="683"/>
      <c r="E70" s="687"/>
      <c r="F70" s="683"/>
      <c r="G70" s="683"/>
      <c r="H70" s="23"/>
      <c r="I70" s="18"/>
      <c r="J70" s="18"/>
      <c r="K70" s="18"/>
      <c r="L70" s="18"/>
      <c r="M70" s="18"/>
      <c r="N70" s="18"/>
      <c r="O70" s="18"/>
      <c r="P70" s="18"/>
      <c r="Q70" s="18"/>
      <c r="R70" s="685"/>
      <c r="S70" s="644"/>
      <c r="T70" s="644"/>
      <c r="U70" s="18"/>
      <c r="V70" s="18"/>
      <c r="W70" s="19"/>
      <c r="X70" s="19"/>
      <c r="Y70" s="19"/>
      <c r="Z70" s="19"/>
      <c r="AA70" s="19"/>
      <c r="AB70" s="19"/>
      <c r="AD70" s="19"/>
      <c r="AE70" s="19"/>
      <c r="AF70" s="19"/>
    </row>
    <row r="71" spans="1:32" s="645" customFormat="1" ht="15" customHeight="1">
      <c r="A71" s="19"/>
      <c r="B71" s="682"/>
      <c r="C71" s="49"/>
      <c r="D71" s="18"/>
      <c r="E71" s="20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644"/>
      <c r="S71" s="644"/>
      <c r="T71" s="644"/>
      <c r="U71" s="18"/>
      <c r="V71" s="18"/>
      <c r="W71" s="19"/>
      <c r="X71" s="19"/>
      <c r="Y71" s="19"/>
      <c r="Z71" s="19"/>
      <c r="AA71" s="19"/>
      <c r="AB71" s="19"/>
      <c r="AD71" s="19"/>
      <c r="AE71" s="19"/>
      <c r="AF71" s="19"/>
    </row>
    <row r="72" spans="1:32">
      <c r="A72" s="681"/>
      <c r="B72" s="682"/>
      <c r="C72" s="49"/>
      <c r="D72" s="683"/>
      <c r="E72" s="687"/>
      <c r="F72" s="683"/>
      <c r="G72" s="683"/>
      <c r="H72" s="18"/>
      <c r="I72" s="18"/>
      <c r="J72" s="18"/>
      <c r="K72" s="18"/>
      <c r="L72" s="18"/>
      <c r="M72" s="18"/>
      <c r="N72" s="18"/>
      <c r="O72" s="18"/>
      <c r="P72" s="18"/>
      <c r="Q72" s="18"/>
      <c r="AD72" s="645"/>
      <c r="AE72" s="645"/>
      <c r="AF72" s="645"/>
    </row>
    <row r="73" spans="1:32">
      <c r="C73" s="753"/>
      <c r="E73" s="18"/>
      <c r="F73" s="18"/>
      <c r="G73" s="20"/>
      <c r="H73" s="18"/>
      <c r="I73" s="18"/>
      <c r="J73" s="18"/>
      <c r="K73" s="18"/>
      <c r="L73" s="18"/>
      <c r="M73" s="18"/>
      <c r="N73" s="18"/>
      <c r="O73" s="18"/>
      <c r="P73" s="18"/>
      <c r="Q73" s="18"/>
      <c r="AD73" s="645"/>
      <c r="AE73" s="645"/>
      <c r="AF73" s="645"/>
    </row>
    <row r="74" spans="1:32">
      <c r="H74" s="18"/>
      <c r="I74" s="18"/>
      <c r="J74" s="18"/>
      <c r="K74" s="18"/>
      <c r="L74" s="18"/>
      <c r="M74" s="18"/>
      <c r="N74" s="18"/>
      <c r="P74" s="18"/>
      <c r="Q74" s="18"/>
    </row>
    <row r="75" spans="1:32">
      <c r="H75" s="18"/>
      <c r="I75" s="18"/>
      <c r="J75" s="18"/>
      <c r="K75" s="18"/>
      <c r="L75" s="18"/>
      <c r="M75" s="18"/>
      <c r="N75" s="18"/>
      <c r="P75" s="18"/>
      <c r="Q75" s="18"/>
    </row>
    <row r="76" spans="1:32">
      <c r="H76" s="18"/>
      <c r="I76" s="18"/>
      <c r="J76" s="18"/>
      <c r="K76" s="18"/>
      <c r="L76" s="18"/>
      <c r="M76" s="18"/>
      <c r="N76" s="18"/>
      <c r="O76" s="753"/>
      <c r="P76" s="18"/>
      <c r="Q76" s="18"/>
    </row>
    <row r="77" spans="1:32">
      <c r="H77" s="18"/>
      <c r="I77" s="18"/>
      <c r="J77" s="18"/>
      <c r="K77" s="18"/>
      <c r="L77" s="18"/>
      <c r="M77" s="18"/>
      <c r="N77" s="18"/>
      <c r="O77" s="753"/>
      <c r="P77" s="18"/>
      <c r="Q77" s="18"/>
    </row>
    <row r="78" spans="1:32">
      <c r="A78" s="688"/>
      <c r="B78" s="689"/>
      <c r="C78" s="689"/>
      <c r="D78" s="689"/>
      <c r="E78" s="690"/>
      <c r="F78" s="688"/>
      <c r="G78" s="688"/>
      <c r="H78" s="18"/>
      <c r="O78" s="18"/>
      <c r="P78" s="18"/>
      <c r="Q78" s="18"/>
      <c r="Y78" s="645"/>
    </row>
    <row r="79" spans="1:32">
      <c r="A79" s="691"/>
      <c r="B79" s="44"/>
      <c r="C79" s="44"/>
      <c r="D79" s="44"/>
      <c r="E79" s="692"/>
      <c r="F79" s="691"/>
      <c r="G79" s="691"/>
      <c r="O79" s="18"/>
      <c r="P79" s="18"/>
      <c r="Q79" s="18"/>
      <c r="W79" s="20"/>
      <c r="X79" s="18"/>
      <c r="Y79" s="18"/>
    </row>
    <row r="80" spans="1:32">
      <c r="A80" s="691"/>
      <c r="B80" s="44"/>
      <c r="C80" s="44"/>
      <c r="D80" s="44"/>
      <c r="E80" s="692"/>
      <c r="F80" s="691"/>
      <c r="G80" s="691"/>
      <c r="I80" s="753"/>
      <c r="J80" s="753"/>
      <c r="K80" s="753"/>
      <c r="L80" s="753"/>
      <c r="M80" s="753"/>
      <c r="N80" s="753"/>
      <c r="O80" s="18"/>
      <c r="T80" s="753"/>
      <c r="U80" s="693"/>
      <c r="W80" s="20"/>
      <c r="X80" s="18"/>
      <c r="Y80" s="686"/>
      <c r="Z80" s="20"/>
      <c r="AA80" s="20"/>
    </row>
    <row r="81" spans="1:32">
      <c r="A81" s="691"/>
      <c r="B81" s="44"/>
      <c r="C81" s="44"/>
      <c r="D81" s="44"/>
      <c r="E81" s="692"/>
      <c r="F81" s="691"/>
      <c r="G81" s="691"/>
      <c r="H81" s="753"/>
      <c r="I81" s="753"/>
      <c r="J81" s="753"/>
      <c r="K81" s="753"/>
      <c r="L81" s="753"/>
      <c r="M81" s="753"/>
      <c r="N81" s="753"/>
      <c r="O81" s="18"/>
      <c r="S81" s="753"/>
      <c r="T81" s="753"/>
      <c r="U81" s="693"/>
      <c r="W81" s="18"/>
      <c r="X81" s="18"/>
      <c r="Y81" s="686"/>
      <c r="Z81" s="20"/>
      <c r="AA81" s="20"/>
    </row>
    <row r="82" spans="1:32">
      <c r="A82" s="694"/>
      <c r="B82" s="45"/>
      <c r="C82" s="45"/>
      <c r="D82" s="45"/>
      <c r="E82" s="695"/>
      <c r="F82" s="694"/>
      <c r="G82" s="694"/>
      <c r="H82" s="753"/>
      <c r="I82" s="18"/>
      <c r="J82" s="18"/>
      <c r="K82" s="18"/>
      <c r="L82" s="18"/>
      <c r="M82" s="18"/>
      <c r="N82" s="18"/>
      <c r="O82" s="18"/>
      <c r="P82" s="753"/>
      <c r="Q82" s="753"/>
      <c r="R82" s="686"/>
      <c r="S82" s="753"/>
      <c r="T82" s="18"/>
      <c r="W82" s="18"/>
      <c r="X82" s="18"/>
      <c r="Y82" s="686"/>
      <c r="Z82" s="20"/>
      <c r="AA82" s="20"/>
    </row>
    <row r="83" spans="1:32">
      <c r="H83" s="18"/>
      <c r="I83" s="678"/>
      <c r="J83" s="678"/>
      <c r="K83" s="678"/>
      <c r="L83" s="678"/>
      <c r="M83" s="18"/>
      <c r="N83" s="18"/>
      <c r="O83" s="683"/>
      <c r="P83" s="753"/>
      <c r="Q83" s="753"/>
      <c r="R83" s="686"/>
      <c r="S83" s="678"/>
      <c r="T83" s="18"/>
      <c r="W83" s="18"/>
      <c r="X83" s="18"/>
      <c r="Y83" s="18"/>
      <c r="Z83" s="644"/>
      <c r="AA83" s="18"/>
    </row>
    <row r="84" spans="1:32">
      <c r="H84" s="678"/>
      <c r="I84" s="678"/>
      <c r="J84" s="678"/>
      <c r="K84" s="678"/>
      <c r="L84" s="678"/>
      <c r="M84" s="18"/>
      <c r="N84" s="18"/>
      <c r="O84" s="18"/>
      <c r="P84" s="18"/>
      <c r="Q84" s="18"/>
      <c r="R84" s="18"/>
      <c r="S84" s="678"/>
      <c r="T84" s="18"/>
      <c r="V84" s="20"/>
      <c r="W84" s="18"/>
      <c r="X84" s="18"/>
      <c r="Y84" s="18"/>
      <c r="Z84" s="644"/>
      <c r="AA84" s="18"/>
    </row>
    <row r="85" spans="1:32">
      <c r="H85" s="678"/>
      <c r="I85" s="678"/>
      <c r="J85" s="678"/>
      <c r="K85" s="678"/>
      <c r="L85" s="678"/>
      <c r="M85" s="18"/>
      <c r="N85" s="18"/>
      <c r="O85" s="683"/>
      <c r="P85" s="18"/>
      <c r="Q85" s="18"/>
      <c r="R85" s="18"/>
      <c r="S85" s="678"/>
      <c r="T85" s="18"/>
      <c r="V85" s="20"/>
      <c r="W85" s="18"/>
      <c r="X85" s="18"/>
      <c r="Y85" s="18"/>
      <c r="Z85" s="644"/>
      <c r="AA85" s="18"/>
    </row>
    <row r="86" spans="1:32">
      <c r="H86" s="678"/>
      <c r="I86" s="678"/>
      <c r="J86" s="678"/>
      <c r="K86" s="678"/>
      <c r="L86" s="678"/>
      <c r="M86" s="18"/>
      <c r="N86" s="18"/>
      <c r="O86" s="18"/>
      <c r="P86" s="18"/>
      <c r="Q86" s="18"/>
      <c r="R86" s="18"/>
      <c r="S86" s="678"/>
      <c r="T86" s="18"/>
      <c r="V86" s="20"/>
      <c r="W86" s="18"/>
      <c r="X86" s="18"/>
      <c r="Y86" s="18"/>
      <c r="Z86" s="644"/>
      <c r="AA86" s="18"/>
    </row>
    <row r="87" spans="1:32">
      <c r="H87" s="678"/>
      <c r="I87" s="684"/>
      <c r="J87" s="684"/>
      <c r="K87" s="684"/>
      <c r="L87" s="684"/>
      <c r="M87" s="683"/>
      <c r="N87" s="683"/>
      <c r="O87" s="686"/>
      <c r="P87" s="18"/>
      <c r="Q87" s="18"/>
      <c r="R87" s="18"/>
      <c r="S87" s="678"/>
      <c r="T87" s="18"/>
      <c r="V87" s="20"/>
      <c r="W87" s="683"/>
      <c r="X87" s="683"/>
      <c r="Y87" s="684"/>
      <c r="Z87" s="683"/>
      <c r="AA87" s="683"/>
    </row>
    <row r="88" spans="1:32">
      <c r="H88" s="684"/>
      <c r="I88" s="678"/>
      <c r="J88" s="678"/>
      <c r="K88" s="678"/>
      <c r="L88" s="678"/>
      <c r="M88" s="18"/>
      <c r="N88" s="18"/>
      <c r="O88" s="18"/>
      <c r="P88" s="18"/>
      <c r="Q88" s="18"/>
      <c r="R88" s="18"/>
      <c r="S88" s="678"/>
      <c r="T88" s="683"/>
      <c r="U88" s="683"/>
      <c r="V88" s="684"/>
      <c r="W88" s="18"/>
      <c r="X88" s="683"/>
      <c r="Y88" s="18"/>
      <c r="Z88" s="644"/>
      <c r="AA88" s="18"/>
      <c r="AB88" s="645"/>
    </row>
    <row r="89" spans="1:32">
      <c r="H89" s="678"/>
      <c r="I89" s="696"/>
      <c r="J89" s="696"/>
      <c r="K89" s="696"/>
      <c r="L89" s="696"/>
      <c r="M89" s="683"/>
      <c r="N89" s="683"/>
      <c r="O89" s="18"/>
      <c r="P89" s="683"/>
      <c r="Q89" s="683"/>
      <c r="R89" s="683"/>
      <c r="S89" s="684"/>
      <c r="T89" s="18"/>
      <c r="V89" s="20"/>
      <c r="W89" s="683"/>
      <c r="X89" s="18"/>
      <c r="Y89" s="18"/>
      <c r="Z89" s="644"/>
      <c r="AA89" s="18"/>
    </row>
    <row r="90" spans="1:32" s="645" customFormat="1">
      <c r="A90" s="19"/>
      <c r="B90" s="18"/>
      <c r="C90" s="18"/>
      <c r="D90" s="18"/>
      <c r="E90" s="20"/>
      <c r="F90" s="19"/>
      <c r="G90" s="19"/>
      <c r="H90" s="696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678"/>
      <c r="T90" s="683"/>
      <c r="U90" s="683"/>
      <c r="V90" s="683"/>
      <c r="W90" s="18"/>
      <c r="Y90" s="19"/>
      <c r="Z90" s="644"/>
      <c r="AA90" s="18"/>
      <c r="AB90" s="19"/>
      <c r="AD90" s="19"/>
      <c r="AE90" s="19"/>
      <c r="AF90" s="19"/>
    </row>
    <row r="91" spans="1:32">
      <c r="H91" s="18"/>
      <c r="I91" s="686"/>
      <c r="J91" s="686"/>
      <c r="K91" s="686"/>
      <c r="L91" s="686"/>
      <c r="M91" s="686"/>
      <c r="N91" s="686"/>
      <c r="O91" s="18"/>
      <c r="P91" s="683"/>
      <c r="Q91" s="683"/>
      <c r="R91" s="683"/>
      <c r="S91" s="678"/>
      <c r="T91" s="18"/>
      <c r="W91" s="686"/>
      <c r="X91" s="18"/>
      <c r="Y91" s="645"/>
      <c r="Z91" s="644"/>
      <c r="AA91" s="18"/>
    </row>
    <row r="92" spans="1:32">
      <c r="H92" s="686"/>
      <c r="I92" s="20"/>
      <c r="J92" s="20"/>
      <c r="K92" s="20"/>
      <c r="L92" s="20"/>
      <c r="M92" s="18"/>
      <c r="N92" s="18"/>
      <c r="O92" s="687"/>
      <c r="P92" s="18"/>
      <c r="Q92" s="18"/>
      <c r="R92" s="18"/>
      <c r="S92" s="18"/>
      <c r="T92" s="686"/>
      <c r="U92" s="686"/>
      <c r="V92" s="686"/>
      <c r="W92" s="18"/>
      <c r="X92" s="18"/>
      <c r="Y92" s="18"/>
      <c r="Z92" s="644"/>
      <c r="AA92" s="18"/>
      <c r="AD92" s="645"/>
      <c r="AE92" s="645"/>
      <c r="AF92" s="645"/>
    </row>
    <row r="93" spans="1:32">
      <c r="H93" s="20"/>
      <c r="I93" s="18"/>
      <c r="J93" s="18"/>
      <c r="K93" s="18"/>
      <c r="L93" s="18"/>
      <c r="M93" s="18"/>
      <c r="N93" s="18"/>
      <c r="O93" s="18"/>
      <c r="P93" s="686"/>
      <c r="Q93" s="686"/>
      <c r="R93" s="686"/>
      <c r="S93" s="686"/>
      <c r="T93" s="18"/>
      <c r="V93" s="43"/>
      <c r="W93" s="18"/>
      <c r="X93" s="18"/>
      <c r="Y93" s="18"/>
      <c r="Z93" s="644"/>
      <c r="AA93" s="18"/>
      <c r="AB93" s="681"/>
    </row>
    <row r="94" spans="1:32">
      <c r="H94" s="18"/>
      <c r="I94" s="18"/>
      <c r="J94" s="18"/>
      <c r="K94" s="18"/>
      <c r="L94" s="18"/>
      <c r="M94" s="18"/>
      <c r="N94" s="18"/>
      <c r="O94" s="683"/>
      <c r="P94" s="18"/>
      <c r="Q94" s="18"/>
      <c r="R94" s="18"/>
      <c r="S94" s="678"/>
      <c r="T94" s="18"/>
      <c r="V94" s="43"/>
      <c r="W94" s="18"/>
      <c r="X94" s="18"/>
      <c r="Y94" s="18"/>
      <c r="Z94" s="644"/>
      <c r="AA94" s="18"/>
    </row>
    <row r="95" spans="1:32">
      <c r="H95" s="18"/>
      <c r="I95" s="18"/>
      <c r="J95" s="18"/>
      <c r="K95" s="18"/>
      <c r="L95" s="18"/>
      <c r="M95" s="18"/>
      <c r="N95" s="18"/>
      <c r="O95" s="20"/>
      <c r="P95" s="18"/>
      <c r="Q95" s="18"/>
      <c r="R95" s="18"/>
      <c r="S95" s="678"/>
      <c r="T95" s="18"/>
      <c r="V95" s="43"/>
      <c r="W95" s="18"/>
      <c r="X95" s="18"/>
      <c r="Y95" s="18"/>
      <c r="Z95" s="644"/>
      <c r="AA95" s="18"/>
    </row>
    <row r="96" spans="1:32" s="681" customFormat="1">
      <c r="A96" s="19"/>
      <c r="B96" s="18"/>
      <c r="C96" s="18"/>
      <c r="D96" s="18"/>
      <c r="E96" s="20"/>
      <c r="F96" s="19"/>
      <c r="G96" s="19"/>
      <c r="H96" s="18"/>
      <c r="I96" s="687"/>
      <c r="J96" s="687"/>
      <c r="K96" s="687"/>
      <c r="L96" s="687"/>
      <c r="M96" s="687"/>
      <c r="N96" s="687"/>
      <c r="O96" s="19"/>
      <c r="P96" s="18"/>
      <c r="Q96" s="18"/>
      <c r="R96" s="18"/>
      <c r="S96" s="678"/>
      <c r="T96" s="18"/>
      <c r="U96" s="18"/>
      <c r="V96" s="43"/>
      <c r="W96" s="683"/>
      <c r="X96" s="683"/>
      <c r="Y96" s="687"/>
      <c r="Z96" s="683"/>
      <c r="AA96" s="683"/>
      <c r="AB96" s="19"/>
      <c r="AD96" s="19"/>
      <c r="AE96" s="19"/>
      <c r="AF96" s="19"/>
    </row>
    <row r="97" spans="8:32">
      <c r="H97" s="687"/>
      <c r="I97" s="20"/>
      <c r="J97" s="20"/>
      <c r="K97" s="20"/>
      <c r="L97" s="20"/>
      <c r="M97" s="18"/>
      <c r="N97" s="18"/>
      <c r="P97" s="18"/>
      <c r="Q97" s="18"/>
      <c r="R97" s="18"/>
      <c r="S97" s="678"/>
      <c r="T97" s="683"/>
      <c r="U97" s="683"/>
      <c r="V97" s="684"/>
      <c r="W97" s="18"/>
      <c r="X97" s="18"/>
      <c r="Y97" s="18"/>
      <c r="Z97" s="644"/>
      <c r="AA97" s="686"/>
    </row>
    <row r="98" spans="8:32">
      <c r="H98" s="20"/>
      <c r="I98" s="687"/>
      <c r="J98" s="687"/>
      <c r="K98" s="687"/>
      <c r="L98" s="687"/>
      <c r="M98" s="683"/>
      <c r="N98" s="683"/>
      <c r="P98" s="687"/>
      <c r="Q98" s="687"/>
      <c r="R98" s="683"/>
      <c r="S98" s="687"/>
      <c r="T98" s="18"/>
      <c r="W98" s="683"/>
      <c r="X98" s="683"/>
      <c r="Y98" s="687"/>
      <c r="Z98" s="683"/>
      <c r="AA98" s="683"/>
      <c r="AD98" s="681"/>
      <c r="AE98" s="681"/>
      <c r="AF98" s="681"/>
    </row>
    <row r="99" spans="8:32">
      <c r="H99" s="687"/>
      <c r="I99" s="20"/>
      <c r="J99" s="20"/>
      <c r="K99" s="20"/>
      <c r="L99" s="20"/>
      <c r="M99" s="20"/>
      <c r="N99" s="20"/>
      <c r="P99" s="18"/>
      <c r="Q99" s="18"/>
      <c r="R99" s="18"/>
      <c r="S99" s="678"/>
      <c r="T99" s="683"/>
      <c r="U99" s="683"/>
      <c r="V99" s="687"/>
      <c r="W99" s="18"/>
    </row>
    <row r="100" spans="8:32">
      <c r="H100" s="20"/>
      <c r="P100" s="683"/>
      <c r="Q100" s="683"/>
      <c r="R100" s="683"/>
      <c r="S100" s="687"/>
      <c r="T100" s="19"/>
      <c r="U100" s="19"/>
    </row>
    <row r="101" spans="8:32">
      <c r="P101" s="20"/>
      <c r="Q101" s="20"/>
      <c r="R101" s="19"/>
      <c r="S101" s="19"/>
    </row>
    <row r="104" spans="8:32">
      <c r="I104" s="24"/>
      <c r="J104" s="24"/>
      <c r="K104" s="24"/>
      <c r="L104" s="24"/>
    </row>
    <row r="105" spans="8:32">
      <c r="H105" s="688"/>
      <c r="I105" s="24"/>
      <c r="J105" s="24"/>
      <c r="K105" s="24"/>
      <c r="L105" s="24"/>
    </row>
    <row r="106" spans="8:32">
      <c r="H106" s="691"/>
      <c r="I106" s="24"/>
      <c r="J106" s="24"/>
      <c r="K106" s="24"/>
      <c r="L106" s="24"/>
    </row>
    <row r="107" spans="8:32">
      <c r="H107" s="691"/>
      <c r="I107" s="24"/>
      <c r="J107" s="24"/>
      <c r="K107" s="24"/>
      <c r="L107" s="24"/>
    </row>
    <row r="108" spans="8:32">
      <c r="H108" s="691"/>
      <c r="I108" s="24"/>
      <c r="J108" s="24"/>
      <c r="K108" s="24"/>
      <c r="L108" s="24"/>
    </row>
    <row r="109" spans="8:32">
      <c r="H109" s="694"/>
    </row>
  </sheetData>
  <mergeCells count="32">
    <mergeCell ref="H53:L53"/>
    <mergeCell ref="V30:V31"/>
    <mergeCell ref="Q30:Q31"/>
    <mergeCell ref="R30:R31"/>
    <mergeCell ref="S30:S31"/>
    <mergeCell ref="V37:W37"/>
    <mergeCell ref="T50:U50"/>
    <mergeCell ref="P49:Q49"/>
    <mergeCell ref="R49:S49"/>
    <mergeCell ref="P50:Q50"/>
    <mergeCell ref="R50:S50"/>
    <mergeCell ref="AE3:AQ3"/>
    <mergeCell ref="AE22:AQ22"/>
    <mergeCell ref="B30:D30"/>
    <mergeCell ref="E30:G30"/>
    <mergeCell ref="H30:J30"/>
    <mergeCell ref="K30:M30"/>
    <mergeCell ref="N30:P30"/>
    <mergeCell ref="W30:W31"/>
    <mergeCell ref="X30:X31"/>
    <mergeCell ref="Y30:Y31"/>
    <mergeCell ref="Z30:Z31"/>
    <mergeCell ref="AA30:AA31"/>
    <mergeCell ref="AB30:AB31"/>
    <mergeCell ref="P3:AB3"/>
    <mergeCell ref="G4:M4"/>
    <mergeCell ref="P22:AB22"/>
    <mergeCell ref="X37:Z37"/>
    <mergeCell ref="AB37:AB38"/>
    <mergeCell ref="AG39:AH39"/>
    <mergeCell ref="AK39:AN39"/>
    <mergeCell ref="T49:U49"/>
  </mergeCells>
  <printOptions horizontalCentered="1"/>
  <pageMargins left="0.15748031496062992" right="0.15748031496062992" top="1.5748031496062993" bottom="0.51181102362204722" header="0.35433070866141736" footer="0.15748031496062992"/>
  <pageSetup paperSize="8" scale="79" orientation="landscape" r:id="rId1"/>
  <headerFooter alignWithMargins="0">
    <oddHeader>&amp;L&amp;"Times New Roman,Félkövér"&amp;13Szent László Völgye TKT&amp;C&amp;"Times New Roman,Félkövér"&amp;14 
2014. ÉVI III. KÖLTSÉGVETÉS MÓDOSÍTÁS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O92"/>
  <sheetViews>
    <sheetView zoomScaleSheetLayoutView="85" workbookViewId="0">
      <selection activeCell="A35" sqref="A35"/>
    </sheetView>
  </sheetViews>
  <sheetFormatPr defaultColWidth="8.85546875" defaultRowHeight="15"/>
  <cols>
    <col min="1" max="1" width="75.5703125" style="824" customWidth="1"/>
    <col min="2" max="2" width="12.42578125" style="825" customWidth="1"/>
    <col min="3" max="3" width="16.28515625" style="826" customWidth="1"/>
    <col min="4" max="6" width="18.28515625" style="827" customWidth="1"/>
    <col min="7" max="7" width="11" style="96" customWidth="1"/>
    <col min="8" max="10" width="12.5703125" style="96" customWidth="1"/>
    <col min="11" max="11" width="13.85546875" style="841" bestFit="1" customWidth="1"/>
    <col min="12" max="12" width="11.7109375" style="765" customWidth="1"/>
    <col min="13" max="14" width="14" style="765" customWidth="1"/>
    <col min="15" max="15" width="12.85546875" style="765" customWidth="1"/>
    <col min="16" max="16384" width="8.85546875" style="96"/>
  </cols>
  <sheetData>
    <row r="1" spans="1:15" ht="24" customHeight="1" thickBot="1">
      <c r="A1" s="757"/>
      <c r="B1" s="758"/>
      <c r="C1" s="759" t="s">
        <v>80</v>
      </c>
      <c r="D1" s="760" t="s">
        <v>501</v>
      </c>
      <c r="E1" s="842" t="s">
        <v>502</v>
      </c>
      <c r="F1" s="761" t="s">
        <v>503</v>
      </c>
      <c r="G1" s="762"/>
      <c r="H1" s="762"/>
      <c r="I1" s="762"/>
      <c r="J1" s="762"/>
      <c r="K1" s="763"/>
      <c r="L1" s="764"/>
      <c r="M1" s="764"/>
      <c r="N1" s="764"/>
    </row>
    <row r="2" spans="1:15" ht="34.5" customHeight="1">
      <c r="A2" s="766" t="s">
        <v>86</v>
      </c>
      <c r="B2" s="767"/>
      <c r="C2" s="768"/>
      <c r="D2" s="769"/>
      <c r="E2" s="843"/>
      <c r="F2" s="770"/>
      <c r="G2" s="771"/>
      <c r="H2" s="762" t="s">
        <v>43</v>
      </c>
      <c r="I2" s="762" t="s">
        <v>477</v>
      </c>
      <c r="J2" s="762" t="s">
        <v>478</v>
      </c>
      <c r="K2" s="763" t="s">
        <v>20</v>
      </c>
      <c r="L2" s="764" t="s">
        <v>350</v>
      </c>
      <c r="M2" s="772" t="s">
        <v>479</v>
      </c>
      <c r="N2" s="772" t="s">
        <v>480</v>
      </c>
      <c r="O2" s="765" t="s">
        <v>461</v>
      </c>
    </row>
    <row r="3" spans="1:15">
      <c r="A3" s="773" t="s">
        <v>89</v>
      </c>
      <c r="B3" s="774" t="s">
        <v>48</v>
      </c>
      <c r="C3" s="775">
        <v>3.2280000000000002</v>
      </c>
      <c r="D3" s="776">
        <f t="shared" ref="D3:D11" si="0">+L3</f>
        <v>7400325</v>
      </c>
      <c r="E3" s="844"/>
      <c r="F3" s="777"/>
      <c r="G3" s="778"/>
      <c r="H3" s="779">
        <v>3.7469999999999999</v>
      </c>
      <c r="I3" s="779"/>
      <c r="J3" s="779"/>
      <c r="K3" s="780">
        <v>3950000</v>
      </c>
      <c r="L3" s="765">
        <f>+H3*K3/2</f>
        <v>7400325</v>
      </c>
      <c r="M3" s="765">
        <f>+I3*K3/2</f>
        <v>0</v>
      </c>
    </row>
    <row r="4" spans="1:15">
      <c r="A4" s="773" t="s">
        <v>88</v>
      </c>
      <c r="B4" s="774" t="s">
        <v>48</v>
      </c>
      <c r="C4" s="781">
        <v>16140</v>
      </c>
      <c r="D4" s="776">
        <f t="shared" si="0"/>
        <v>5620500</v>
      </c>
      <c r="E4" s="844"/>
      <c r="F4" s="777"/>
      <c r="G4" s="778"/>
      <c r="H4" s="778">
        <v>18735</v>
      </c>
      <c r="I4" s="778"/>
      <c r="J4" s="778"/>
      <c r="K4" s="780">
        <v>300</v>
      </c>
      <c r="L4" s="765">
        <f>+H4*K4</f>
        <v>5620500</v>
      </c>
      <c r="M4" s="765">
        <f>+I4*K4</f>
        <v>0</v>
      </c>
    </row>
    <row r="5" spans="1:15">
      <c r="A5" s="782" t="s">
        <v>90</v>
      </c>
      <c r="B5" s="783" t="s">
        <v>48</v>
      </c>
      <c r="C5" s="784">
        <v>3.2280000000000002</v>
      </c>
      <c r="D5" s="776">
        <f t="shared" si="0"/>
        <v>7400325</v>
      </c>
      <c r="E5" s="844"/>
      <c r="F5" s="777"/>
      <c r="G5" s="778"/>
      <c r="H5" s="779">
        <v>3.7469999999999999</v>
      </c>
      <c r="I5" s="779"/>
      <c r="J5" s="779"/>
      <c r="K5" s="780">
        <v>3950000</v>
      </c>
      <c r="L5" s="765">
        <f>+H5*K5/2</f>
        <v>7400325</v>
      </c>
      <c r="M5" s="765">
        <f>+I5*K5/2</f>
        <v>0</v>
      </c>
    </row>
    <row r="6" spans="1:15">
      <c r="A6" s="782" t="s">
        <v>481</v>
      </c>
      <c r="B6" s="783" t="s">
        <v>48</v>
      </c>
      <c r="C6" s="785">
        <v>16140</v>
      </c>
      <c r="D6" s="776">
        <f t="shared" si="0"/>
        <v>4464000</v>
      </c>
      <c r="E6" s="844"/>
      <c r="F6" s="777"/>
      <c r="G6" s="778"/>
      <c r="H6" s="778">
        <v>3720</v>
      </c>
      <c r="I6" s="778"/>
      <c r="J6" s="778"/>
      <c r="K6" s="780">
        <v>1200</v>
      </c>
      <c r="L6" s="765">
        <f t="shared" ref="L6:L11" si="1">+H6*K6</f>
        <v>4464000</v>
      </c>
      <c r="M6" s="765">
        <f t="shared" ref="M6:M11" si="2">+I6*K6</f>
        <v>0</v>
      </c>
    </row>
    <row r="7" spans="1:15">
      <c r="A7" s="782" t="s">
        <v>106</v>
      </c>
      <c r="B7" s="783" t="s">
        <v>48</v>
      </c>
      <c r="C7" s="785">
        <v>130</v>
      </c>
      <c r="D7" s="776">
        <f t="shared" si="0"/>
        <v>21866000</v>
      </c>
      <c r="E7" s="844"/>
      <c r="F7" s="777">
        <f>+O7</f>
        <v>565500</v>
      </c>
      <c r="G7" s="778"/>
      <c r="H7" s="778">
        <v>116</v>
      </c>
      <c r="I7" s="778"/>
      <c r="J7" s="778">
        <v>119</v>
      </c>
      <c r="K7" s="786">
        <f>145000*1.3</f>
        <v>188500</v>
      </c>
      <c r="L7" s="765">
        <f>+H7*K7</f>
        <v>21866000</v>
      </c>
      <c r="M7" s="765">
        <f t="shared" si="2"/>
        <v>0</v>
      </c>
      <c r="N7" s="765">
        <f>+J7*K7</f>
        <v>22431500</v>
      </c>
      <c r="O7" s="765">
        <f>+N7-L7</f>
        <v>565500</v>
      </c>
    </row>
    <row r="8" spans="1:15">
      <c r="A8" s="782" t="s">
        <v>107</v>
      </c>
      <c r="B8" s="783" t="s">
        <v>48</v>
      </c>
      <c r="C8" s="785">
        <v>15</v>
      </c>
      <c r="D8" s="776">
        <f t="shared" si="0"/>
        <v>1635000</v>
      </c>
      <c r="E8" s="844"/>
      <c r="F8" s="777"/>
      <c r="G8" s="778"/>
      <c r="H8" s="778">
        <v>10</v>
      </c>
      <c r="I8" s="778"/>
      <c r="J8" s="778"/>
      <c r="K8" s="786">
        <f>109000*1.5</f>
        <v>163500</v>
      </c>
      <c r="L8" s="765">
        <f t="shared" si="1"/>
        <v>1635000</v>
      </c>
      <c r="M8" s="765">
        <f t="shared" si="2"/>
        <v>0</v>
      </c>
      <c r="N8" s="765">
        <f t="shared" ref="N8:N10" si="3">+J8*K8</f>
        <v>0</v>
      </c>
    </row>
    <row r="9" spans="1:15">
      <c r="A9" s="787" t="s">
        <v>482</v>
      </c>
      <c r="B9" s="783" t="s">
        <v>49</v>
      </c>
      <c r="C9" s="785">
        <v>12</v>
      </c>
      <c r="D9" s="776">
        <f t="shared" si="0"/>
        <v>2500000</v>
      </c>
      <c r="E9" s="844"/>
      <c r="F9" s="777"/>
      <c r="G9" s="778"/>
      <c r="H9" s="788">
        <v>1</v>
      </c>
      <c r="I9" s="788"/>
      <c r="J9" s="788"/>
      <c r="K9" s="786">
        <v>2500000</v>
      </c>
      <c r="L9" s="765">
        <f t="shared" si="1"/>
        <v>2500000</v>
      </c>
      <c r="M9" s="765">
        <f t="shared" si="2"/>
        <v>0</v>
      </c>
    </row>
    <row r="10" spans="1:15">
      <c r="A10" s="789" t="s">
        <v>483</v>
      </c>
      <c r="B10" s="790" t="s">
        <v>48</v>
      </c>
      <c r="C10" s="791">
        <v>7</v>
      </c>
      <c r="D10" s="786">
        <f t="shared" si="0"/>
        <v>1045980</v>
      </c>
      <c r="E10" s="845"/>
      <c r="F10" s="792">
        <f>+O10</f>
        <v>348660</v>
      </c>
      <c r="G10" s="778"/>
      <c r="H10" s="778">
        <v>3</v>
      </c>
      <c r="I10" s="778"/>
      <c r="J10" s="778">
        <v>4</v>
      </c>
      <c r="K10" s="786">
        <f>268200*1.3</f>
        <v>348660</v>
      </c>
      <c r="L10" s="765">
        <f t="shared" si="1"/>
        <v>1045980</v>
      </c>
      <c r="M10" s="765">
        <f t="shared" si="2"/>
        <v>0</v>
      </c>
      <c r="N10" s="765">
        <f t="shared" si="3"/>
        <v>1394640</v>
      </c>
      <c r="O10" s="765">
        <f>+N10-L10</f>
        <v>348660</v>
      </c>
    </row>
    <row r="11" spans="1:15">
      <c r="A11" s="793" t="s">
        <v>484</v>
      </c>
      <c r="B11" s="794" t="s">
        <v>48</v>
      </c>
      <c r="C11" s="795">
        <v>3160</v>
      </c>
      <c r="D11" s="796">
        <f t="shared" si="0"/>
        <v>0</v>
      </c>
      <c r="E11" s="846"/>
      <c r="F11" s="797"/>
      <c r="G11" s="778"/>
      <c r="H11" s="778"/>
      <c r="I11" s="778"/>
      <c r="J11" s="778"/>
      <c r="K11" s="786"/>
      <c r="L11" s="765">
        <f t="shared" si="1"/>
        <v>0</v>
      </c>
      <c r="M11" s="765">
        <f t="shared" si="2"/>
        <v>0</v>
      </c>
    </row>
    <row r="12" spans="1:15">
      <c r="A12" s="798" t="s">
        <v>87</v>
      </c>
      <c r="B12" s="799"/>
      <c r="C12" s="800"/>
      <c r="D12" s="554">
        <f>SUM(D3:D11)</f>
        <v>51932130</v>
      </c>
      <c r="E12" s="554">
        <f>SUM(E3:E11)</f>
        <v>0</v>
      </c>
      <c r="F12" s="801">
        <f>SUM(F3:F11)</f>
        <v>914160</v>
      </c>
      <c r="G12" s="802"/>
      <c r="H12" s="803"/>
      <c r="I12" s="803"/>
      <c r="J12" s="803"/>
      <c r="K12" s="803"/>
      <c r="L12" s="765">
        <f>SUM(L3:L11)</f>
        <v>51932130</v>
      </c>
      <c r="M12" s="765">
        <f>SUM(M3:M11)</f>
        <v>0</v>
      </c>
      <c r="N12" s="765">
        <f>SUM(N3:N11)</f>
        <v>23826140</v>
      </c>
    </row>
    <row r="13" spans="1:15" ht="13.15" customHeight="1">
      <c r="A13" s="804"/>
      <c r="B13" s="805"/>
      <c r="C13" s="806"/>
      <c r="D13" s="807"/>
      <c r="E13" s="847"/>
      <c r="F13" s="808"/>
      <c r="G13" s="778"/>
      <c r="H13" s="802"/>
      <c r="I13" s="802"/>
      <c r="J13" s="802"/>
      <c r="K13" s="809"/>
    </row>
    <row r="14" spans="1:15" ht="14.45" customHeight="1">
      <c r="A14" s="782" t="s">
        <v>91</v>
      </c>
      <c r="B14" s="783"/>
      <c r="C14" s="810"/>
      <c r="D14" s="811"/>
      <c r="E14" s="848"/>
      <c r="F14" s="812"/>
      <c r="G14" s="778"/>
      <c r="H14" s="778"/>
      <c r="I14" s="778"/>
      <c r="J14" s="778"/>
      <c r="K14" s="813"/>
    </row>
    <row r="15" spans="1:15">
      <c r="A15" s="782" t="s">
        <v>50</v>
      </c>
      <c r="B15" s="783"/>
      <c r="C15" s="810"/>
      <c r="D15" s="811">
        <v>8550000</v>
      </c>
      <c r="E15" s="848"/>
      <c r="F15" s="812"/>
      <c r="G15" s="778"/>
      <c r="H15" s="778"/>
      <c r="I15" s="778"/>
      <c r="J15" s="778"/>
      <c r="K15" s="813"/>
    </row>
    <row r="16" spans="1:15">
      <c r="A16" s="798" t="s">
        <v>102</v>
      </c>
      <c r="B16" s="814"/>
      <c r="C16" s="815"/>
      <c r="D16" s="816">
        <f>+D15</f>
        <v>8550000</v>
      </c>
      <c r="E16" s="554">
        <f>+E15</f>
        <v>0</v>
      </c>
      <c r="F16" s="801">
        <f>+F15</f>
        <v>0</v>
      </c>
      <c r="G16" s="802"/>
      <c r="H16" s="778"/>
      <c r="I16" s="778"/>
      <c r="J16" s="778"/>
      <c r="K16" s="813"/>
      <c r="O16" s="817"/>
    </row>
    <row r="17" spans="1:15" ht="15.75" thickBot="1">
      <c r="A17" s="789"/>
      <c r="B17" s="790"/>
      <c r="C17" s="818"/>
      <c r="D17" s="786"/>
      <c r="E17" s="845"/>
      <c r="F17" s="792"/>
      <c r="G17" s="778"/>
      <c r="H17" s="778"/>
      <c r="I17" s="778"/>
      <c r="J17" s="778"/>
      <c r="K17" s="813"/>
    </row>
    <row r="18" spans="1:15" s="97" customFormat="1" ht="15.75" thickBot="1">
      <c r="A18" s="819" t="s">
        <v>51</v>
      </c>
      <c r="B18" s="820"/>
      <c r="C18" s="821"/>
      <c r="D18" s="822">
        <f>+D12+D16</f>
        <v>60482130</v>
      </c>
      <c r="E18" s="849">
        <f>+E12+E16</f>
        <v>0</v>
      </c>
      <c r="F18" s="823">
        <f>+F12+F16</f>
        <v>914160</v>
      </c>
      <c r="G18" s="802"/>
      <c r="H18" s="778"/>
      <c r="I18" s="778"/>
      <c r="J18" s="778"/>
      <c r="K18" s="813"/>
      <c r="L18" s="765"/>
      <c r="M18" s="765"/>
      <c r="N18" s="765"/>
      <c r="O18" s="765"/>
    </row>
    <row r="19" spans="1:15">
      <c r="H19" s="778"/>
      <c r="I19" s="778"/>
      <c r="J19" s="778"/>
      <c r="K19" s="813"/>
    </row>
    <row r="20" spans="1:15">
      <c r="K20" s="813"/>
    </row>
    <row r="21" spans="1:15">
      <c r="K21" s="813"/>
    </row>
    <row r="75" spans="1:15">
      <c r="A75" s="757"/>
      <c r="B75" s="828"/>
      <c r="D75" s="96"/>
      <c r="E75" s="96"/>
      <c r="F75" s="96"/>
      <c r="K75" s="96"/>
      <c r="L75" s="96"/>
      <c r="M75" s="96"/>
      <c r="N75" s="96"/>
      <c r="O75" s="96"/>
    </row>
    <row r="88" spans="1:15">
      <c r="A88" s="829"/>
      <c r="B88" s="830"/>
      <c r="C88" s="831"/>
      <c r="D88" s="776"/>
      <c r="E88" s="776"/>
      <c r="F88" s="776"/>
      <c r="G88" s="98"/>
      <c r="H88" s="98"/>
      <c r="I88" s="98"/>
      <c r="J88" s="98"/>
      <c r="K88" s="832"/>
      <c r="L88" s="96"/>
      <c r="M88" s="96"/>
      <c r="N88" s="96"/>
      <c r="O88" s="96"/>
    </row>
    <row r="89" spans="1:15">
      <c r="A89" s="833"/>
      <c r="B89" s="834"/>
      <c r="C89" s="835"/>
      <c r="D89" s="811"/>
      <c r="E89" s="811"/>
      <c r="F89" s="811"/>
      <c r="G89" s="99"/>
      <c r="H89" s="99"/>
      <c r="I89" s="99"/>
      <c r="J89" s="99"/>
      <c r="K89" s="836"/>
      <c r="L89" s="96"/>
      <c r="M89" s="96"/>
      <c r="N89" s="96"/>
      <c r="O89" s="96"/>
    </row>
    <row r="90" spans="1:15">
      <c r="A90" s="833"/>
      <c r="B90" s="834"/>
      <c r="C90" s="835"/>
      <c r="D90" s="811"/>
      <c r="E90" s="811"/>
      <c r="F90" s="811"/>
      <c r="G90" s="99"/>
      <c r="H90" s="99"/>
      <c r="I90" s="99"/>
      <c r="J90" s="99"/>
      <c r="K90" s="836"/>
      <c r="L90" s="96"/>
      <c r="M90" s="96"/>
      <c r="N90" s="96"/>
      <c r="O90" s="96"/>
    </row>
    <row r="91" spans="1:15">
      <c r="A91" s="833"/>
      <c r="B91" s="834"/>
      <c r="C91" s="835"/>
      <c r="D91" s="811"/>
      <c r="E91" s="811"/>
      <c r="F91" s="811"/>
      <c r="G91" s="99"/>
      <c r="H91" s="99"/>
      <c r="I91" s="99"/>
      <c r="J91" s="99"/>
      <c r="K91" s="836"/>
      <c r="L91" s="96"/>
      <c r="M91" s="96"/>
      <c r="N91" s="96"/>
      <c r="O91" s="96"/>
    </row>
    <row r="92" spans="1:15">
      <c r="A92" s="837"/>
      <c r="B92" s="838"/>
      <c r="C92" s="839"/>
      <c r="D92" s="796"/>
      <c r="E92" s="796"/>
      <c r="F92" s="796"/>
      <c r="G92" s="100"/>
      <c r="H92" s="100"/>
      <c r="I92" s="100"/>
      <c r="J92" s="100"/>
      <c r="K92" s="840"/>
      <c r="L92" s="96"/>
      <c r="M92" s="96"/>
      <c r="N92" s="96"/>
      <c r="O92" s="96"/>
    </row>
  </sheetData>
  <printOptions horizontalCentered="1"/>
  <pageMargins left="0.15748031496062992" right="0.15748031496062992" top="1.5748031496062993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Roman,Félkövér"&amp;14 
2014. ÉVI III. KÖLTSÉGVETÉS MÓDOSÍTÁS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X114"/>
  <sheetViews>
    <sheetView workbookViewId="0">
      <selection activeCell="O33" sqref="O33"/>
    </sheetView>
  </sheetViews>
  <sheetFormatPr defaultColWidth="8.85546875" defaultRowHeight="12.75"/>
  <cols>
    <col min="1" max="1" width="29.7109375" style="19" customWidth="1"/>
    <col min="2" max="2" width="11.28515625" style="19" customWidth="1"/>
    <col min="3" max="10" width="7.42578125" style="19" customWidth="1"/>
    <col min="11" max="11" width="8.28515625" style="19" customWidth="1"/>
    <col min="12" max="14" width="7.42578125" style="19" customWidth="1"/>
    <col min="15" max="15" width="11.140625" style="19" customWidth="1"/>
    <col min="16" max="21" width="8.85546875" style="19"/>
    <col min="22" max="22" width="9.28515625" style="19" customWidth="1"/>
    <col min="23" max="16384" width="8.85546875" style="19"/>
  </cols>
  <sheetData>
    <row r="1" spans="1:23" s="33" customFormat="1" ht="27.6" customHeight="1" thickBot="1">
      <c r="A1" s="81"/>
      <c r="B1" s="82" t="s">
        <v>507</v>
      </c>
      <c r="C1" s="52" t="s">
        <v>54</v>
      </c>
      <c r="D1" s="53" t="s">
        <v>55</v>
      </c>
      <c r="E1" s="53" t="s">
        <v>56</v>
      </c>
      <c r="F1" s="54" t="s">
        <v>57</v>
      </c>
      <c r="G1" s="53" t="s">
        <v>58</v>
      </c>
      <c r="H1" s="53" t="s">
        <v>59</v>
      </c>
      <c r="I1" s="53" t="s">
        <v>60</v>
      </c>
      <c r="J1" s="53" t="s">
        <v>61</v>
      </c>
      <c r="K1" s="53" t="s">
        <v>62</v>
      </c>
      <c r="L1" s="53" t="s">
        <v>63</v>
      </c>
      <c r="M1" s="53" t="s">
        <v>64</v>
      </c>
      <c r="N1" s="85" t="s">
        <v>65</v>
      </c>
      <c r="O1" s="82" t="s">
        <v>506</v>
      </c>
    </row>
    <row r="2" spans="1:23" s="33" customFormat="1" ht="34.9" customHeight="1">
      <c r="A2" s="13" t="s">
        <v>66</v>
      </c>
      <c r="B2" s="13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/>
      <c r="Q2" s="83"/>
      <c r="R2" s="66" t="s">
        <v>461</v>
      </c>
      <c r="S2" s="66"/>
      <c r="T2" s="66"/>
      <c r="U2" s="66" t="s">
        <v>462</v>
      </c>
      <c r="V2" s="33" t="s">
        <v>359</v>
      </c>
    </row>
    <row r="3" spans="1:23">
      <c r="A3" s="84" t="s">
        <v>4</v>
      </c>
      <c r="B3" s="55">
        <f>+'[4]7.SZ.TÁBL. PÉNZE. ÁTAD - ÁTVÉT'!$O3</f>
        <v>11871</v>
      </c>
      <c r="C3" s="38">
        <f>+$T$3</f>
        <v>989</v>
      </c>
      <c r="D3" s="37">
        <f t="shared" ref="D3:M3" si="0">+$T$3</f>
        <v>989</v>
      </c>
      <c r="E3" s="37">
        <f t="shared" si="0"/>
        <v>989</v>
      </c>
      <c r="F3" s="37">
        <f t="shared" si="0"/>
        <v>989</v>
      </c>
      <c r="G3" s="37">
        <f t="shared" si="0"/>
        <v>989</v>
      </c>
      <c r="H3" s="37">
        <f t="shared" si="0"/>
        <v>989</v>
      </c>
      <c r="I3" s="37">
        <f t="shared" si="0"/>
        <v>989</v>
      </c>
      <c r="J3" s="37">
        <f t="shared" si="0"/>
        <v>989</v>
      </c>
      <c r="K3" s="37">
        <f t="shared" si="0"/>
        <v>989</v>
      </c>
      <c r="L3" s="37">
        <f t="shared" si="0"/>
        <v>989</v>
      </c>
      <c r="M3" s="37">
        <f t="shared" si="0"/>
        <v>989</v>
      </c>
      <c r="N3" s="74">
        <f>+W3</f>
        <v>992</v>
      </c>
      <c r="O3" s="55">
        <f>SUM(C3:N3)</f>
        <v>11871</v>
      </c>
      <c r="P3" s="62"/>
      <c r="Q3" s="18">
        <f>+'2.SZ.TÁBL. BEVÉTELEK'!C9+'2.SZ.TÁBL. BEVÉTELEK'!C18+'2.SZ.TÁBL. BEVÉTELEK'!C23+'2.SZ.TÁBL. BEVÉTELEK'!C32+'2.SZ.TÁBL. BEVÉTELEK'!C42+'2.SZ.TÁBL. BEVÉTELEK'!C51</f>
        <v>11871</v>
      </c>
      <c r="R3" s="18"/>
      <c r="S3" s="20">
        <f t="shared" ref="S3:S10" si="1">+Q3/12</f>
        <v>989.25</v>
      </c>
      <c r="T3" s="43">
        <v>989</v>
      </c>
      <c r="W3" s="49">
        <f t="shared" ref="W3:W10" si="2">(+Q3+R3)-SUM(C3:M3)</f>
        <v>992</v>
      </c>
    </row>
    <row r="4" spans="1:23">
      <c r="A4" s="36" t="s">
        <v>6</v>
      </c>
      <c r="B4" s="55">
        <f>+'[4]7.SZ.TÁBL. PÉNZE. ÁTAD - ÁTVÉT'!$O4</f>
        <v>3864</v>
      </c>
      <c r="C4" s="38">
        <f>+$T$4</f>
        <v>322</v>
      </c>
      <c r="D4" s="37">
        <f t="shared" ref="D4:M4" si="3">+$T$4</f>
        <v>322</v>
      </c>
      <c r="E4" s="37">
        <f t="shared" si="3"/>
        <v>322</v>
      </c>
      <c r="F4" s="37">
        <f t="shared" si="3"/>
        <v>322</v>
      </c>
      <c r="G4" s="37">
        <f t="shared" si="3"/>
        <v>322</v>
      </c>
      <c r="H4" s="37">
        <f t="shared" si="3"/>
        <v>322</v>
      </c>
      <c r="I4" s="37">
        <f t="shared" si="3"/>
        <v>322</v>
      </c>
      <c r="J4" s="37">
        <f t="shared" si="3"/>
        <v>322</v>
      </c>
      <c r="K4" s="37">
        <f t="shared" si="3"/>
        <v>322</v>
      </c>
      <c r="L4" s="37">
        <f t="shared" si="3"/>
        <v>322</v>
      </c>
      <c r="M4" s="37">
        <f t="shared" si="3"/>
        <v>322</v>
      </c>
      <c r="N4" s="74">
        <f t="shared" ref="N4:N9" si="4">+W4</f>
        <v>322</v>
      </c>
      <c r="O4" s="55">
        <f t="shared" ref="O4:O9" si="5">SUM(C4:N4)</f>
        <v>3864</v>
      </c>
      <c r="P4" s="18"/>
      <c r="Q4" s="18">
        <f>+'2.SZ.TÁBL. BEVÉTELEK'!C11+'2.SZ.TÁBL. BEVÉTELEK'!C19+'2.SZ.TÁBL. BEVÉTELEK'!C24+'2.SZ.TÁBL. BEVÉTELEK'!C34+'2.SZ.TÁBL. BEVÉTELEK'!C43+'2.SZ.TÁBL. BEVÉTELEK'!C53</f>
        <v>3864</v>
      </c>
      <c r="R4" s="18"/>
      <c r="S4" s="20">
        <f t="shared" si="1"/>
        <v>322</v>
      </c>
      <c r="T4" s="43">
        <v>322</v>
      </c>
      <c r="W4" s="49">
        <f t="shared" si="2"/>
        <v>322</v>
      </c>
    </row>
    <row r="5" spans="1:23">
      <c r="A5" s="36" t="s">
        <v>5</v>
      </c>
      <c r="B5" s="55">
        <f>+'[4]7.SZ.TÁBL. PÉNZE. ÁTAD - ÁTVÉT'!$O5</f>
        <v>5216</v>
      </c>
      <c r="C5" s="38">
        <f>+$T$5</f>
        <v>435</v>
      </c>
      <c r="D5" s="37">
        <f t="shared" ref="D5:M5" si="6">+$T$5</f>
        <v>435</v>
      </c>
      <c r="E5" s="37">
        <f t="shared" si="6"/>
        <v>435</v>
      </c>
      <c r="F5" s="37">
        <f t="shared" si="6"/>
        <v>435</v>
      </c>
      <c r="G5" s="37">
        <f t="shared" si="6"/>
        <v>435</v>
      </c>
      <c r="H5" s="37">
        <f t="shared" si="6"/>
        <v>435</v>
      </c>
      <c r="I5" s="37">
        <f t="shared" si="6"/>
        <v>435</v>
      </c>
      <c r="J5" s="37">
        <f t="shared" si="6"/>
        <v>435</v>
      </c>
      <c r="K5" s="37">
        <f t="shared" si="6"/>
        <v>435</v>
      </c>
      <c r="L5" s="37">
        <f t="shared" si="6"/>
        <v>435</v>
      </c>
      <c r="M5" s="37">
        <f t="shared" si="6"/>
        <v>435</v>
      </c>
      <c r="N5" s="74">
        <f t="shared" si="4"/>
        <v>431</v>
      </c>
      <c r="O5" s="55">
        <f t="shared" si="5"/>
        <v>5216</v>
      </c>
      <c r="Q5" s="18">
        <f>+'2.SZ.TÁBL. BEVÉTELEK'!C10+'2.SZ.TÁBL. BEVÉTELEK'!C33+'2.SZ.TÁBL. BEVÉTELEK'!C52</f>
        <v>5216</v>
      </c>
      <c r="R5" s="18"/>
      <c r="S5" s="20">
        <f t="shared" si="1"/>
        <v>434.66666666666669</v>
      </c>
      <c r="T5" s="43">
        <v>435</v>
      </c>
      <c r="W5" s="49">
        <f t="shared" si="2"/>
        <v>431</v>
      </c>
    </row>
    <row r="6" spans="1:23">
      <c r="A6" s="36" t="s">
        <v>7</v>
      </c>
      <c r="B6" s="55">
        <f>+'[4]7.SZ.TÁBL. PÉNZE. ÁTAD - ÁTVÉT'!$O6</f>
        <v>2217</v>
      </c>
      <c r="C6" s="38">
        <f>+$T$6</f>
        <v>185</v>
      </c>
      <c r="D6" s="37">
        <f t="shared" ref="D6:M6" si="7">+$T$6</f>
        <v>185</v>
      </c>
      <c r="E6" s="37">
        <f t="shared" si="7"/>
        <v>185</v>
      </c>
      <c r="F6" s="37">
        <f t="shared" si="7"/>
        <v>185</v>
      </c>
      <c r="G6" s="37">
        <f t="shared" si="7"/>
        <v>185</v>
      </c>
      <c r="H6" s="37">
        <f t="shared" si="7"/>
        <v>185</v>
      </c>
      <c r="I6" s="37">
        <f t="shared" si="7"/>
        <v>185</v>
      </c>
      <c r="J6" s="37">
        <f t="shared" si="7"/>
        <v>185</v>
      </c>
      <c r="K6" s="37">
        <f t="shared" si="7"/>
        <v>185</v>
      </c>
      <c r="L6" s="37">
        <f t="shared" si="7"/>
        <v>185</v>
      </c>
      <c r="M6" s="37">
        <f t="shared" si="7"/>
        <v>185</v>
      </c>
      <c r="N6" s="74">
        <f t="shared" si="4"/>
        <v>182</v>
      </c>
      <c r="O6" s="55">
        <f t="shared" si="5"/>
        <v>2217</v>
      </c>
      <c r="Q6" s="18">
        <f>+'2.SZ.TÁBL. BEVÉTELEK'!C12+'2.SZ.TÁBL. BEVÉTELEK'!C25+'2.SZ.TÁBL. BEVÉTELEK'!C35+'2.SZ.TÁBL. BEVÉTELEK'!C44+'2.SZ.TÁBL. BEVÉTELEK'!C54</f>
        <v>2217</v>
      </c>
      <c r="R6" s="18"/>
      <c r="S6" s="20">
        <f t="shared" si="1"/>
        <v>184.75</v>
      </c>
      <c r="T6" s="43">
        <v>185</v>
      </c>
      <c r="W6" s="49">
        <f t="shared" si="2"/>
        <v>182</v>
      </c>
    </row>
    <row r="7" spans="1:23">
      <c r="A7" s="36" t="s">
        <v>8</v>
      </c>
      <c r="B7" s="55">
        <f>+'[4]7.SZ.TÁBL. PÉNZE. ÁTAD - ÁTVÉT'!$O7</f>
        <v>12292</v>
      </c>
      <c r="C7" s="38">
        <f>+$T$7</f>
        <v>1034</v>
      </c>
      <c r="D7" s="37">
        <f t="shared" ref="D7:M7" si="8">+$T$7</f>
        <v>1034</v>
      </c>
      <c r="E7" s="37">
        <f t="shared" si="8"/>
        <v>1034</v>
      </c>
      <c r="F7" s="37">
        <f t="shared" si="8"/>
        <v>1034</v>
      </c>
      <c r="G7" s="37">
        <f t="shared" si="8"/>
        <v>1034</v>
      </c>
      <c r="H7" s="37">
        <f t="shared" si="8"/>
        <v>1034</v>
      </c>
      <c r="I7" s="37">
        <f t="shared" si="8"/>
        <v>1034</v>
      </c>
      <c r="J7" s="37">
        <f t="shared" si="8"/>
        <v>1034</v>
      </c>
      <c r="K7" s="37">
        <f t="shared" si="8"/>
        <v>1034</v>
      </c>
      <c r="L7" s="37">
        <f t="shared" si="8"/>
        <v>1034</v>
      </c>
      <c r="M7" s="37">
        <f t="shared" si="8"/>
        <v>1034</v>
      </c>
      <c r="N7" s="74">
        <f>+W7</f>
        <v>918</v>
      </c>
      <c r="O7" s="55">
        <f t="shared" si="5"/>
        <v>12292</v>
      </c>
      <c r="P7" s="18"/>
      <c r="Q7" s="18">
        <f>+'2.SZ.TÁBL. BEVÉTELEK'!C13+'2.SZ.TÁBL. BEVÉTELEK'!C26+'2.SZ.TÁBL. BEVÉTELEK'!C36+'2.SZ.TÁBL. BEVÉTELEK'!C45+'2.SZ.TÁBL. BEVÉTELEK'!C60</f>
        <v>12292</v>
      </c>
      <c r="R7" s="18"/>
      <c r="S7" s="20">
        <f t="shared" si="1"/>
        <v>1024.3333333333333</v>
      </c>
      <c r="T7" s="43">
        <v>1034</v>
      </c>
      <c r="W7" s="49">
        <f t="shared" si="2"/>
        <v>918</v>
      </c>
    </row>
    <row r="8" spans="1:23">
      <c r="A8" s="36" t="s">
        <v>9</v>
      </c>
      <c r="B8" s="55">
        <f>+'[4]7.SZ.TÁBL. PÉNZE. ÁTAD - ÁTVÉT'!$O8</f>
        <v>5735</v>
      </c>
      <c r="C8" s="38">
        <f>+$T$8</f>
        <v>473</v>
      </c>
      <c r="D8" s="37">
        <f t="shared" ref="D8:M8" si="9">+$T$8</f>
        <v>473</v>
      </c>
      <c r="E8" s="37">
        <f t="shared" si="9"/>
        <v>473</v>
      </c>
      <c r="F8" s="37">
        <f t="shared" si="9"/>
        <v>473</v>
      </c>
      <c r="G8" s="37">
        <f t="shared" si="9"/>
        <v>473</v>
      </c>
      <c r="H8" s="37">
        <f t="shared" si="9"/>
        <v>473</v>
      </c>
      <c r="I8" s="37">
        <f t="shared" si="9"/>
        <v>473</v>
      </c>
      <c r="J8" s="37">
        <f t="shared" si="9"/>
        <v>473</v>
      </c>
      <c r="K8" s="37">
        <f t="shared" si="9"/>
        <v>473</v>
      </c>
      <c r="L8" s="37">
        <f t="shared" si="9"/>
        <v>473</v>
      </c>
      <c r="M8" s="37">
        <f t="shared" si="9"/>
        <v>473</v>
      </c>
      <c r="N8" s="74">
        <f t="shared" si="4"/>
        <v>532</v>
      </c>
      <c r="O8" s="55">
        <f t="shared" si="5"/>
        <v>5735</v>
      </c>
      <c r="P8" s="18"/>
      <c r="Q8" s="18">
        <f>+'2.SZ.TÁBL. BEVÉTELEK'!C14+'2.SZ.TÁBL. BEVÉTELEK'!C27+'2.SZ.TÁBL. BEVÉTELEK'!C37+'2.SZ.TÁBL. BEVÉTELEK'!C46+'2.SZ.TÁBL. BEVÉTELEK'!C55</f>
        <v>5735</v>
      </c>
      <c r="R8" s="18"/>
      <c r="S8" s="20">
        <f t="shared" si="1"/>
        <v>477.91666666666669</v>
      </c>
      <c r="T8" s="43">
        <v>473</v>
      </c>
      <c r="W8" s="49">
        <f t="shared" si="2"/>
        <v>532</v>
      </c>
    </row>
    <row r="9" spans="1:23">
      <c r="A9" s="453" t="s">
        <v>10</v>
      </c>
      <c r="B9" s="55">
        <f>+'[4]7.SZ.TÁBL. PÉNZE. ÁTAD - ÁTVÉT'!$O9</f>
        <v>6705</v>
      </c>
      <c r="C9" s="454">
        <f>+$T$9</f>
        <v>558</v>
      </c>
      <c r="D9" s="335">
        <f t="shared" ref="D9:M9" si="10">+$T$9</f>
        <v>558</v>
      </c>
      <c r="E9" s="335">
        <f t="shared" si="10"/>
        <v>558</v>
      </c>
      <c r="F9" s="335">
        <f t="shared" si="10"/>
        <v>558</v>
      </c>
      <c r="G9" s="335">
        <f t="shared" si="10"/>
        <v>558</v>
      </c>
      <c r="H9" s="335">
        <f t="shared" si="10"/>
        <v>558</v>
      </c>
      <c r="I9" s="335">
        <f t="shared" si="10"/>
        <v>558</v>
      </c>
      <c r="J9" s="335">
        <f t="shared" si="10"/>
        <v>558</v>
      </c>
      <c r="K9" s="335">
        <f t="shared" si="10"/>
        <v>558</v>
      </c>
      <c r="L9" s="335">
        <f t="shared" si="10"/>
        <v>558</v>
      </c>
      <c r="M9" s="335">
        <f t="shared" si="10"/>
        <v>558</v>
      </c>
      <c r="N9" s="336">
        <f t="shared" si="4"/>
        <v>567</v>
      </c>
      <c r="O9" s="56">
        <f t="shared" si="5"/>
        <v>6705</v>
      </c>
      <c r="P9" s="18"/>
      <c r="Q9" s="18">
        <f>+'2.SZ.TÁBL. BEVÉTELEK'!C15+'2.SZ.TÁBL. BEVÉTELEK'!C20+'2.SZ.TÁBL. BEVÉTELEK'!C28+'2.SZ.TÁBL. BEVÉTELEK'!C38+'2.SZ.TÁBL. BEVÉTELEK'!C47+'2.SZ.TÁBL. BEVÉTELEK'!C56</f>
        <v>6705</v>
      </c>
      <c r="R9" s="18"/>
      <c r="S9" s="20">
        <f t="shared" si="1"/>
        <v>558.75</v>
      </c>
      <c r="T9" s="43">
        <v>558</v>
      </c>
      <c r="W9" s="49">
        <f t="shared" si="2"/>
        <v>567</v>
      </c>
    </row>
    <row r="10" spans="1:23" ht="13.5" thickBot="1">
      <c r="A10" s="39" t="s">
        <v>357</v>
      </c>
      <c r="B10" s="55">
        <f>+'[4]7.SZ.TÁBL. PÉNZE. ÁTAD - ÁTVÉT'!$O10</f>
        <v>2639</v>
      </c>
      <c r="C10" s="454">
        <f>+$T$10</f>
        <v>220</v>
      </c>
      <c r="D10" s="335">
        <f t="shared" ref="D10:M10" si="11">+$T$10</f>
        <v>220</v>
      </c>
      <c r="E10" s="335">
        <f t="shared" si="11"/>
        <v>220</v>
      </c>
      <c r="F10" s="335">
        <f t="shared" si="11"/>
        <v>220</v>
      </c>
      <c r="G10" s="335">
        <f t="shared" si="11"/>
        <v>220</v>
      </c>
      <c r="H10" s="335">
        <f t="shared" si="11"/>
        <v>220</v>
      </c>
      <c r="I10" s="335">
        <f t="shared" si="11"/>
        <v>220</v>
      </c>
      <c r="J10" s="335">
        <f t="shared" si="11"/>
        <v>220</v>
      </c>
      <c r="K10" s="335">
        <f t="shared" si="11"/>
        <v>220</v>
      </c>
      <c r="L10" s="335">
        <f t="shared" si="11"/>
        <v>220</v>
      </c>
      <c r="M10" s="335">
        <f t="shared" si="11"/>
        <v>220</v>
      </c>
      <c r="N10" s="336">
        <f t="shared" ref="N10" si="12">+W10</f>
        <v>219</v>
      </c>
      <c r="O10" s="452">
        <f t="shared" ref="O10" si="13">SUM(C10:N10)</f>
        <v>2639</v>
      </c>
      <c r="P10" s="18"/>
      <c r="Q10" s="18">
        <f>+'2.SZ.TÁBL. BEVÉTELEK'!C29+'2.SZ.TÁBL. BEVÉTELEK'!C39+'2.SZ.TÁBL. BEVÉTELEK'!C48+'2.SZ.TÁBL. BEVÉTELEK'!C57</f>
        <v>2639</v>
      </c>
      <c r="R10" s="18"/>
      <c r="S10" s="20">
        <f t="shared" si="1"/>
        <v>219.91666666666666</v>
      </c>
      <c r="T10" s="43">
        <v>220</v>
      </c>
      <c r="W10" s="49">
        <f t="shared" si="2"/>
        <v>219</v>
      </c>
    </row>
    <row r="11" spans="1:23" ht="13.5" thickBot="1">
      <c r="A11" s="40" t="s">
        <v>25</v>
      </c>
      <c r="B11" s="57">
        <f>SUM(B3:B10)</f>
        <v>50539</v>
      </c>
      <c r="C11" s="42">
        <f>SUM(C3:C10)</f>
        <v>4216</v>
      </c>
      <c r="D11" s="41">
        <f t="shared" ref="D11:M11" si="14">SUM(D3:D10)</f>
        <v>4216</v>
      </c>
      <c r="E11" s="41">
        <f t="shared" si="14"/>
        <v>4216</v>
      </c>
      <c r="F11" s="41">
        <f t="shared" si="14"/>
        <v>4216</v>
      </c>
      <c r="G11" s="41">
        <f t="shared" si="14"/>
        <v>4216</v>
      </c>
      <c r="H11" s="41">
        <f t="shared" si="14"/>
        <v>4216</v>
      </c>
      <c r="I11" s="41">
        <f t="shared" si="14"/>
        <v>4216</v>
      </c>
      <c r="J11" s="41">
        <f t="shared" si="14"/>
        <v>4216</v>
      </c>
      <c r="K11" s="41">
        <f t="shared" si="14"/>
        <v>4216</v>
      </c>
      <c r="L11" s="41">
        <f t="shared" si="14"/>
        <v>4216</v>
      </c>
      <c r="M11" s="41">
        <f t="shared" si="14"/>
        <v>4216</v>
      </c>
      <c r="N11" s="41">
        <f>SUM(N3:N10)</f>
        <v>4163</v>
      </c>
      <c r="O11" s="57">
        <f>SUM(O3:O10)</f>
        <v>50539</v>
      </c>
      <c r="Q11" s="20"/>
      <c r="R11" s="20"/>
      <c r="S11" s="20"/>
      <c r="T11" s="20"/>
      <c r="U11" s="20"/>
      <c r="V11" s="20"/>
      <c r="W11" s="20"/>
    </row>
    <row r="12" spans="1:23">
      <c r="A12" s="36" t="s">
        <v>7</v>
      </c>
      <c r="B12" s="80">
        <f>+'[4]7.SZ.TÁBL. PÉNZE. ÁTAD - ÁTVÉT'!$O12</f>
        <v>308</v>
      </c>
      <c r="C12" s="110"/>
      <c r="D12" s="110"/>
      <c r="E12" s="110"/>
      <c r="F12" s="110"/>
      <c r="G12" s="110">
        <v>308</v>
      </c>
      <c r="H12" s="110"/>
      <c r="I12" s="79"/>
      <c r="J12" s="79"/>
      <c r="K12" s="79"/>
      <c r="L12" s="79"/>
      <c r="M12" s="79"/>
      <c r="N12" s="106"/>
      <c r="O12" s="55">
        <f>SUM(C12:N12)</f>
        <v>308</v>
      </c>
      <c r="Q12" s="20"/>
      <c r="R12" s="20"/>
      <c r="S12" s="20"/>
      <c r="T12" s="20"/>
      <c r="U12" s="20"/>
      <c r="V12" s="20"/>
      <c r="W12" s="20"/>
    </row>
    <row r="13" spans="1:23">
      <c r="A13" s="36" t="s">
        <v>8</v>
      </c>
      <c r="B13" s="56">
        <f>+'[4]7.SZ.TÁBL. PÉNZE. ÁTAD - ÁTVÉT'!$O13</f>
        <v>1995</v>
      </c>
      <c r="C13" s="105"/>
      <c r="D13" s="105"/>
      <c r="E13" s="105"/>
      <c r="F13" s="105"/>
      <c r="G13" s="105">
        <v>1995</v>
      </c>
      <c r="H13" s="105"/>
      <c r="I13" s="37"/>
      <c r="J13" s="37"/>
      <c r="K13" s="37"/>
      <c r="L13" s="37"/>
      <c r="M13" s="37"/>
      <c r="N13" s="107"/>
      <c r="O13" s="55">
        <f t="shared" ref="O13:O15" si="15">SUM(C13:N13)</f>
        <v>1995</v>
      </c>
      <c r="Q13" s="20"/>
      <c r="R13" s="20"/>
      <c r="S13" s="20"/>
      <c r="T13" s="20"/>
      <c r="U13" s="20"/>
      <c r="V13" s="20"/>
      <c r="W13" s="20"/>
    </row>
    <row r="14" spans="1:23">
      <c r="A14" s="36" t="s">
        <v>9</v>
      </c>
      <c r="B14" s="56">
        <f>+'[4]7.SZ.TÁBL. PÉNZE. ÁTAD - ÁTVÉT'!$O14</f>
        <v>771</v>
      </c>
      <c r="C14" s="105"/>
      <c r="D14" s="105"/>
      <c r="E14" s="105"/>
      <c r="F14" s="105"/>
      <c r="G14" s="105">
        <v>771</v>
      </c>
      <c r="H14" s="105"/>
      <c r="I14" s="37"/>
      <c r="J14" s="37"/>
      <c r="K14" s="37"/>
      <c r="L14" s="37"/>
      <c r="M14" s="37"/>
      <c r="N14" s="107"/>
      <c r="O14" s="55">
        <f t="shared" si="15"/>
        <v>771</v>
      </c>
      <c r="Q14" s="20"/>
      <c r="R14" s="20"/>
      <c r="S14" s="20"/>
      <c r="T14" s="20"/>
      <c r="U14" s="20"/>
      <c r="V14" s="20"/>
      <c r="W14" s="20"/>
    </row>
    <row r="15" spans="1:23">
      <c r="A15" s="453" t="s">
        <v>10</v>
      </c>
      <c r="B15" s="625">
        <f>+'[4]7.SZ.TÁBL. PÉNZE. ÁTAD - ÁTVÉT'!$O15</f>
        <v>49</v>
      </c>
      <c r="C15" s="626"/>
      <c r="D15" s="626"/>
      <c r="E15" s="626"/>
      <c r="F15" s="626"/>
      <c r="G15" s="626">
        <v>49</v>
      </c>
      <c r="H15" s="626"/>
      <c r="I15" s="335"/>
      <c r="J15" s="335"/>
      <c r="K15" s="335"/>
      <c r="L15" s="335"/>
      <c r="M15" s="335"/>
      <c r="N15" s="627"/>
      <c r="O15" s="55">
        <f t="shared" si="15"/>
        <v>49</v>
      </c>
      <c r="Q15" s="20"/>
      <c r="R15" s="20"/>
      <c r="S15" s="20"/>
      <c r="T15" s="20"/>
      <c r="U15" s="20"/>
      <c r="V15" s="20"/>
      <c r="W15" s="20"/>
    </row>
    <row r="16" spans="1:23">
      <c r="A16" s="628" t="s">
        <v>463</v>
      </c>
      <c r="B16" s="629">
        <f>SUM(B12:B15)</f>
        <v>3123</v>
      </c>
      <c r="C16" s="630"/>
      <c r="D16" s="630"/>
      <c r="E16" s="630"/>
      <c r="F16" s="630"/>
      <c r="G16" s="630">
        <f>SUM(G12:G15)</f>
        <v>3123</v>
      </c>
      <c r="H16" s="630"/>
      <c r="I16" s="344"/>
      <c r="J16" s="344"/>
      <c r="K16" s="344"/>
      <c r="L16" s="344"/>
      <c r="M16" s="344"/>
      <c r="N16" s="631"/>
      <c r="O16" s="629">
        <f>SUM(O12:O15)</f>
        <v>3123</v>
      </c>
      <c r="Q16" s="20"/>
      <c r="R16" s="20"/>
      <c r="S16" s="20"/>
      <c r="T16" s="20"/>
      <c r="U16" s="20"/>
      <c r="V16" s="20"/>
      <c r="W16" s="20"/>
    </row>
    <row r="17" spans="1:24">
      <c r="A17" s="84" t="s">
        <v>4</v>
      </c>
      <c r="B17" s="55"/>
      <c r="C17" s="632"/>
      <c r="D17" s="632"/>
      <c r="E17" s="632"/>
      <c r="F17" s="632"/>
      <c r="G17" s="632"/>
      <c r="H17" s="632"/>
      <c r="I17" s="341"/>
      <c r="J17" s="341"/>
      <c r="K17" s="341"/>
      <c r="L17" s="341"/>
      <c r="M17" s="341"/>
      <c r="N17" s="633">
        <v>29</v>
      </c>
      <c r="O17" s="55">
        <f>SUM(C17:N17)</f>
        <v>29</v>
      </c>
      <c r="Q17" s="20"/>
      <c r="R17" s="20"/>
      <c r="S17" s="20"/>
      <c r="T17" s="20"/>
      <c r="U17" s="20"/>
      <c r="V17" s="20"/>
      <c r="W17" s="20"/>
    </row>
    <row r="18" spans="1:24">
      <c r="A18" s="36" t="s">
        <v>6</v>
      </c>
      <c r="B18" s="56"/>
      <c r="C18" s="105"/>
      <c r="D18" s="105"/>
      <c r="E18" s="105"/>
      <c r="F18" s="105"/>
      <c r="G18" s="105"/>
      <c r="H18" s="105"/>
      <c r="I18" s="37"/>
      <c r="J18" s="37"/>
      <c r="K18" s="37"/>
      <c r="L18" s="37"/>
      <c r="M18" s="37"/>
      <c r="N18" s="107">
        <v>29</v>
      </c>
      <c r="O18" s="55">
        <f t="shared" ref="O18:O19" si="16">SUM(C18:N18)</f>
        <v>29</v>
      </c>
      <c r="Q18" s="20"/>
      <c r="R18" s="20"/>
      <c r="S18" s="20"/>
      <c r="T18" s="20"/>
      <c r="U18" s="20"/>
      <c r="V18" s="20"/>
      <c r="W18" s="20"/>
    </row>
    <row r="19" spans="1:24">
      <c r="A19" s="36" t="s">
        <v>7</v>
      </c>
      <c r="B19" s="56"/>
      <c r="C19" s="105"/>
      <c r="D19" s="105"/>
      <c r="E19" s="105"/>
      <c r="F19" s="105"/>
      <c r="G19" s="105"/>
      <c r="H19" s="105"/>
      <c r="I19" s="37"/>
      <c r="J19" s="37"/>
      <c r="K19" s="37"/>
      <c r="L19" s="37"/>
      <c r="M19" s="37"/>
      <c r="N19" s="107">
        <v>29</v>
      </c>
      <c r="O19" s="55">
        <f t="shared" si="16"/>
        <v>29</v>
      </c>
      <c r="Q19" s="20"/>
      <c r="R19" s="20"/>
      <c r="S19" s="20"/>
      <c r="T19" s="20"/>
      <c r="U19" s="20"/>
      <c r="V19" s="20"/>
      <c r="W19" s="20"/>
    </row>
    <row r="20" spans="1:24">
      <c r="A20" s="36" t="s">
        <v>8</v>
      </c>
      <c r="B20" s="56"/>
      <c r="C20" s="105"/>
      <c r="D20" s="105"/>
      <c r="E20" s="105"/>
      <c r="F20" s="105"/>
      <c r="G20" s="105"/>
      <c r="H20" s="105"/>
      <c r="I20" s="37"/>
      <c r="J20" s="37"/>
      <c r="K20" s="37"/>
      <c r="L20" s="37"/>
      <c r="M20" s="37"/>
      <c r="N20" s="107">
        <v>183</v>
      </c>
      <c r="O20" s="55">
        <f t="shared" ref="O20:O23" si="17">SUM(C20:N20)</f>
        <v>183</v>
      </c>
      <c r="Q20" s="20"/>
      <c r="R20" s="20"/>
      <c r="S20" s="20"/>
      <c r="T20" s="20"/>
      <c r="U20" s="20"/>
      <c r="V20" s="20"/>
      <c r="W20" s="20"/>
    </row>
    <row r="21" spans="1:24">
      <c r="A21" s="36" t="s">
        <v>9</v>
      </c>
      <c r="B21" s="56"/>
      <c r="C21" s="105"/>
      <c r="D21" s="105"/>
      <c r="E21" s="105"/>
      <c r="F21" s="105"/>
      <c r="G21" s="105"/>
      <c r="H21" s="105"/>
      <c r="I21" s="37"/>
      <c r="J21" s="37"/>
      <c r="K21" s="37"/>
      <c r="L21" s="37"/>
      <c r="M21" s="37"/>
      <c r="N21" s="107">
        <v>29</v>
      </c>
      <c r="O21" s="55">
        <f t="shared" si="17"/>
        <v>29</v>
      </c>
      <c r="Q21" s="20"/>
      <c r="R21" s="20"/>
      <c r="S21" s="20"/>
      <c r="T21" s="20"/>
      <c r="U21" s="20"/>
      <c r="V21" s="20"/>
      <c r="W21" s="20"/>
    </row>
    <row r="22" spans="1:24">
      <c r="A22" s="453" t="s">
        <v>10</v>
      </c>
      <c r="B22" s="625"/>
      <c r="C22" s="626"/>
      <c r="D22" s="626"/>
      <c r="E22" s="626"/>
      <c r="F22" s="626"/>
      <c r="G22" s="626"/>
      <c r="H22" s="626"/>
      <c r="I22" s="335"/>
      <c r="J22" s="335"/>
      <c r="K22" s="335"/>
      <c r="L22" s="335"/>
      <c r="M22" s="335"/>
      <c r="N22" s="627">
        <v>29</v>
      </c>
      <c r="O22" s="55">
        <f t="shared" ref="O22" si="18">SUM(C22:N22)</f>
        <v>29</v>
      </c>
      <c r="Q22" s="20"/>
      <c r="R22" s="20"/>
      <c r="S22" s="20"/>
      <c r="T22" s="20"/>
      <c r="U22" s="20"/>
      <c r="V22" s="20"/>
      <c r="W22" s="20"/>
    </row>
    <row r="23" spans="1:24">
      <c r="A23" s="453" t="s">
        <v>357</v>
      </c>
      <c r="B23" s="625"/>
      <c r="C23" s="626"/>
      <c r="D23" s="626"/>
      <c r="E23" s="626"/>
      <c r="F23" s="626"/>
      <c r="G23" s="626"/>
      <c r="H23" s="626"/>
      <c r="I23" s="335"/>
      <c r="J23" s="335"/>
      <c r="K23" s="335"/>
      <c r="L23" s="335"/>
      <c r="M23" s="335"/>
      <c r="N23" s="627">
        <v>29</v>
      </c>
      <c r="O23" s="55">
        <f t="shared" si="17"/>
        <v>29</v>
      </c>
      <c r="Q23" s="20"/>
      <c r="R23" s="20"/>
      <c r="S23" s="20"/>
      <c r="T23" s="20"/>
      <c r="U23" s="20"/>
      <c r="V23" s="20"/>
      <c r="W23" s="20"/>
    </row>
    <row r="24" spans="1:24">
      <c r="A24" s="628" t="s">
        <v>508</v>
      </c>
      <c r="B24" s="629">
        <f>SUM(B17:B23)</f>
        <v>0</v>
      </c>
      <c r="C24" s="630"/>
      <c r="D24" s="630"/>
      <c r="E24" s="630"/>
      <c r="F24" s="630"/>
      <c r="G24" s="630"/>
      <c r="H24" s="630"/>
      <c r="I24" s="344"/>
      <c r="J24" s="344"/>
      <c r="K24" s="344"/>
      <c r="L24" s="344"/>
      <c r="M24" s="344"/>
      <c r="N24" s="631">
        <f>SUM(N17:N23)</f>
        <v>357</v>
      </c>
      <c r="O24" s="629">
        <f>SUM(O17:O23)</f>
        <v>357</v>
      </c>
      <c r="Q24" s="20"/>
      <c r="R24" s="20"/>
      <c r="S24" s="20"/>
      <c r="T24" s="20"/>
      <c r="U24" s="20"/>
      <c r="V24" s="20"/>
      <c r="W24" s="20"/>
    </row>
    <row r="25" spans="1:24">
      <c r="A25" s="453" t="s">
        <v>6</v>
      </c>
      <c r="B25" s="625"/>
      <c r="C25" s="626"/>
      <c r="D25" s="626"/>
      <c r="E25" s="626"/>
      <c r="F25" s="626"/>
      <c r="G25" s="626"/>
      <c r="H25" s="626"/>
      <c r="I25" s="335"/>
      <c r="J25" s="335"/>
      <c r="K25" s="335"/>
      <c r="L25" s="335"/>
      <c r="M25" s="335"/>
      <c r="N25" s="627">
        <v>662</v>
      </c>
      <c r="O25" s="452">
        <f>SUM(C25:N25)</f>
        <v>662</v>
      </c>
      <c r="Q25" s="20"/>
      <c r="R25" s="20"/>
      <c r="S25" s="20"/>
      <c r="T25" s="20"/>
      <c r="U25" s="20"/>
      <c r="V25" s="20"/>
      <c r="W25" s="20"/>
    </row>
    <row r="26" spans="1:24">
      <c r="A26" s="856" t="s">
        <v>509</v>
      </c>
      <c r="B26" s="629"/>
      <c r="C26" s="630"/>
      <c r="D26" s="630"/>
      <c r="E26" s="630"/>
      <c r="F26" s="630"/>
      <c r="G26" s="630"/>
      <c r="H26" s="630"/>
      <c r="I26" s="344"/>
      <c r="J26" s="344"/>
      <c r="K26" s="344"/>
      <c r="L26" s="344"/>
      <c r="M26" s="344"/>
      <c r="N26" s="631">
        <f>+N25</f>
        <v>662</v>
      </c>
      <c r="O26" s="629">
        <f>SUM(O25)</f>
        <v>662</v>
      </c>
      <c r="Q26" s="20"/>
      <c r="R26" s="20"/>
      <c r="S26" s="20"/>
      <c r="T26" s="20"/>
      <c r="U26" s="20"/>
      <c r="V26" s="20"/>
      <c r="W26" s="20"/>
    </row>
    <row r="27" spans="1:24">
      <c r="A27" s="84" t="s">
        <v>4</v>
      </c>
      <c r="B27" s="55">
        <f>+'[4]7.SZ.TÁBL. PÉNZE. ÁTAD - ÁTVÉT'!$O17</f>
        <v>857</v>
      </c>
      <c r="C27" s="632"/>
      <c r="D27" s="632"/>
      <c r="E27" s="632"/>
      <c r="F27" s="632"/>
      <c r="G27" s="632"/>
      <c r="H27" s="632"/>
      <c r="I27" s="341"/>
      <c r="J27" s="341"/>
      <c r="K27" s="341"/>
      <c r="L27" s="341"/>
      <c r="M27" s="341">
        <v>857</v>
      </c>
      <c r="N27" s="633"/>
      <c r="O27" s="55">
        <f>SUM(C27:N27)</f>
        <v>857</v>
      </c>
      <c r="Q27" s="20"/>
      <c r="R27" s="20"/>
      <c r="S27" s="20"/>
      <c r="T27" s="20"/>
      <c r="U27" s="20"/>
      <c r="V27" s="20"/>
      <c r="W27" s="20"/>
    </row>
    <row r="28" spans="1:24">
      <c r="A28" s="36" t="s">
        <v>9</v>
      </c>
      <c r="B28" s="56">
        <f>+'[4]7.SZ.TÁBL. PÉNZE. ÁTAD - ÁTVÉT'!$O18</f>
        <v>1498</v>
      </c>
      <c r="C28" s="105"/>
      <c r="D28" s="105"/>
      <c r="E28" s="105"/>
      <c r="F28" s="105"/>
      <c r="G28" s="105"/>
      <c r="H28" s="105"/>
      <c r="I28" s="37"/>
      <c r="J28" s="37"/>
      <c r="K28" s="37"/>
      <c r="L28" s="37"/>
      <c r="M28" s="37">
        <v>1498</v>
      </c>
      <c r="N28" s="107"/>
      <c r="O28" s="55">
        <f>SUM(C28:N28)</f>
        <v>1498</v>
      </c>
      <c r="Q28" s="20"/>
      <c r="R28" s="20"/>
      <c r="S28" s="20"/>
      <c r="T28" s="20"/>
      <c r="U28" s="20"/>
      <c r="V28" s="20"/>
      <c r="W28" s="20"/>
    </row>
    <row r="29" spans="1:24">
      <c r="A29" s="453" t="s">
        <v>10</v>
      </c>
      <c r="B29" s="625">
        <f>+'[4]7.SZ.TÁBL. PÉNZE. ÁTAD - ÁTVÉT'!$O19</f>
        <v>408</v>
      </c>
      <c r="C29" s="626"/>
      <c r="D29" s="626"/>
      <c r="E29" s="626"/>
      <c r="F29" s="626"/>
      <c r="G29" s="626"/>
      <c r="H29" s="626"/>
      <c r="I29" s="335"/>
      <c r="J29" s="335"/>
      <c r="K29" s="335"/>
      <c r="L29" s="335"/>
      <c r="M29" s="335">
        <v>408</v>
      </c>
      <c r="N29" s="627"/>
      <c r="O29" s="55">
        <f>SUM(C29:N29)</f>
        <v>408</v>
      </c>
      <c r="Q29" s="20"/>
      <c r="R29" s="20"/>
      <c r="S29" s="20"/>
      <c r="T29" s="20"/>
      <c r="U29" s="20"/>
      <c r="V29" s="20"/>
      <c r="W29" s="20"/>
    </row>
    <row r="30" spans="1:24">
      <c r="A30" s="628" t="s">
        <v>495</v>
      </c>
      <c r="B30" s="629">
        <f>SUM(B27:B29)</f>
        <v>2763</v>
      </c>
      <c r="C30" s="630"/>
      <c r="D30" s="630"/>
      <c r="E30" s="630"/>
      <c r="F30" s="630"/>
      <c r="G30" s="630"/>
      <c r="H30" s="630"/>
      <c r="I30" s="344"/>
      <c r="J30" s="344"/>
      <c r="K30" s="344"/>
      <c r="L30" s="344"/>
      <c r="M30" s="630">
        <f>SUM(M27:M29)</f>
        <v>2763</v>
      </c>
      <c r="N30" s="631"/>
      <c r="O30" s="629">
        <f>SUM(O27:O29)</f>
        <v>2763</v>
      </c>
      <c r="Q30" s="20"/>
      <c r="R30" s="20"/>
      <c r="S30" s="20"/>
      <c r="T30" s="20"/>
      <c r="U30" s="20"/>
      <c r="V30" s="20"/>
      <c r="W30" s="20"/>
    </row>
    <row r="31" spans="1:24" s="421" customFormat="1" ht="22.5" customHeight="1">
      <c r="A31" s="620" t="s">
        <v>420</v>
      </c>
      <c r="B31" s="855">
        <f>+'[4]7.SZ.TÁBL. PÉNZE. ÁTAD - ÁTVÉT'!$O21</f>
        <v>217361</v>
      </c>
      <c r="C31" s="622">
        <f>+$T$31+$V$31</f>
        <v>18265</v>
      </c>
      <c r="D31" s="622">
        <f t="shared" ref="D31:H31" si="19">+$T$31+$V$31</f>
        <v>18265</v>
      </c>
      <c r="E31" s="622">
        <f t="shared" si="19"/>
        <v>18265</v>
      </c>
      <c r="F31" s="622">
        <f t="shared" si="19"/>
        <v>18265</v>
      </c>
      <c r="G31" s="622">
        <f t="shared" si="19"/>
        <v>18265</v>
      </c>
      <c r="H31" s="622">
        <f t="shared" si="19"/>
        <v>18265</v>
      </c>
      <c r="I31" s="623">
        <f t="shared" ref="I31:M31" si="20">+$T$31</f>
        <v>17611</v>
      </c>
      <c r="J31" s="623">
        <f t="shared" si="20"/>
        <v>17611</v>
      </c>
      <c r="K31" s="623">
        <f t="shared" si="20"/>
        <v>17611</v>
      </c>
      <c r="L31" s="623">
        <f t="shared" si="20"/>
        <v>17611</v>
      </c>
      <c r="M31" s="623">
        <f t="shared" si="20"/>
        <v>17611</v>
      </c>
      <c r="N31" s="624">
        <f>+W31</f>
        <v>20684</v>
      </c>
      <c r="O31" s="621">
        <f t="shared" ref="O31" si="21">SUM(C31:N31)</f>
        <v>218329</v>
      </c>
      <c r="Q31" s="50">
        <f>+'2.SZ.TÁBL. BEVÉTELEK'!C62</f>
        <v>217361</v>
      </c>
      <c r="R31" s="50">
        <f>+'2.SZ.TÁBL. BEVÉTELEK'!D62</f>
        <v>968</v>
      </c>
      <c r="S31" s="51">
        <f>+Q31/12</f>
        <v>18113.416666666668</v>
      </c>
      <c r="T31" s="421">
        <v>17611</v>
      </c>
      <c r="U31" s="421">
        <f>+R31/6</f>
        <v>161.33333333333334</v>
      </c>
      <c r="V31" s="421">
        <v>654</v>
      </c>
      <c r="W31" s="49">
        <f>(+Q31+R31)-SUM(C31:M31)</f>
        <v>20684</v>
      </c>
      <c r="X31" s="50"/>
    </row>
    <row r="32" spans="1:24" ht="21" customHeight="1" thickBot="1">
      <c r="A32" s="455" t="s">
        <v>421</v>
      </c>
      <c r="B32" s="456">
        <f t="shared" ref="B32:O32" si="22">SUM(B31)</f>
        <v>217361</v>
      </c>
      <c r="C32" s="457">
        <f t="shared" si="22"/>
        <v>18265</v>
      </c>
      <c r="D32" s="457">
        <f t="shared" si="22"/>
        <v>18265</v>
      </c>
      <c r="E32" s="457">
        <f t="shared" si="22"/>
        <v>18265</v>
      </c>
      <c r="F32" s="457">
        <f t="shared" si="22"/>
        <v>18265</v>
      </c>
      <c r="G32" s="457">
        <f t="shared" si="22"/>
        <v>18265</v>
      </c>
      <c r="H32" s="457">
        <f t="shared" si="22"/>
        <v>18265</v>
      </c>
      <c r="I32" s="457">
        <f t="shared" si="22"/>
        <v>17611</v>
      </c>
      <c r="J32" s="457">
        <f t="shared" si="22"/>
        <v>17611</v>
      </c>
      <c r="K32" s="457">
        <f t="shared" si="22"/>
        <v>17611</v>
      </c>
      <c r="L32" s="457">
        <f t="shared" si="22"/>
        <v>17611</v>
      </c>
      <c r="M32" s="457">
        <f t="shared" si="22"/>
        <v>17611</v>
      </c>
      <c r="N32" s="457">
        <f t="shared" si="22"/>
        <v>20684</v>
      </c>
      <c r="O32" s="456">
        <f t="shared" si="22"/>
        <v>218329</v>
      </c>
      <c r="Q32" s="50"/>
      <c r="R32" s="51"/>
      <c r="S32" s="421"/>
      <c r="T32" s="421"/>
      <c r="U32" s="49"/>
      <c r="V32" s="50"/>
      <c r="W32" s="421"/>
    </row>
    <row r="33" spans="1:24" ht="22.5" customHeight="1" thickBot="1">
      <c r="A33" s="458" t="s">
        <v>422</v>
      </c>
      <c r="B33" s="459">
        <f>+B11+B32+B16+B30+B24+B26</f>
        <v>273786</v>
      </c>
      <c r="C33" s="460">
        <f t="shared" ref="C33:O33" si="23">+C11+C32+C16+C30+C24+C26</f>
        <v>22481</v>
      </c>
      <c r="D33" s="461">
        <f t="shared" si="23"/>
        <v>22481</v>
      </c>
      <c r="E33" s="461">
        <f t="shared" si="23"/>
        <v>22481</v>
      </c>
      <c r="F33" s="461">
        <f t="shared" si="23"/>
        <v>22481</v>
      </c>
      <c r="G33" s="461">
        <f t="shared" si="23"/>
        <v>25604</v>
      </c>
      <c r="H33" s="461">
        <f t="shared" si="23"/>
        <v>22481</v>
      </c>
      <c r="I33" s="461">
        <f t="shared" si="23"/>
        <v>21827</v>
      </c>
      <c r="J33" s="461">
        <f t="shared" si="23"/>
        <v>21827</v>
      </c>
      <c r="K33" s="461">
        <f t="shared" si="23"/>
        <v>21827</v>
      </c>
      <c r="L33" s="461">
        <f t="shared" si="23"/>
        <v>21827</v>
      </c>
      <c r="M33" s="461">
        <f t="shared" si="23"/>
        <v>24590</v>
      </c>
      <c r="N33" s="462">
        <f t="shared" si="23"/>
        <v>25866</v>
      </c>
      <c r="O33" s="459">
        <f t="shared" si="23"/>
        <v>275773</v>
      </c>
      <c r="Q33" s="50"/>
      <c r="R33" s="51"/>
      <c r="S33" s="421"/>
      <c r="T33" s="421"/>
      <c r="U33" s="49"/>
      <c r="V33" s="50"/>
      <c r="W33" s="421"/>
    </row>
    <row r="34" spans="1:24" ht="28.5" customHeight="1" thickBot="1">
      <c r="A34" s="112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Q34" s="50"/>
      <c r="R34" s="51"/>
      <c r="S34" s="421"/>
      <c r="T34" s="421"/>
      <c r="U34" s="49"/>
      <c r="V34" s="50"/>
      <c r="W34" s="421"/>
    </row>
    <row r="35" spans="1:24" ht="37.5" customHeight="1">
      <c r="A35" s="101" t="s">
        <v>67</v>
      </c>
      <c r="B35" s="13"/>
      <c r="C35" s="10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106"/>
      <c r="O35" s="80"/>
    </row>
    <row r="36" spans="1:24">
      <c r="A36" s="102" t="s">
        <v>105</v>
      </c>
      <c r="B36" s="55">
        <f>+'[4]7.SZ.TÁBL. PÉNZE. ÁTAD - ÁTVÉT'!$O26</f>
        <v>5884</v>
      </c>
      <c r="C36" s="38">
        <f>+$T$36</f>
        <v>490</v>
      </c>
      <c r="D36" s="37">
        <f t="shared" ref="D36:M36" si="24">+$T$36</f>
        <v>490</v>
      </c>
      <c r="E36" s="37">
        <f t="shared" si="24"/>
        <v>490</v>
      </c>
      <c r="F36" s="37">
        <f t="shared" si="24"/>
        <v>490</v>
      </c>
      <c r="G36" s="37">
        <f t="shared" si="24"/>
        <v>490</v>
      </c>
      <c r="H36" s="37">
        <f t="shared" si="24"/>
        <v>490</v>
      </c>
      <c r="I36" s="37">
        <f t="shared" si="24"/>
        <v>490</v>
      </c>
      <c r="J36" s="37">
        <f t="shared" si="24"/>
        <v>490</v>
      </c>
      <c r="K36" s="37">
        <f t="shared" si="24"/>
        <v>490</v>
      </c>
      <c r="L36" s="37">
        <f t="shared" si="24"/>
        <v>490</v>
      </c>
      <c r="M36" s="37">
        <f t="shared" si="24"/>
        <v>490</v>
      </c>
      <c r="N36" s="107">
        <f>+W36</f>
        <v>494</v>
      </c>
      <c r="O36" s="55">
        <f>SUM(C36:N36)</f>
        <v>5884</v>
      </c>
      <c r="Q36" s="21">
        <v>5884</v>
      </c>
      <c r="R36" s="21"/>
      <c r="S36" s="20">
        <f>+Q36/12</f>
        <v>490.33333333333331</v>
      </c>
      <c r="T36" s="18">
        <v>490</v>
      </c>
      <c r="U36" s="18"/>
      <c r="V36" s="18"/>
      <c r="W36" s="18">
        <f>+Q36-SUM(C36:M36)</f>
        <v>494</v>
      </c>
    </row>
    <row r="37" spans="1:24">
      <c r="A37" s="103" t="s">
        <v>465</v>
      </c>
      <c r="B37" s="56">
        <f>+'[4]7.SZ.TÁBL. PÉNZE. ÁTAD - ÁTVÉT'!$O27</f>
        <v>7873</v>
      </c>
      <c r="C37" s="38"/>
      <c r="D37" s="37"/>
      <c r="E37" s="37"/>
      <c r="F37" s="37">
        <v>7873</v>
      </c>
      <c r="G37" s="37"/>
      <c r="H37" s="37"/>
      <c r="I37" s="37"/>
      <c r="J37" s="37"/>
      <c r="K37" s="37"/>
      <c r="L37" s="37"/>
      <c r="M37" s="37"/>
      <c r="N37" s="107"/>
      <c r="O37" s="56">
        <f>SUM(C37:N37)</f>
        <v>7873</v>
      </c>
      <c r="Q37" s="21"/>
      <c r="R37" s="21"/>
      <c r="S37" s="20"/>
      <c r="T37" s="18"/>
      <c r="U37" s="18"/>
      <c r="V37" s="18"/>
      <c r="W37" s="18"/>
    </row>
    <row r="38" spans="1:24">
      <c r="A38" s="103" t="s">
        <v>494</v>
      </c>
      <c r="B38" s="56">
        <f>+'[4]7.SZ.TÁBL. PÉNZE. ÁTAD - ÁTVÉT'!$O28</f>
        <v>2763</v>
      </c>
      <c r="C38" s="38"/>
      <c r="D38" s="37"/>
      <c r="E38" s="37"/>
      <c r="F38" s="37"/>
      <c r="G38" s="37"/>
      <c r="H38" s="37"/>
      <c r="I38" s="37">
        <v>2342</v>
      </c>
      <c r="J38" s="37">
        <v>421</v>
      </c>
      <c r="K38" s="37"/>
      <c r="L38" s="37"/>
      <c r="M38" s="37"/>
      <c r="N38" s="107"/>
      <c r="O38" s="56">
        <f>SUM(C38:N38)</f>
        <v>2763</v>
      </c>
      <c r="Q38" s="21"/>
      <c r="R38" s="21"/>
      <c r="S38" s="20"/>
      <c r="T38" s="18"/>
      <c r="U38" s="18"/>
      <c r="V38" s="18"/>
      <c r="W38" s="18"/>
    </row>
    <row r="39" spans="1:24" ht="13.5" thickBot="1">
      <c r="A39" s="639" t="s">
        <v>466</v>
      </c>
      <c r="B39" s="452">
        <f>+'[4]7.SZ.TÁBL. PÉNZE. ÁTAD - ÁTVÉT'!$O29</f>
        <v>1884</v>
      </c>
      <c r="C39" s="637"/>
      <c r="D39" s="346"/>
      <c r="E39" s="346"/>
      <c r="F39" s="346"/>
      <c r="G39" s="346">
        <v>1884</v>
      </c>
      <c r="H39" s="346"/>
      <c r="I39" s="346"/>
      <c r="J39" s="346"/>
      <c r="K39" s="346"/>
      <c r="L39" s="346"/>
      <c r="M39" s="346"/>
      <c r="N39" s="638"/>
      <c r="O39" s="452">
        <f>SUM(C39:N39)</f>
        <v>1884</v>
      </c>
      <c r="Q39" s="21"/>
      <c r="R39" s="21"/>
      <c r="S39" s="20"/>
      <c r="T39" s="18"/>
      <c r="U39" s="18"/>
      <c r="V39" s="18"/>
      <c r="W39" s="18"/>
    </row>
    <row r="40" spans="1:24" ht="13.5" thickBot="1">
      <c r="A40" s="40" t="s">
        <v>25</v>
      </c>
      <c r="B40" s="57">
        <f t="shared" ref="B40:O40" si="25">SUM(B36:B39)</f>
        <v>18404</v>
      </c>
      <c r="C40" s="42">
        <f>SUM(C36:C39)</f>
        <v>490</v>
      </c>
      <c r="D40" s="41">
        <f t="shared" si="25"/>
        <v>490</v>
      </c>
      <c r="E40" s="41">
        <f t="shared" si="25"/>
        <v>490</v>
      </c>
      <c r="F40" s="41">
        <f t="shared" si="25"/>
        <v>8363</v>
      </c>
      <c r="G40" s="41">
        <f>SUM(G36:G39)</f>
        <v>2374</v>
      </c>
      <c r="H40" s="41">
        <f t="shared" si="25"/>
        <v>490</v>
      </c>
      <c r="I40" s="41">
        <f>SUM(I36:I39)</f>
        <v>2832</v>
      </c>
      <c r="J40" s="41">
        <f t="shared" si="25"/>
        <v>911</v>
      </c>
      <c r="K40" s="41">
        <f t="shared" si="25"/>
        <v>490</v>
      </c>
      <c r="L40" s="41">
        <f t="shared" si="25"/>
        <v>490</v>
      </c>
      <c r="M40" s="41">
        <f t="shared" si="25"/>
        <v>490</v>
      </c>
      <c r="N40" s="86">
        <f t="shared" si="25"/>
        <v>494</v>
      </c>
      <c r="O40" s="57">
        <f t="shared" si="25"/>
        <v>18404</v>
      </c>
      <c r="Q40" s="21"/>
      <c r="R40" s="21"/>
      <c r="S40" s="18"/>
      <c r="T40" s="18"/>
      <c r="U40" s="18"/>
      <c r="V40" s="18"/>
      <c r="W40" s="18"/>
      <c r="X40" s="18"/>
    </row>
    <row r="41" spans="1:24" ht="37.5" customHeight="1">
      <c r="A41" s="101" t="s">
        <v>127</v>
      </c>
      <c r="B41" s="80"/>
      <c r="C41" s="108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06"/>
      <c r="O41" s="80"/>
      <c r="Q41" s="21"/>
      <c r="R41" s="21"/>
      <c r="S41" s="20"/>
      <c r="T41" s="18"/>
      <c r="U41" s="18"/>
      <c r="V41" s="18"/>
      <c r="W41" s="18"/>
      <c r="X41" s="18"/>
    </row>
    <row r="42" spans="1:24" ht="25.5">
      <c r="A42" s="634" t="s">
        <v>464</v>
      </c>
      <c r="B42" s="55">
        <f>+'[4]7.SZ.TÁBL. PÉNZE. ÁTAD - ÁTVÉT'!$O32</f>
        <v>2235</v>
      </c>
      <c r="C42" s="635">
        <f>735+1500</f>
        <v>2235</v>
      </c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3"/>
      <c r="O42" s="636">
        <f>SUM(C42:N42)</f>
        <v>2235</v>
      </c>
      <c r="Q42" s="21"/>
      <c r="R42" s="21"/>
      <c r="S42" s="20"/>
      <c r="T42" s="18"/>
      <c r="U42" s="18"/>
      <c r="V42" s="18"/>
      <c r="W42" s="18"/>
      <c r="X42" s="18"/>
    </row>
    <row r="43" spans="1:24">
      <c r="A43" s="634" t="s">
        <v>497</v>
      </c>
      <c r="B43" s="55">
        <f>+'[4]7.SZ.TÁBL. PÉNZE. ÁTAD - ÁTVÉT'!$O33</f>
        <v>1000</v>
      </c>
      <c r="C43" s="635"/>
      <c r="D43" s="632"/>
      <c r="E43" s="632"/>
      <c r="F43" s="632"/>
      <c r="G43" s="632"/>
      <c r="H43" s="632"/>
      <c r="I43" s="632"/>
      <c r="J43" s="632"/>
      <c r="K43" s="632"/>
      <c r="L43" s="632"/>
      <c r="M43" s="632"/>
      <c r="N43" s="633">
        <v>1000</v>
      </c>
      <c r="O43" s="636">
        <f>SUM(C43:N43)</f>
        <v>1000</v>
      </c>
      <c r="Q43" s="21"/>
      <c r="R43" s="21"/>
      <c r="S43" s="20"/>
      <c r="T43" s="18"/>
      <c r="U43" s="18"/>
      <c r="V43" s="18"/>
      <c r="W43" s="18"/>
      <c r="X43" s="18"/>
    </row>
    <row r="44" spans="1:24">
      <c r="A44" s="103" t="s">
        <v>405</v>
      </c>
      <c r="B44" s="56">
        <f>+'[4]7.SZ.TÁBL. PÉNZE. ÁTAD - ÁTVÉT'!$O34</f>
        <v>2498</v>
      </c>
      <c r="C44" s="38">
        <f>+$T$44</f>
        <v>254</v>
      </c>
      <c r="D44" s="105">
        <f t="shared" ref="D44:H44" si="26">+$T$44</f>
        <v>254</v>
      </c>
      <c r="E44" s="105">
        <f t="shared" si="26"/>
        <v>254</v>
      </c>
      <c r="F44" s="105">
        <f t="shared" si="26"/>
        <v>254</v>
      </c>
      <c r="G44" s="105">
        <f t="shared" si="26"/>
        <v>254</v>
      </c>
      <c r="H44" s="105">
        <f t="shared" si="26"/>
        <v>254</v>
      </c>
      <c r="I44" s="751">
        <v>688</v>
      </c>
      <c r="J44" s="751">
        <v>316</v>
      </c>
      <c r="K44" s="751">
        <v>316</v>
      </c>
      <c r="L44" s="751">
        <v>316</v>
      </c>
      <c r="M44" s="105"/>
      <c r="N44" s="107"/>
      <c r="O44" s="55">
        <f>SUM(C44:N44)</f>
        <v>3160</v>
      </c>
      <c r="Q44" s="21">
        <v>3048</v>
      </c>
      <c r="R44" s="21">
        <v>750</v>
      </c>
      <c r="S44" s="43">
        <f>+Q44/12</f>
        <v>254</v>
      </c>
      <c r="T44" s="43">
        <v>254</v>
      </c>
      <c r="U44" s="421">
        <f>+R44/6</f>
        <v>125</v>
      </c>
      <c r="V44" s="18">
        <v>125</v>
      </c>
      <c r="W44" s="49">
        <f>(+Q44+R44)-SUM(C44:M44)</f>
        <v>638</v>
      </c>
    </row>
    <row r="45" spans="1:24" ht="13.5" thickBot="1">
      <c r="A45" s="103" t="s">
        <v>406</v>
      </c>
      <c r="B45" s="87">
        <f>+'[4]7.SZ.TÁBL. PÉNZE. ÁTAD - ÁTVÉT'!$O35</f>
        <v>8263</v>
      </c>
      <c r="C45" s="38">
        <f>+$T$45</f>
        <v>405</v>
      </c>
      <c r="D45" s="105">
        <f t="shared" ref="D45:H45" si="27">+$T$45</f>
        <v>405</v>
      </c>
      <c r="E45" s="105">
        <f t="shared" si="27"/>
        <v>405</v>
      </c>
      <c r="F45" s="105">
        <f t="shared" si="27"/>
        <v>405</v>
      </c>
      <c r="G45" s="105">
        <f t="shared" si="27"/>
        <v>405</v>
      </c>
      <c r="H45" s="105">
        <f t="shared" si="27"/>
        <v>405</v>
      </c>
      <c r="I45" s="751">
        <v>2400</v>
      </c>
      <c r="J45" s="751">
        <v>690</v>
      </c>
      <c r="K45" s="751">
        <v>690</v>
      </c>
      <c r="L45" s="751">
        <v>690</v>
      </c>
      <c r="M45" s="105">
        <v>604</v>
      </c>
      <c r="N45" s="107">
        <f>603+156</f>
        <v>759</v>
      </c>
      <c r="O45" s="55">
        <f>SUM(C45:N45)</f>
        <v>8263</v>
      </c>
      <c r="Q45" s="21">
        <v>4859</v>
      </c>
      <c r="R45" s="21">
        <v>3427</v>
      </c>
      <c r="S45" s="43">
        <f>+Q45/12</f>
        <v>404.91666666666669</v>
      </c>
      <c r="T45" s="43">
        <v>405</v>
      </c>
      <c r="U45" s="421">
        <f>+R45/6</f>
        <v>571.16666666666663</v>
      </c>
      <c r="V45" s="421">
        <v>571</v>
      </c>
      <c r="W45" s="49">
        <f>(+Q45+R45)-SUM(C45:M45)</f>
        <v>782</v>
      </c>
    </row>
    <row r="46" spans="1:24" ht="13.5" thickBot="1">
      <c r="A46" s="104" t="s">
        <v>25</v>
      </c>
      <c r="B46" s="57">
        <f>SUM(B42:B45)</f>
        <v>13996</v>
      </c>
      <c r="C46" s="42">
        <f>SUM(C42:C45)</f>
        <v>2894</v>
      </c>
      <c r="D46" s="41">
        <f t="shared" ref="D46:N46" si="28">SUM(D42:D45)</f>
        <v>659</v>
      </c>
      <c r="E46" s="41">
        <f t="shared" si="28"/>
        <v>659</v>
      </c>
      <c r="F46" s="41">
        <f t="shared" si="28"/>
        <v>659</v>
      </c>
      <c r="G46" s="41">
        <f t="shared" si="28"/>
        <v>659</v>
      </c>
      <c r="H46" s="41">
        <f t="shared" si="28"/>
        <v>659</v>
      </c>
      <c r="I46" s="41">
        <f t="shared" si="28"/>
        <v>3088</v>
      </c>
      <c r="J46" s="41">
        <f t="shared" si="28"/>
        <v>1006</v>
      </c>
      <c r="K46" s="41">
        <f t="shared" si="28"/>
        <v>1006</v>
      </c>
      <c r="L46" s="41">
        <f t="shared" si="28"/>
        <v>1006</v>
      </c>
      <c r="M46" s="41">
        <f t="shared" si="28"/>
        <v>604</v>
      </c>
      <c r="N46" s="86">
        <f t="shared" si="28"/>
        <v>1759</v>
      </c>
      <c r="O46" s="57">
        <f>SUM(O42:O45)</f>
        <v>14658</v>
      </c>
      <c r="Q46" s="21">
        <f>SUM(Q36:Q45)</f>
        <v>13791</v>
      </c>
      <c r="R46" s="21"/>
    </row>
    <row r="114" spans="1:5">
      <c r="A114" s="24"/>
      <c r="B114" s="24"/>
      <c r="C114" s="24"/>
      <c r="D114" s="24"/>
      <c r="E114" s="24"/>
    </row>
  </sheetData>
  <phoneticPr fontId="34" type="noConversion"/>
  <printOptions horizontalCentered="1"/>
  <pageMargins left="0.15748031496062992" right="0.15748031496062992" top="0.94" bottom="0.41" header="0.35433070866141736" footer="0.15748031496062992"/>
  <pageSetup paperSize="9" scale="69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Q90"/>
  <sheetViews>
    <sheetView workbookViewId="0">
      <selection activeCell="N26" sqref="N26"/>
    </sheetView>
  </sheetViews>
  <sheetFormatPr defaultRowHeight="15"/>
  <cols>
    <col min="1" max="1" width="32.42578125" style="25" customWidth="1"/>
    <col min="2" max="2" width="9.7109375" style="493" customWidth="1"/>
    <col min="3" max="10" width="8" style="493" bestFit="1" customWidth="1"/>
    <col min="11" max="11" width="10.140625" style="493" bestFit="1" customWidth="1"/>
    <col min="12" max="12" width="8" style="493" bestFit="1" customWidth="1"/>
    <col min="13" max="13" width="8.7109375" style="493" customWidth="1"/>
    <col min="14" max="14" width="8.85546875" style="494" bestFit="1" customWidth="1"/>
    <col min="15" max="15" width="9.7109375" style="493" customWidth="1"/>
    <col min="16" max="16" width="11.5703125" style="25" bestFit="1" customWidth="1"/>
    <col min="17" max="16384" width="9.140625" style="25"/>
  </cols>
  <sheetData>
    <row r="1" spans="1:17" ht="24.75" customHeight="1">
      <c r="A1" s="471" t="s">
        <v>214</v>
      </c>
      <c r="B1" s="464" t="s">
        <v>496</v>
      </c>
      <c r="C1" s="484" t="s">
        <v>69</v>
      </c>
      <c r="D1" s="463" t="s">
        <v>70</v>
      </c>
      <c r="E1" s="463" t="s">
        <v>71</v>
      </c>
      <c r="F1" s="463" t="s">
        <v>72</v>
      </c>
      <c r="G1" s="463" t="s">
        <v>73</v>
      </c>
      <c r="H1" s="463" t="s">
        <v>74</v>
      </c>
      <c r="I1" s="463" t="s">
        <v>75</v>
      </c>
      <c r="J1" s="463" t="s">
        <v>423</v>
      </c>
      <c r="K1" s="463" t="s">
        <v>76</v>
      </c>
      <c r="L1" s="463" t="s">
        <v>77</v>
      </c>
      <c r="M1" s="463" t="s">
        <v>78</v>
      </c>
      <c r="N1" s="488" t="s">
        <v>79</v>
      </c>
      <c r="O1" s="465" t="s">
        <v>424</v>
      </c>
    </row>
    <row r="2" spans="1:17" ht="23.25" customHeight="1">
      <c r="A2" s="472" t="s">
        <v>52</v>
      </c>
      <c r="B2" s="487"/>
      <c r="C2" s="485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89"/>
      <c r="O2" s="491"/>
    </row>
    <row r="3" spans="1:17" ht="15" customHeight="1">
      <c r="A3" s="473" t="s">
        <v>433</v>
      </c>
      <c r="B3" s="499">
        <f>+'1.SZ.TÁBL. TÁRSULÁS KON. MÉRLEG'!D2</f>
        <v>305260</v>
      </c>
      <c r="C3" s="500">
        <f>24162+785</f>
        <v>24947</v>
      </c>
      <c r="D3" s="500">
        <f t="shared" ref="D3:F3" si="0">24162+785</f>
        <v>24947</v>
      </c>
      <c r="E3" s="500">
        <f t="shared" si="0"/>
        <v>24947</v>
      </c>
      <c r="F3" s="500">
        <f t="shared" si="0"/>
        <v>24947</v>
      </c>
      <c r="G3" s="500">
        <f>24162+785+3123</f>
        <v>28070</v>
      </c>
      <c r="H3" s="500">
        <f>24163+1118+3</f>
        <v>25284</v>
      </c>
      <c r="I3" s="500">
        <v>24162</v>
      </c>
      <c r="J3" s="500">
        <v>24163</v>
      </c>
      <c r="K3" s="500">
        <f>24163+1319</f>
        <v>25482</v>
      </c>
      <c r="L3" s="500">
        <f>24162+1319</f>
        <v>25481</v>
      </c>
      <c r="M3" s="500">
        <f>24162+1319</f>
        <v>25481</v>
      </c>
      <c r="N3" s="500">
        <f>24162+1319-117-2+1987</f>
        <v>27349</v>
      </c>
      <c r="O3" s="501">
        <f>SUM(C3:N3)</f>
        <v>305260</v>
      </c>
      <c r="P3" s="26"/>
    </row>
    <row r="4" spans="1:17" ht="15" customHeight="1">
      <c r="A4" s="473" t="s">
        <v>166</v>
      </c>
      <c r="B4" s="499">
        <f>+'1.SZ.TÁBL. TÁRSULÁS KON. MÉRLEG'!D3</f>
        <v>10960</v>
      </c>
      <c r="C4" s="500">
        <v>936</v>
      </c>
      <c r="D4" s="502">
        <v>937</v>
      </c>
      <c r="E4" s="502">
        <v>937</v>
      </c>
      <c r="F4" s="502">
        <v>937</v>
      </c>
      <c r="G4" s="502">
        <v>937</v>
      </c>
      <c r="H4" s="502">
        <v>937</v>
      </c>
      <c r="I4" s="502">
        <v>937</v>
      </c>
      <c r="J4" s="502">
        <v>937</v>
      </c>
      <c r="K4" s="502">
        <f>937+85</f>
        <v>1022</v>
      </c>
      <c r="L4" s="502">
        <f>937+86</f>
        <v>1023</v>
      </c>
      <c r="M4" s="502">
        <f>937+86-457</f>
        <v>566</v>
      </c>
      <c r="N4" s="503">
        <f>937+86-457+288</f>
        <v>854</v>
      </c>
      <c r="O4" s="501">
        <f t="shared" ref="O4:O5" si="1">SUM(C4:N4)</f>
        <v>10960</v>
      </c>
    </row>
    <row r="5" spans="1:17" ht="15" customHeight="1">
      <c r="A5" s="474" t="s">
        <v>429</v>
      </c>
      <c r="B5" s="504"/>
      <c r="C5" s="505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7"/>
      <c r="O5" s="508">
        <f t="shared" si="1"/>
        <v>0</v>
      </c>
    </row>
    <row r="6" spans="1:17" ht="15" customHeight="1">
      <c r="A6" s="475" t="s">
        <v>431</v>
      </c>
      <c r="B6" s="509">
        <f>+SUM(B3:B5)</f>
        <v>316220</v>
      </c>
      <c r="C6" s="510">
        <f t="shared" ref="C6:O6" si="2">+SUM(C3:C5)</f>
        <v>25883</v>
      </c>
      <c r="D6" s="511">
        <f t="shared" si="2"/>
        <v>25884</v>
      </c>
      <c r="E6" s="511">
        <f t="shared" si="2"/>
        <v>25884</v>
      </c>
      <c r="F6" s="511">
        <f t="shared" si="2"/>
        <v>25884</v>
      </c>
      <c r="G6" s="511">
        <f t="shared" si="2"/>
        <v>29007</v>
      </c>
      <c r="H6" s="511">
        <f t="shared" si="2"/>
        <v>26221</v>
      </c>
      <c r="I6" s="511">
        <f t="shared" si="2"/>
        <v>25099</v>
      </c>
      <c r="J6" s="511">
        <f t="shared" si="2"/>
        <v>25100</v>
      </c>
      <c r="K6" s="511">
        <f t="shared" si="2"/>
        <v>26504</v>
      </c>
      <c r="L6" s="511">
        <f t="shared" si="2"/>
        <v>26504</v>
      </c>
      <c r="M6" s="511">
        <f t="shared" si="2"/>
        <v>26047</v>
      </c>
      <c r="N6" s="512">
        <f t="shared" si="2"/>
        <v>28203</v>
      </c>
      <c r="O6" s="513">
        <f t="shared" si="2"/>
        <v>316220</v>
      </c>
    </row>
    <row r="7" spans="1:17" s="58" customFormat="1" ht="15" customHeight="1">
      <c r="A7" s="476" t="s">
        <v>430</v>
      </c>
      <c r="B7" s="514"/>
      <c r="C7" s="515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7"/>
      <c r="O7" s="518">
        <f>SUM(C7:N7)</f>
        <v>0</v>
      </c>
    </row>
    <row r="8" spans="1:17" ht="15" customHeight="1">
      <c r="A8" s="473" t="s">
        <v>167</v>
      </c>
      <c r="B8" s="499"/>
      <c r="C8" s="500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3"/>
      <c r="O8" s="519">
        <f t="shared" ref="O8:O9" si="3">SUM(C8:N8)</f>
        <v>0</v>
      </c>
      <c r="P8" s="26"/>
    </row>
    <row r="9" spans="1:17" ht="15" customHeight="1">
      <c r="A9" s="474" t="s">
        <v>432</v>
      </c>
      <c r="B9" s="504"/>
      <c r="C9" s="505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7"/>
      <c r="O9" s="520">
        <f t="shared" si="3"/>
        <v>0</v>
      </c>
      <c r="P9" s="26"/>
      <c r="Q9" s="26"/>
    </row>
    <row r="10" spans="1:17" ht="15" customHeight="1">
      <c r="A10" s="475" t="s">
        <v>434</v>
      </c>
      <c r="B10" s="509">
        <f>+SUM(B7:B9)</f>
        <v>0</v>
      </c>
      <c r="C10" s="510">
        <f t="shared" ref="C10:N10" si="4">+SUM(C7:C9)</f>
        <v>0</v>
      </c>
      <c r="D10" s="511">
        <f t="shared" si="4"/>
        <v>0</v>
      </c>
      <c r="E10" s="511">
        <f t="shared" si="4"/>
        <v>0</v>
      </c>
      <c r="F10" s="511">
        <f t="shared" si="4"/>
        <v>0</v>
      </c>
      <c r="G10" s="511">
        <f t="shared" si="4"/>
        <v>0</v>
      </c>
      <c r="H10" s="511">
        <f t="shared" si="4"/>
        <v>0</v>
      </c>
      <c r="I10" s="511">
        <f t="shared" si="4"/>
        <v>0</v>
      </c>
      <c r="J10" s="511">
        <f t="shared" si="4"/>
        <v>0</v>
      </c>
      <c r="K10" s="511">
        <f t="shared" si="4"/>
        <v>0</v>
      </c>
      <c r="L10" s="511">
        <f t="shared" si="4"/>
        <v>0</v>
      </c>
      <c r="M10" s="511">
        <f t="shared" si="4"/>
        <v>0</v>
      </c>
      <c r="N10" s="512">
        <f t="shared" si="4"/>
        <v>0</v>
      </c>
      <c r="O10" s="513">
        <f>+SUM(O7:O9)</f>
        <v>0</v>
      </c>
      <c r="Q10" s="26"/>
    </row>
    <row r="11" spans="1:17" ht="15" customHeight="1">
      <c r="A11" s="476" t="s">
        <v>425</v>
      </c>
      <c r="B11" s="514"/>
      <c r="C11" s="515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7"/>
      <c r="O11" s="518"/>
      <c r="P11" s="26"/>
      <c r="Q11" s="26"/>
    </row>
    <row r="12" spans="1:17" ht="15" customHeight="1">
      <c r="A12" s="473" t="s">
        <v>135</v>
      </c>
      <c r="B12" s="499"/>
      <c r="C12" s="500">
        <v>735</v>
      </c>
      <c r="D12" s="502"/>
      <c r="E12" s="502"/>
      <c r="F12" s="502">
        <v>7863</v>
      </c>
      <c r="G12" s="502"/>
      <c r="H12" s="502"/>
      <c r="I12" s="502"/>
      <c r="J12" s="502"/>
      <c r="K12" s="502"/>
      <c r="L12" s="502"/>
      <c r="M12" s="502"/>
      <c r="N12" s="503"/>
      <c r="O12" s="519">
        <f>SUM(C12:N12)</f>
        <v>8598</v>
      </c>
      <c r="P12" s="26"/>
    </row>
    <row r="13" spans="1:17" ht="15" customHeight="1">
      <c r="A13" s="474" t="s">
        <v>141</v>
      </c>
      <c r="B13" s="504"/>
      <c r="C13" s="505">
        <v>1500</v>
      </c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7"/>
      <c r="O13" s="520">
        <f>SUM(C13:N13)</f>
        <v>1500</v>
      </c>
      <c r="P13" s="26"/>
    </row>
    <row r="14" spans="1:17" ht="15" customHeight="1">
      <c r="A14" s="158" t="s">
        <v>171</v>
      </c>
      <c r="B14" s="509">
        <f>+'1.SZ.TÁBL. TÁRSULÁS KON. MÉRLEG'!D5</f>
        <v>10098</v>
      </c>
      <c r="C14" s="510">
        <f t="shared" ref="C14:O14" si="5">+C13+C12</f>
        <v>2235</v>
      </c>
      <c r="D14" s="511">
        <f t="shared" si="5"/>
        <v>0</v>
      </c>
      <c r="E14" s="511">
        <f t="shared" si="5"/>
        <v>0</v>
      </c>
      <c r="F14" s="511">
        <f t="shared" si="5"/>
        <v>7863</v>
      </c>
      <c r="G14" s="511">
        <f t="shared" si="5"/>
        <v>0</v>
      </c>
      <c r="H14" s="511">
        <f t="shared" si="5"/>
        <v>0</v>
      </c>
      <c r="I14" s="511">
        <f t="shared" si="5"/>
        <v>0</v>
      </c>
      <c r="J14" s="511">
        <f t="shared" si="5"/>
        <v>0</v>
      </c>
      <c r="K14" s="511">
        <f t="shared" si="5"/>
        <v>0</v>
      </c>
      <c r="L14" s="511">
        <f t="shared" si="5"/>
        <v>0</v>
      </c>
      <c r="M14" s="511">
        <f t="shared" si="5"/>
        <v>0</v>
      </c>
      <c r="N14" s="512">
        <f t="shared" si="5"/>
        <v>0</v>
      </c>
      <c r="O14" s="513">
        <f t="shared" si="5"/>
        <v>10098</v>
      </c>
    </row>
    <row r="15" spans="1:17" s="58" customFormat="1" ht="15" customHeight="1">
      <c r="A15" s="158" t="s">
        <v>426</v>
      </c>
      <c r="B15" s="509">
        <f>+B14</f>
        <v>10098</v>
      </c>
      <c r="C15" s="510">
        <f t="shared" ref="C15:O15" si="6">+C14</f>
        <v>2235</v>
      </c>
      <c r="D15" s="511">
        <f t="shared" si="6"/>
        <v>0</v>
      </c>
      <c r="E15" s="511">
        <f t="shared" si="6"/>
        <v>0</v>
      </c>
      <c r="F15" s="511">
        <f t="shared" si="6"/>
        <v>7863</v>
      </c>
      <c r="G15" s="511">
        <f t="shared" si="6"/>
        <v>0</v>
      </c>
      <c r="H15" s="511">
        <f t="shared" si="6"/>
        <v>0</v>
      </c>
      <c r="I15" s="511">
        <f t="shared" si="6"/>
        <v>0</v>
      </c>
      <c r="J15" s="511">
        <f t="shared" si="6"/>
        <v>0</v>
      </c>
      <c r="K15" s="511">
        <f t="shared" si="6"/>
        <v>0</v>
      </c>
      <c r="L15" s="511">
        <f t="shared" si="6"/>
        <v>0</v>
      </c>
      <c r="M15" s="511">
        <f t="shared" si="6"/>
        <v>0</v>
      </c>
      <c r="N15" s="512">
        <f t="shared" si="6"/>
        <v>0</v>
      </c>
      <c r="O15" s="513">
        <f t="shared" si="6"/>
        <v>10098</v>
      </c>
    </row>
    <row r="16" spans="1:17" ht="16.5" customHeight="1">
      <c r="A16" s="477" t="s">
        <v>0</v>
      </c>
      <c r="B16" s="521">
        <f>+B15+B10+B6</f>
        <v>326318</v>
      </c>
      <c r="C16" s="522">
        <f t="shared" ref="C16:O16" si="7">+C15+C10+C6</f>
        <v>28118</v>
      </c>
      <c r="D16" s="523">
        <f t="shared" si="7"/>
        <v>25884</v>
      </c>
      <c r="E16" s="523">
        <f t="shared" si="7"/>
        <v>25884</v>
      </c>
      <c r="F16" s="523">
        <f t="shared" si="7"/>
        <v>33747</v>
      </c>
      <c r="G16" s="523">
        <f t="shared" si="7"/>
        <v>29007</v>
      </c>
      <c r="H16" s="523">
        <f t="shared" si="7"/>
        <v>26221</v>
      </c>
      <c r="I16" s="523">
        <f t="shared" si="7"/>
        <v>25099</v>
      </c>
      <c r="J16" s="523">
        <f t="shared" si="7"/>
        <v>25100</v>
      </c>
      <c r="K16" s="523">
        <f t="shared" si="7"/>
        <v>26504</v>
      </c>
      <c r="L16" s="523">
        <f t="shared" si="7"/>
        <v>26504</v>
      </c>
      <c r="M16" s="523">
        <f t="shared" si="7"/>
        <v>26047</v>
      </c>
      <c r="N16" s="524">
        <f t="shared" si="7"/>
        <v>28203</v>
      </c>
      <c r="O16" s="525">
        <f t="shared" si="7"/>
        <v>326318</v>
      </c>
    </row>
    <row r="17" spans="1:15" ht="23.25" customHeight="1">
      <c r="A17" s="472" t="s">
        <v>104</v>
      </c>
      <c r="B17" s="526"/>
      <c r="C17" s="527"/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9"/>
      <c r="O17" s="530"/>
    </row>
    <row r="18" spans="1:15" s="27" customFormat="1">
      <c r="A18" s="478" t="s">
        <v>175</v>
      </c>
      <c r="B18" s="499">
        <f>+'1.SZ.TÁBL. TÁRSULÁS KON. MÉRLEG'!H2</f>
        <v>157619</v>
      </c>
      <c r="C18" s="500">
        <f>12812+618</f>
        <v>13430</v>
      </c>
      <c r="D18" s="500">
        <f t="shared" ref="D18:G18" si="8">12812+618</f>
        <v>13430</v>
      </c>
      <c r="E18" s="500">
        <f t="shared" si="8"/>
        <v>13430</v>
      </c>
      <c r="F18" s="500">
        <f t="shared" si="8"/>
        <v>13430</v>
      </c>
      <c r="G18" s="500">
        <f t="shared" si="8"/>
        <v>13430</v>
      </c>
      <c r="H18" s="502">
        <f>12813+2</f>
        <v>12815</v>
      </c>
      <c r="I18" s="502">
        <v>12812</v>
      </c>
      <c r="J18" s="502">
        <v>12812</v>
      </c>
      <c r="K18" s="502">
        <f>12812+723</f>
        <v>13535</v>
      </c>
      <c r="L18" s="502">
        <f>12812+724</f>
        <v>13536</v>
      </c>
      <c r="M18" s="502">
        <f>12813+723</f>
        <v>13536</v>
      </c>
      <c r="N18" s="503">
        <f>12812+724-92-2317-844+1140</f>
        <v>11423</v>
      </c>
      <c r="O18" s="501">
        <f>SUM(C18:N18)</f>
        <v>157619</v>
      </c>
    </row>
    <row r="19" spans="1:15" s="27" customFormat="1" ht="25.5">
      <c r="A19" s="478" t="s">
        <v>176</v>
      </c>
      <c r="B19" s="499">
        <f>+'1.SZ.TÁBL. TÁRSULÁS KON. MÉRLEG'!H3</f>
        <v>43932</v>
      </c>
      <c r="C19" s="500">
        <f>3703-186</f>
        <v>3517</v>
      </c>
      <c r="D19" s="502">
        <f t="shared" ref="D19:G19" si="9">3703-186</f>
        <v>3517</v>
      </c>
      <c r="E19" s="502">
        <f t="shared" si="9"/>
        <v>3517</v>
      </c>
      <c r="F19" s="502">
        <f t="shared" si="9"/>
        <v>3517</v>
      </c>
      <c r="G19" s="502">
        <f t="shared" si="9"/>
        <v>3517</v>
      </c>
      <c r="H19" s="502">
        <f>3703-3</f>
        <v>3700</v>
      </c>
      <c r="I19" s="502">
        <v>3703</v>
      </c>
      <c r="J19" s="502">
        <v>3703</v>
      </c>
      <c r="K19" s="502">
        <f>3703+133</f>
        <v>3836</v>
      </c>
      <c r="L19" s="502">
        <f>3703+134</f>
        <v>3837</v>
      </c>
      <c r="M19" s="502">
        <f>3703+134</f>
        <v>3837</v>
      </c>
      <c r="N19" s="503">
        <f>3703+134-25-44+237-228-46</f>
        <v>3731</v>
      </c>
      <c r="O19" s="501">
        <f t="shared" ref="O19:O23" si="10">SUM(C19:N19)</f>
        <v>43932</v>
      </c>
    </row>
    <row r="20" spans="1:15" s="27" customFormat="1">
      <c r="A20" s="478" t="s">
        <v>182</v>
      </c>
      <c r="B20" s="499">
        <f>+'1.SZ.TÁBL. TÁRSULÁS KON. MÉRLEG'!H4</f>
        <v>81914</v>
      </c>
      <c r="C20" s="500">
        <f>6608+43</f>
        <v>6651</v>
      </c>
      <c r="D20" s="502">
        <f t="shared" ref="D20:J20" si="11">6608+43</f>
        <v>6651</v>
      </c>
      <c r="E20" s="502">
        <f t="shared" si="11"/>
        <v>6651</v>
      </c>
      <c r="F20" s="502">
        <f>6608+43-2</f>
        <v>6649</v>
      </c>
      <c r="G20" s="502">
        <f t="shared" si="11"/>
        <v>6651</v>
      </c>
      <c r="H20" s="502">
        <f t="shared" si="11"/>
        <v>6651</v>
      </c>
      <c r="I20" s="502">
        <f t="shared" si="11"/>
        <v>6651</v>
      </c>
      <c r="J20" s="502">
        <f t="shared" si="11"/>
        <v>6651</v>
      </c>
      <c r="K20" s="502">
        <f>6608+43-1+305</f>
        <v>6955</v>
      </c>
      <c r="L20" s="502">
        <f>6608+43+305</f>
        <v>6956</v>
      </c>
      <c r="M20" s="502">
        <f>6608+43+305</f>
        <v>6956</v>
      </c>
      <c r="N20" s="503">
        <f>6608+43+306+381+503</f>
        <v>7841</v>
      </c>
      <c r="O20" s="501">
        <f t="shared" si="10"/>
        <v>81914</v>
      </c>
    </row>
    <row r="21" spans="1:15">
      <c r="A21" s="479" t="s">
        <v>427</v>
      </c>
      <c r="B21" s="499"/>
      <c r="C21" s="500"/>
      <c r="D21" s="502"/>
      <c r="E21" s="502"/>
      <c r="F21" s="502"/>
      <c r="G21" s="502"/>
      <c r="H21" s="502"/>
      <c r="I21" s="502"/>
      <c r="J21" s="502"/>
      <c r="K21" s="502"/>
      <c r="L21" s="502"/>
      <c r="M21" s="502"/>
      <c r="N21" s="503"/>
      <c r="O21" s="501">
        <f t="shared" si="10"/>
        <v>0</v>
      </c>
    </row>
    <row r="22" spans="1:15">
      <c r="A22" s="478" t="s">
        <v>183</v>
      </c>
      <c r="B22" s="499">
        <f>+'1.SZ.TÁBL. TÁRSULÁS KON. MÉRLEG'!H6+'1.SZ.TÁBL. TÁRSULÁS KON. MÉRLEG'!H7</f>
        <v>33362</v>
      </c>
      <c r="C22" s="500">
        <f>1150+2235+147</f>
        <v>3532</v>
      </c>
      <c r="D22" s="502">
        <f>1149+147</f>
        <v>1296</v>
      </c>
      <c r="E22" s="502">
        <f>1149+147</f>
        <v>1296</v>
      </c>
      <c r="F22" s="502">
        <f>1149+7873+147</f>
        <v>9169</v>
      </c>
      <c r="G22" s="502">
        <f>1150+147</f>
        <v>1297</v>
      </c>
      <c r="H22" s="502">
        <f>1149+147</f>
        <v>1296</v>
      </c>
      <c r="I22" s="502">
        <f>1149+1884</f>
        <v>3033</v>
      </c>
      <c r="J22" s="502">
        <f>1149+147</f>
        <v>1296</v>
      </c>
      <c r="K22" s="502">
        <f>1150+147+2763</f>
        <v>4060</v>
      </c>
      <c r="L22" s="502">
        <f>1149+856</f>
        <v>2005</v>
      </c>
      <c r="M22" s="502">
        <f>1149+63+856</f>
        <v>2068</v>
      </c>
      <c r="N22" s="503">
        <f>1149+147+856+44+156+662</f>
        <v>3014</v>
      </c>
      <c r="O22" s="501">
        <f t="shared" si="10"/>
        <v>33362</v>
      </c>
    </row>
    <row r="23" spans="1:15">
      <c r="A23" s="480" t="s">
        <v>53</v>
      </c>
      <c r="B23" s="504">
        <f>+'1.SZ.TÁBL. TÁRSULÁS KON. MÉRLEG'!H8</f>
        <v>3390</v>
      </c>
      <c r="C23" s="505"/>
      <c r="D23" s="506"/>
      <c r="E23" s="506"/>
      <c r="F23" s="506"/>
      <c r="G23" s="506"/>
      <c r="H23" s="506">
        <v>912</v>
      </c>
      <c r="I23" s="506">
        <v>915</v>
      </c>
      <c r="J23" s="506">
        <v>913</v>
      </c>
      <c r="K23" s="506">
        <v>487</v>
      </c>
      <c r="L23" s="506"/>
      <c r="M23" s="506">
        <v>216</v>
      </c>
      <c r="N23" s="506">
        <v>-53</v>
      </c>
      <c r="O23" s="508">
        <f t="shared" si="10"/>
        <v>3390</v>
      </c>
    </row>
    <row r="24" spans="1:15">
      <c r="A24" s="475" t="s">
        <v>435</v>
      </c>
      <c r="B24" s="467">
        <f>SUM(B18:B23)</f>
        <v>320217</v>
      </c>
      <c r="C24" s="486">
        <f>SUM(C18:C23)</f>
        <v>27130</v>
      </c>
      <c r="D24" s="470">
        <f t="shared" ref="D24:N24" si="12">SUM(D18:D23)</f>
        <v>24894</v>
      </c>
      <c r="E24" s="470">
        <f t="shared" si="12"/>
        <v>24894</v>
      </c>
      <c r="F24" s="470">
        <f t="shared" si="12"/>
        <v>32765</v>
      </c>
      <c r="G24" s="470">
        <f t="shared" si="12"/>
        <v>24895</v>
      </c>
      <c r="H24" s="470">
        <f t="shared" si="12"/>
        <v>25374</v>
      </c>
      <c r="I24" s="470">
        <f t="shared" si="12"/>
        <v>27114</v>
      </c>
      <c r="J24" s="470">
        <f t="shared" si="12"/>
        <v>25375</v>
      </c>
      <c r="K24" s="470">
        <f t="shared" si="12"/>
        <v>28873</v>
      </c>
      <c r="L24" s="470">
        <f t="shared" si="12"/>
        <v>26334</v>
      </c>
      <c r="M24" s="470">
        <f t="shared" si="12"/>
        <v>26613</v>
      </c>
      <c r="N24" s="490">
        <f t="shared" si="12"/>
        <v>25956</v>
      </c>
      <c r="O24" s="468">
        <f>SUM(O18:O23)</f>
        <v>320217</v>
      </c>
    </row>
    <row r="25" spans="1:15">
      <c r="A25" s="481" t="s">
        <v>139</v>
      </c>
      <c r="B25" s="514">
        <f>+'1.SZ.TÁBL. TÁRSULÁS KON. MÉRLEG'!H12</f>
        <v>2151</v>
      </c>
      <c r="C25" s="515"/>
      <c r="D25" s="516"/>
      <c r="E25" s="516"/>
      <c r="F25" s="516">
        <v>4</v>
      </c>
      <c r="G25" s="516"/>
      <c r="H25" s="516"/>
      <c r="I25" s="516"/>
      <c r="J25" s="516">
        <f>1334+45</f>
        <v>1379</v>
      </c>
      <c r="K25" s="516"/>
      <c r="L25" s="516"/>
      <c r="M25" s="516"/>
      <c r="N25" s="517">
        <f>699+69</f>
        <v>768</v>
      </c>
      <c r="O25" s="530">
        <f>SUM(C25:N25)</f>
        <v>2151</v>
      </c>
    </row>
    <row r="26" spans="1:15">
      <c r="A26" s="478" t="s">
        <v>184</v>
      </c>
      <c r="B26" s="514">
        <f>+'1.SZ.TÁBL. TÁRSULÁS KON. MÉRLEG'!H13</f>
        <v>1450</v>
      </c>
      <c r="C26" s="500"/>
      <c r="D26" s="502"/>
      <c r="E26" s="502"/>
      <c r="F26" s="502"/>
      <c r="G26" s="502"/>
      <c r="H26" s="502"/>
      <c r="I26" s="502"/>
      <c r="J26" s="502"/>
      <c r="K26" s="502">
        <v>692</v>
      </c>
      <c r="L26" s="502"/>
      <c r="M26" s="502"/>
      <c r="N26" s="503">
        <v>758</v>
      </c>
      <c r="O26" s="501">
        <f>SUM(C26:N26)</f>
        <v>1450</v>
      </c>
    </row>
    <row r="27" spans="1:15">
      <c r="A27" s="480" t="s">
        <v>185</v>
      </c>
      <c r="B27" s="504">
        <f>+'1.SZ.TÁBL. TÁRSULÁS KON. MÉRLEG'!H14</f>
        <v>2500</v>
      </c>
      <c r="C27" s="505">
        <v>1500</v>
      </c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7">
        <v>1000</v>
      </c>
      <c r="O27" s="508">
        <f>SUM(C27:N27)</f>
        <v>2500</v>
      </c>
    </row>
    <row r="28" spans="1:15">
      <c r="A28" s="475" t="s">
        <v>436</v>
      </c>
      <c r="B28" s="509">
        <f>SUM(B25:B27)</f>
        <v>6101</v>
      </c>
      <c r="C28" s="510">
        <f t="shared" ref="C28:O28" si="13">SUM(C25:C27)</f>
        <v>1500</v>
      </c>
      <c r="D28" s="511">
        <f t="shared" si="13"/>
        <v>0</v>
      </c>
      <c r="E28" s="511">
        <f t="shared" si="13"/>
        <v>0</v>
      </c>
      <c r="F28" s="511">
        <f t="shared" si="13"/>
        <v>4</v>
      </c>
      <c r="G28" s="511">
        <f t="shared" si="13"/>
        <v>0</v>
      </c>
      <c r="H28" s="511">
        <f t="shared" si="13"/>
        <v>0</v>
      </c>
      <c r="I28" s="511">
        <f t="shared" si="13"/>
        <v>0</v>
      </c>
      <c r="J28" s="511">
        <f t="shared" si="13"/>
        <v>1379</v>
      </c>
      <c r="K28" s="511">
        <f t="shared" si="13"/>
        <v>692</v>
      </c>
      <c r="L28" s="511">
        <f t="shared" si="13"/>
        <v>0</v>
      </c>
      <c r="M28" s="511">
        <f t="shared" si="13"/>
        <v>0</v>
      </c>
      <c r="N28" s="512">
        <f t="shared" si="13"/>
        <v>2526</v>
      </c>
      <c r="O28" s="513">
        <f t="shared" si="13"/>
        <v>6101</v>
      </c>
    </row>
    <row r="29" spans="1:15">
      <c r="A29" s="482" t="s">
        <v>187</v>
      </c>
      <c r="B29" s="509"/>
      <c r="C29" s="531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3"/>
      <c r="O29" s="525">
        <f>SUM(C29:N29)</f>
        <v>0</v>
      </c>
    </row>
    <row r="30" spans="1:15" ht="15.75" thickBot="1">
      <c r="A30" s="483" t="s">
        <v>351</v>
      </c>
      <c r="B30" s="534">
        <f>+B29+B28+B24</f>
        <v>326318</v>
      </c>
      <c r="C30" s="535">
        <f>+C29+C28+C24</f>
        <v>28630</v>
      </c>
      <c r="D30" s="536">
        <f t="shared" ref="D30:O30" si="14">+D29+D28+D24</f>
        <v>24894</v>
      </c>
      <c r="E30" s="536">
        <f t="shared" si="14"/>
        <v>24894</v>
      </c>
      <c r="F30" s="536">
        <f t="shared" si="14"/>
        <v>32769</v>
      </c>
      <c r="G30" s="536">
        <f t="shared" si="14"/>
        <v>24895</v>
      </c>
      <c r="H30" s="536">
        <f t="shared" si="14"/>
        <v>25374</v>
      </c>
      <c r="I30" s="536">
        <f t="shared" si="14"/>
        <v>27114</v>
      </c>
      <c r="J30" s="536">
        <f t="shared" si="14"/>
        <v>26754</v>
      </c>
      <c r="K30" s="536">
        <f t="shared" si="14"/>
        <v>29565</v>
      </c>
      <c r="L30" s="536">
        <f t="shared" si="14"/>
        <v>26334</v>
      </c>
      <c r="M30" s="536">
        <f t="shared" si="14"/>
        <v>26613</v>
      </c>
      <c r="N30" s="537">
        <f t="shared" si="14"/>
        <v>28482</v>
      </c>
      <c r="O30" s="538">
        <f t="shared" si="14"/>
        <v>326318</v>
      </c>
    </row>
    <row r="31" spans="1:15">
      <c r="A31" s="466"/>
      <c r="B31" s="539"/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</row>
    <row r="32" spans="1:15">
      <c r="A32" s="492" t="s">
        <v>428</v>
      </c>
      <c r="B32" s="521">
        <f t="shared" ref="B32:O32" si="15">+B16-B30</f>
        <v>0</v>
      </c>
      <c r="C32" s="521">
        <f t="shared" si="15"/>
        <v>-512</v>
      </c>
      <c r="D32" s="521">
        <f t="shared" si="15"/>
        <v>990</v>
      </c>
      <c r="E32" s="521">
        <f t="shared" si="15"/>
        <v>990</v>
      </c>
      <c r="F32" s="521">
        <f t="shared" si="15"/>
        <v>978</v>
      </c>
      <c r="G32" s="521">
        <f t="shared" si="15"/>
        <v>4112</v>
      </c>
      <c r="H32" s="521">
        <f t="shared" si="15"/>
        <v>847</v>
      </c>
      <c r="I32" s="521">
        <f t="shared" si="15"/>
        <v>-2015</v>
      </c>
      <c r="J32" s="521">
        <f t="shared" si="15"/>
        <v>-1654</v>
      </c>
      <c r="K32" s="521">
        <f t="shared" si="15"/>
        <v>-3061</v>
      </c>
      <c r="L32" s="521">
        <f t="shared" si="15"/>
        <v>170</v>
      </c>
      <c r="M32" s="521">
        <f t="shared" si="15"/>
        <v>-566</v>
      </c>
      <c r="N32" s="521">
        <f t="shared" si="15"/>
        <v>-279</v>
      </c>
      <c r="O32" s="521">
        <f t="shared" si="15"/>
        <v>0</v>
      </c>
    </row>
    <row r="73" spans="1:4">
      <c r="A73" s="27"/>
      <c r="B73" s="495"/>
      <c r="C73" s="495"/>
      <c r="D73" s="495"/>
    </row>
    <row r="86" spans="1:8">
      <c r="A86" s="59"/>
      <c r="B86" s="496"/>
      <c r="C86" s="496"/>
      <c r="D86" s="496"/>
      <c r="E86" s="496"/>
      <c r="F86" s="496"/>
      <c r="G86" s="496"/>
      <c r="H86" s="496"/>
    </row>
    <row r="87" spans="1:8">
      <c r="A87" s="60"/>
      <c r="B87" s="497"/>
      <c r="C87" s="497"/>
      <c r="D87" s="497"/>
      <c r="E87" s="497"/>
      <c r="F87" s="497"/>
      <c r="G87" s="497"/>
      <c r="H87" s="497"/>
    </row>
    <row r="88" spans="1:8">
      <c r="A88" s="60"/>
      <c r="B88" s="497"/>
      <c r="C88" s="497"/>
      <c r="D88" s="497"/>
      <c r="E88" s="497"/>
      <c r="F88" s="497"/>
      <c r="G88" s="497"/>
      <c r="H88" s="497"/>
    </row>
    <row r="89" spans="1:8">
      <c r="A89" s="60"/>
      <c r="B89" s="497"/>
      <c r="C89" s="497"/>
      <c r="D89" s="497"/>
      <c r="E89" s="497"/>
      <c r="F89" s="497"/>
      <c r="G89" s="497"/>
      <c r="H89" s="497"/>
    </row>
    <row r="90" spans="1:8">
      <c r="A90" s="61"/>
      <c r="B90" s="498"/>
      <c r="C90" s="498"/>
      <c r="D90" s="498"/>
      <c r="E90" s="498"/>
      <c r="F90" s="498"/>
      <c r="G90" s="498"/>
      <c r="H90" s="498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
&amp;16 2014. ÉVI III. KÖLTSÉGVETÉS MÓDOSÍTÁS&amp;14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a</cp:lastModifiedBy>
  <cp:lastPrinted>2015-02-02T12:00:58Z</cp:lastPrinted>
  <dcterms:created xsi:type="dcterms:W3CDTF">2011-02-23T07:11:55Z</dcterms:created>
  <dcterms:modified xsi:type="dcterms:W3CDTF">2015-02-09T08:34:22Z</dcterms:modified>
</cp:coreProperties>
</file>