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ársulás\2024\20240418\"/>
    </mc:Choice>
  </mc:AlternateContent>
  <bookViews>
    <workbookView xWindow="0" yWindow="0" windowWidth="19005" windowHeight="8370"/>
  </bookViews>
  <sheets>
    <sheet name="TARTALOM" sheetId="24" r:id="rId1"/>
    <sheet name="1.SZ.TÁBL. KONSZOLIDÁLT MÉRLEG" sheetId="25" r:id="rId2"/>
    <sheet name="2.SZ.TÁBL. TÁRSULÁS KV. MÉRLEG" sheetId="22" r:id="rId3"/>
    <sheet name="2.1.SZ.TÁBL. BEV - KIAD" sheetId="1" r:id="rId4"/>
    <sheet name="2.2.SZ.TÁBL. KIADÁS COFOG" sheetId="26" state="hidden" r:id="rId5"/>
    <sheet name="2.3.SZ.TÁBL. BEVÉTEL COFOG" sheetId="27" state="hidden" r:id="rId6"/>
    <sheet name="3.SZ.TÁBL. BEVÉTELEK" sheetId="2" r:id="rId7"/>
    <sheet name="4.SZ.TÁBL. SEGÍTŐ SZOLGÁLAT" sheetId="9" r:id="rId8"/>
    <sheet name="5.SZ.TÁBL. SZOCIÁLIS NORMATÍVA" sheetId="18" r:id="rId9"/>
    <sheet name="6.SZ.TÁBL. PÉNZE. ÁTAD - ÁTVÉT" sheetId="21" r:id="rId10"/>
    <sheet name="8.SZ.TÁBL. ELŐIRÁNYZAT FELHASZN" sheetId="20" state="hidden" r:id="rId11"/>
    <sheet name="7.SZ.TÁBL. MARADVÁNY" sheetId="28" r:id="rId12"/>
    <sheet name="8.SZ.TÁBL. LÉTSZÁMADATOK" sheetId="13" r:id="rId13"/>
    <sheet name="9.SZ.TÁBL. ÖNK. ELSZÁMOLÁSAI" sheetId="36" r:id="rId14"/>
    <sheet name="10.SZ.TÁBL. VAGYONKIMUTATÁS" sheetId="30" r:id="rId15"/>
    <sheet name="10.1.SZ.TÁBL. VAGYONK. ESZKÖZÖK" sheetId="31" r:id="rId16"/>
    <sheet name="10.2.SZ.TÁBL. VAGYONK. FORRÁSOK" sheetId="32" r:id="rId17"/>
    <sheet name="10.3.SZ.TÁBL. ÉRTÉK N. ESZKÖZÖK" sheetId="33" r:id="rId18"/>
    <sheet name="11.SZ.TÁBL. EREDMÉNYKIMUTATÁS" sheetId="34" r:id="rId19"/>
    <sheet name="12.SZ.TÁBL. PÉNZESZKÖZ VÁLT." sheetId="35" r:id="rId20"/>
    <sheet name="Munka1" sheetId="2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mi">[1]kod!$BT$34:$BT$3184</definedName>
    <definedName name="_xlnm.Print_Titles" localSheetId="14">'10.SZ.TÁBL. VAGYONKIMUTATÁS'!$1:$1</definedName>
    <definedName name="_xlnm.Print_Titles" localSheetId="3">'2.1.SZ.TÁBL. BEV - KIAD'!$1:$2</definedName>
    <definedName name="_xlnm.Print_Titles" localSheetId="4">'2.2.SZ.TÁBL. KIADÁS COFOG'!$1:$2</definedName>
    <definedName name="_xlnm.Print_Titles" localSheetId="5">'2.3.SZ.TÁBL. BEVÉTEL COFOG'!$1:$2</definedName>
    <definedName name="_xlnm.Print_Titles" localSheetId="6">'3.SZ.TÁBL. BEVÉTELEK'!$1:$2</definedName>
    <definedName name="_xlnm.Print_Titles" localSheetId="7">'4.SZ.TÁBL. SEGÍTŐ SZOLGÁLAT'!$1:$2</definedName>
    <definedName name="_xlnm.Print_Area" localSheetId="1">'1.SZ.TÁBL. KONSZOLIDÁLT MÉRLEG'!$A$1:$T$27</definedName>
    <definedName name="_xlnm.Print_Area" localSheetId="15">'10.1.SZ.TÁBL. VAGYONK. ESZKÖZÖK'!$A$1:$E$66</definedName>
    <definedName name="_xlnm.Print_Area" localSheetId="16">'10.2.SZ.TÁBL. VAGYONK. FORRÁSOK'!$A$1:$C$17</definedName>
    <definedName name="_xlnm.Print_Area" localSheetId="17">'10.3.SZ.TÁBL. ÉRTÉK N. ESZKÖZÖK'!$A$1:$D$22</definedName>
    <definedName name="_xlnm.Print_Area" localSheetId="14">'10.SZ.TÁBL. VAGYONKIMUTATÁS'!$A$1:$D$152</definedName>
    <definedName name="_xlnm.Print_Area" localSheetId="18">'11.SZ.TÁBL. EREDMÉNYKIMUTATÁS'!$A$1:$I$38</definedName>
    <definedName name="_xlnm.Print_Area" localSheetId="19">'12.SZ.TÁBL. PÉNZESZKÖZ VÁLT.'!$A$1:$E$11</definedName>
    <definedName name="_xlnm.Print_Area" localSheetId="3">'2.1.SZ.TÁBL. BEV - KIAD'!$A$1:$N$114</definedName>
    <definedName name="_xlnm.Print_Area" localSheetId="2">'2.SZ.TÁBL. TÁRSULÁS KV. MÉRLEG'!$A$1:$J$17</definedName>
    <definedName name="_xlnm.Print_Area" localSheetId="6">'3.SZ.TÁBL. BEVÉTELEK'!$A$3:$F$129</definedName>
    <definedName name="_xlnm.Print_Area" localSheetId="7">'4.SZ.TÁBL. SEGÍTŐ SZOLGÁLAT'!$A$1:$AF$121</definedName>
    <definedName name="_xlnm.Print_Area" localSheetId="8">'5.SZ.TÁBL. SZOCIÁLIS NORMATÍVA'!$A$1:$F$39</definedName>
    <definedName name="_xlnm.Print_Area" localSheetId="9">'6.SZ.TÁBL. PÉNZE. ÁTAD - ÁTVÉT'!$A$1:$P$52</definedName>
    <definedName name="_xlnm.Print_Area" localSheetId="11">'7.SZ.TÁBL. MARADVÁNY'!$A$1:$E$56</definedName>
    <definedName name="_xlnm.Print_Area" localSheetId="10">'8.SZ.TÁBL. ELŐIRÁNYZAT FELHASZN'!$A$1:$O$32</definedName>
    <definedName name="_xlnm.Print_Area" localSheetId="12">'8.SZ.TÁBL. LÉTSZÁMADATOK'!$A$1:$D$11</definedName>
    <definedName name="_xlnm.Print_Area" localSheetId="13">'9.SZ.TÁBL. ÖNK. ELSZÁMOLÁSAI'!$A$1:$H$10</definedName>
    <definedName name="_xlnm.Print_Area" localSheetId="0">TARTALOM!$A$1:$B$20</definedName>
    <definedName name="onev" localSheetId="1">[1]kod!$BT$34:$BT$3184</definedName>
    <definedName name="onev" localSheetId="11">[2]kod!$BT$34:$BT$3184</definedName>
    <definedName name="onev" localSheetId="12">[2]kod!$BT$34:$BT$3184</definedName>
    <definedName name="onev" localSheetId="13">[2]kod!$BT$34:$BT$3184</definedName>
    <definedName name="onev" localSheetId="0">[3]kod!$BT$34:$BT$3184</definedName>
    <definedName name="onev">[1]kod!$BT$34:$BT$3184</definedName>
    <definedName name="Z_761909A2_FB62_44EA_8BD4_BD7AD1205265_.wvu.PrintArea" localSheetId="0" hidden="1">TARTALOM!$A$1:$B$13</definedName>
  </definedNames>
  <calcPr calcId="152511"/>
</workbook>
</file>

<file path=xl/calcChain.xml><?xml version="1.0" encoding="utf-8"?>
<calcChain xmlns="http://schemas.openxmlformats.org/spreadsheetml/2006/main">
  <c r="F117" i="2" l="1"/>
  <c r="F6" i="36" l="1"/>
  <c r="C26" i="28" l="1"/>
  <c r="D35" i="28" l="1"/>
  <c r="E33" i="28" l="1"/>
  <c r="C2" i="36" l="1"/>
  <c r="J8" i="18" l="1"/>
  <c r="E29" i="28"/>
  <c r="E30" i="28"/>
  <c r="E31" i="28"/>
  <c r="E67" i="1" l="1"/>
  <c r="M67" i="1" s="1"/>
  <c r="E66" i="1"/>
  <c r="AF78" i="9"/>
  <c r="AF79" i="9"/>
  <c r="E68" i="1" s="1"/>
  <c r="AF77" i="9"/>
  <c r="M68" i="1" l="1"/>
  <c r="M66" i="1"/>
  <c r="Z88" i="9"/>
  <c r="H30" i="9" l="1"/>
  <c r="W30" i="9"/>
  <c r="Z30" i="9"/>
  <c r="T30" i="9"/>
  <c r="Q30" i="9"/>
  <c r="N30" i="9"/>
  <c r="K30" i="9"/>
  <c r="AF30" i="9" l="1"/>
  <c r="I77" i="1"/>
  <c r="H77" i="1" l="1"/>
  <c r="G77" i="1"/>
  <c r="V76" i="9"/>
  <c r="V88" i="9" s="1"/>
  <c r="P76" i="9"/>
  <c r="P88" i="9" s="1"/>
  <c r="M76" i="9"/>
  <c r="M88" i="9" s="1"/>
  <c r="J76" i="9"/>
  <c r="J88" i="9" s="1"/>
  <c r="Y88" i="9"/>
  <c r="X88" i="9"/>
  <c r="M65" i="1"/>
  <c r="E65" i="1"/>
  <c r="D67" i="1"/>
  <c r="F67" i="1" s="1"/>
  <c r="AE78" i="9"/>
  <c r="AE79" i="9"/>
  <c r="D68" i="1" s="1"/>
  <c r="AE77" i="9"/>
  <c r="AE76" i="9" s="1"/>
  <c r="AF76" i="9"/>
  <c r="AD78" i="9"/>
  <c r="AD76" i="9" s="1"/>
  <c r="AD79" i="9"/>
  <c r="C68" i="1" s="1"/>
  <c r="K68" i="1" s="1"/>
  <c r="AD77" i="9"/>
  <c r="C66" i="1" s="1"/>
  <c r="K66" i="1" l="1"/>
  <c r="F68" i="1"/>
  <c r="L68" i="1"/>
  <c r="N68" i="1" s="1"/>
  <c r="L67" i="1"/>
  <c r="N67" i="1" s="1"/>
  <c r="C67" i="1"/>
  <c r="K67" i="1" s="1"/>
  <c r="D66" i="1"/>
  <c r="W76" i="9"/>
  <c r="W88" i="9" s="1"/>
  <c r="U76" i="9"/>
  <c r="U88" i="9" s="1"/>
  <c r="T76" i="9"/>
  <c r="T88" i="9" s="1"/>
  <c r="S76" i="9"/>
  <c r="S88" i="9" s="1"/>
  <c r="R76" i="9"/>
  <c r="R88" i="9" s="1"/>
  <c r="Q76" i="9"/>
  <c r="Q88" i="9" s="1"/>
  <c r="O76" i="9"/>
  <c r="O88" i="9" s="1"/>
  <c r="N76" i="9"/>
  <c r="N88" i="9" s="1"/>
  <c r="L76" i="9"/>
  <c r="L88" i="9" s="1"/>
  <c r="K76" i="9"/>
  <c r="K88" i="9" s="1"/>
  <c r="I76" i="9"/>
  <c r="I88" i="9" s="1"/>
  <c r="H76" i="9"/>
  <c r="H88" i="9" s="1"/>
  <c r="G76" i="9"/>
  <c r="G88" i="9" s="1"/>
  <c r="F76" i="9"/>
  <c r="F88" i="9" s="1"/>
  <c r="F66" i="1" l="1"/>
  <c r="L66" i="1"/>
  <c r="D65" i="1"/>
  <c r="C65" i="1"/>
  <c r="K65" i="1"/>
  <c r="K19" i="1"/>
  <c r="N66" i="1" l="1"/>
  <c r="L65" i="1"/>
  <c r="E75" i="2"/>
  <c r="C75" i="2"/>
  <c r="D75" i="2"/>
  <c r="F77" i="2"/>
  <c r="F79" i="2"/>
  <c r="AF19" i="9"/>
  <c r="E19" i="1" s="1"/>
  <c r="AF20" i="9"/>
  <c r="AE19" i="9"/>
  <c r="D19" i="1" s="1"/>
  <c r="L19" i="1" s="1"/>
  <c r="AE20" i="9"/>
  <c r="AD19" i="9"/>
  <c r="AD20" i="9"/>
  <c r="F19" i="1" l="1"/>
  <c r="M19" i="1"/>
  <c r="N19" i="1"/>
  <c r="X32" i="9"/>
  <c r="F32" i="9"/>
  <c r="P50" i="21" l="1"/>
  <c r="J37" i="18" l="1"/>
  <c r="I37" i="18"/>
  <c r="J20" i="18"/>
  <c r="J21" i="18"/>
  <c r="J22" i="18"/>
  <c r="J23" i="18"/>
  <c r="J24" i="18"/>
  <c r="J25" i="18"/>
  <c r="J26" i="18"/>
  <c r="J19" i="18"/>
  <c r="I27" i="18"/>
  <c r="I17" i="18"/>
  <c r="J16" i="18"/>
  <c r="J17" i="18" s="1"/>
  <c r="J12" i="18"/>
  <c r="J11" i="18"/>
  <c r="J10" i="18"/>
  <c r="J9" i="18"/>
  <c r="J7" i="18"/>
  <c r="J6" i="18"/>
  <c r="J5" i="18"/>
  <c r="J4" i="18"/>
  <c r="J3" i="18"/>
  <c r="H27" i="18"/>
  <c r="J27" i="18" l="1"/>
  <c r="F26" i="18"/>
  <c r="F25" i="18"/>
  <c r="F24" i="18"/>
  <c r="F23" i="18"/>
  <c r="F22" i="18"/>
  <c r="F21" i="18"/>
  <c r="F20" i="18"/>
  <c r="F19" i="18"/>
  <c r="E20" i="18"/>
  <c r="E21" i="18"/>
  <c r="E22" i="18"/>
  <c r="E23" i="18"/>
  <c r="E24" i="18"/>
  <c r="E25" i="18"/>
  <c r="E26" i="18"/>
  <c r="E19" i="18"/>
  <c r="E16" i="18"/>
  <c r="E11" i="18"/>
  <c r="E8" i="18"/>
  <c r="E7" i="18"/>
  <c r="E6" i="18"/>
  <c r="E5" i="18"/>
  <c r="F8" i="18" l="1"/>
  <c r="F11" i="18"/>
  <c r="F5" i="18"/>
  <c r="D27" i="18"/>
  <c r="E27" i="18"/>
  <c r="C27" i="18"/>
  <c r="F27" i="18" l="1"/>
  <c r="O34" i="21"/>
  <c r="N34" i="21"/>
  <c r="M34" i="21"/>
  <c r="L34" i="21"/>
  <c r="K34" i="21"/>
  <c r="J34" i="21"/>
  <c r="I34" i="21"/>
  <c r="H34" i="21"/>
  <c r="G34" i="21"/>
  <c r="F34" i="21"/>
  <c r="E34" i="21"/>
  <c r="D34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O9" i="21"/>
  <c r="N9" i="21"/>
  <c r="M9" i="21"/>
  <c r="L9" i="21"/>
  <c r="K9" i="21"/>
  <c r="J9" i="21"/>
  <c r="I9" i="21"/>
  <c r="H9" i="21"/>
  <c r="G9" i="21"/>
  <c r="F9" i="21"/>
  <c r="E9" i="21"/>
  <c r="D9" i="21"/>
  <c r="O8" i="21"/>
  <c r="N8" i="21"/>
  <c r="M8" i="21"/>
  <c r="L8" i="21"/>
  <c r="K8" i="21"/>
  <c r="J8" i="21"/>
  <c r="I8" i="21"/>
  <c r="H8" i="21"/>
  <c r="G8" i="21"/>
  <c r="F8" i="21"/>
  <c r="E8" i="21"/>
  <c r="D8" i="21"/>
  <c r="O7" i="21"/>
  <c r="N7" i="21"/>
  <c r="M7" i="21"/>
  <c r="L7" i="21"/>
  <c r="K7" i="21"/>
  <c r="J7" i="21"/>
  <c r="I7" i="21"/>
  <c r="H7" i="21"/>
  <c r="G7" i="21"/>
  <c r="F7" i="21"/>
  <c r="E7" i="21"/>
  <c r="D7" i="21"/>
  <c r="O6" i="21"/>
  <c r="N6" i="21"/>
  <c r="M6" i="21"/>
  <c r="L6" i="21"/>
  <c r="K6" i="21"/>
  <c r="J6" i="21"/>
  <c r="I6" i="21"/>
  <c r="H6" i="21"/>
  <c r="G6" i="21"/>
  <c r="F6" i="21"/>
  <c r="E6" i="21"/>
  <c r="D6" i="21"/>
  <c r="O5" i="21"/>
  <c r="N5" i="21"/>
  <c r="M5" i="21"/>
  <c r="L5" i="21"/>
  <c r="K5" i="21"/>
  <c r="J5" i="21"/>
  <c r="I5" i="21"/>
  <c r="H5" i="21"/>
  <c r="G5" i="21"/>
  <c r="F5" i="21"/>
  <c r="E5" i="21"/>
  <c r="D5" i="21"/>
  <c r="O4" i="21"/>
  <c r="N4" i="21"/>
  <c r="M4" i="21"/>
  <c r="L4" i="21"/>
  <c r="K4" i="21"/>
  <c r="J4" i="21"/>
  <c r="I4" i="21"/>
  <c r="H4" i="21"/>
  <c r="G4" i="21"/>
  <c r="F4" i="21"/>
  <c r="E4" i="21"/>
  <c r="D4" i="21"/>
  <c r="O3" i="21"/>
  <c r="N3" i="21"/>
  <c r="M3" i="21"/>
  <c r="L3" i="21"/>
  <c r="K3" i="21"/>
  <c r="J3" i="21"/>
  <c r="I3" i="21"/>
  <c r="H3" i="21"/>
  <c r="G3" i="21"/>
  <c r="F3" i="21"/>
  <c r="E3" i="21"/>
  <c r="D3" i="21"/>
  <c r="O2" i="21"/>
  <c r="N2" i="21"/>
  <c r="M2" i="21"/>
  <c r="L2" i="21"/>
  <c r="K2" i="21"/>
  <c r="J2" i="21"/>
  <c r="I2" i="21"/>
  <c r="H2" i="21"/>
  <c r="G2" i="21"/>
  <c r="F2" i="21"/>
  <c r="E2" i="21"/>
  <c r="D2" i="21"/>
  <c r="C28" i="21"/>
  <c r="C29" i="21"/>
  <c r="C30" i="21"/>
  <c r="C31" i="21"/>
  <c r="C32" i="21"/>
  <c r="C33" i="21"/>
  <c r="C34" i="21"/>
  <c r="C27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" i="21"/>
  <c r="B28" i="21"/>
  <c r="B29" i="21"/>
  <c r="B30" i="21"/>
  <c r="B31" i="21"/>
  <c r="B32" i="21"/>
  <c r="B33" i="21"/>
  <c r="B34" i="21"/>
  <c r="B27" i="21"/>
  <c r="B22" i="21"/>
  <c r="B18" i="21"/>
  <c r="B17" i="21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2" i="21"/>
  <c r="P10" i="21" l="1"/>
  <c r="P18" i="21"/>
  <c r="P2" i="21"/>
  <c r="P7" i="21"/>
  <c r="P8" i="21"/>
  <c r="P11" i="21"/>
  <c r="P13" i="21"/>
  <c r="P17" i="21"/>
  <c r="P28" i="21"/>
  <c r="C9" i="13"/>
  <c r="C8" i="13"/>
  <c r="C7" i="13"/>
  <c r="C5" i="13"/>
  <c r="C4" i="13"/>
  <c r="D74" i="30" l="1"/>
  <c r="D2" i="35" l="1"/>
  <c r="C149" i="30" l="1"/>
  <c r="C141" i="30"/>
  <c r="C150" i="30" s="1"/>
  <c r="C121" i="30"/>
  <c r="C101" i="30"/>
  <c r="C92" i="30"/>
  <c r="C74" i="30"/>
  <c r="C86" i="30" s="1"/>
  <c r="C87" i="30" s="1"/>
  <c r="C73" i="30"/>
  <c r="C59" i="30"/>
  <c r="C45" i="30"/>
  <c r="C38" i="30"/>
  <c r="C39" i="30" s="1"/>
  <c r="C30" i="30"/>
  <c r="C23" i="30"/>
  <c r="C24" i="30" s="1"/>
  <c r="C20" i="30"/>
  <c r="C12" i="30"/>
  <c r="C6" i="30"/>
  <c r="C152" i="30" l="1"/>
  <c r="C93" i="30"/>
  <c r="D149" i="30"/>
  <c r="D141" i="30"/>
  <c r="D150" i="30" s="1"/>
  <c r="D121" i="30"/>
  <c r="D101" i="30"/>
  <c r="D92" i="30"/>
  <c r="D86" i="30"/>
  <c r="D87" i="30" s="1"/>
  <c r="D73" i="30"/>
  <c r="D59" i="30"/>
  <c r="D45" i="30"/>
  <c r="D38" i="30"/>
  <c r="D39" i="30" s="1"/>
  <c r="D30" i="30"/>
  <c r="D23" i="30"/>
  <c r="D20" i="30"/>
  <c r="D12" i="30"/>
  <c r="D6" i="30"/>
  <c r="D152" i="30" l="1"/>
  <c r="D24" i="30"/>
  <c r="D93" i="30"/>
  <c r="E10" i="36" l="1"/>
  <c r="B5" i="36"/>
  <c r="B6" i="36"/>
  <c r="B7" i="36"/>
  <c r="B8" i="36"/>
  <c r="B9" i="36"/>
  <c r="B4" i="36"/>
  <c r="B2" i="36"/>
  <c r="AF131" i="9"/>
  <c r="C49" i="28" s="1"/>
  <c r="AF132" i="9"/>
  <c r="C47" i="28" s="1"/>
  <c r="AF133" i="9"/>
  <c r="C48" i="28" s="1"/>
  <c r="AF134" i="9"/>
  <c r="C51" i="28" s="1"/>
  <c r="AF135" i="9"/>
  <c r="C50" i="28" s="1"/>
  <c r="AF136" i="9"/>
  <c r="C46" i="28" s="1"/>
  <c r="AF130" i="9"/>
  <c r="C52" i="28" s="1"/>
  <c r="I147" i="9"/>
  <c r="D41" i="28" l="1"/>
  <c r="D26" i="28" s="1"/>
  <c r="D42" i="28"/>
  <c r="E42" i="28" l="1"/>
  <c r="J92" i="1"/>
  <c r="J93" i="1"/>
  <c r="J94" i="1"/>
  <c r="I26" i="25" l="1"/>
  <c r="I25" i="25"/>
  <c r="H24" i="25"/>
  <c r="G24" i="25"/>
  <c r="H20" i="25"/>
  <c r="G20" i="25"/>
  <c r="I21" i="25"/>
  <c r="I19" i="25"/>
  <c r="I18" i="25"/>
  <c r="D7" i="31"/>
  <c r="D45" i="28" l="1"/>
  <c r="E27" i="28" l="1"/>
  <c r="G147" i="9" l="1"/>
  <c r="P29" i="21"/>
  <c r="J17" i="1" l="1"/>
  <c r="J12" i="1"/>
  <c r="E91" i="2" l="1"/>
  <c r="AE93" i="9" l="1"/>
  <c r="D82" i="1" s="1"/>
  <c r="AE17" i="9"/>
  <c r="AE12" i="9"/>
  <c r="D20" i="1"/>
  <c r="L20" i="1" s="1"/>
  <c r="D118" i="2" s="1"/>
  <c r="M70" i="1"/>
  <c r="L70" i="1"/>
  <c r="K70" i="1"/>
  <c r="K93" i="1"/>
  <c r="J70" i="1"/>
  <c r="D91" i="2"/>
  <c r="C91" i="2"/>
  <c r="AD31" i="9"/>
  <c r="AD30" i="9"/>
  <c r="N70" i="1" l="1"/>
  <c r="P4" i="21"/>
  <c r="Q4" i="21" s="1"/>
  <c r="Q8" i="21"/>
  <c r="P3" i="21"/>
  <c r="P12" i="21"/>
  <c r="P6" i="21"/>
  <c r="P9" i="21"/>
  <c r="P14" i="21"/>
  <c r="P5" i="21"/>
  <c r="P15" i="21"/>
  <c r="P16" i="21"/>
  <c r="P19" i="21"/>
  <c r="P20" i="21"/>
  <c r="P21" i="21"/>
  <c r="P30" i="21"/>
  <c r="P31" i="21"/>
  <c r="P32" i="21"/>
  <c r="P33" i="21"/>
  <c r="P34" i="21"/>
  <c r="P27" i="21"/>
  <c r="F16" i="18" l="1"/>
  <c r="C10" i="18" l="1"/>
  <c r="C12" i="18"/>
  <c r="C3" i="18"/>
  <c r="C4" i="18"/>
  <c r="E4" i="18" s="1"/>
  <c r="C9" i="18"/>
  <c r="E9" i="18" s="1"/>
  <c r="E12" i="18" l="1"/>
  <c r="F12" i="18"/>
  <c r="E10" i="18"/>
  <c r="F10" i="18"/>
  <c r="I8" i="25"/>
  <c r="I9" i="25"/>
  <c r="E9" i="25"/>
  <c r="I7" i="25"/>
  <c r="E7" i="25"/>
  <c r="D7" i="33" l="1"/>
  <c r="F9" i="36" l="1"/>
  <c r="F8" i="36"/>
  <c r="F7" i="36"/>
  <c r="F5" i="36"/>
  <c r="F4" i="36"/>
  <c r="F2" i="36"/>
  <c r="E28" i="28" l="1"/>
  <c r="E38" i="28"/>
  <c r="E51" i="28" l="1"/>
  <c r="E50" i="28"/>
  <c r="E49" i="28"/>
  <c r="C6" i="36" l="1"/>
  <c r="H13" i="18" l="1"/>
  <c r="B5" i="13" l="1"/>
  <c r="B7" i="13"/>
  <c r="B8" i="13"/>
  <c r="B9" i="13"/>
  <c r="B4" i="13"/>
  <c r="G6" i="25" l="1"/>
  <c r="AE18" i="9" l="1"/>
  <c r="D18" i="1" s="1"/>
  <c r="AF18" i="9"/>
  <c r="E18" i="1" s="1"/>
  <c r="M18" i="1" s="1"/>
  <c r="L18" i="1" l="1"/>
  <c r="AD18" i="9"/>
  <c r="C18" i="1" s="1"/>
  <c r="D17" i="1"/>
  <c r="L94" i="1"/>
  <c r="N94" i="1" s="1"/>
  <c r="L93" i="1"/>
  <c r="N93" i="1" s="1"/>
  <c r="J81" i="1"/>
  <c r="P66" i="9"/>
  <c r="P67" i="9"/>
  <c r="D116" i="2" l="1"/>
  <c r="L82" i="1"/>
  <c r="J82" i="1"/>
  <c r="H91" i="1"/>
  <c r="AD47" i="9" l="1"/>
  <c r="AD48" i="9"/>
  <c r="AD93" i="9" l="1"/>
  <c r="C82" i="1" s="1"/>
  <c r="K82" i="1" s="1"/>
  <c r="AD16" i="9"/>
  <c r="C16" i="1" s="1"/>
  <c r="K16" i="1" s="1"/>
  <c r="AD17" i="9"/>
  <c r="AE16" i="9"/>
  <c r="D16" i="1" s="1"/>
  <c r="AE92" i="9"/>
  <c r="K18" i="1" l="1"/>
  <c r="C17" i="1"/>
  <c r="K17" i="1" s="1"/>
  <c r="L16" i="1"/>
  <c r="D114" i="2" s="1"/>
  <c r="AD92" i="9"/>
  <c r="Z32" i="9" l="1"/>
  <c r="C30" i="18"/>
  <c r="C23" i="21" l="1"/>
  <c r="P40" i="21"/>
  <c r="H49" i="21"/>
  <c r="H52" i="21" s="1"/>
  <c r="P42" i="21"/>
  <c r="E23" i="25" l="1"/>
  <c r="E25" i="25"/>
  <c r="D2" i="36" l="1"/>
  <c r="D10" i="36" s="1"/>
  <c r="H8" i="36"/>
  <c r="C10" i="36"/>
  <c r="H3" i="36"/>
  <c r="C45" i="28" l="1"/>
  <c r="H9" i="36"/>
  <c r="H7" i="36"/>
  <c r="H5" i="36"/>
  <c r="F10" i="36"/>
  <c r="H2" i="36"/>
  <c r="H4" i="36"/>
  <c r="G10" i="36"/>
  <c r="H6" i="36"/>
  <c r="B10" i="36"/>
  <c r="H10" i="36" l="1"/>
  <c r="E52" i="28" l="1"/>
  <c r="E37" i="28"/>
  <c r="E5" i="35" l="1"/>
  <c r="AF40" i="9" l="1"/>
  <c r="AF56" i="9"/>
  <c r="Q32" i="9"/>
  <c r="AC110" i="9"/>
  <c r="AA110" i="9"/>
  <c r="AF109" i="9"/>
  <c r="AF106" i="9"/>
  <c r="AC97" i="9"/>
  <c r="AF92" i="9"/>
  <c r="AC88" i="9"/>
  <c r="AF69" i="9"/>
  <c r="AF70" i="9"/>
  <c r="AF87" i="9"/>
  <c r="AC72" i="9"/>
  <c r="I91" i="1"/>
  <c r="J91" i="1" s="1"/>
  <c r="I88" i="1"/>
  <c r="E81" i="2"/>
  <c r="AC98" i="9" l="1"/>
  <c r="AC117" i="9" s="1"/>
  <c r="AC119" i="9" s="1"/>
  <c r="B49" i="21"/>
  <c r="B52" i="21" s="1"/>
  <c r="C49" i="21"/>
  <c r="C52" i="21" s="1"/>
  <c r="D49" i="21"/>
  <c r="D52" i="21" s="1"/>
  <c r="E49" i="21"/>
  <c r="E52" i="21" s="1"/>
  <c r="F49" i="21"/>
  <c r="F52" i="21" s="1"/>
  <c r="G49" i="21"/>
  <c r="G52" i="21" s="1"/>
  <c r="I49" i="21"/>
  <c r="I52" i="21" s="1"/>
  <c r="J49" i="21"/>
  <c r="J52" i="21" s="1"/>
  <c r="K49" i="21"/>
  <c r="K52" i="21" s="1"/>
  <c r="L49" i="21"/>
  <c r="L52" i="21" s="1"/>
  <c r="M49" i="21"/>
  <c r="M52" i="21" s="1"/>
  <c r="N49" i="21"/>
  <c r="N52" i="21" s="1"/>
  <c r="O49" i="21"/>
  <c r="O52" i="21" s="1"/>
  <c r="Q32" i="21" l="1"/>
  <c r="I35" i="21"/>
  <c r="B35" i="21" l="1"/>
  <c r="E35" i="21"/>
  <c r="M35" i="21"/>
  <c r="Q34" i="21"/>
  <c r="J35" i="21"/>
  <c r="F23" i="21"/>
  <c r="P22" i="21"/>
  <c r="Q22" i="21" s="1"/>
  <c r="F35" i="21"/>
  <c r="N35" i="21"/>
  <c r="Q30" i="21"/>
  <c r="Q5" i="21"/>
  <c r="Q12" i="21"/>
  <c r="Q16" i="21"/>
  <c r="N23" i="21"/>
  <c r="Q20" i="21"/>
  <c r="B23" i="21"/>
  <c r="J23" i="21"/>
  <c r="Q3" i="21"/>
  <c r="Q7" i="21"/>
  <c r="Q10" i="21"/>
  <c r="Q14" i="21"/>
  <c r="Q18" i="21"/>
  <c r="E23" i="21"/>
  <c r="I23" i="21"/>
  <c r="M23" i="21"/>
  <c r="Q28" i="21"/>
  <c r="G23" i="21"/>
  <c r="K23" i="21"/>
  <c r="O23" i="21"/>
  <c r="C35" i="21"/>
  <c r="G35" i="21"/>
  <c r="K35" i="21"/>
  <c r="O35" i="21"/>
  <c r="D23" i="21"/>
  <c r="H23" i="21"/>
  <c r="L23" i="21"/>
  <c r="Q6" i="21"/>
  <c r="Q9" i="21"/>
  <c r="Q11" i="21"/>
  <c r="Q13" i="21"/>
  <c r="Q15" i="21"/>
  <c r="Q17" i="21"/>
  <c r="Q19" i="21"/>
  <c r="Q21" i="21"/>
  <c r="D35" i="21"/>
  <c r="H35" i="21"/>
  <c r="L35" i="21"/>
  <c r="Q29" i="21"/>
  <c r="Q31" i="21"/>
  <c r="Q33" i="21"/>
  <c r="Q27" i="21" l="1"/>
  <c r="Q35" i="21" s="1"/>
  <c r="P35" i="21"/>
  <c r="P23" i="21"/>
  <c r="Q2" i="21"/>
  <c r="Q23" i="21" s="1"/>
  <c r="AB110" i="9" l="1"/>
  <c r="AB72" i="9"/>
  <c r="AB97" i="9"/>
  <c r="AB88" i="9"/>
  <c r="J69" i="1"/>
  <c r="J58" i="1"/>
  <c r="H88" i="1" l="1"/>
  <c r="AE69" i="9"/>
  <c r="AE87" i="9"/>
  <c r="AE68" i="9"/>
  <c r="AE70" i="9"/>
  <c r="AB98" i="9"/>
  <c r="AB117" i="9" s="1"/>
  <c r="AB119" i="9" s="1"/>
  <c r="AB121" i="9" s="1"/>
  <c r="X74" i="9"/>
  <c r="AD106" i="9"/>
  <c r="C99" i="1" s="1"/>
  <c r="K99" i="1" s="1"/>
  <c r="AD105" i="9"/>
  <c r="C98" i="1" s="1"/>
  <c r="K98" i="1" s="1"/>
  <c r="AD49" i="9" l="1"/>
  <c r="AD109" i="9"/>
  <c r="C102" i="1" s="1"/>
  <c r="K102" i="1" s="1"/>
  <c r="AC29" i="9"/>
  <c r="AC41" i="9" s="1"/>
  <c r="AC21" i="9"/>
  <c r="AC27" i="9" s="1"/>
  <c r="AC42" i="9" l="1"/>
  <c r="AC121" i="9" s="1"/>
  <c r="L17" i="1"/>
  <c r="D115" i="2" s="1"/>
  <c r="H21" i="1"/>
  <c r="M28" i="9" l="1"/>
  <c r="F83" i="2"/>
  <c r="F84" i="2"/>
  <c r="F85" i="2"/>
  <c r="F86" i="2"/>
  <c r="F87" i="2"/>
  <c r="F82" i="2"/>
  <c r="D81" i="2" l="1"/>
  <c r="C81" i="2" l="1"/>
  <c r="I23" i="25"/>
  <c r="E53" i="28" l="1"/>
  <c r="E36" i="28" l="1"/>
  <c r="E35" i="28" s="1"/>
  <c r="I13" i="18" l="1"/>
  <c r="J13" i="18" s="1"/>
  <c r="I39" i="18" l="1"/>
  <c r="J39" i="18"/>
  <c r="D10" i="28"/>
  <c r="E19" i="25" l="1"/>
  <c r="C20" i="25"/>
  <c r="J19" i="25" l="1"/>
  <c r="AF31" i="9" l="1"/>
  <c r="H99" i="9" l="1"/>
  <c r="I95" i="1" l="1"/>
  <c r="AF5" i="9" l="1"/>
  <c r="E6" i="1" s="1"/>
  <c r="W4" i="9"/>
  <c r="AF4" i="9" l="1"/>
  <c r="F52" i="2" l="1"/>
  <c r="F53" i="2"/>
  <c r="F54" i="2"/>
  <c r="F55" i="2"/>
  <c r="F45" i="2"/>
  <c r="F46" i="2"/>
  <c r="F47" i="2"/>
  <c r="F48" i="2"/>
  <c r="F44" i="2"/>
  <c r="F89" i="2"/>
  <c r="E50" i="2"/>
  <c r="C50" i="2"/>
  <c r="E43" i="2"/>
  <c r="C43" i="2"/>
  <c r="D50" i="2" l="1"/>
  <c r="F50" i="2" s="1"/>
  <c r="F51" i="2"/>
  <c r="D43" i="2"/>
  <c r="F43" i="2" s="1"/>
  <c r="V4" i="9" l="1"/>
  <c r="P28" i="9"/>
  <c r="N32" i="9"/>
  <c r="G99" i="9"/>
  <c r="AE5" i="9" l="1"/>
  <c r="D6" i="1" s="1"/>
  <c r="M32" i="9"/>
  <c r="G88" i="1"/>
  <c r="G32" i="9"/>
  <c r="H32" i="9"/>
  <c r="AE31" i="9"/>
  <c r="AE4" i="9" l="1"/>
  <c r="I57" i="9" l="1"/>
  <c r="N80" i="27"/>
  <c r="O80" i="27"/>
  <c r="P80" i="27"/>
  <c r="Q80" i="27"/>
  <c r="Q93" i="27" s="1"/>
  <c r="R80" i="27"/>
  <c r="S80" i="27"/>
  <c r="S93" i="27" s="1"/>
  <c r="T80" i="27"/>
  <c r="T93" i="27" s="1"/>
  <c r="U80" i="27"/>
  <c r="U93" i="27" s="1"/>
  <c r="V80" i="27"/>
  <c r="W80" i="27"/>
  <c r="X80" i="27"/>
  <c r="M80" i="27"/>
  <c r="M93" i="27" s="1"/>
  <c r="N93" i="27"/>
  <c r="O93" i="27"/>
  <c r="P93" i="27"/>
  <c r="R93" i="27"/>
  <c r="V93" i="27"/>
  <c r="W93" i="27"/>
  <c r="X93" i="27"/>
  <c r="N45" i="27"/>
  <c r="M45" i="27"/>
  <c r="K45" i="27"/>
  <c r="O45" i="27"/>
  <c r="P45" i="27"/>
  <c r="Q45" i="27"/>
  <c r="R45" i="27"/>
  <c r="S45" i="27"/>
  <c r="T45" i="27"/>
  <c r="U45" i="27"/>
  <c r="V45" i="27"/>
  <c r="W45" i="27"/>
  <c r="X45" i="27"/>
  <c r="N8" i="27"/>
  <c r="N19" i="27" s="1"/>
  <c r="O8" i="27"/>
  <c r="O19" i="27" s="1"/>
  <c r="P8" i="27"/>
  <c r="P19" i="27" s="1"/>
  <c r="P75" i="27" s="1"/>
  <c r="Q8" i="27"/>
  <c r="Q19" i="27" s="1"/>
  <c r="Q75" i="27" s="1"/>
  <c r="R8" i="27"/>
  <c r="R19" i="27" s="1"/>
  <c r="R75" i="27" s="1"/>
  <c r="S8" i="27"/>
  <c r="S19" i="27" s="1"/>
  <c r="S75" i="27" s="1"/>
  <c r="T8" i="27"/>
  <c r="T19" i="27" s="1"/>
  <c r="T75" i="27" s="1"/>
  <c r="U8" i="27"/>
  <c r="U19" i="27" s="1"/>
  <c r="U75" i="27" s="1"/>
  <c r="V8" i="27"/>
  <c r="V19" i="27" s="1"/>
  <c r="V75" i="27" s="1"/>
  <c r="W8" i="27"/>
  <c r="W19" i="27" s="1"/>
  <c r="X8" i="27"/>
  <c r="X19" i="27" s="1"/>
  <c r="X75" i="27" s="1"/>
  <c r="M8" i="27"/>
  <c r="M19" i="27" s="1"/>
  <c r="M75" i="27" s="1"/>
  <c r="D45" i="27"/>
  <c r="E45" i="27"/>
  <c r="F45" i="27"/>
  <c r="G45" i="27"/>
  <c r="H45" i="27"/>
  <c r="I45" i="27"/>
  <c r="J45" i="27"/>
  <c r="C45" i="27"/>
  <c r="D93" i="27"/>
  <c r="E93" i="27"/>
  <c r="F93" i="27"/>
  <c r="G93" i="27"/>
  <c r="H93" i="27"/>
  <c r="I93" i="27"/>
  <c r="J93" i="27"/>
  <c r="K93" i="27"/>
  <c r="C80" i="27"/>
  <c r="C93" i="27" s="1"/>
  <c r="D25" i="27"/>
  <c r="E25" i="27"/>
  <c r="F25" i="27"/>
  <c r="G25" i="27"/>
  <c r="H25" i="27"/>
  <c r="I25" i="27"/>
  <c r="J25" i="27"/>
  <c r="K25" i="27"/>
  <c r="C25" i="27"/>
  <c r="D8" i="27"/>
  <c r="D19" i="27" s="1"/>
  <c r="E8" i="27"/>
  <c r="E19" i="27" s="1"/>
  <c r="F8" i="27"/>
  <c r="F19" i="27" s="1"/>
  <c r="G8" i="27"/>
  <c r="G19" i="27" s="1"/>
  <c r="H8" i="27"/>
  <c r="H19" i="27" s="1"/>
  <c r="I8" i="27"/>
  <c r="I19" i="27" s="1"/>
  <c r="I75" i="27" s="1"/>
  <c r="J8" i="27"/>
  <c r="J19" i="27" s="1"/>
  <c r="K8" i="27"/>
  <c r="K19" i="27" s="1"/>
  <c r="K75" i="27" s="1"/>
  <c r="K94" i="27" s="1"/>
  <c r="C8" i="27"/>
  <c r="C19" i="27" s="1"/>
  <c r="I45" i="26"/>
  <c r="G45" i="26"/>
  <c r="F45" i="26"/>
  <c r="E45" i="26"/>
  <c r="C103" i="26"/>
  <c r="C93" i="26"/>
  <c r="C88" i="26"/>
  <c r="C54" i="26"/>
  <c r="D54" i="26"/>
  <c r="C48" i="26"/>
  <c r="C45" i="26"/>
  <c r="C35" i="26"/>
  <c r="C32" i="26"/>
  <c r="C55" i="26" s="1"/>
  <c r="C23" i="26"/>
  <c r="C21" i="26"/>
  <c r="C17" i="26"/>
  <c r="C22" i="26" s="1"/>
  <c r="D61" i="26"/>
  <c r="D79" i="26" s="1"/>
  <c r="E61" i="26"/>
  <c r="F61" i="26"/>
  <c r="G61" i="26"/>
  <c r="H61" i="26"/>
  <c r="I61" i="26"/>
  <c r="J61" i="26"/>
  <c r="K61" i="26"/>
  <c r="K79" i="26" s="1"/>
  <c r="C61" i="26"/>
  <c r="C79" i="26" s="1"/>
  <c r="L68" i="26"/>
  <c r="L69" i="26"/>
  <c r="E32" i="26"/>
  <c r="F32" i="26"/>
  <c r="G32" i="26"/>
  <c r="H32" i="26"/>
  <c r="I32" i="26"/>
  <c r="J32" i="26"/>
  <c r="K32" i="26"/>
  <c r="D32" i="26"/>
  <c r="H45" i="26"/>
  <c r="J45" i="26"/>
  <c r="K45" i="26"/>
  <c r="D45" i="26"/>
  <c r="J75" i="27" l="1"/>
  <c r="F75" i="27"/>
  <c r="F94" i="27" s="1"/>
  <c r="E75" i="27"/>
  <c r="E94" i="27" s="1"/>
  <c r="D75" i="27"/>
  <c r="G94" i="27"/>
  <c r="C75" i="27"/>
  <c r="C94" i="27" s="1"/>
  <c r="G75" i="27"/>
  <c r="I94" i="27"/>
  <c r="D94" i="27"/>
  <c r="H75" i="27"/>
  <c r="H94" i="27" s="1"/>
  <c r="J94" i="27"/>
  <c r="W75" i="27"/>
  <c r="W94" i="27" s="1"/>
  <c r="O75" i="27"/>
  <c r="O94" i="27" s="1"/>
  <c r="N75" i="27"/>
  <c r="N94" i="27" s="1"/>
  <c r="M94" i="27"/>
  <c r="X94" i="27"/>
  <c r="V94" i="27"/>
  <c r="U94" i="27"/>
  <c r="T94" i="27"/>
  <c r="S94" i="27"/>
  <c r="R94" i="27"/>
  <c r="Q94" i="27"/>
  <c r="P94" i="27"/>
  <c r="C119" i="26"/>
  <c r="C104" i="26"/>
  <c r="L61" i="26"/>
  <c r="L45" i="26"/>
  <c r="E103" i="26"/>
  <c r="F103" i="26"/>
  <c r="G103" i="26"/>
  <c r="H103" i="26"/>
  <c r="I103" i="26"/>
  <c r="J103" i="26"/>
  <c r="K103" i="26"/>
  <c r="D103" i="26"/>
  <c r="E93" i="26"/>
  <c r="F93" i="26"/>
  <c r="G93" i="26"/>
  <c r="H93" i="26"/>
  <c r="I93" i="26"/>
  <c r="J93" i="26"/>
  <c r="K93" i="26"/>
  <c r="D93" i="26"/>
  <c r="E88" i="26"/>
  <c r="F88" i="26"/>
  <c r="G88" i="26"/>
  <c r="H88" i="26"/>
  <c r="I88" i="26"/>
  <c r="J88" i="26"/>
  <c r="K88" i="26"/>
  <c r="D88" i="26"/>
  <c r="E79" i="26"/>
  <c r="F79" i="26"/>
  <c r="G79" i="26"/>
  <c r="H79" i="26"/>
  <c r="I79" i="26"/>
  <c r="J79" i="26"/>
  <c r="E54" i="26"/>
  <c r="F54" i="26"/>
  <c r="G54" i="26"/>
  <c r="H54" i="26"/>
  <c r="I54" i="26"/>
  <c r="J54" i="26"/>
  <c r="K54" i="26"/>
  <c r="E48" i="26"/>
  <c r="F48" i="26"/>
  <c r="G48" i="26"/>
  <c r="H48" i="26"/>
  <c r="I48" i="26"/>
  <c r="J48" i="26"/>
  <c r="K48" i="26"/>
  <c r="D48" i="26"/>
  <c r="E35" i="26"/>
  <c r="F35" i="26"/>
  <c r="G35" i="26"/>
  <c r="H35" i="26"/>
  <c r="I35" i="26"/>
  <c r="I55" i="26" s="1"/>
  <c r="J35" i="26"/>
  <c r="K35" i="26"/>
  <c r="D35" i="26"/>
  <c r="D55" i="26" s="1"/>
  <c r="E23" i="26"/>
  <c r="F23" i="26"/>
  <c r="G23" i="26"/>
  <c r="H23" i="26"/>
  <c r="I23" i="26"/>
  <c r="J23" i="26"/>
  <c r="K23" i="26"/>
  <c r="D23" i="26"/>
  <c r="E21" i="26"/>
  <c r="F21" i="26"/>
  <c r="G21" i="26"/>
  <c r="H21" i="26"/>
  <c r="I21" i="26"/>
  <c r="J21" i="26"/>
  <c r="K21" i="26"/>
  <c r="E17" i="26"/>
  <c r="F17" i="26"/>
  <c r="G17" i="26"/>
  <c r="H17" i="26"/>
  <c r="I17" i="26"/>
  <c r="J17" i="26"/>
  <c r="K17" i="26"/>
  <c r="D21" i="26"/>
  <c r="D17" i="26"/>
  <c r="N118" i="26"/>
  <c r="N88" i="26"/>
  <c r="O88" i="26"/>
  <c r="P88" i="26"/>
  <c r="O79" i="26"/>
  <c r="P79" i="26"/>
  <c r="M79" i="26"/>
  <c r="N61" i="26"/>
  <c r="N79" i="26" s="1"/>
  <c r="M88" i="26"/>
  <c r="M32" i="26"/>
  <c r="M54" i="26"/>
  <c r="N45" i="26"/>
  <c r="N55" i="26" s="1"/>
  <c r="O45" i="26"/>
  <c r="O55" i="26" s="1"/>
  <c r="P45" i="26"/>
  <c r="P55" i="26" s="1"/>
  <c r="M45" i="26"/>
  <c r="N119" i="26" l="1"/>
  <c r="H22" i="26"/>
  <c r="F22" i="26"/>
  <c r="D22" i="26"/>
  <c r="D119" i="26" s="1"/>
  <c r="L17" i="26"/>
  <c r="P119" i="26"/>
  <c r="P104" i="26"/>
  <c r="O104" i="26"/>
  <c r="O119" i="26"/>
  <c r="N104" i="26"/>
  <c r="I22" i="26"/>
  <c r="E22" i="26"/>
  <c r="M55" i="26"/>
  <c r="F55" i="26"/>
  <c r="J55" i="26"/>
  <c r="H55" i="26"/>
  <c r="E55" i="26"/>
  <c r="K55" i="26"/>
  <c r="G55" i="26"/>
  <c r="J22" i="26"/>
  <c r="G22" i="26"/>
  <c r="K22" i="26"/>
  <c r="M104" i="26" l="1"/>
  <c r="M119" i="26"/>
  <c r="H104" i="26"/>
  <c r="H119" i="26"/>
  <c r="K104" i="26"/>
  <c r="K119" i="26"/>
  <c r="J104" i="26"/>
  <c r="J119" i="26"/>
  <c r="I104" i="26"/>
  <c r="I119" i="26"/>
  <c r="G104" i="26"/>
  <c r="G119" i="26"/>
  <c r="E119" i="26"/>
  <c r="E104" i="26"/>
  <c r="F104" i="26"/>
  <c r="F119" i="26"/>
  <c r="D104" i="26"/>
  <c r="L119" i="26" l="1"/>
  <c r="P51" i="21" l="1"/>
  <c r="D36" i="34" l="1"/>
  <c r="C36" i="34"/>
  <c r="B36" i="34"/>
  <c r="E35" i="34"/>
  <c r="E34" i="34"/>
  <c r="E33" i="34"/>
  <c r="E32" i="34"/>
  <c r="D31" i="34"/>
  <c r="C31" i="34"/>
  <c r="B31" i="34"/>
  <c r="E30" i="34"/>
  <c r="E29" i="34"/>
  <c r="E28" i="34"/>
  <c r="E27" i="34"/>
  <c r="E25" i="34"/>
  <c r="E24" i="34"/>
  <c r="D23" i="34"/>
  <c r="C23" i="34"/>
  <c r="B23" i="34"/>
  <c r="E22" i="34"/>
  <c r="E21" i="34"/>
  <c r="E20" i="34"/>
  <c r="D19" i="34"/>
  <c r="C19" i="34"/>
  <c r="B19" i="34"/>
  <c r="E18" i="34"/>
  <c r="E17" i="34"/>
  <c r="E16" i="34"/>
  <c r="E15" i="34"/>
  <c r="D14" i="34"/>
  <c r="C14" i="34"/>
  <c r="B14" i="34"/>
  <c r="E13" i="34"/>
  <c r="E12" i="34"/>
  <c r="E11" i="34"/>
  <c r="E10" i="34"/>
  <c r="D9" i="34"/>
  <c r="C9" i="34"/>
  <c r="B9" i="34"/>
  <c r="E8" i="34"/>
  <c r="E7" i="34"/>
  <c r="D6" i="34"/>
  <c r="C6" i="34"/>
  <c r="B6" i="34"/>
  <c r="E5" i="34"/>
  <c r="E4" i="34"/>
  <c r="E3" i="34"/>
  <c r="S9" i="25"/>
  <c r="O9" i="25"/>
  <c r="Y94" i="27"/>
  <c r="C37" i="34" l="1"/>
  <c r="B26" i="34"/>
  <c r="E19" i="34"/>
  <c r="C26" i="34"/>
  <c r="C38" i="34" s="1"/>
  <c r="E14" i="34"/>
  <c r="D37" i="34"/>
  <c r="E36" i="34"/>
  <c r="E6" i="34"/>
  <c r="E9" i="34"/>
  <c r="D26" i="34"/>
  <c r="D38" i="34" s="1"/>
  <c r="E23" i="34"/>
  <c r="E31" i="34"/>
  <c r="E37" i="34" s="1"/>
  <c r="B37" i="34"/>
  <c r="B38" i="34" l="1"/>
  <c r="E26" i="34"/>
  <c r="E38" i="34" s="1"/>
  <c r="E54" i="28" l="1"/>
  <c r="E55" i="28"/>
  <c r="G91" i="1" l="1"/>
  <c r="K91" i="1" s="1"/>
  <c r="AF137" i="9" l="1"/>
  <c r="E99" i="9" l="1"/>
  <c r="K99" i="9" l="1"/>
  <c r="K102" i="9" s="1"/>
  <c r="AF100" i="9"/>
  <c r="Z99" i="9"/>
  <c r="E88" i="9"/>
  <c r="Y45" i="27" l="1"/>
  <c r="Y19" i="27"/>
  <c r="Y15" i="27"/>
  <c r="Y8" i="27"/>
  <c r="C10" i="32"/>
  <c r="H36" i="34" l="1"/>
  <c r="G36" i="34"/>
  <c r="F36" i="34"/>
  <c r="I35" i="34"/>
  <c r="I34" i="34"/>
  <c r="I33" i="34"/>
  <c r="I32" i="34"/>
  <c r="H31" i="34"/>
  <c r="G31" i="34"/>
  <c r="F31" i="34"/>
  <c r="I30" i="34"/>
  <c r="I29" i="34"/>
  <c r="I28" i="34"/>
  <c r="I27" i="34"/>
  <c r="I25" i="34"/>
  <c r="I24" i="34"/>
  <c r="H23" i="34"/>
  <c r="G23" i="34"/>
  <c r="F23" i="34"/>
  <c r="I22" i="34"/>
  <c r="I21" i="34"/>
  <c r="I20" i="34"/>
  <c r="H19" i="34"/>
  <c r="G19" i="34"/>
  <c r="F19" i="34"/>
  <c r="I18" i="34"/>
  <c r="I17" i="34"/>
  <c r="I16" i="34"/>
  <c r="I15" i="34"/>
  <c r="H14" i="34"/>
  <c r="G14" i="34"/>
  <c r="F14" i="34"/>
  <c r="I13" i="34"/>
  <c r="I12" i="34"/>
  <c r="I11" i="34"/>
  <c r="I10" i="34"/>
  <c r="H9" i="34"/>
  <c r="G9" i="34"/>
  <c r="F9" i="34"/>
  <c r="I8" i="34"/>
  <c r="I7" i="34"/>
  <c r="H6" i="34"/>
  <c r="G6" i="34"/>
  <c r="F6" i="34"/>
  <c r="I5" i="34"/>
  <c r="I4" i="34"/>
  <c r="I3" i="34"/>
  <c r="Y5" i="27"/>
  <c r="Y6" i="27"/>
  <c r="Y7" i="27"/>
  <c r="Y9" i="27"/>
  <c r="Y10" i="27"/>
  <c r="Y11" i="27"/>
  <c r="Y12" i="27"/>
  <c r="Y13" i="27"/>
  <c r="Y14" i="27"/>
  <c r="Y16" i="27"/>
  <c r="Y17" i="27"/>
  <c r="Y18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44" i="27"/>
  <c r="Y46" i="27"/>
  <c r="Y47" i="27"/>
  <c r="Y48" i="27"/>
  <c r="Y49" i="27"/>
  <c r="Y50" i="27"/>
  <c r="Y51" i="27"/>
  <c r="Y52" i="27"/>
  <c r="Y53" i="27"/>
  <c r="Y54" i="27"/>
  <c r="Y55" i="27"/>
  <c r="Y56" i="27"/>
  <c r="Y57" i="27"/>
  <c r="Y58" i="27"/>
  <c r="Y59" i="27"/>
  <c r="Y60" i="27"/>
  <c r="Y61" i="27"/>
  <c r="Y62" i="27"/>
  <c r="Y63" i="27"/>
  <c r="Y64" i="27"/>
  <c r="Y65" i="27"/>
  <c r="Y66" i="27"/>
  <c r="Y67" i="27"/>
  <c r="Y68" i="27"/>
  <c r="Y69" i="27"/>
  <c r="Y70" i="27"/>
  <c r="Y71" i="27"/>
  <c r="Y72" i="27"/>
  <c r="Y73" i="27"/>
  <c r="Y74" i="27"/>
  <c r="Y75" i="27"/>
  <c r="Y76" i="27"/>
  <c r="Y77" i="27"/>
  <c r="Y78" i="27"/>
  <c r="Y79" i="27"/>
  <c r="Y80" i="27"/>
  <c r="Y81" i="27"/>
  <c r="Y82" i="27"/>
  <c r="Y83" i="27"/>
  <c r="Y84" i="27"/>
  <c r="Y85" i="27"/>
  <c r="Y86" i="27"/>
  <c r="Y87" i="27"/>
  <c r="Y88" i="27"/>
  <c r="Y89" i="27"/>
  <c r="Y90" i="27"/>
  <c r="Y91" i="27"/>
  <c r="Y92" i="27"/>
  <c r="Y93" i="27"/>
  <c r="Y3" i="27"/>
  <c r="Y4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5" i="26"/>
  <c r="Q46" i="26"/>
  <c r="Q47" i="26"/>
  <c r="Q48" i="26"/>
  <c r="Q49" i="26"/>
  <c r="Q50" i="26"/>
  <c r="Q51" i="26"/>
  <c r="Q52" i="26"/>
  <c r="Q53" i="26"/>
  <c r="Q54" i="26"/>
  <c r="Q55" i="26"/>
  <c r="Q56" i="26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2" i="26"/>
  <c r="Q93" i="26"/>
  <c r="Q94" i="26"/>
  <c r="Q95" i="26"/>
  <c r="Q96" i="26"/>
  <c r="Q97" i="26"/>
  <c r="Q98" i="26"/>
  <c r="Q99" i="26"/>
  <c r="Q100" i="26"/>
  <c r="Q101" i="26"/>
  <c r="Q102" i="26"/>
  <c r="Q103" i="26"/>
  <c r="Q105" i="26"/>
  <c r="Q106" i="26"/>
  <c r="Q107" i="26"/>
  <c r="Q108" i="26"/>
  <c r="Q109" i="26"/>
  <c r="Q110" i="26"/>
  <c r="Q111" i="26"/>
  <c r="Q112" i="26"/>
  <c r="Q113" i="26"/>
  <c r="Q114" i="26"/>
  <c r="Q115" i="26"/>
  <c r="Q116" i="26"/>
  <c r="Q117" i="26"/>
  <c r="Q118" i="26"/>
  <c r="Q119" i="26"/>
  <c r="L4" i="26"/>
  <c r="L5" i="26"/>
  <c r="L6" i="26"/>
  <c r="L7" i="26"/>
  <c r="L8" i="26"/>
  <c r="L9" i="26"/>
  <c r="L10" i="26"/>
  <c r="L11" i="26"/>
  <c r="L12" i="26"/>
  <c r="L13" i="26"/>
  <c r="L14" i="26"/>
  <c r="L15" i="26"/>
  <c r="L16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6" i="26"/>
  <c r="L37" i="26"/>
  <c r="L38" i="26"/>
  <c r="L39" i="26"/>
  <c r="L40" i="26"/>
  <c r="L41" i="26"/>
  <c r="L42" i="26"/>
  <c r="L43" i="26"/>
  <c r="L44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2" i="26"/>
  <c r="L63" i="26"/>
  <c r="L64" i="26"/>
  <c r="L65" i="26"/>
  <c r="L66" i="26"/>
  <c r="L67" i="26"/>
  <c r="L70" i="26"/>
  <c r="L71" i="26"/>
  <c r="L72" i="26"/>
  <c r="L73" i="26"/>
  <c r="L74" i="26"/>
  <c r="L75" i="26"/>
  <c r="L76" i="26"/>
  <c r="L77" i="26"/>
  <c r="L79" i="26" s="1"/>
  <c r="L78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O17" i="25"/>
  <c r="O16" i="25"/>
  <c r="N15" i="25"/>
  <c r="M15" i="25"/>
  <c r="L15" i="25"/>
  <c r="O14" i="25"/>
  <c r="O12" i="25"/>
  <c r="N11" i="25"/>
  <c r="M11" i="25"/>
  <c r="L11" i="25"/>
  <c r="O10" i="25"/>
  <c r="O8" i="25"/>
  <c r="O7" i="25"/>
  <c r="O5" i="25"/>
  <c r="E26" i="25"/>
  <c r="D24" i="25"/>
  <c r="C24" i="25"/>
  <c r="B24" i="25"/>
  <c r="E22" i="25"/>
  <c r="E21" i="25"/>
  <c r="D20" i="25"/>
  <c r="B20" i="25"/>
  <c r="E18" i="25"/>
  <c r="E20" i="25" s="1"/>
  <c r="D16" i="25"/>
  <c r="C16" i="25"/>
  <c r="B16" i="25"/>
  <c r="E15" i="25"/>
  <c r="E14" i="25"/>
  <c r="E12" i="25"/>
  <c r="E11" i="25"/>
  <c r="D10" i="25"/>
  <c r="C10" i="25"/>
  <c r="B10" i="25"/>
  <c r="E8" i="25"/>
  <c r="D6" i="25"/>
  <c r="C6" i="25"/>
  <c r="B6" i="25"/>
  <c r="E5" i="25"/>
  <c r="E6" i="25" s="1"/>
  <c r="F6" i="25"/>
  <c r="F10" i="25"/>
  <c r="F16" i="25"/>
  <c r="F20" i="25"/>
  <c r="F24" i="25"/>
  <c r="I22" i="25"/>
  <c r="I24" i="25" s="1"/>
  <c r="S17" i="25"/>
  <c r="S16" i="25"/>
  <c r="H16" i="25"/>
  <c r="G16" i="25"/>
  <c r="R15" i="25"/>
  <c r="Q15" i="25"/>
  <c r="P15" i="25"/>
  <c r="I15" i="25"/>
  <c r="S14" i="25"/>
  <c r="I14" i="25"/>
  <c r="S12" i="25"/>
  <c r="I12" i="25"/>
  <c r="R11" i="25"/>
  <c r="Q11" i="25"/>
  <c r="P11" i="25"/>
  <c r="P27" i="25" s="1"/>
  <c r="I11" i="25"/>
  <c r="S10" i="25"/>
  <c r="H10" i="25"/>
  <c r="G10" i="25"/>
  <c r="I10" i="25" s="1"/>
  <c r="S8" i="25"/>
  <c r="S7" i="25"/>
  <c r="T7" i="25" s="1"/>
  <c r="H6" i="25"/>
  <c r="S5" i="25"/>
  <c r="I5" i="25"/>
  <c r="E24" i="25" l="1"/>
  <c r="I6" i="25"/>
  <c r="L27" i="25"/>
  <c r="T8" i="25"/>
  <c r="T12" i="25"/>
  <c r="T10" i="25"/>
  <c r="F13" i="25"/>
  <c r="F27" i="25" s="1"/>
  <c r="G26" i="34"/>
  <c r="H37" i="34"/>
  <c r="F37" i="34"/>
  <c r="I36" i="34"/>
  <c r="I9" i="34"/>
  <c r="I31" i="34"/>
  <c r="G37" i="34"/>
  <c r="T17" i="25"/>
  <c r="B13" i="25"/>
  <c r="B27" i="25" s="1"/>
  <c r="O15" i="25"/>
  <c r="J7" i="25"/>
  <c r="C13" i="25"/>
  <c r="C27" i="25" s="1"/>
  <c r="E10" i="25"/>
  <c r="E13" i="25" s="1"/>
  <c r="L104" i="26"/>
  <c r="Q104" i="26"/>
  <c r="T14" i="25"/>
  <c r="N27" i="25"/>
  <c r="T5" i="25"/>
  <c r="J18" i="25"/>
  <c r="H26" i="34"/>
  <c r="H38" i="34" s="1"/>
  <c r="I14" i="34"/>
  <c r="R27" i="25"/>
  <c r="G13" i="25"/>
  <c r="O11" i="25"/>
  <c r="D13" i="25"/>
  <c r="D27" i="25" s="1"/>
  <c r="I23" i="34"/>
  <c r="I19" i="34"/>
  <c r="F26" i="34"/>
  <c r="F38" i="34" s="1"/>
  <c r="I6" i="34"/>
  <c r="S15" i="25"/>
  <c r="H13" i="25"/>
  <c r="H27" i="25" s="1"/>
  <c r="E16" i="25"/>
  <c r="J8" i="25"/>
  <c r="I16" i="25"/>
  <c r="I17" i="25" s="1"/>
  <c r="I20" i="25" s="1"/>
  <c r="J21" i="25"/>
  <c r="M27" i="25"/>
  <c r="Q27" i="25"/>
  <c r="S11" i="25"/>
  <c r="I37" i="34" l="1"/>
  <c r="G38" i="34"/>
  <c r="G27" i="25"/>
  <c r="I13" i="25"/>
  <c r="I27" i="25" s="1"/>
  <c r="J24" i="25"/>
  <c r="T15" i="25"/>
  <c r="I26" i="34"/>
  <c r="I38" i="34" s="1"/>
  <c r="S27" i="25"/>
  <c r="O27" i="25"/>
  <c r="J20" i="25"/>
  <c r="E27" i="25"/>
  <c r="J10" i="25"/>
  <c r="T11" i="25"/>
  <c r="J13" i="25" l="1"/>
  <c r="T27" i="25"/>
  <c r="J27" i="25"/>
  <c r="J90" i="1" l="1"/>
  <c r="F88" i="2" l="1"/>
  <c r="Y75" i="9"/>
  <c r="Y61" i="9"/>
  <c r="Y26" i="9"/>
  <c r="Y24" i="9"/>
  <c r="Y10" i="9"/>
  <c r="Y6" i="9"/>
  <c r="V26" i="9"/>
  <c r="V24" i="9"/>
  <c r="V10" i="9"/>
  <c r="V6" i="9"/>
  <c r="S26" i="9"/>
  <c r="S24" i="9"/>
  <c r="S10" i="9"/>
  <c r="S6" i="9"/>
  <c r="P91" i="9"/>
  <c r="P25" i="9"/>
  <c r="P26" i="9" s="1"/>
  <c r="P24" i="9"/>
  <c r="P10" i="9"/>
  <c r="P6" i="9"/>
  <c r="M71" i="9"/>
  <c r="M58" i="9"/>
  <c r="M26" i="9"/>
  <c r="M24" i="9"/>
  <c r="M10" i="9"/>
  <c r="M6" i="9"/>
  <c r="J58" i="9"/>
  <c r="J25" i="9"/>
  <c r="J26" i="9" s="1"/>
  <c r="J23" i="9"/>
  <c r="J24" i="9" s="1"/>
  <c r="J10" i="9"/>
  <c r="J6" i="9"/>
  <c r="G114" i="9"/>
  <c r="G113" i="9"/>
  <c r="G112" i="9"/>
  <c r="G111" i="9"/>
  <c r="G101" i="9"/>
  <c r="G58" i="9"/>
  <c r="G26" i="9"/>
  <c r="G24" i="9"/>
  <c r="G10" i="9"/>
  <c r="G6" i="9"/>
  <c r="AE109" i="9"/>
  <c r="AE106" i="9"/>
  <c r="AE105" i="9"/>
  <c r="D98" i="1" s="1"/>
  <c r="L98" i="1" s="1"/>
  <c r="AE103" i="9"/>
  <c r="E34" i="18"/>
  <c r="E35" i="18"/>
  <c r="E36" i="18"/>
  <c r="E30" i="18"/>
  <c r="E31" i="18"/>
  <c r="E32" i="18"/>
  <c r="AE110" i="9" l="1"/>
  <c r="G61" i="9"/>
  <c r="G72" i="9"/>
  <c r="M61" i="9"/>
  <c r="AE28" i="9"/>
  <c r="P102" i="9"/>
  <c r="V75" i="9"/>
  <c r="F81" i="2"/>
  <c r="P32" i="9"/>
  <c r="P29" i="9" s="1"/>
  <c r="P41" i="9" s="1"/>
  <c r="P57" i="9"/>
  <c r="P63" i="9"/>
  <c r="P75" i="9"/>
  <c r="P97" i="9"/>
  <c r="P115" i="9"/>
  <c r="G75" i="9"/>
  <c r="J75" i="9"/>
  <c r="S75" i="9"/>
  <c r="G21" i="9"/>
  <c r="G27" i="9" s="1"/>
  <c r="J57" i="9"/>
  <c r="J102" i="9"/>
  <c r="S21" i="9"/>
  <c r="S27" i="9" s="1"/>
  <c r="S102" i="9"/>
  <c r="M21" i="9"/>
  <c r="M27" i="9" s="1"/>
  <c r="M72" i="9"/>
  <c r="P110" i="9"/>
  <c r="Y21" i="9"/>
  <c r="Y27" i="9" s="1"/>
  <c r="G63" i="9"/>
  <c r="G91" i="9"/>
  <c r="G97" i="9"/>
  <c r="G110" i="9"/>
  <c r="G115" i="9"/>
  <c r="J21" i="9"/>
  <c r="J27" i="9" s="1"/>
  <c r="J61" i="9"/>
  <c r="J72" i="9"/>
  <c r="M57" i="9"/>
  <c r="M102" i="9"/>
  <c r="P21" i="9"/>
  <c r="P27" i="9" s="1"/>
  <c r="S57" i="9"/>
  <c r="S72" i="9"/>
  <c r="V57" i="9"/>
  <c r="V91" i="9"/>
  <c r="V102" i="9"/>
  <c r="Y32" i="9"/>
  <c r="Y29" i="9" s="1"/>
  <c r="Y41" i="9" s="1"/>
  <c r="Y57" i="9"/>
  <c r="Y62" i="9" s="1"/>
  <c r="Y63" i="9"/>
  <c r="Y91" i="9"/>
  <c r="Y110" i="9"/>
  <c r="Y115" i="9"/>
  <c r="G57" i="9"/>
  <c r="G102" i="9"/>
  <c r="J91" i="9"/>
  <c r="P61" i="9"/>
  <c r="P72" i="9"/>
  <c r="Y102" i="9"/>
  <c r="M29" i="9"/>
  <c r="M41" i="9" s="1"/>
  <c r="M63" i="9"/>
  <c r="M75" i="9"/>
  <c r="M91" i="9"/>
  <c r="M97" i="9"/>
  <c r="M110" i="9"/>
  <c r="M115" i="9"/>
  <c r="V61" i="9"/>
  <c r="V72" i="9"/>
  <c r="S61" i="9"/>
  <c r="S91" i="9"/>
  <c r="S110" i="9"/>
  <c r="Y72" i="9"/>
  <c r="Y97" i="9"/>
  <c r="J32" i="9"/>
  <c r="J29" i="9" s="1"/>
  <c r="J41" i="9" s="1"/>
  <c r="J63" i="9"/>
  <c r="J97" i="9"/>
  <c r="J110" i="9"/>
  <c r="J115" i="9"/>
  <c r="S32" i="9"/>
  <c r="S29" i="9" s="1"/>
  <c r="S41" i="9" s="1"/>
  <c r="S63" i="9"/>
  <c r="S97" i="9"/>
  <c r="S115" i="9"/>
  <c r="V21" i="9"/>
  <c r="V27" i="9" s="1"/>
  <c r="V29" i="9"/>
  <c r="V41" i="9" s="1"/>
  <c r="V63" i="9"/>
  <c r="V97" i="9"/>
  <c r="V110" i="9"/>
  <c r="V115" i="9"/>
  <c r="G29" i="9"/>
  <c r="G41" i="9" s="1"/>
  <c r="G62" i="9" l="1"/>
  <c r="P62" i="9"/>
  <c r="M62" i="9"/>
  <c r="V98" i="9"/>
  <c r="G42" i="9"/>
  <c r="Y98" i="9"/>
  <c r="Y117" i="9" s="1"/>
  <c r="Y119" i="9" s="1"/>
  <c r="P98" i="9"/>
  <c r="S98" i="9"/>
  <c r="J62" i="9"/>
  <c r="G98" i="9"/>
  <c r="S62" i="9"/>
  <c r="M98" i="9"/>
  <c r="J42" i="9"/>
  <c r="M42" i="9"/>
  <c r="J98" i="9"/>
  <c r="V42" i="9"/>
  <c r="V62" i="9"/>
  <c r="Y42" i="9"/>
  <c r="P42" i="9"/>
  <c r="S42" i="9"/>
  <c r="X26" i="9"/>
  <c r="X24" i="9"/>
  <c r="X10" i="9"/>
  <c r="X6" i="9"/>
  <c r="U26" i="9"/>
  <c r="U24" i="9"/>
  <c r="U10" i="9"/>
  <c r="U6" i="9"/>
  <c r="R71" i="9"/>
  <c r="R26" i="9"/>
  <c r="R24" i="9"/>
  <c r="R10" i="9"/>
  <c r="R6" i="9"/>
  <c r="O26" i="9"/>
  <c r="O24" i="9"/>
  <c r="O10" i="9"/>
  <c r="O6" i="9"/>
  <c r="L26" i="9"/>
  <c r="L24" i="9"/>
  <c r="L10" i="9"/>
  <c r="L6" i="9"/>
  <c r="I26" i="9"/>
  <c r="I24" i="9"/>
  <c r="I10" i="9"/>
  <c r="I6" i="9"/>
  <c r="F26" i="9"/>
  <c r="F24" i="9"/>
  <c r="F10" i="9"/>
  <c r="F6" i="9"/>
  <c r="C26" i="9"/>
  <c r="C24" i="9"/>
  <c r="G117" i="9" l="1"/>
  <c r="G119" i="9" s="1"/>
  <c r="P117" i="9"/>
  <c r="P119" i="9" s="1"/>
  <c r="V117" i="9"/>
  <c r="V119" i="9" s="1"/>
  <c r="M117" i="9"/>
  <c r="M119" i="9" s="1"/>
  <c r="U75" i="9"/>
  <c r="S117" i="9"/>
  <c r="S119" i="9" s="1"/>
  <c r="R97" i="9"/>
  <c r="U21" i="9"/>
  <c r="U27" i="9" s="1"/>
  <c r="U29" i="9"/>
  <c r="U41" i="9" s="1"/>
  <c r="U57" i="9"/>
  <c r="I72" i="9"/>
  <c r="J117" i="9"/>
  <c r="J119" i="9" s="1"/>
  <c r="O91" i="9"/>
  <c r="X97" i="9"/>
  <c r="U91" i="9"/>
  <c r="R32" i="9"/>
  <c r="R29" i="9" s="1"/>
  <c r="R41" i="9" s="1"/>
  <c r="U61" i="9"/>
  <c r="U63" i="9"/>
  <c r="F61" i="9"/>
  <c r="F72" i="9"/>
  <c r="F97" i="9"/>
  <c r="I32" i="9"/>
  <c r="I29" i="9" s="1"/>
  <c r="I41" i="9" s="1"/>
  <c r="I61" i="9"/>
  <c r="I97" i="9"/>
  <c r="O72" i="9"/>
  <c r="O97" i="9"/>
  <c r="U72" i="9"/>
  <c r="U97" i="9"/>
  <c r="C16" i="2"/>
  <c r="X72" i="9"/>
  <c r="L32" i="9"/>
  <c r="L29" i="9" s="1"/>
  <c r="L41" i="9" s="1"/>
  <c r="L61" i="9"/>
  <c r="L72" i="9"/>
  <c r="L97" i="9"/>
  <c r="R61" i="9"/>
  <c r="R72" i="9"/>
  <c r="X21" i="9"/>
  <c r="X27" i="9" s="1"/>
  <c r="X75" i="9"/>
  <c r="X29" i="9"/>
  <c r="X41" i="9" s="1"/>
  <c r="X63" i="9"/>
  <c r="X91" i="9"/>
  <c r="X102" i="9"/>
  <c r="X115" i="9"/>
  <c r="I21" i="9"/>
  <c r="I27" i="9" s="1"/>
  <c r="I63" i="9"/>
  <c r="I75" i="9"/>
  <c r="I91" i="9"/>
  <c r="I102" i="9"/>
  <c r="I110" i="9"/>
  <c r="I115" i="9"/>
  <c r="X110" i="9"/>
  <c r="F29" i="9"/>
  <c r="F41" i="9" s="1"/>
  <c r="X57" i="9"/>
  <c r="O21" i="9"/>
  <c r="O27" i="9" s="1"/>
  <c r="O32" i="9"/>
  <c r="O29" i="9" s="1"/>
  <c r="O41" i="9" s="1"/>
  <c r="O57" i="9"/>
  <c r="O63" i="9"/>
  <c r="O75" i="9"/>
  <c r="O102" i="9"/>
  <c r="U102" i="9"/>
  <c r="U110" i="9"/>
  <c r="U115" i="9"/>
  <c r="L21" i="9"/>
  <c r="L27" i="9" s="1"/>
  <c r="L57" i="9"/>
  <c r="L63" i="9"/>
  <c r="L75" i="9"/>
  <c r="L91" i="9"/>
  <c r="L102" i="9"/>
  <c r="L110" i="9"/>
  <c r="L115" i="9"/>
  <c r="R21" i="9"/>
  <c r="R27" i="9" s="1"/>
  <c r="R57" i="9"/>
  <c r="R63" i="9"/>
  <c r="R75" i="9"/>
  <c r="R91" i="9"/>
  <c r="R102" i="9"/>
  <c r="R110" i="9"/>
  <c r="R115" i="9"/>
  <c r="O115" i="9"/>
  <c r="F21" i="9"/>
  <c r="F27" i="9" s="1"/>
  <c r="F57" i="9"/>
  <c r="F63" i="9"/>
  <c r="F75" i="9"/>
  <c r="F91" i="9"/>
  <c r="F102" i="9"/>
  <c r="F110" i="9"/>
  <c r="F115" i="9"/>
  <c r="O61" i="9"/>
  <c r="O110" i="9"/>
  <c r="X61" i="9"/>
  <c r="X98" i="9" l="1"/>
  <c r="O62" i="9"/>
  <c r="F62" i="9"/>
  <c r="L62" i="9"/>
  <c r="I42" i="9"/>
  <c r="U98" i="9"/>
  <c r="I62" i="9"/>
  <c r="U62" i="9"/>
  <c r="R98" i="9"/>
  <c r="F98" i="9"/>
  <c r="L98" i="9"/>
  <c r="I98" i="9"/>
  <c r="U42" i="9"/>
  <c r="O98" i="9"/>
  <c r="X62" i="9"/>
  <c r="R62" i="9"/>
  <c r="L42" i="9"/>
  <c r="F42" i="9"/>
  <c r="X42" i="9"/>
  <c r="R42" i="9"/>
  <c r="O42" i="9"/>
  <c r="O117" i="9" l="1"/>
  <c r="O119" i="9" s="1"/>
  <c r="X117" i="9"/>
  <c r="X119" i="9" s="1"/>
  <c r="L117" i="9"/>
  <c r="L119" i="9" s="1"/>
  <c r="F117" i="9"/>
  <c r="F119" i="9" s="1"/>
  <c r="U117" i="9"/>
  <c r="U119" i="9" s="1"/>
  <c r="I117" i="9"/>
  <c r="I119" i="9" s="1"/>
  <c r="R117" i="9"/>
  <c r="R119" i="9" s="1"/>
  <c r="M109" i="1"/>
  <c r="M92" i="1"/>
  <c r="L92" i="1"/>
  <c r="K92" i="1"/>
  <c r="M90" i="1"/>
  <c r="L90" i="1"/>
  <c r="K90" i="1"/>
  <c r="K89" i="1"/>
  <c r="M47" i="1"/>
  <c r="L26" i="1"/>
  <c r="M25" i="1"/>
  <c r="M26" i="1" s="1"/>
  <c r="K26" i="1"/>
  <c r="M22" i="1"/>
  <c r="L22" i="1"/>
  <c r="K22" i="1"/>
  <c r="M3" i="1"/>
  <c r="L3" i="1"/>
  <c r="K3" i="1"/>
  <c r="L91" i="1" l="1"/>
  <c r="M91" i="1"/>
  <c r="N92" i="1"/>
  <c r="K88" i="1"/>
  <c r="G6" i="22" s="1"/>
  <c r="M108" i="1"/>
  <c r="N90" i="1"/>
  <c r="N91" i="1" l="1"/>
  <c r="G21" i="1"/>
  <c r="I21" i="1"/>
  <c r="G24" i="1"/>
  <c r="H24" i="1"/>
  <c r="I24" i="1"/>
  <c r="C26" i="1"/>
  <c r="D26" i="1"/>
  <c r="E26" i="1"/>
  <c r="G26" i="1"/>
  <c r="J28" i="1"/>
  <c r="G30" i="1"/>
  <c r="I30" i="1"/>
  <c r="G50" i="1"/>
  <c r="G51" i="1" s="1"/>
  <c r="H50" i="1"/>
  <c r="H51" i="1" s="1"/>
  <c r="I50" i="1"/>
  <c r="I51" i="1" s="1"/>
  <c r="G52" i="1"/>
  <c r="H52" i="1"/>
  <c r="I52" i="1"/>
  <c r="G61" i="1"/>
  <c r="I61" i="1"/>
  <c r="G64" i="1"/>
  <c r="H64" i="1"/>
  <c r="I64" i="1"/>
  <c r="J75" i="1"/>
  <c r="G80" i="1"/>
  <c r="H80" i="1"/>
  <c r="I80" i="1"/>
  <c r="I86" i="1"/>
  <c r="J89" i="1"/>
  <c r="G103" i="1"/>
  <c r="H103" i="1"/>
  <c r="I103" i="1"/>
  <c r="G108" i="1"/>
  <c r="H108" i="1"/>
  <c r="I108" i="1"/>
  <c r="G95" i="1" l="1"/>
  <c r="K95" i="1"/>
  <c r="I87" i="1"/>
  <c r="I110" i="1" s="1"/>
  <c r="G86" i="1"/>
  <c r="J77" i="1"/>
  <c r="H61" i="1"/>
  <c r="J61" i="1" s="1"/>
  <c r="H95" i="1"/>
  <c r="H86" i="1"/>
  <c r="J86" i="1" s="1"/>
  <c r="J76" i="1"/>
  <c r="H30" i="1"/>
  <c r="J30" i="1" s="1"/>
  <c r="J95" i="1" l="1"/>
  <c r="G87" i="1"/>
  <c r="G110" i="1" s="1"/>
  <c r="J88" i="1"/>
  <c r="H87" i="1"/>
  <c r="J87" i="1" l="1"/>
  <c r="H110" i="1"/>
  <c r="J110" i="1" s="1"/>
  <c r="AF15" i="9" l="1"/>
  <c r="E15" i="1" l="1"/>
  <c r="M15" i="1" s="1"/>
  <c r="E113" i="2" s="1"/>
  <c r="AF23" i="9" l="1"/>
  <c r="E16" i="2"/>
  <c r="F22" i="2"/>
  <c r="F21" i="2"/>
  <c r="F20" i="2"/>
  <c r="F19" i="2"/>
  <c r="F18" i="2"/>
  <c r="F17" i="2"/>
  <c r="E24" i="1" l="1"/>
  <c r="C24" i="1"/>
  <c r="K24" i="1"/>
  <c r="D16" i="2"/>
  <c r="F16" i="2" s="1"/>
  <c r="M24" i="1" l="1"/>
  <c r="D24" i="1"/>
  <c r="L24" i="1"/>
  <c r="L121" i="9" l="1"/>
  <c r="F121" i="9"/>
  <c r="I121" i="9"/>
  <c r="O121" i="9"/>
  <c r="E48" i="28"/>
  <c r="E47" i="28"/>
  <c r="AE40" i="9"/>
  <c r="E46" i="28" l="1"/>
  <c r="E45" i="28" s="1"/>
  <c r="E33" i="18" l="1"/>
  <c r="D37" i="18"/>
  <c r="D17" i="18"/>
  <c r="D13" i="18"/>
  <c r="D39" i="18" l="1"/>
  <c r="P46" i="21"/>
  <c r="C22" i="31" l="1"/>
  <c r="E4" i="35"/>
  <c r="E3" i="35"/>
  <c r="D12" i="31"/>
  <c r="E8" i="28" l="1"/>
  <c r="E5" i="28"/>
  <c r="E4" i="28"/>
  <c r="E6" i="28" l="1"/>
  <c r="AF35" i="9" l="1"/>
  <c r="E27" i="2" s="1"/>
  <c r="M10" i="1" l="1"/>
  <c r="AF118" i="9" l="1"/>
  <c r="E111" i="1" s="1"/>
  <c r="AE118" i="9"/>
  <c r="D111" i="1" s="1"/>
  <c r="AD118" i="9"/>
  <c r="C111" i="1" s="1"/>
  <c r="AF116" i="9"/>
  <c r="L109" i="1"/>
  <c r="K109" i="1"/>
  <c r="AF114" i="9"/>
  <c r="AF113" i="9"/>
  <c r="AF112" i="9"/>
  <c r="AF111" i="9"/>
  <c r="E102" i="1"/>
  <c r="M102" i="1" s="1"/>
  <c r="AF108" i="9"/>
  <c r="AF107" i="9"/>
  <c r="E99" i="1"/>
  <c r="M99" i="1" s="1"/>
  <c r="AF105" i="9"/>
  <c r="E98" i="1" s="1"/>
  <c r="F98" i="1" s="1"/>
  <c r="AF104" i="9"/>
  <c r="AF103" i="9"/>
  <c r="AF101" i="9"/>
  <c r="M89" i="1"/>
  <c r="AF96" i="9"/>
  <c r="E85" i="1" s="1"/>
  <c r="M85" i="1" s="1"/>
  <c r="AF95" i="9"/>
  <c r="AF94" i="9"/>
  <c r="AF93" i="9"/>
  <c r="E81" i="1"/>
  <c r="D81" i="1"/>
  <c r="AF90" i="9"/>
  <c r="AF89" i="9"/>
  <c r="E78" i="1" s="1"/>
  <c r="E76" i="1"/>
  <c r="M76" i="1" s="1"/>
  <c r="D76" i="1"/>
  <c r="AF86" i="9"/>
  <c r="E75" i="1" s="1"/>
  <c r="M75" i="1" s="1"/>
  <c r="AF85" i="9"/>
  <c r="AF84" i="9"/>
  <c r="AF82" i="9"/>
  <c r="E71" i="1" s="1"/>
  <c r="M71" i="1" s="1"/>
  <c r="AE82" i="9"/>
  <c r="AF81" i="9"/>
  <c r="AF80" i="9"/>
  <c r="AF74" i="9"/>
  <c r="E63" i="1" s="1"/>
  <c r="M63" i="1" s="1"/>
  <c r="AE74" i="9"/>
  <c r="D63" i="1" s="1"/>
  <c r="AF73" i="9"/>
  <c r="E62" i="1" s="1"/>
  <c r="AF71" i="9"/>
  <c r="E59" i="1"/>
  <c r="M59" i="1" s="1"/>
  <c r="D59" i="1"/>
  <c r="E58" i="1"/>
  <c r="AF68" i="9"/>
  <c r="E57" i="1" s="1"/>
  <c r="M57" i="1" s="1"/>
  <c r="D57" i="1"/>
  <c r="AF67" i="9"/>
  <c r="AE67" i="9"/>
  <c r="AF66" i="9"/>
  <c r="AE66" i="9"/>
  <c r="AF65" i="9"/>
  <c r="E54" i="1" s="1"/>
  <c r="M54" i="1" s="1"/>
  <c r="AE65" i="9"/>
  <c r="D54" i="1" s="1"/>
  <c r="AF64" i="9"/>
  <c r="E53" i="1" s="1"/>
  <c r="AE64" i="9"/>
  <c r="D53" i="1" s="1"/>
  <c r="AF60" i="9"/>
  <c r="E49" i="1" s="1"/>
  <c r="AF59" i="9"/>
  <c r="AF58" i="9"/>
  <c r="AF55" i="9"/>
  <c r="E44" i="1" s="1"/>
  <c r="M44" i="1" s="1"/>
  <c r="AE55" i="9"/>
  <c r="D44" i="1" s="1"/>
  <c r="AF54" i="9"/>
  <c r="AF53" i="9"/>
  <c r="AF52" i="9"/>
  <c r="AF51" i="9"/>
  <c r="E40" i="1" s="1"/>
  <c r="M40" i="1" s="1"/>
  <c r="AE51" i="9"/>
  <c r="D40" i="1" s="1"/>
  <c r="AF50" i="9"/>
  <c r="AF49" i="9"/>
  <c r="E38" i="1" s="1"/>
  <c r="M38" i="1" s="1"/>
  <c r="AE49" i="9"/>
  <c r="D38" i="1" s="1"/>
  <c r="AF48" i="9"/>
  <c r="AF47" i="9"/>
  <c r="AF46" i="9"/>
  <c r="E35" i="1" s="1"/>
  <c r="M35" i="1" s="1"/>
  <c r="AE46" i="9"/>
  <c r="D35" i="1" s="1"/>
  <c r="AF45" i="9"/>
  <c r="AF44" i="9"/>
  <c r="E33" i="1" s="1"/>
  <c r="M33" i="1" s="1"/>
  <c r="AF43" i="9"/>
  <c r="E32" i="1" s="1"/>
  <c r="AE43" i="9"/>
  <c r="D32" i="1" s="1"/>
  <c r="AF39" i="9"/>
  <c r="E31" i="2" s="1"/>
  <c r="AF38" i="9"/>
  <c r="E30" i="2" s="1"/>
  <c r="AF37" i="9"/>
  <c r="E29" i="2" s="1"/>
  <c r="AF36" i="9"/>
  <c r="E28" i="2" s="1"/>
  <c r="AF34" i="9"/>
  <c r="E26" i="2" s="1"/>
  <c r="AF33" i="9"/>
  <c r="E25" i="2" s="1"/>
  <c r="AE30" i="9"/>
  <c r="AF28" i="9"/>
  <c r="D28" i="1"/>
  <c r="AD28" i="9"/>
  <c r="AF17" i="9"/>
  <c r="AF16" i="9"/>
  <c r="E16" i="1" s="1"/>
  <c r="AF14" i="9"/>
  <c r="AF13" i="9"/>
  <c r="AF12" i="9"/>
  <c r="E12" i="1" s="1"/>
  <c r="AF11" i="9"/>
  <c r="Z115" i="9"/>
  <c r="Z110" i="9"/>
  <c r="Z102" i="9"/>
  <c r="Z97" i="9"/>
  <c r="Z91" i="9"/>
  <c r="Z75" i="9"/>
  <c r="Z72" i="9"/>
  <c r="Z63" i="9"/>
  <c r="Z61" i="9"/>
  <c r="Z57" i="9"/>
  <c r="Z29" i="9"/>
  <c r="Z41" i="9" s="1"/>
  <c r="Z26" i="9"/>
  <c r="Z24" i="9"/>
  <c r="Z21" i="9"/>
  <c r="Z10" i="9"/>
  <c r="Z6" i="9"/>
  <c r="E69" i="1" l="1"/>
  <c r="M69" i="1"/>
  <c r="M77" i="1" s="1"/>
  <c r="E77" i="1"/>
  <c r="D71" i="1"/>
  <c r="E82" i="1"/>
  <c r="F82" i="1" s="1"/>
  <c r="E56" i="1"/>
  <c r="M56" i="1" s="1"/>
  <c r="M16" i="1"/>
  <c r="E114" i="2" s="1"/>
  <c r="F114" i="2" s="1"/>
  <c r="F16" i="1"/>
  <c r="E17" i="1"/>
  <c r="F17" i="1" s="1"/>
  <c r="M12" i="1"/>
  <c r="E110" i="2" s="1"/>
  <c r="M88" i="1"/>
  <c r="M95" i="1" s="1"/>
  <c r="I6" i="22" s="1"/>
  <c r="E37" i="1"/>
  <c r="M37" i="1" s="1"/>
  <c r="E48" i="1"/>
  <c r="M48" i="1" s="1"/>
  <c r="M98" i="1"/>
  <c r="E103" i="1"/>
  <c r="E28" i="1"/>
  <c r="M28" i="1" s="1"/>
  <c r="E126" i="2" s="1"/>
  <c r="E20" i="1"/>
  <c r="M81" i="1"/>
  <c r="M78" i="1"/>
  <c r="M80" i="1" s="1"/>
  <c r="E80" i="1"/>
  <c r="M62" i="1"/>
  <c r="M64" i="1" s="1"/>
  <c r="E64" i="1"/>
  <c r="M58" i="1"/>
  <c r="M61" i="1" s="1"/>
  <c r="E61" i="1"/>
  <c r="M53" i="1"/>
  <c r="M49" i="1"/>
  <c r="M32" i="1"/>
  <c r="L81" i="1"/>
  <c r="F81" i="1"/>
  <c r="L76" i="1"/>
  <c r="N76" i="1" s="1"/>
  <c r="F76" i="1"/>
  <c r="F71" i="1"/>
  <c r="L63" i="1"/>
  <c r="N63" i="1" s="1"/>
  <c r="F63" i="1"/>
  <c r="L59" i="1"/>
  <c r="N59" i="1" s="1"/>
  <c r="F59" i="1"/>
  <c r="L54" i="1"/>
  <c r="N54" i="1" s="1"/>
  <c r="F54" i="1"/>
  <c r="L53" i="1"/>
  <c r="D52" i="1"/>
  <c r="F53" i="1"/>
  <c r="L57" i="1"/>
  <c r="N57" i="1" s="1"/>
  <c r="F57" i="1"/>
  <c r="L40" i="1"/>
  <c r="N40" i="1" s="1"/>
  <c r="F40" i="1"/>
  <c r="L44" i="1"/>
  <c r="N44" i="1" s="1"/>
  <c r="F44" i="1"/>
  <c r="L35" i="1"/>
  <c r="N35" i="1" s="1"/>
  <c r="F35" i="1"/>
  <c r="L38" i="1"/>
  <c r="N38" i="1" s="1"/>
  <c r="F38" i="1"/>
  <c r="L32" i="1"/>
  <c r="F32" i="1"/>
  <c r="L28" i="1"/>
  <c r="D126" i="2" s="1"/>
  <c r="K108" i="1"/>
  <c r="K103" i="1"/>
  <c r="C103" i="1"/>
  <c r="AF32" i="9"/>
  <c r="AF29" i="9" s="1"/>
  <c r="AH29" i="9" s="1"/>
  <c r="Z62" i="9"/>
  <c r="AD70" i="9"/>
  <c r="C59" i="1" s="1"/>
  <c r="K59" i="1" s="1"/>
  <c r="AD43" i="9"/>
  <c r="C32" i="1" s="1"/>
  <c r="AD66" i="9"/>
  <c r="AD74" i="9"/>
  <c r="C63" i="1" s="1"/>
  <c r="K63" i="1" s="1"/>
  <c r="AD87" i="9"/>
  <c r="C76" i="1" s="1"/>
  <c r="K76" i="1" s="1"/>
  <c r="AD68" i="9"/>
  <c r="C57" i="1" s="1"/>
  <c r="K57" i="1" s="1"/>
  <c r="AD51" i="9"/>
  <c r="C40" i="1" s="1"/>
  <c r="K40" i="1" s="1"/>
  <c r="AD64" i="9"/>
  <c r="C53" i="1" s="1"/>
  <c r="C81" i="1"/>
  <c r="K81" i="1" s="1"/>
  <c r="Z98" i="9"/>
  <c r="C38" i="1"/>
  <c r="K38" i="1" s="1"/>
  <c r="AD65" i="9"/>
  <c r="C54" i="1" s="1"/>
  <c r="K54" i="1" s="1"/>
  <c r="Z27" i="9"/>
  <c r="Z42" i="9" s="1"/>
  <c r="M20" i="1" l="1"/>
  <c r="F20" i="1"/>
  <c r="L71" i="1"/>
  <c r="E86" i="1"/>
  <c r="E87" i="1" s="1"/>
  <c r="M82" i="1"/>
  <c r="N82" i="1" s="1"/>
  <c r="M103" i="1"/>
  <c r="N98" i="1"/>
  <c r="E52" i="1"/>
  <c r="F52" i="1" s="1"/>
  <c r="M52" i="1"/>
  <c r="N16" i="1"/>
  <c r="M17" i="1"/>
  <c r="E115" i="2" s="1"/>
  <c r="Z117" i="9"/>
  <c r="Z119" i="9" s="1"/>
  <c r="Z121" i="9" s="1"/>
  <c r="E46" i="1"/>
  <c r="M46" i="1"/>
  <c r="M30" i="1"/>
  <c r="M50" i="1"/>
  <c r="E50" i="1"/>
  <c r="F28" i="1"/>
  <c r="E21" i="1"/>
  <c r="E27" i="1" s="1"/>
  <c r="N81" i="1"/>
  <c r="L52" i="1"/>
  <c r="N53" i="1"/>
  <c r="N32" i="1"/>
  <c r="L30" i="1"/>
  <c r="N28" i="1"/>
  <c r="K53" i="1"/>
  <c r="K32" i="1"/>
  <c r="K28" i="1"/>
  <c r="K30" i="1" s="1"/>
  <c r="E24" i="2"/>
  <c r="X121" i="9"/>
  <c r="Y121" i="9"/>
  <c r="N71" i="1" l="1"/>
  <c r="E118" i="2"/>
  <c r="F118" i="2" s="1"/>
  <c r="N20" i="1"/>
  <c r="M86" i="1"/>
  <c r="M87" i="1" s="1"/>
  <c r="N52" i="1"/>
  <c r="N17" i="1"/>
  <c r="F115" i="2"/>
  <c r="M21" i="1"/>
  <c r="D3" i="22" s="1"/>
  <c r="N30" i="1"/>
  <c r="E51" i="1"/>
  <c r="M51" i="1"/>
  <c r="P147" i="9"/>
  <c r="E11" i="35"/>
  <c r="E10" i="35"/>
  <c r="E8" i="35"/>
  <c r="E7" i="35"/>
  <c r="E6" i="35"/>
  <c r="E2" i="35"/>
  <c r="D9" i="35"/>
  <c r="C2" i="35"/>
  <c r="C9" i="35" s="1"/>
  <c r="D16" i="33"/>
  <c r="D12" i="33"/>
  <c r="C14" i="32"/>
  <c r="C17" i="32" s="1"/>
  <c r="E64" i="31"/>
  <c r="E61" i="31"/>
  <c r="D61" i="31"/>
  <c r="C61" i="31"/>
  <c r="E57" i="31"/>
  <c r="D57" i="31"/>
  <c r="C57" i="31"/>
  <c r="E52" i="31"/>
  <c r="D52" i="31"/>
  <c r="C52" i="31"/>
  <c r="E43" i="31"/>
  <c r="D43" i="31"/>
  <c r="C43" i="31"/>
  <c r="E38" i="31"/>
  <c r="D38" i="31"/>
  <c r="C38" i="31"/>
  <c r="E33" i="31"/>
  <c r="D33" i="31"/>
  <c r="C33" i="31"/>
  <c r="E27" i="31"/>
  <c r="D27" i="31"/>
  <c r="C27" i="31"/>
  <c r="E22" i="31"/>
  <c r="D22" i="31"/>
  <c r="E17" i="31"/>
  <c r="D17" i="31"/>
  <c r="C17" i="31"/>
  <c r="E12" i="31"/>
  <c r="E6" i="31" s="1"/>
  <c r="C12" i="31"/>
  <c r="E7" i="31"/>
  <c r="C7" i="31"/>
  <c r="D11" i="13"/>
  <c r="C11" i="13"/>
  <c r="B11" i="13"/>
  <c r="E41" i="28"/>
  <c r="E26" i="28" s="1"/>
  <c r="D20" i="28"/>
  <c r="C20" i="28"/>
  <c r="E19" i="28"/>
  <c r="E18" i="28"/>
  <c r="D16" i="28"/>
  <c r="C16" i="28"/>
  <c r="E15" i="28"/>
  <c r="E14" i="28"/>
  <c r="C10" i="28"/>
  <c r="E9" i="28"/>
  <c r="E10" i="28" s="1"/>
  <c r="E12" i="28" s="1"/>
  <c r="D6" i="28"/>
  <c r="D12" i="28" s="1"/>
  <c r="C6" i="28"/>
  <c r="D6" i="31" l="1"/>
  <c r="C6" i="31"/>
  <c r="E32" i="31"/>
  <c r="E49" i="31" s="1"/>
  <c r="E66" i="31" s="1"/>
  <c r="M110" i="1"/>
  <c r="M112" i="1" s="1"/>
  <c r="C32" i="31"/>
  <c r="D32" i="31"/>
  <c r="D49" i="31"/>
  <c r="D66" i="31" s="1"/>
  <c r="D21" i="33"/>
  <c r="E9" i="35"/>
  <c r="E16" i="28"/>
  <c r="D22" i="28"/>
  <c r="E20" i="28"/>
  <c r="C12" i="28"/>
  <c r="C22" i="28"/>
  <c r="C49" i="31" l="1"/>
  <c r="C66" i="31" s="1"/>
  <c r="D24" i="28"/>
  <c r="E22" i="28"/>
  <c r="C24" i="28"/>
  <c r="C44" i="28" s="1"/>
  <c r="C56" i="28" s="1"/>
  <c r="D44" i="28" l="1"/>
  <c r="D56" i="28" s="1"/>
  <c r="E24" i="28"/>
  <c r="E44" i="28" l="1"/>
  <c r="E56" i="28" s="1"/>
  <c r="T97" i="9"/>
  <c r="AE54" i="9" l="1"/>
  <c r="AE53" i="9"/>
  <c r="AE52" i="9"/>
  <c r="AE50" i="9"/>
  <c r="AE48" i="9"/>
  <c r="D37" i="1" s="1"/>
  <c r="F37" i="1" s="1"/>
  <c r="AE47" i="9"/>
  <c r="AE45" i="9"/>
  <c r="AE44" i="9"/>
  <c r="D33" i="1" s="1"/>
  <c r="F33" i="1" s="1"/>
  <c r="AE33" i="9"/>
  <c r="D25" i="2" s="1"/>
  <c r="D12" i="1"/>
  <c r="AE89" i="9"/>
  <c r="D78" i="1" s="1"/>
  <c r="AE80" i="9"/>
  <c r="D69" i="1" s="1"/>
  <c r="AE60" i="9"/>
  <c r="D49" i="1" s="1"/>
  <c r="AE39" i="9"/>
  <c r="D31" i="2" s="1"/>
  <c r="AE37" i="9"/>
  <c r="D29" i="2" s="1"/>
  <c r="AE96" i="9"/>
  <c r="D85" i="1" s="1"/>
  <c r="D102" i="1"/>
  <c r="D99" i="1"/>
  <c r="AE59" i="9"/>
  <c r="D48" i="1" s="1"/>
  <c r="L12" i="1" l="1"/>
  <c r="F12" i="1"/>
  <c r="L102" i="1"/>
  <c r="N102" i="1" s="1"/>
  <c r="F102" i="1"/>
  <c r="L99" i="1"/>
  <c r="N99" i="1" s="1"/>
  <c r="F99" i="1"/>
  <c r="F85" i="1"/>
  <c r="L85" i="1"/>
  <c r="N85" i="1" s="1"/>
  <c r="D86" i="1"/>
  <c r="F86" i="1" s="1"/>
  <c r="L78" i="1"/>
  <c r="F78" i="1"/>
  <c r="F65" i="1"/>
  <c r="L69" i="1"/>
  <c r="F69" i="1"/>
  <c r="L49" i="1"/>
  <c r="N49" i="1" s="1"/>
  <c r="F49" i="1"/>
  <c r="L48" i="1"/>
  <c r="F48" i="1"/>
  <c r="L33" i="1"/>
  <c r="D46" i="1"/>
  <c r="L37" i="1"/>
  <c r="N37" i="1" s="1"/>
  <c r="AE38" i="9"/>
  <c r="D30" i="2" s="1"/>
  <c r="AE100" i="9"/>
  <c r="D58" i="1"/>
  <c r="AE56" i="9"/>
  <c r="AE58" i="9"/>
  <c r="AE35" i="9"/>
  <c r="D27" i="2" s="1"/>
  <c r="AE73" i="9"/>
  <c r="D62" i="1" s="1"/>
  <c r="AE86" i="9"/>
  <c r="AE15" i="9"/>
  <c r="D15" i="1" s="1"/>
  <c r="AE71" i="9"/>
  <c r="AE34" i="9"/>
  <c r="D26" i="2" s="1"/>
  <c r="AE36" i="9"/>
  <c r="D28" i="2" s="1"/>
  <c r="D32" i="9"/>
  <c r="D29" i="9" s="1"/>
  <c r="D21" i="9"/>
  <c r="N69" i="1" l="1"/>
  <c r="D75" i="1"/>
  <c r="AE88" i="9"/>
  <c r="N12" i="1"/>
  <c r="D110" i="2"/>
  <c r="L46" i="1"/>
  <c r="L89" i="1"/>
  <c r="L88" i="1" s="1"/>
  <c r="L86" i="1"/>
  <c r="N86" i="1" s="1"/>
  <c r="D21" i="1"/>
  <c r="D27" i="1" s="1"/>
  <c r="F27" i="1" s="1"/>
  <c r="L108" i="1"/>
  <c r="L103" i="1"/>
  <c r="N103" i="1" s="1"/>
  <c r="D103" i="1"/>
  <c r="F103" i="1" s="1"/>
  <c r="L80" i="1"/>
  <c r="N80" i="1" s="1"/>
  <c r="N78" i="1"/>
  <c r="D80" i="1"/>
  <c r="F80" i="1" s="1"/>
  <c r="N65" i="1"/>
  <c r="D64" i="1"/>
  <c r="F64" i="1" s="1"/>
  <c r="L62" i="1"/>
  <c r="F62" i="1"/>
  <c r="L58" i="1"/>
  <c r="F58" i="1"/>
  <c r="D61" i="1"/>
  <c r="L50" i="1"/>
  <c r="N50" i="1" s="1"/>
  <c r="N48" i="1"/>
  <c r="D50" i="1"/>
  <c r="F50" i="1" s="1"/>
  <c r="F46" i="1"/>
  <c r="N33" i="1"/>
  <c r="L15" i="1"/>
  <c r="F15" i="1"/>
  <c r="L75" i="1" l="1"/>
  <c r="D77" i="1"/>
  <c r="F75" i="1"/>
  <c r="N15" i="1"/>
  <c r="D113" i="2"/>
  <c r="H6" i="22"/>
  <c r="L95" i="1"/>
  <c r="L21" i="1"/>
  <c r="N21" i="1" s="1"/>
  <c r="F21" i="1"/>
  <c r="N89" i="1"/>
  <c r="F77" i="1"/>
  <c r="L64" i="1"/>
  <c r="N64" i="1" s="1"/>
  <c r="N62" i="1"/>
  <c r="F61" i="1"/>
  <c r="L61" i="1"/>
  <c r="N58" i="1"/>
  <c r="D51" i="1"/>
  <c r="F51" i="1" s="1"/>
  <c r="L51" i="1"/>
  <c r="N46" i="1"/>
  <c r="N75" i="1" l="1"/>
  <c r="L77" i="1"/>
  <c r="N77" i="1" s="1"/>
  <c r="N95" i="1"/>
  <c r="N88" i="1"/>
  <c r="D87" i="1"/>
  <c r="F87" i="1" s="1"/>
  <c r="N61" i="1"/>
  <c r="N51" i="1"/>
  <c r="L87" i="1" l="1"/>
  <c r="N87" i="1" s="1"/>
  <c r="L110" i="1"/>
  <c r="N110" i="1" s="1"/>
  <c r="Q4" i="26"/>
  <c r="Q3" i="26"/>
  <c r="L3" i="26"/>
  <c r="E37" i="18"/>
  <c r="E17" i="18"/>
  <c r="L112" i="1" l="1"/>
  <c r="N112" i="1" s="1"/>
  <c r="P43" i="21" l="1"/>
  <c r="P44" i="21"/>
  <c r="P45" i="21"/>
  <c r="P47" i="21"/>
  <c r="P48" i="21"/>
  <c r="P41" i="21"/>
  <c r="P49" i="21" l="1"/>
  <c r="P52" i="21" s="1"/>
  <c r="D119" i="2" l="1"/>
  <c r="AD82" i="9" l="1"/>
  <c r="AD33" i="9"/>
  <c r="C25" i="2" s="1"/>
  <c r="AD89" i="9"/>
  <c r="C78" i="1" s="1"/>
  <c r="K78" i="1" s="1"/>
  <c r="AD46" i="9"/>
  <c r="C35" i="1" s="1"/>
  <c r="K35" i="1" s="1"/>
  <c r="C71" i="1" l="1"/>
  <c r="AD96" i="9"/>
  <c r="C85" i="1" s="1"/>
  <c r="K85" i="1" s="1"/>
  <c r="K86" i="1" s="1"/>
  <c r="AD60" i="9"/>
  <c r="C49" i="1" s="1"/>
  <c r="K49" i="1" s="1"/>
  <c r="AD12" i="9"/>
  <c r="C12" i="1" s="1"/>
  <c r="K12" i="1" s="1"/>
  <c r="AD34" i="9"/>
  <c r="C26" i="2" s="1"/>
  <c r="AD71" i="9"/>
  <c r="AD86" i="9"/>
  <c r="C75" i="1" s="1"/>
  <c r="K75" i="1" s="1"/>
  <c r="AD67" i="9"/>
  <c r="AD36" i="9"/>
  <c r="AD35" i="9"/>
  <c r="C27" i="2" s="1"/>
  <c r="AD37" i="9"/>
  <c r="C29" i="2" s="1"/>
  <c r="AD38" i="9"/>
  <c r="C30" i="2" s="1"/>
  <c r="AD69" i="9"/>
  <c r="C58" i="1" s="1"/>
  <c r="AD39" i="9"/>
  <c r="C31" i="2" s="1"/>
  <c r="AD59" i="9"/>
  <c r="AD73" i="9"/>
  <c r="C62" i="1" s="1"/>
  <c r="AD15" i="9"/>
  <c r="C15" i="1" s="1"/>
  <c r="K15" i="1" s="1"/>
  <c r="AD80" i="9"/>
  <c r="C69" i="1" s="1"/>
  <c r="K69" i="1" s="1"/>
  <c r="AD88" i="9" l="1"/>
  <c r="K71" i="1"/>
  <c r="K77" i="1" s="1"/>
  <c r="C77" i="1"/>
  <c r="C28" i="2"/>
  <c r="AD32" i="9"/>
  <c r="AD21" i="9"/>
  <c r="C37" i="1"/>
  <c r="K37" i="1" s="1"/>
  <c r="C48" i="1"/>
  <c r="K48" i="1" s="1"/>
  <c r="C86" i="1"/>
  <c r="C80" i="1"/>
  <c r="K80" i="1"/>
  <c r="K62" i="1"/>
  <c r="K64" i="1" s="1"/>
  <c r="C64" i="1"/>
  <c r="K52" i="1"/>
  <c r="C52" i="1"/>
  <c r="K58" i="1"/>
  <c r="K61" i="1" s="1"/>
  <c r="C61" i="1"/>
  <c r="K21" i="1"/>
  <c r="C21" i="1"/>
  <c r="C27" i="1" s="1"/>
  <c r="U121" i="9"/>
  <c r="R121" i="9"/>
  <c r="C46" i="1" l="1"/>
  <c r="K87" i="1"/>
  <c r="C50" i="1"/>
  <c r="K46" i="1"/>
  <c r="K50" i="1"/>
  <c r="C87" i="1"/>
  <c r="F73" i="2"/>
  <c r="F72" i="2"/>
  <c r="F71" i="2"/>
  <c r="F70" i="2"/>
  <c r="F69" i="2"/>
  <c r="F68" i="2"/>
  <c r="F67" i="2"/>
  <c r="F64" i="2"/>
  <c r="F63" i="2"/>
  <c r="F62" i="2"/>
  <c r="F61" i="2"/>
  <c r="F60" i="2"/>
  <c r="F59" i="2"/>
  <c r="F58" i="2"/>
  <c r="F41" i="2"/>
  <c r="F40" i="2"/>
  <c r="F39" i="2"/>
  <c r="F38" i="2"/>
  <c r="F37" i="2"/>
  <c r="F36" i="2"/>
  <c r="F35" i="2"/>
  <c r="F34" i="2"/>
  <c r="H57" i="9"/>
  <c r="K57" i="9"/>
  <c r="N57" i="9"/>
  <c r="Q57" i="9"/>
  <c r="T57" i="9"/>
  <c r="W57" i="9"/>
  <c r="W115" i="9"/>
  <c r="W110" i="9"/>
  <c r="W102" i="9"/>
  <c r="W97" i="9"/>
  <c r="W91" i="9"/>
  <c r="W75" i="9"/>
  <c r="W72" i="9"/>
  <c r="W63" i="9"/>
  <c r="W61" i="9"/>
  <c r="W29" i="9"/>
  <c r="W41" i="9" s="1"/>
  <c r="W26" i="9"/>
  <c r="W24" i="9"/>
  <c r="W21" i="9"/>
  <c r="W10" i="9"/>
  <c r="W6" i="9"/>
  <c r="T115" i="9"/>
  <c r="T110" i="9"/>
  <c r="T102" i="9"/>
  <c r="T91" i="9"/>
  <c r="T75" i="9"/>
  <c r="T72" i="9"/>
  <c r="T63" i="9"/>
  <c r="T61" i="9"/>
  <c r="T32" i="9"/>
  <c r="T29" i="9" s="1"/>
  <c r="T41" i="9" s="1"/>
  <c r="T26" i="9"/>
  <c r="T24" i="9"/>
  <c r="T21" i="9"/>
  <c r="T10" i="9"/>
  <c r="T6" i="9"/>
  <c r="Q115" i="9"/>
  <c r="Q110" i="9"/>
  <c r="Q102" i="9"/>
  <c r="Q97" i="9"/>
  <c r="Q91" i="9"/>
  <c r="Q75" i="9"/>
  <c r="Q72" i="9"/>
  <c r="Q63" i="9"/>
  <c r="Q61" i="9"/>
  <c r="Q29" i="9"/>
  <c r="Q41" i="9" s="1"/>
  <c r="Q26" i="9"/>
  <c r="Q24" i="9"/>
  <c r="Q21" i="9"/>
  <c r="Q10" i="9"/>
  <c r="Q6" i="9"/>
  <c r="N115" i="9"/>
  <c r="N110" i="9"/>
  <c r="N102" i="9"/>
  <c r="N97" i="9"/>
  <c r="N91" i="9"/>
  <c r="N75" i="9"/>
  <c r="N72" i="9"/>
  <c r="N63" i="9"/>
  <c r="N61" i="9"/>
  <c r="N29" i="9"/>
  <c r="N41" i="9" s="1"/>
  <c r="N26" i="9"/>
  <c r="N24" i="9"/>
  <c r="N21" i="9"/>
  <c r="N10" i="9"/>
  <c r="N6" i="9"/>
  <c r="K115" i="9"/>
  <c r="K110" i="9"/>
  <c r="K97" i="9"/>
  <c r="K91" i="9"/>
  <c r="K75" i="9"/>
  <c r="K72" i="9"/>
  <c r="K63" i="9"/>
  <c r="K61" i="9"/>
  <c r="K32" i="9"/>
  <c r="K29" i="9" s="1"/>
  <c r="K41" i="9" s="1"/>
  <c r="K26" i="9"/>
  <c r="K24" i="9"/>
  <c r="K21" i="9"/>
  <c r="K10" i="9"/>
  <c r="K6" i="9"/>
  <c r="H115" i="9"/>
  <c r="H110" i="9"/>
  <c r="H102" i="9"/>
  <c r="H97" i="9"/>
  <c r="H91" i="9"/>
  <c r="H75" i="9"/>
  <c r="H72" i="9"/>
  <c r="H63" i="9"/>
  <c r="H61" i="9"/>
  <c r="H29" i="9"/>
  <c r="H41" i="9" s="1"/>
  <c r="H26" i="9"/>
  <c r="H24" i="9"/>
  <c r="H21" i="9"/>
  <c r="H10" i="9"/>
  <c r="H6" i="9"/>
  <c r="W98" i="9" l="1"/>
  <c r="C51" i="1"/>
  <c r="T98" i="9"/>
  <c r="K51" i="1"/>
  <c r="K110" i="1" s="1"/>
  <c r="K112" i="1" s="1"/>
  <c r="H27" i="9"/>
  <c r="H42" i="9" s="1"/>
  <c r="W62" i="9"/>
  <c r="K62" i="9"/>
  <c r="N62" i="9"/>
  <c r="Q62" i="9"/>
  <c r="H62" i="9"/>
  <c r="T62" i="9"/>
  <c r="W27" i="9"/>
  <c r="W42" i="9" s="1"/>
  <c r="T27" i="9"/>
  <c r="T42" i="9" s="1"/>
  <c r="Q98" i="9"/>
  <c r="Q27" i="9"/>
  <c r="Q42" i="9" s="1"/>
  <c r="N98" i="9"/>
  <c r="N27" i="9"/>
  <c r="N42" i="9" s="1"/>
  <c r="K98" i="9"/>
  <c r="K27" i="9"/>
  <c r="K42" i="9" s="1"/>
  <c r="H98" i="9"/>
  <c r="W117" i="9" l="1"/>
  <c r="W119" i="9" s="1"/>
  <c r="N117" i="9"/>
  <c r="N119" i="9" s="1"/>
  <c r="K117" i="9"/>
  <c r="K119" i="9" s="1"/>
  <c r="H117" i="9"/>
  <c r="H119" i="9" s="1"/>
  <c r="Q117" i="9"/>
  <c r="Q119" i="9" s="1"/>
  <c r="T117" i="9"/>
  <c r="T119" i="9" s="1"/>
  <c r="H37" i="18" l="1"/>
  <c r="C37" i="18"/>
  <c r="F36" i="18"/>
  <c r="F35" i="18"/>
  <c r="F34" i="18"/>
  <c r="F33" i="18"/>
  <c r="F32" i="18"/>
  <c r="F31" i="18"/>
  <c r="H17" i="18"/>
  <c r="C17" i="18"/>
  <c r="H39" i="18" l="1"/>
  <c r="F17" i="18"/>
  <c r="F37" i="18"/>
  <c r="F78" i="2" l="1"/>
  <c r="E32" i="9" l="1"/>
  <c r="E29" i="9" s="1"/>
  <c r="E41" i="9" s="1"/>
  <c r="W121" i="9" l="1"/>
  <c r="T121" i="9"/>
  <c r="Q121" i="9"/>
  <c r="N121" i="9"/>
  <c r="K121" i="9"/>
  <c r="H121" i="9"/>
  <c r="V121" i="9" l="1"/>
  <c r="P121" i="9"/>
  <c r="J121" i="9"/>
  <c r="G121" i="9" l="1"/>
  <c r="M121" i="9"/>
  <c r="S121" i="9"/>
  <c r="M22" i="20" l="1"/>
  <c r="L22" i="20"/>
  <c r="I22" i="20"/>
  <c r="N22" i="20"/>
  <c r="K22" i="20"/>
  <c r="J22" i="20"/>
  <c r="H22" i="20"/>
  <c r="G22" i="20"/>
  <c r="F22" i="20"/>
  <c r="E22" i="20"/>
  <c r="D22" i="20"/>
  <c r="C22" i="20"/>
  <c r="M23" i="20"/>
  <c r="N23" i="20"/>
  <c r="L23" i="20"/>
  <c r="K23" i="20"/>
  <c r="K20" i="20"/>
  <c r="F20" i="20"/>
  <c r="N20" i="20"/>
  <c r="M20" i="20"/>
  <c r="L20" i="20"/>
  <c r="J20" i="20"/>
  <c r="I20" i="20"/>
  <c r="H20" i="20"/>
  <c r="G20" i="20"/>
  <c r="E20" i="20"/>
  <c r="D20" i="20"/>
  <c r="C20" i="20"/>
  <c r="H19" i="20"/>
  <c r="G19" i="20"/>
  <c r="F19" i="20"/>
  <c r="E19" i="20"/>
  <c r="D19" i="20"/>
  <c r="C19" i="20"/>
  <c r="H18" i="20"/>
  <c r="D18" i="20"/>
  <c r="E18" i="20"/>
  <c r="F18" i="20"/>
  <c r="G18" i="20"/>
  <c r="C18" i="20"/>
  <c r="C14" i="20"/>
  <c r="F14" i="20"/>
  <c r="F15" i="20" s="1"/>
  <c r="N14" i="20"/>
  <c r="H14" i="20"/>
  <c r="C15" i="20"/>
  <c r="H3" i="20"/>
  <c r="G3" i="20"/>
  <c r="F3" i="20"/>
  <c r="E3" i="20"/>
  <c r="D3" i="20"/>
  <c r="C3" i="20"/>
  <c r="E102" i="9" l="1"/>
  <c r="D102" i="9"/>
  <c r="D115" i="9" l="1"/>
  <c r="E115" i="9"/>
  <c r="D110" i="9"/>
  <c r="E110" i="9"/>
  <c r="D97" i="9"/>
  <c r="D91" i="9"/>
  <c r="D88" i="9"/>
  <c r="D75" i="9"/>
  <c r="D72" i="9"/>
  <c r="D63" i="9"/>
  <c r="D61" i="9"/>
  <c r="D57" i="9"/>
  <c r="D41" i="9"/>
  <c r="E26" i="9"/>
  <c r="D26" i="9"/>
  <c r="D24" i="9"/>
  <c r="E24" i="9"/>
  <c r="D10" i="9"/>
  <c r="E10" i="9"/>
  <c r="D6" i="9"/>
  <c r="E6" i="9"/>
  <c r="AE6" i="9"/>
  <c r="AF6" i="9"/>
  <c r="AE10" i="9"/>
  <c r="AF10" i="9"/>
  <c r="AE24" i="9"/>
  <c r="AF24" i="9"/>
  <c r="AE26" i="9"/>
  <c r="AF26" i="9"/>
  <c r="D124" i="2"/>
  <c r="E124" i="2"/>
  <c r="D122" i="2"/>
  <c r="E108" i="2"/>
  <c r="D66" i="2"/>
  <c r="D57" i="2"/>
  <c r="L10" i="1" l="1"/>
  <c r="E122" i="2"/>
  <c r="D27" i="9"/>
  <c r="D42" i="9" s="1"/>
  <c r="D108" i="2"/>
  <c r="AF115" i="9"/>
  <c r="AF110" i="9"/>
  <c r="AE115" i="9"/>
  <c r="F126" i="2"/>
  <c r="AE21" i="9"/>
  <c r="AE27" i="9" s="1"/>
  <c r="AE91" i="9"/>
  <c r="AE97" i="9"/>
  <c r="AE72" i="9"/>
  <c r="AE75" i="9"/>
  <c r="AE61" i="9"/>
  <c r="D98" i="9"/>
  <c r="D62" i="9"/>
  <c r="AE57" i="9"/>
  <c r="AF99" i="9"/>
  <c r="AE99" i="9"/>
  <c r="D128" i="2"/>
  <c r="E128" i="2"/>
  <c r="AE63" i="9"/>
  <c r="AE32" i="9"/>
  <c r="AE29" i="9" s="1"/>
  <c r="D29" i="1" s="1"/>
  <c r="D11" i="22"/>
  <c r="C4" i="22"/>
  <c r="D4" i="22"/>
  <c r="C12" i="22"/>
  <c r="D12" i="22"/>
  <c r="AF102" i="9" l="1"/>
  <c r="E95" i="1"/>
  <c r="E110" i="1" s="1"/>
  <c r="AE102" i="9"/>
  <c r="D95" i="1"/>
  <c r="H111" i="1"/>
  <c r="D30" i="1"/>
  <c r="D31" i="1" s="1"/>
  <c r="I13" i="22"/>
  <c r="B27" i="20" s="1"/>
  <c r="D117" i="9"/>
  <c r="D119" i="9" s="1"/>
  <c r="D121" i="9" s="1"/>
  <c r="H13" i="22"/>
  <c r="AE98" i="9"/>
  <c r="AE62" i="9"/>
  <c r="F128" i="2"/>
  <c r="AE41" i="9"/>
  <c r="AE42" i="9" s="1"/>
  <c r="C5" i="22"/>
  <c r="D16" i="22"/>
  <c r="H7" i="22"/>
  <c r="D110" i="1" l="1"/>
  <c r="F110" i="1" s="1"/>
  <c r="C11" i="22"/>
  <c r="C16" i="22" s="1"/>
  <c r="C3" i="22"/>
  <c r="AE117" i="9"/>
  <c r="AE119" i="9" s="1"/>
  <c r="AE121" i="9" s="1"/>
  <c r="H12" i="22"/>
  <c r="H11" i="22"/>
  <c r="D5" i="22"/>
  <c r="B14" i="20" s="1"/>
  <c r="E66" i="2"/>
  <c r="E57" i="2"/>
  <c r="E33" i="2"/>
  <c r="E7" i="2"/>
  <c r="I12" i="22" l="1"/>
  <c r="F57" i="2"/>
  <c r="F66" i="2"/>
  <c r="F30" i="2"/>
  <c r="F31" i="2"/>
  <c r="F29" i="2"/>
  <c r="AF83" i="9"/>
  <c r="AF88" i="9" s="1"/>
  <c r="H4" i="22"/>
  <c r="D112" i="1"/>
  <c r="D114" i="1" s="1"/>
  <c r="H16" i="22"/>
  <c r="E5" i="22"/>
  <c r="H3" i="22"/>
  <c r="H112" i="1"/>
  <c r="F25" i="2"/>
  <c r="E21" i="9"/>
  <c r="E27" i="9" s="1"/>
  <c r="E57" i="9"/>
  <c r="E61" i="9"/>
  <c r="E63" i="9"/>
  <c r="E72" i="9"/>
  <c r="E75" i="9"/>
  <c r="E91" i="9"/>
  <c r="E97" i="9"/>
  <c r="I7" i="22"/>
  <c r="F110" i="2" l="1"/>
  <c r="E119" i="2"/>
  <c r="F28" i="2"/>
  <c r="F27" i="2"/>
  <c r="F26" i="2"/>
  <c r="E62" i="9"/>
  <c r="H2" i="22"/>
  <c r="B23" i="20"/>
  <c r="J7" i="22"/>
  <c r="AF21" i="9"/>
  <c r="AF27" i="9" s="1"/>
  <c r="AF97" i="9"/>
  <c r="AF91" i="9"/>
  <c r="AF75" i="9"/>
  <c r="AF72" i="9"/>
  <c r="AF63" i="9"/>
  <c r="AF61" i="9"/>
  <c r="AF57" i="9"/>
  <c r="E98" i="9"/>
  <c r="AF98" i="9" l="1"/>
  <c r="H9" i="22"/>
  <c r="H17" i="22" s="1"/>
  <c r="E29" i="1"/>
  <c r="F113" i="2"/>
  <c r="F119" i="2"/>
  <c r="E117" i="9"/>
  <c r="E119" i="9" s="1"/>
  <c r="AF41" i="9"/>
  <c r="AF62" i="9"/>
  <c r="AF42" i="9" l="1"/>
  <c r="I111" i="1"/>
  <c r="J111" i="1" s="1"/>
  <c r="E30" i="1"/>
  <c r="F29" i="1"/>
  <c r="AF117" i="9"/>
  <c r="AF119" i="9" s="1"/>
  <c r="AF121" i="9" l="1"/>
  <c r="F30" i="1"/>
  <c r="E31" i="1"/>
  <c r="F31" i="1" s="1"/>
  <c r="I11" i="22"/>
  <c r="J11" i="22" s="1"/>
  <c r="J6" i="22"/>
  <c r="B22" i="20"/>
  <c r="E3" i="22" l="1"/>
  <c r="B25" i="20"/>
  <c r="I16" i="22"/>
  <c r="J16" i="22" s="1"/>
  <c r="I3" i="22"/>
  <c r="E112" i="1"/>
  <c r="C24" i="20"/>
  <c r="C6" i="20"/>
  <c r="D6" i="20"/>
  <c r="E6" i="20"/>
  <c r="F6" i="20"/>
  <c r="G6" i="20"/>
  <c r="H6" i="20"/>
  <c r="I6" i="20"/>
  <c r="J6" i="20"/>
  <c r="K6" i="20"/>
  <c r="L6" i="20"/>
  <c r="M6" i="20"/>
  <c r="N6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B10" i="20"/>
  <c r="O3" i="20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O23" i="20"/>
  <c r="O22" i="20"/>
  <c r="O21" i="20"/>
  <c r="O20" i="20"/>
  <c r="O19" i="20"/>
  <c r="O18" i="20"/>
  <c r="N15" i="20"/>
  <c r="M14" i="20"/>
  <c r="M15" i="20" s="1"/>
  <c r="L14" i="20"/>
  <c r="L15" i="20" s="1"/>
  <c r="K14" i="20"/>
  <c r="K15" i="20" s="1"/>
  <c r="J14" i="20"/>
  <c r="J15" i="20" s="1"/>
  <c r="I14" i="20"/>
  <c r="I15" i="20" s="1"/>
  <c r="H15" i="20"/>
  <c r="G14" i="20"/>
  <c r="G15" i="20" s="1"/>
  <c r="E14" i="20"/>
  <c r="E15" i="20" s="1"/>
  <c r="D14" i="20"/>
  <c r="D15" i="20" s="1"/>
  <c r="O13" i="20"/>
  <c r="O12" i="20"/>
  <c r="B15" i="20"/>
  <c r="O9" i="20"/>
  <c r="O8" i="20"/>
  <c r="O7" i="20"/>
  <c r="O5" i="20"/>
  <c r="O4" i="20"/>
  <c r="O28" i="20" l="1"/>
  <c r="O10" i="20"/>
  <c r="O24" i="20"/>
  <c r="B4" i="20"/>
  <c r="I2" i="22"/>
  <c r="B19" i="20"/>
  <c r="J3" i="22"/>
  <c r="I4" i="22"/>
  <c r="E114" i="1"/>
  <c r="F112" i="1"/>
  <c r="O6" i="20"/>
  <c r="O14" i="20"/>
  <c r="O15" i="20" s="1"/>
  <c r="C30" i="20"/>
  <c r="D30" i="20"/>
  <c r="E30" i="20"/>
  <c r="F30" i="20"/>
  <c r="G30" i="20"/>
  <c r="H30" i="20"/>
  <c r="I30" i="20"/>
  <c r="J30" i="20"/>
  <c r="K30" i="20"/>
  <c r="L30" i="20"/>
  <c r="M30" i="20"/>
  <c r="N30" i="20"/>
  <c r="C16" i="20"/>
  <c r="D16" i="20"/>
  <c r="E16" i="20"/>
  <c r="F16" i="20"/>
  <c r="G16" i="20"/>
  <c r="G32" i="20" s="1"/>
  <c r="H16" i="20"/>
  <c r="H32" i="20" s="1"/>
  <c r="I16" i="20"/>
  <c r="I32" i="20" s="1"/>
  <c r="J16" i="20"/>
  <c r="J32" i="20" s="1"/>
  <c r="K16" i="20"/>
  <c r="L16" i="20"/>
  <c r="M16" i="20"/>
  <c r="N16" i="20"/>
  <c r="O30" i="20"/>
  <c r="F32" i="20" l="1"/>
  <c r="E32" i="20"/>
  <c r="L32" i="20"/>
  <c r="D32" i="20"/>
  <c r="N32" i="20"/>
  <c r="M32" i="20"/>
  <c r="K32" i="20"/>
  <c r="C32" i="20"/>
  <c r="O16" i="20"/>
  <c r="O32" i="20" s="1"/>
  <c r="B20" i="20"/>
  <c r="J4" i="22"/>
  <c r="I9" i="22"/>
  <c r="B18" i="20"/>
  <c r="J2" i="22"/>
  <c r="K71" i="2"/>
  <c r="K70" i="2"/>
  <c r="K69" i="2"/>
  <c r="I17" i="22" l="1"/>
  <c r="J17" i="22" s="1"/>
  <c r="J9" i="22"/>
  <c r="L66" i="2"/>
  <c r="K62" i="2"/>
  <c r="K65" i="2"/>
  <c r="C57" i="2"/>
  <c r="B12" i="22"/>
  <c r="B4" i="22"/>
  <c r="K72" i="2"/>
  <c r="L72" i="2"/>
  <c r="J72" i="2"/>
  <c r="K41" i="2"/>
  <c r="K35" i="2"/>
  <c r="K36" i="2"/>
  <c r="K37" i="2"/>
  <c r="K38" i="2"/>
  <c r="K39" i="2"/>
  <c r="K40" i="2"/>
  <c r="K34" i="2"/>
  <c r="J15" i="2"/>
  <c r="K9" i="2" s="1"/>
  <c r="C124" i="2"/>
  <c r="C122" i="2"/>
  <c r="K10" i="1" l="1"/>
  <c r="C108" i="2"/>
  <c r="K76" i="2"/>
  <c r="L76" i="2" s="1"/>
  <c r="C7" i="2"/>
  <c r="C33" i="2"/>
  <c r="C66" i="2"/>
  <c r="K59" i="2"/>
  <c r="K60" i="2"/>
  <c r="K61" i="2"/>
  <c r="K63" i="2"/>
  <c r="K64" i="2"/>
  <c r="C24" i="2"/>
  <c r="K75" i="2"/>
  <c r="K10" i="2"/>
  <c r="L10" i="2" s="1"/>
  <c r="K11" i="2"/>
  <c r="L11" i="2" s="1"/>
  <c r="K12" i="2"/>
  <c r="L12" i="2" s="1"/>
  <c r="K13" i="2"/>
  <c r="L13" i="2" s="1"/>
  <c r="K14" i="2"/>
  <c r="L14" i="2" s="1"/>
  <c r="K8" i="2"/>
  <c r="L8" i="2" s="1"/>
  <c r="L9" i="2"/>
  <c r="C95" i="1"/>
  <c r="C110" i="1" s="1"/>
  <c r="C63" i="9"/>
  <c r="AD26" i="9"/>
  <c r="AD24" i="9"/>
  <c r="AD10" i="9"/>
  <c r="AD6" i="9"/>
  <c r="C115" i="9"/>
  <c r="C110" i="9"/>
  <c r="C102" i="9"/>
  <c r="C97" i="9"/>
  <c r="C91" i="9"/>
  <c r="C88" i="9"/>
  <c r="C75" i="9"/>
  <c r="C72" i="9"/>
  <c r="C61" i="9"/>
  <c r="C57" i="9"/>
  <c r="C32" i="9"/>
  <c r="C29" i="9" s="1"/>
  <c r="C21" i="9"/>
  <c r="C10" i="9"/>
  <c r="C6" i="9"/>
  <c r="C100" i="2" l="1"/>
  <c r="L75" i="2"/>
  <c r="C27" i="9"/>
  <c r="B11" i="22"/>
  <c r="E100" i="2"/>
  <c r="C41" i="9"/>
  <c r="AD97" i="9"/>
  <c r="AD110" i="9"/>
  <c r="AD102" i="9"/>
  <c r="AD91" i="9"/>
  <c r="AD115" i="9"/>
  <c r="AD72" i="9"/>
  <c r="AD75" i="9"/>
  <c r="C62" i="9"/>
  <c r="E42" i="9"/>
  <c r="E121" i="9" s="1"/>
  <c r="K66" i="2"/>
  <c r="AD57" i="9"/>
  <c r="AD61" i="9"/>
  <c r="AD63" i="9"/>
  <c r="AD27" i="9"/>
  <c r="L15" i="2"/>
  <c r="C98" i="9"/>
  <c r="E104" i="2" l="1"/>
  <c r="I5" i="1"/>
  <c r="M5" i="1" s="1"/>
  <c r="C117" i="9"/>
  <c r="C119" i="9" s="1"/>
  <c r="C42" i="9"/>
  <c r="AD29" i="9"/>
  <c r="C29" i="1" s="1"/>
  <c r="AD98" i="9"/>
  <c r="F76" i="2"/>
  <c r="AD62" i="9"/>
  <c r="F97" i="2" l="1"/>
  <c r="I4" i="1"/>
  <c r="I6" i="1" s="1"/>
  <c r="M4" i="1"/>
  <c r="C30" i="1"/>
  <c r="C31" i="1" s="1"/>
  <c r="G111" i="1"/>
  <c r="C121" i="9"/>
  <c r="AD41" i="9"/>
  <c r="AD42" i="9" s="1"/>
  <c r="F75" i="2"/>
  <c r="AD117" i="9"/>
  <c r="AD119" i="9" s="1"/>
  <c r="C112" i="1"/>
  <c r="B5" i="22"/>
  <c r="C119" i="2"/>
  <c r="G13" i="22"/>
  <c r="F96" i="2" l="1"/>
  <c r="AD121" i="9"/>
  <c r="M6" i="1"/>
  <c r="M27" i="1" s="1"/>
  <c r="M31" i="1" s="1"/>
  <c r="M114" i="1" s="1"/>
  <c r="I27" i="1"/>
  <c r="G5" i="1"/>
  <c r="C114" i="1"/>
  <c r="E125" i="2"/>
  <c r="E129" i="2" s="1"/>
  <c r="E4" i="2"/>
  <c r="B3" i="22"/>
  <c r="F6" i="18"/>
  <c r="F4" i="18"/>
  <c r="F95" i="2" l="1"/>
  <c r="K5" i="1"/>
  <c r="K4" i="1" s="1"/>
  <c r="K6" i="1" s="1"/>
  <c r="K27" i="1" s="1"/>
  <c r="K31" i="1" s="1"/>
  <c r="K114" i="1" s="1"/>
  <c r="G4" i="1"/>
  <c r="G6" i="1" s="1"/>
  <c r="G27" i="1" s="1"/>
  <c r="G31" i="1" s="1"/>
  <c r="I31" i="1"/>
  <c r="C104" i="2"/>
  <c r="C4" i="2"/>
  <c r="G12" i="22"/>
  <c r="G11" i="22"/>
  <c r="B28" i="20" s="1"/>
  <c r="F94" i="2" l="1"/>
  <c r="G4" i="22"/>
  <c r="D2" i="22"/>
  <c r="D9" i="22" s="1"/>
  <c r="C125" i="2"/>
  <c r="C129" i="2" s="1"/>
  <c r="G3" i="22"/>
  <c r="F93" i="2" l="1"/>
  <c r="D17" i="22"/>
  <c r="B3" i="20"/>
  <c r="B6" i="20" s="1"/>
  <c r="B16" i="20" s="1"/>
  <c r="G2" i="22"/>
  <c r="G7" i="22"/>
  <c r="F91" i="2" l="1"/>
  <c r="F92" i="2"/>
  <c r="B2" i="22"/>
  <c r="B9" i="22" s="1"/>
  <c r="G112" i="1"/>
  <c r="G114" i="1" s="1"/>
  <c r="I112" i="1"/>
  <c r="I114" i="1" s="1"/>
  <c r="B24" i="20"/>
  <c r="B30" i="20" s="1"/>
  <c r="B32" i="20" s="1"/>
  <c r="G16" i="22"/>
  <c r="B16" i="22"/>
  <c r="G9" i="22"/>
  <c r="J112" i="1" l="1"/>
  <c r="G17" i="22"/>
  <c r="B17" i="22"/>
  <c r="F9" i="2" l="1"/>
  <c r="F10" i="2"/>
  <c r="F11" i="2"/>
  <c r="F12" i="2"/>
  <c r="F13" i="2"/>
  <c r="F14" i="2"/>
  <c r="D7" i="2" l="1"/>
  <c r="F8" i="2"/>
  <c r="D33" i="2"/>
  <c r="D24" i="2"/>
  <c r="D100" i="2" l="1"/>
  <c r="D104" i="2" s="1"/>
  <c r="F33" i="2"/>
  <c r="F7" i="2"/>
  <c r="F24" i="2"/>
  <c r="F100" i="2" l="1"/>
  <c r="D4" i="2"/>
  <c r="F4" i="2" s="1"/>
  <c r="H5" i="1"/>
  <c r="L5" i="1" l="1"/>
  <c r="L4" i="1" s="1"/>
  <c r="L6" i="1" s="1"/>
  <c r="H4" i="1"/>
  <c r="J5" i="1"/>
  <c r="F104" i="2"/>
  <c r="D125" i="2"/>
  <c r="H6" i="1" l="1"/>
  <c r="J4" i="1"/>
  <c r="N5" i="1"/>
  <c r="D129" i="2"/>
  <c r="F129" i="2" s="1"/>
  <c r="F125" i="2"/>
  <c r="N4" i="1" l="1"/>
  <c r="H27" i="1"/>
  <c r="J6" i="1"/>
  <c r="C2" i="22"/>
  <c r="C9" i="22" s="1"/>
  <c r="E9" i="22" s="1"/>
  <c r="H31" i="1" l="1"/>
  <c r="J27" i="1"/>
  <c r="L27" i="1"/>
  <c r="N6" i="1"/>
  <c r="E2" i="22"/>
  <c r="C17" i="22"/>
  <c r="E17" i="22" s="1"/>
  <c r="L31" i="1" l="1"/>
  <c r="N27" i="1"/>
  <c r="J31" i="1"/>
  <c r="H114" i="1"/>
  <c r="L114" i="1" l="1"/>
  <c r="N31" i="1"/>
  <c r="L35" i="26"/>
  <c r="F3" i="18"/>
  <c r="C13" i="18"/>
  <c r="C39" i="18" s="1"/>
  <c r="E3" i="18"/>
  <c r="E13" i="18" s="1"/>
  <c r="E39" i="18" s="1"/>
  <c r="F13" i="18" l="1"/>
  <c r="F39" i="18"/>
</calcChain>
</file>

<file path=xl/sharedStrings.xml><?xml version="1.0" encoding="utf-8"?>
<sst xmlns="http://schemas.openxmlformats.org/spreadsheetml/2006/main" count="2049" uniqueCount="1303">
  <si>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</si>
  <si>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</si>
  <si>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</si>
  <si>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</si>
  <si>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</si>
  <si>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</si>
  <si>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</si>
  <si>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</si>
  <si>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</si>
  <si>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</si>
  <si>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</si>
  <si>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</si>
  <si>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</si>
  <si>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</si>
  <si>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</si>
  <si>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Segítő Szolgálat</t>
  </si>
  <si>
    <t>Segítő Szolgálat Összesen</t>
  </si>
  <si>
    <t>fő</t>
  </si>
  <si>
    <t>működési hó</t>
  </si>
  <si>
    <t>SZOCIÁLIS NORMATÍVA ÉS TÁMOGATÁS MINDÖSSZESEN</t>
  </si>
  <si>
    <t>Bevételek</t>
  </si>
  <si>
    <t>Tartalék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</si>
  <si>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</si>
  <si>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</si>
  <si>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</si>
  <si>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</si>
  <si>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</si>
  <si>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</si>
  <si>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</si>
  <si>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</si>
  <si>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</si>
  <si>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</si>
  <si>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</si>
  <si>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</si>
  <si>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Társulás és intézményeinek konszolidált összesítése</t>
  </si>
  <si>
    <t>Szociális és gyermekjóléti feladatok támogatása</t>
  </si>
  <si>
    <t>SZOCIÁLIS NORMATÍVA ÖSSZESEN</t>
  </si>
  <si>
    <t>Kiadások</t>
  </si>
  <si>
    <t>Eredeti előirányzat</t>
  </si>
  <si>
    <t>Módosított előirányzat</t>
  </si>
  <si>
    <t>Működési bevételek</t>
  </si>
  <si>
    <t>Dologi kiadások</t>
  </si>
  <si>
    <t>Működési célú maradvány</t>
  </si>
  <si>
    <t>Beruházások</t>
  </si>
  <si>
    <t>Felújítások</t>
  </si>
  <si>
    <t>Felhalmozási célú maradvány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</si>
  <si>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</si>
  <si>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</si>
  <si>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</si>
  <si>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</si>
  <si>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</si>
  <si>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</si>
  <si>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</si>
  <si>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</si>
  <si>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</si>
  <si>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</si>
  <si>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</si>
  <si>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</si>
  <si>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</si>
  <si>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</si>
  <si>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</si>
  <si>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</si>
  <si>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</si>
  <si>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</si>
  <si>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</si>
  <si>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</si>
  <si>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</si>
  <si>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</si>
  <si>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</si>
  <si>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</si>
  <si>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</si>
  <si>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</si>
  <si>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</si>
  <si>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</si>
  <si>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</si>
  <si>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</si>
  <si>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</si>
  <si>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</si>
  <si>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</si>
  <si>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</si>
  <si>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</si>
  <si>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</si>
  <si>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</si>
  <si>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</si>
  <si>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</si>
  <si>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</si>
  <si>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</si>
  <si>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</si>
  <si>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</si>
  <si>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</si>
  <si>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</si>
  <si>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</si>
  <si>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</si>
  <si>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</si>
  <si>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</si>
  <si>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</si>
  <si>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</si>
  <si>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</si>
  <si>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</si>
  <si>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</si>
  <si>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</si>
  <si>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</si>
  <si>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</si>
  <si>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</si>
  <si>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</si>
  <si>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</si>
  <si>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</si>
  <si>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</si>
  <si>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</si>
  <si>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</si>
  <si>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</si>
  <si>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</si>
  <si>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</si>
  <si>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</si>
  <si>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</si>
  <si>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</si>
  <si>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</si>
  <si>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</si>
  <si>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</si>
  <si>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</si>
  <si>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</si>
  <si>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</si>
  <si>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</si>
  <si>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</si>
  <si>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</si>
  <si>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</si>
  <si>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</si>
  <si>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</si>
  <si>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</si>
  <si>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</si>
  <si>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</si>
  <si>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</si>
  <si>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</si>
  <si>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</si>
  <si>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</si>
  <si>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</si>
  <si>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</si>
  <si>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</si>
  <si>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</si>
  <si>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</si>
  <si>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</si>
  <si>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</si>
  <si>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</si>
  <si>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</si>
  <si>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</si>
  <si>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</si>
  <si>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</si>
  <si>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</si>
  <si>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</si>
  <si>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</si>
  <si>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</si>
  <si>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</si>
  <si>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</si>
  <si>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</si>
  <si>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</si>
  <si>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</si>
  <si>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</si>
  <si>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</si>
  <si>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</si>
  <si>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</si>
  <si>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</si>
  <si>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</si>
  <si>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</si>
  <si>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</si>
  <si>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</si>
  <si>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</si>
  <si>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</si>
  <si>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</si>
  <si>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</si>
  <si>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</si>
  <si>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</si>
  <si>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</si>
  <si>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</si>
  <si>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</si>
  <si>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</si>
  <si>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</si>
  <si>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</si>
  <si>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</si>
  <si>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</si>
  <si>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</si>
  <si>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</si>
  <si>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</si>
  <si>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</si>
  <si>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</si>
  <si>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</si>
  <si>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</si>
  <si>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</si>
  <si>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</si>
  <si>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</si>
  <si>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</si>
  <si>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</si>
  <si>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</si>
  <si>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</si>
  <si>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</si>
  <si>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</si>
  <si>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</si>
  <si>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</si>
  <si>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</si>
  <si>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</si>
  <si>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</si>
  <si>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</si>
  <si>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</si>
  <si>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</si>
  <si>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</si>
  <si>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</si>
  <si>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</si>
  <si>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</si>
  <si>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</si>
  <si>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</si>
  <si>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</si>
  <si>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</si>
  <si>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</si>
  <si>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</si>
  <si>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</si>
  <si>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</si>
  <si>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</si>
  <si>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</si>
  <si>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</si>
  <si>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</si>
  <si>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</si>
  <si>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</si>
  <si>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</si>
  <si>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KIADÁSOK ÖSSZESEN</t>
  </si>
  <si>
    <t>ebből: normatív támogatás</t>
  </si>
  <si>
    <t>ebből: önkormányzati hozzájárulás</t>
  </si>
  <si>
    <t>Vál</t>
  </si>
  <si>
    <t>kerekítve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</si>
  <si>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</si>
  <si>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</si>
  <si>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</si>
  <si>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</si>
  <si>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</si>
  <si>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</si>
  <si>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</si>
  <si>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</si>
  <si>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</si>
  <si>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</si>
  <si>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</si>
  <si>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</si>
  <si>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</si>
  <si>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</si>
  <si>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</si>
  <si>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</si>
  <si>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</si>
  <si>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</si>
  <si>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</si>
  <si>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Ráckeresztúr </t>
  </si>
  <si>
    <t>társulási feladatarányosan</t>
  </si>
  <si>
    <t>A) Központi orvosi ügyelethez</t>
  </si>
  <si>
    <t>Szociális ellátás</t>
  </si>
  <si>
    <t>ÖNKORMÁNYZATI HOZZÁJÁRULÁSOK ÖSSZESEN</t>
  </si>
  <si>
    <t>belső ell.</t>
  </si>
  <si>
    <t>ell.nap száma</t>
  </si>
  <si>
    <t>ell.naponként Ft</t>
  </si>
  <si>
    <t>ebből ÖNKORMÁNYZATI HOZZÁJÁRULÁSOK</t>
  </si>
  <si>
    <t>ebből: pénzügyi alap tartaléka</t>
  </si>
  <si>
    <t>K915</t>
  </si>
  <si>
    <t>IDŐSEK - CSALÁDI NAPKÖZI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</si>
  <si>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</si>
  <si>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</si>
  <si>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</si>
  <si>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</si>
  <si>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</si>
  <si>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</si>
  <si>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</si>
  <si>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</si>
  <si>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</si>
  <si>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</si>
  <si>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</si>
  <si>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</si>
  <si>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</si>
  <si>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</si>
  <si>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</si>
  <si>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</si>
  <si>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</si>
  <si>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</si>
  <si>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</si>
  <si>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</si>
  <si>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</si>
  <si>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</si>
  <si>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Szociális ágazati pótlék</t>
  </si>
  <si>
    <t>Foglalkoztatottak egyéb személyi juttatásai (betegállomány, egyéb)</t>
  </si>
  <si>
    <t>Szent László Völgye Segítő Szolgálat</t>
  </si>
  <si>
    <t>ebből: táppénz hozzájárulás</t>
  </si>
  <si>
    <t xml:space="preserve">     Házi segítségnyújtás</t>
  </si>
  <si>
    <t>Szociális ágazati bérpótlék</t>
  </si>
  <si>
    <t>SZOCIÁLIS ÁGAZATI BÉRPÓTLÉK</t>
  </si>
  <si>
    <t>Társulás</t>
  </si>
  <si>
    <t>Önkormányzati hozzájárulások</t>
  </si>
  <si>
    <t>Január havi befizetés</t>
  </si>
  <si>
    <t>Február havi befizetés</t>
  </si>
  <si>
    <t>Március havi befizetés</t>
  </si>
  <si>
    <t>Április havi befizetés</t>
  </si>
  <si>
    <t>Május havi befizetés</t>
  </si>
  <si>
    <t>Június havi befizetés</t>
  </si>
  <si>
    <t>Július havi befizetés</t>
  </si>
  <si>
    <t>Augusztus havi befizetés</t>
  </si>
  <si>
    <t>Szeptember havi befizetés</t>
  </si>
  <si>
    <t>Október havi befizetés</t>
  </si>
  <si>
    <t>November havi befizetés</t>
  </si>
  <si>
    <t>December havi befizetés</t>
  </si>
  <si>
    <t>Befizetések összesen</t>
  </si>
  <si>
    <t>Orvosi ügyelet</t>
  </si>
  <si>
    <t>Tagdíj</t>
  </si>
  <si>
    <t>Munkaszervezet műk.</t>
  </si>
  <si>
    <t>Belső ellenőrzés</t>
  </si>
  <si>
    <t>Házi gondozás</t>
  </si>
  <si>
    <t>Családi napközi</t>
  </si>
  <si>
    <t>Normatív és bérkompenzáció támogatás</t>
  </si>
  <si>
    <t>TKT által önkormányzatoknak utalandó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</si>
  <si>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</si>
  <si>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</si>
  <si>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</si>
  <si>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</si>
  <si>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</si>
  <si>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</si>
  <si>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</si>
  <si>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</si>
  <si>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</si>
  <si>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</si>
  <si>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</si>
  <si>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</si>
  <si>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Kifizetések összesen</t>
  </si>
  <si>
    <t>Martonvásár munkaszervezeti feladat</t>
  </si>
  <si>
    <t>LÉTSZÁM</t>
  </si>
  <si>
    <t>Eredeti</t>
  </si>
  <si>
    <t>Módosított</t>
  </si>
  <si>
    <t>ebből: finanszírozási többelt (-) / hiány (+)</t>
  </si>
  <si>
    <t>TARTALOMJEGYZÉK</t>
  </si>
  <si>
    <t>1. sz. táblázat</t>
  </si>
  <si>
    <t>Konszolidált mérleg</t>
  </si>
  <si>
    <t>2. sz. táblázat</t>
  </si>
  <si>
    <t>Konszolidált költségvetési mérleg</t>
  </si>
  <si>
    <t>2/1. sz. táblázat</t>
  </si>
  <si>
    <t>Bevételek - kiadások</t>
  </si>
  <si>
    <t>2/2. sz. táblázat</t>
  </si>
  <si>
    <t>Teljesített kiadások kormányzati funkciónként</t>
  </si>
  <si>
    <t>2/3. sz. táblázat</t>
  </si>
  <si>
    <t>Teljesített bevételek kormányzati funkciónként</t>
  </si>
  <si>
    <t>3. sz. táblázat</t>
  </si>
  <si>
    <t>4. sz. táblázat</t>
  </si>
  <si>
    <t>5. sz. táblázat</t>
  </si>
  <si>
    <t>6. sz. táblázat</t>
  </si>
  <si>
    <t>7. sz. táblázat</t>
  </si>
  <si>
    <t>Szent László Völgye Segítő Szolgálat normatív támogatások elszámolása</t>
  </si>
  <si>
    <t>8. sz. táblázat</t>
  </si>
  <si>
    <t>Pénzeszköz átadás - átvétel</t>
  </si>
  <si>
    <t>9. sz. táblázat</t>
  </si>
  <si>
    <t>Pénzmaradvány kimutatás</t>
  </si>
  <si>
    <t>10. sz. táblázat</t>
  </si>
  <si>
    <t>Létszámadatok</t>
  </si>
  <si>
    <t>11. sz. táblázat</t>
  </si>
  <si>
    <t>Önkormányzati elszámolás</t>
  </si>
  <si>
    <t>12. sz. táblázat</t>
  </si>
  <si>
    <t>Vagyonkimutatás</t>
  </si>
  <si>
    <t>Vagyonkimutatás a könyvviteli mérlegben értékkel szereplő eszközökről</t>
  </si>
  <si>
    <t>Vagyonkimutatás a könyvviteli mérlegben értékkel szereplő forrásokról</t>
  </si>
  <si>
    <t>Vagyonkimutatás az érték nélkül nyilvántartott eszközökről</t>
  </si>
  <si>
    <t>Eredménykimutatás</t>
  </si>
  <si>
    <t>Pénzeszközök változása</t>
  </si>
  <si>
    <t>ESZKÖZÖK</t>
  </si>
  <si>
    <t>FORRÁSOK</t>
  </si>
  <si>
    <t>Szellemi termékek</t>
  </si>
  <si>
    <t>I. Nemzeti vagyon induláskori értéke</t>
  </si>
  <si>
    <t>I. Immateriális javak összesen</t>
  </si>
  <si>
    <t>II. Nemzeti vagyon változásai</t>
  </si>
  <si>
    <t>III. Egyéb eszközök induláskori értéke és változásai</t>
  </si>
  <si>
    <t>Gépek, berendezések, felszerelések, járművek</t>
  </si>
  <si>
    <t>IV. Felhalmozott eredmény</t>
  </si>
  <si>
    <t>Beruházások, felújítások</t>
  </si>
  <si>
    <t>V. Eszközök értékhelyesbítésének forrása</t>
  </si>
  <si>
    <t>II. Tárgyi eszközök összesen</t>
  </si>
  <si>
    <t>VI. Mérleg szerinti eredmény</t>
  </si>
  <si>
    <t>III. Befektetett pénzügyi eszközök összesen</t>
  </si>
  <si>
    <t>G.  SAJÁT TŐKE ÖSSZESEN</t>
  </si>
  <si>
    <t>A. NEMZETI VAGYONBA TARTOZÓ BEFEKTETETT ESZKÖZÖK ÖSSZESEN</t>
  </si>
  <si>
    <t>II. Költségvetési évet követően esedékes kötelezettségek</t>
  </si>
  <si>
    <t>I. Készletek összesen</t>
  </si>
  <si>
    <t>III. Kötelezettség jellegű sajátos elszámolások</t>
  </si>
  <si>
    <t>II. Értékpapírok összesen</t>
  </si>
  <si>
    <t>H. KÖTELEZETTSÉGEK ÖSSZESEN</t>
  </si>
  <si>
    <t>B. NEMZETI VAGYONBA TARTOZÓ FORGÓESZKÖZÖK ÖSSZESEN</t>
  </si>
  <si>
    <t>II. Pénztárak, csekkek, betétkönyvek</t>
  </si>
  <si>
    <t>III-IV. Forintszámlák, devizaszámlák</t>
  </si>
  <si>
    <t>C. PÉNZESZKÖZÖK ÖSSZESEN</t>
  </si>
  <si>
    <t>I. Költségvetési évben esedékes követelések</t>
  </si>
  <si>
    <t>II. Költségvetési évet követően esedékes követelések</t>
  </si>
  <si>
    <t>III. Követelés jellegű sajátos elszámolások</t>
  </si>
  <si>
    <t>D. KÖVETELÉSEK ÖSSZESEN</t>
  </si>
  <si>
    <t>ESZKÖZÖK ÖSSZESEN</t>
  </si>
  <si>
    <t>FORRÁSOK ÖSSZESEN</t>
  </si>
  <si>
    <t>Szent László Völgye Többcélú Kistérségi Társulás</t>
  </si>
  <si>
    <t>101222 Támogató szolgáltatás</t>
  </si>
  <si>
    <t>104030 Gyermekek napközbeni ellátása</t>
  </si>
  <si>
    <t>107052 Házi segítségnyújtás</t>
  </si>
  <si>
    <t>107055 Tanyagond. szolgáltatás</t>
  </si>
  <si>
    <t>011130 Önkorm. Jogalk. és ált. ig. tev.</t>
  </si>
  <si>
    <t>018030 Támogatási célú fin. műveletek</t>
  </si>
  <si>
    <t>072112 Háziorvosi ügyeleti ellátás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</si>
  <si>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</si>
  <si>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</si>
  <si>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</si>
  <si>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</si>
  <si>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</si>
  <si>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</si>
  <si>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</si>
  <si>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</si>
  <si>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</si>
  <si>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</si>
  <si>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</si>
  <si>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</si>
  <si>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</si>
  <si>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</si>
  <si>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</si>
  <si>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</si>
  <si>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</si>
  <si>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</si>
  <si>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</si>
  <si>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</si>
  <si>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</si>
  <si>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</si>
  <si>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</si>
  <si>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</si>
  <si>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</si>
  <si>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</si>
  <si>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</si>
  <si>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</si>
  <si>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</si>
  <si>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</si>
  <si>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</si>
  <si>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</si>
  <si>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</si>
  <si>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</si>
  <si>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</si>
  <si>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</si>
  <si>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</si>
  <si>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</si>
  <si>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</si>
  <si>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</si>
  <si>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</si>
  <si>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</si>
  <si>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</si>
  <si>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</si>
  <si>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</si>
  <si>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</si>
  <si>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</si>
  <si>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</si>
  <si>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</si>
  <si>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</si>
  <si>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</si>
  <si>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</si>
  <si>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</si>
  <si>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</si>
  <si>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</si>
  <si>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</si>
  <si>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</si>
  <si>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</si>
  <si>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</si>
  <si>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</si>
  <si>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</si>
  <si>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</si>
  <si>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</si>
  <si>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</si>
  <si>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</si>
  <si>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</si>
  <si>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</si>
  <si>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</si>
  <si>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</si>
  <si>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</si>
  <si>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</si>
  <si>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</si>
  <si>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</si>
  <si>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</si>
  <si>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</si>
  <si>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</si>
  <si>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</si>
  <si>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</si>
  <si>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</si>
  <si>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</si>
  <si>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</si>
  <si>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</si>
  <si>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</si>
  <si>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</si>
  <si>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</si>
  <si>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</si>
  <si>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</si>
  <si>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</si>
  <si>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</si>
  <si>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</si>
  <si>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</si>
  <si>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</si>
  <si>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</si>
  <si>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</si>
  <si>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</si>
  <si>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</si>
  <si>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</si>
  <si>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</si>
  <si>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</si>
  <si>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</si>
  <si>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</si>
  <si>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</si>
  <si>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</si>
  <si>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</si>
  <si>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</si>
  <si>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</si>
  <si>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</si>
  <si>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</si>
  <si>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</si>
  <si>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</si>
  <si>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</si>
  <si>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</si>
  <si>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</si>
  <si>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</si>
  <si>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</si>
  <si>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</si>
  <si>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</si>
  <si>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</si>
  <si>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</si>
  <si>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</si>
  <si>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</si>
  <si>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</si>
  <si>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</si>
  <si>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</si>
  <si>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</si>
  <si>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</si>
  <si>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</si>
  <si>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</si>
  <si>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</si>
  <si>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</si>
  <si>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</si>
  <si>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</si>
  <si>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</si>
  <si>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</si>
  <si>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</si>
  <si>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</si>
  <si>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101222 Támogató szolgáltatás fogyatékos személyek részére</t>
  </si>
  <si>
    <t>107055 Falugondnoki, tanyagondnoki szolgáltatás</t>
  </si>
  <si>
    <t>Elszámolás</t>
  </si>
  <si>
    <t>Különbség</t>
  </si>
  <si>
    <t>Alaptevékenység költségvetési bevételei</t>
  </si>
  <si>
    <t>Alaptevékenység költségvetési kiadásai</t>
  </si>
  <si>
    <t>I. Alaptevékenység költségvetési egyenlege</t>
  </si>
  <si>
    <t>Alaptevékenység finanszírozási bevételei</t>
  </si>
  <si>
    <t>Alaptevékenység finanszírozási kiadásai</t>
  </si>
  <si>
    <t>II. Alaptevékenység finanszírozási egyenlege</t>
  </si>
  <si>
    <t>A) Alaptevékenység maradványa</t>
  </si>
  <si>
    <t>Vállalkozási tevékenység költségvetési bevételei</t>
  </si>
  <si>
    <t>Vállalkozási tevékenység költségvetési kiadásai</t>
  </si>
  <si>
    <t>III. Vállalkozási tevékenység költségvetési egyenlege</t>
  </si>
  <si>
    <t>Vállalkozási tevékenység finanszírozási bevételei</t>
  </si>
  <si>
    <t>Vállalkozási tevékenység finanszírozási kiadásai</t>
  </si>
  <si>
    <t>IV. Vállalkozási tevékenység finanszírozási egyenlege</t>
  </si>
  <si>
    <t>B) Vállalkozási tevékenység maradványa</t>
  </si>
  <si>
    <t>C) Összes maradvány</t>
  </si>
  <si>
    <t>Sorsz</t>
  </si>
  <si>
    <t>Előző év</t>
  </si>
  <si>
    <t>Tárgyév</t>
  </si>
  <si>
    <t/>
  </si>
  <si>
    <t>A/I/1        Vagyoni értékű jogok</t>
  </si>
  <si>
    <t>A/I/2        Szellemi termékek</t>
  </si>
  <si>
    <t>A/I/3        Immateriális javak értékhelyesbítése</t>
  </si>
  <si>
    <t>A/I        Immateriális javak (=A/I/1+A/I/2+A/I/3) (04=01+02+03)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</si>
  <si>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</si>
  <si>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</si>
  <si>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</si>
  <si>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</si>
  <si>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</si>
  <si>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        Tárgyi eszközök (=A/II/1+...+A/II/5) (10=05+...+09)</t>
  </si>
  <si>
    <t>A/III/1        Tartós részesedések (11&gt;=12+13)</t>
  </si>
  <si>
    <t>A/III/1a        - ebből: tartós részesedések jegybankban</t>
  </si>
  <si>
    <t>A/III/1b        - ebből: tartós részesedések társulásban</t>
  </si>
  <si>
    <t>A/III/2        Tartós hitelviszonyt megtestesítő értékpapírok (14&gt;=15+16)</t>
  </si>
  <si>
    <t>A/III/2a        - ebből: államkötvények</t>
  </si>
  <si>
    <t>A/III/2b        - ebből: helyi önkormányzatok kötvényei</t>
  </si>
  <si>
    <t>A/III/3        Befektetett pénzügyi eszközök értékhelyesbítése</t>
  </si>
  <si>
    <t>A/III        Befektetett pénzügyi eszközök (=A/III/1+A/III/2+A/III/3) (18=11+14+17)</t>
  </si>
  <si>
    <t>A/IV/1        Koncesszióba, vagyonkezelésbe adott eszközök</t>
  </si>
  <si>
    <t>A/IV/2        Koncesszióba, vagyonkezelésbe adott eszközök értékhelyesbítése</t>
  </si>
  <si>
    <t>A/IV        Koncesszióba, vagyonkezelésbe adott eszközök (=A/IV/1+A/IV/2) (21=19+20)</t>
  </si>
  <si>
    <t>A)        NEMZETI VAGYONBA TARTOZÓ BEFEKTETETT ESZKÖZÖK (=A/I+A/II+A/III+A/IV) (22=04+10+18+21)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</si>
  <si>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</si>
  <si>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</si>
  <si>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</si>
  <si>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</si>
  <si>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</si>
  <si>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        Készletek (=B/I/1+…+B/I/5) (28=23+...+27)</t>
  </si>
  <si>
    <t>B/II/1        Nem tartós részesedések</t>
  </si>
  <si>
    <t>B/II/2        Forgatási célú hitelviszonyt megtestesítő értékpapírok (30&gt;=31+...+35)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</si>
  <si>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</si>
  <si>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</si>
  <si>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</si>
  <si>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</si>
  <si>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</si>
  <si>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B/II        Értékpapírok (=B/II/1+B/II/2) (36=29+30)</t>
  </si>
  <si>
    <t>B)        NEMZETI VAGYONBA TARTOZÓ FORGÓESZKÖZÖK (= B/I+B/II) (37=28+36)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</si>
  <si>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</si>
  <si>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</si>
  <si>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</si>
  <si>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</si>
  <si>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</si>
  <si>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>C)        PÉNZESZKÖZÖK (=C/I+…+C/V) (43=38+...+42)</t>
  </si>
  <si>
    <t>D/I/1        Költségvetési évben esedékes követelések működési célú támogatások bevételeire államháztartáson belülről (44&gt;=45)</t>
  </si>
  <si>
    <t>D/I/1a        - ebből: költségvetési évben esedékes követelések működési célú visszatérítendő támogatások, kölcsönök visszatérülésére államháztartáson belülről</t>
  </si>
  <si>
    <t>D/I/2        Költségvetési évben esedékes követelések felhalmozási célú támogatások bevételeire államháztartáson belülről (46&gt;=47)</t>
  </si>
  <si>
    <t>D/I/2a        - ebből: költségvetési évben esedékes követelések felhalmozási célú visszatérítendő támogatások, kölcsönök visszatérülésére államháztartáson belülről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</si>
  <si>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</si>
  <si>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</si>
  <si>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</si>
  <si>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>D/I/6        Költségvetési évben esedékes követelések működési célú átvett pénzeszközre (51&gt;=52)</t>
  </si>
  <si>
    <t>D/I/6a        - ebből: költségvetési évben esedékes követelések működési célú visszatérítendő támogatások, kölcsönök visszatérülésére államháztartáson kívülről</t>
  </si>
  <si>
    <t>D/I/7        Költségvetési évben esedékes követelések felhalmozási célú átvett pénzeszközre (53&gt;=54)</t>
  </si>
  <si>
    <t>D/I/7a        - ebből: költségvetési évben esedékes követelések felhalmozási célú visszatérítendő támogatások, kölcsönök visszatérülésére államháztartáson kívülről</t>
  </si>
  <si>
    <t>D/I/8        Költségvetési évben esedékes követelések finanszírozási bevételekre (55&gt;=56)</t>
  </si>
  <si>
    <t>D/I/8a        - ebből: költségvetési évben esedékes követelések államháztartáson belüli megelőlegezések törlesztésére</t>
  </si>
  <si>
    <t>D/I        Költségvetési évben esedékes követelések (=D/I/1+…+D/I/8) (57=44+46+48+...+51+53+55)</t>
  </si>
  <si>
    <t>D/II/1        Költségvetési évet követően esedékes követelések működési célú támogatások bevételeire államháztartáson belülről (58&gt;=59)</t>
  </si>
  <si>
    <t>D/II/1a        - ebből: költségvetési évet követően esedékes követelések működési célú visszatérítendő támogatások, kölcsönök visszatérülésére államháztartáson belülről</t>
  </si>
  <si>
    <t>D/II/2        Költségvetési évet követően esedékes követelések felhalmozási célú támogatások bevételeire államháztartáson belülről (60&gt;=61)</t>
  </si>
  <si>
    <t>D/II/2a        - ebből: költségvetési évet követően esedékes követelések felhalmozási célú visszatérítendő támogatások, kölcsönök visszatérülésére államháztartáson belülről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</si>
  <si>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</si>
  <si>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</si>
  <si>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</si>
  <si>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>D/II/6        Költségvetési évet követően esedékes követelések működési célú átvett pénzeszközre (65&gt;=66)</t>
  </si>
  <si>
    <t>D/II/6a        - ebből: költségvetési évet követően esedékes követelések működési célú visszatérítendő támogatások, kölcsönök visszatérülésére államháztartáson kívülről</t>
  </si>
  <si>
    <t>D/II/7        Költségvetési évet követően esedékes követelések felhalmozási célú átvett pénzeszközre (67&gt;=68)</t>
  </si>
  <si>
    <t>D/II/7a        - ebből: költségvetési évet követően esedékes követelések felhalmozási célú visszatérítendő támogatások, kölcsönök visszatérülésére államháztartáson kívülről</t>
  </si>
  <si>
    <t>D/II/8        Költségvetési évet követően esedékes követelések finanszírozási bevételekre (69&gt;=70)</t>
  </si>
  <si>
    <t>D/II8a        - ebből: költségvetési évet követően esedékes követelések államháztartáson belüli megelőlegezések törlesztésére</t>
  </si>
  <si>
    <t>D/II        Költségvetési évet követően esedékes követelések (=D/II/1+…+D/II/8) (71=58+60+62+...+65+67+69)</t>
  </si>
  <si>
    <t>D/III/1        Adott előlegek (72&gt;=73+...+77)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</si>
  <si>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</si>
  <si>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</si>
  <si>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</si>
  <si>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</si>
  <si>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</si>
  <si>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</si>
  <si>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</si>
  <si>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</si>
  <si>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</si>
  <si>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</si>
  <si>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</si>
  <si>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>D/III        Követelés jellegű sajátos elszámolások (=D/III/1+…+D/III/7) (84=72+78+...+83)</t>
  </si>
  <si>
    <t>D)        KÖVETELÉSEK (=D/I+D/II+D/III) (85=57+71+84)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</si>
  <si>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</si>
  <si>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</si>
  <si>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</si>
  <si>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F)        AKTÍV IDŐBELI ELHATÁROLÁSOK (=F/1+F/2+F/3) (90=87+...+89)</t>
  </si>
  <si>
    <t>ESZKÖZÖK ÖSSZESEN (=A+B+C+D+E+F) (91=22+37+43+85+86+90)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</si>
  <si>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</si>
  <si>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</si>
  <si>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</si>
  <si>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</si>
  <si>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</si>
  <si>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</si>
  <si>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G)        SAJÁT TŐKE (=G/I+…+G/VI) (98=92+...+97)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</si>
  <si>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</si>
  <si>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</si>
  <si>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</si>
  <si>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</si>
  <si>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>H/I/5        Költségvetési évben esedékes kötelezettségek egyéb működési célú kiadásokra (103&gt;=104)</t>
  </si>
  <si>
    <t>H/I/5a        - ebből: költségvetési évben esedékes kötelezettségek működési célú visszatérítendő támogatások, kölcsönök törlesztésére államháztartáson belülre</t>
  </si>
  <si>
    <t>H/I/6        Költségvetési évben esedékes kötelezettségek beruházásokra</t>
  </si>
  <si>
    <t>H/I/7        Költségvetési évben esedékes kötelezettségek felújításokra</t>
  </si>
  <si>
    <t>H/I/8        Költségvetési évben esedékes kötelezettségek egyéb felhalmozási célú kiadásokra (107&gt;=108)</t>
  </si>
  <si>
    <t>H/I/8a        - ebből: költségvetési évben esedékes kötelezettségek felhalmozási célú visszatérítendő támogatások, kölcsönök törlesztésére államháztartáson belülre</t>
  </si>
  <si>
    <t>H/I/9        Költségvetési évben esedékes kötelezettségek finanszírozási kiadásokra (109&gt;=110+...+117)</t>
  </si>
  <si>
    <t>H/I/9a        - ebből: költségvetési évben esedékes kötelezettségek államháztartáson belüli megelőlegezések visszafizetésére</t>
  </si>
  <si>
    <t>H/I/9b        - ebből: költségvetési évben esedékes kötelezettségek hosszú lejáratú hitelek, kölcsönök törlesztésére</t>
  </si>
  <si>
    <t>H/I/9c        - ebből: költségvetési évben esedékes kötelezettségek likviditási célú hitelek, kölcsönök törlesztésére pénzügyi vállalkozásoknak</t>
  </si>
  <si>
    <t>H/I/9d        - ebből: költségvetési évben esedékes kötelezettségek rövid lejáratú hitelek, kölcsönök törlesztésére</t>
  </si>
  <si>
    <t>H/I/9e        - ebből: költségvetési évben esedékes kötelezettségek külföldi hitelek, kölcsönök törlesztésére</t>
  </si>
  <si>
    <t>H/I/9f        - ebből: költségvetési évben esedékes kötelezettségek forgatási célú belföldi értékpapírok beváltására</t>
  </si>
  <si>
    <t>H/I/9g        - ebből: költségvetési évben esedékes kötelezettségek befektetési célú belföldi értékpapírok beváltására</t>
  </si>
  <si>
    <t>H/I/9h        - ebből: költségvetési évben esedékes kötelezettségek külföldi értékpapírok beváltására</t>
  </si>
  <si>
    <t>H/I        Költségvetési évben esedékes kötelezettségek (=H/I/1+…H/I/9) (118=99+...+103+105+...+107+109)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</si>
  <si>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</si>
  <si>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</si>
  <si>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</si>
  <si>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</si>
  <si>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>H/II/5        Költségvetési évet követően esedékes kötelezettségek egyéb működési célú kiadásokra (123&gt;=124)</t>
  </si>
  <si>
    <t>H/II/5a        - ebből: költségvetési évet követően esedékes kötelezettségek működési célú visszatérítendő támogatások, kölcsönök törlesztésére államháztartáson belülre</t>
  </si>
  <si>
    <t>H/II/6        Költségvetési évet követően esedékes kötelezettségek beruházásokra</t>
  </si>
  <si>
    <t>H/II/7        Költségvetési évet követően esedékes kötelezettségek felújításokra</t>
  </si>
  <si>
    <t>H/II/8        Költségvetési évet követően esedékes kötelezettségek egyéb felhalmozási célú kiadásokra (127&gt;=128)</t>
  </si>
  <si>
    <t>H/II/8a        - ebből: költségvetési évet követően esedékes kötelezettségek felhalmozási célú visszatérítendő támogatások, kölcsönök törlesztésére államháztartáson belülre</t>
  </si>
  <si>
    <t>H/II/9        Költségvetési évet követően esedékes kötelezettségek finanszírozási kiadásokra (129&gt;=130+...+137)</t>
  </si>
  <si>
    <t>H/II/9a        - ebből: költségvetési évet követően esedékes kötelezettségek államháztartáson belüli megelőlegezések visszafizetésére</t>
  </si>
  <si>
    <t>H/II/9b        - ebből: költségvetési évet követően esedékes kötelezettségek hosszú lejáratú hitelek, kölcsönök törlesztésére</t>
  </si>
  <si>
    <t>H/II/9c        - ebből: költségvetési évet követően esedékes kötelezettségek likviditási célú hitelek, kölcsönök törlesztésére pénzügyi vállalkozásoknak</t>
  </si>
  <si>
    <t>H/II/9d        - ebből: költségvetési évet követően esedékes kötelezettségek rövid lejáratú hitelek, kölcsönök törlesztésére</t>
  </si>
  <si>
    <t>H/II/9e        - ebből: költségvetési évet követően esedékes kötelezettségek külföldi hitelek, kölcsönök törlesztésére</t>
  </si>
  <si>
    <t>H/II/9f        - ebből: költségvetési évet követően esedékes kötelezettségek forgatási célú belföldi értékpapírok beváltására</t>
  </si>
  <si>
    <t>H/II/9g        - ebből: költségvetési évet követően esedékes kötelezettségek befektetési célú belföldi értékpapírok beváltására</t>
  </si>
  <si>
    <t>137</t>
  </si>
  <si>
    <t>H/II/9h        - ebből: költségvetési évévet követően esedékes kötelezettségek külföldi értékpapírok beváltására</t>
  </si>
  <si>
    <t>138</t>
  </si>
  <si>
    <t>H/II        Költségvetési évet követően esedékes kötelezettségek (=H/II/1+…H/II/9) (138=119+...+123+125+...+127+129)</t>
  </si>
  <si>
    <t>139</t>
  </si>
  <si>
    <t>H/III/1        Kapott előlegek</t>
  </si>
  <si>
    <t>140</t>
  </si>
  <si>
    <t>H/III/2        Továbbadási célból folyósított támogatások, ellátások elszámolása</t>
  </si>
  <si>
    <t>141</t>
  </si>
  <si>
    <t>H/III/3        Más szervezetet megillető bevételek elszámolása</t>
  </si>
  <si>
    <t>142</t>
  </si>
  <si>
    <t>H/III/4        Forgótőke elszámolása (Kincstár)</t>
  </si>
  <si>
    <t>143</t>
  </si>
  <si>
    <t>H/III/5        Vagyonkezelésbe vett eszközökkel kapcsolatos visszapótlási kötelezettség elszámolása</t>
  </si>
  <si>
    <t>144</t>
  </si>
  <si>
    <t>H/III/6        Nem társadalombiztosítás pénzügyi alapjait terhelő kifizetett ellátások megtérítésének elszámolása</t>
  </si>
  <si>
    <t>145</t>
  </si>
  <si>
    <t>H/III/7        Munkáltató által korengedményes nyugdíjhoz megfizetett hozzájárulás elszámolása</t>
  </si>
  <si>
    <t>146</t>
  </si>
  <si>
    <t>H/III        Kötelezettség jellegű sajátos elszámolások (=H)/III/1+…+H)/III/7) (146=139+...+145)</t>
  </si>
  <si>
    <t>147</t>
  </si>
  <si>
    <t>H)        KÖTELEZETTSÉGEK (=H/I+H/II+H/III) (=118+138+146)</t>
  </si>
  <si>
    <t>154</t>
  </si>
  <si>
    <t>FORRÁSOK ÖSSZESEN (=G+H+I+J+K) (=154=98+147+...+149+153)</t>
  </si>
  <si>
    <t>Sorszám</t>
  </si>
  <si>
    <t>Bruttó</t>
  </si>
  <si>
    <t xml:space="preserve">Könyv szerinti </t>
  </si>
  <si>
    <t xml:space="preserve">Becsült </t>
  </si>
  <si>
    <t>állományi érték</t>
  </si>
  <si>
    <t xml:space="preserve">A </t>
  </si>
  <si>
    <t>B</t>
  </si>
  <si>
    <t>C</t>
  </si>
  <si>
    <t>D</t>
  </si>
  <si>
    <t>E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</si>
  <si>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</si>
  <si>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</si>
  <si>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</si>
  <si>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</si>
  <si>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</si>
  <si>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</si>
  <si>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</si>
  <si>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</si>
  <si>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</si>
  <si>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</si>
  <si>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</si>
  <si>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</si>
  <si>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</si>
  <si>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</si>
  <si>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</si>
  <si>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</si>
  <si>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</si>
  <si>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</si>
  <si>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</si>
  <si>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10.</t>
  </si>
  <si>
    <t>2.3. Korlátozottan forgalomképes gépek, berendezések, felszerelések, járművek</t>
  </si>
  <si>
    <t>11.</t>
  </si>
  <si>
    <t>2.4. Üzleti gépek, berendezések, felszerelések, járművek</t>
  </si>
  <si>
    <t>12.</t>
  </si>
  <si>
    <t>3. Tenyészállatok (14+15+16+17)</t>
  </si>
  <si>
    <t>13.</t>
  </si>
  <si>
    <t>3.1. Forgalomképtelen tenyészállatok</t>
  </si>
  <si>
    <t>14.</t>
  </si>
  <si>
    <t>3.2. Nemzetgazdasági szempontból kiemelt jelentőségű tenyészállatok</t>
  </si>
  <si>
    <t>15.</t>
  </si>
  <si>
    <t>3.3. Korlátozottan forgalomképes tenyészállatok</t>
  </si>
  <si>
    <t>16.</t>
  </si>
  <si>
    <t>3.4. Üzleti tenyészállatok</t>
  </si>
  <si>
    <t>17.</t>
  </si>
  <si>
    <t>4. Beruházások, felújítások (19+20+21+22)</t>
  </si>
  <si>
    <t>18.</t>
  </si>
  <si>
    <t>4.1. Forgalomképtelen beruházások, felújítások</t>
  </si>
  <si>
    <t>19.</t>
  </si>
  <si>
    <t>4.2. Nemzetgazdasági szempontból kiemelt jelentőségű beruházások, felújítások</t>
  </si>
  <si>
    <t>20.</t>
  </si>
  <si>
    <t>4.3. Korlátozottan forgalomképes beruházások, felújítások</t>
  </si>
  <si>
    <t>21.</t>
  </si>
  <si>
    <t>4.4. Üzleti beruházások, felújítások</t>
  </si>
  <si>
    <t>22.</t>
  </si>
  <si>
    <t>5. Tárgyi eszközök értékhelyesbítése (24+25+26+27)</t>
  </si>
  <si>
    <t>23.</t>
  </si>
  <si>
    <t>5.1. Forgalomképtelen tárgyi eszközök értékhelyesbítése</t>
  </si>
  <si>
    <t>24.</t>
  </si>
  <si>
    <t>5.2. Nemzetgazdasági szempontból kiemelt jelentőségű tárgyi eszközök 
       értékhelyesbítése</t>
  </si>
  <si>
    <t>25.</t>
  </si>
  <si>
    <t>5.3. Korlátozottan forgalomképes tárgyi eszközök értékhelyesbítése</t>
  </si>
  <si>
    <t>26.</t>
  </si>
  <si>
    <t>5.4. Üzleti tárgyi eszközök értékhelyesbítése</t>
  </si>
  <si>
    <t>27.</t>
  </si>
  <si>
    <t>III. Befektetett pénzügyi eszközök (29+34+39)</t>
  </si>
  <si>
    <t>28.</t>
  </si>
  <si>
    <t>1. Tartós részesedések (30+31+32+33)</t>
  </si>
  <si>
    <t>29.</t>
  </si>
  <si>
    <t>1.1. Forgalomképtelen tartós részesedések</t>
  </si>
  <si>
    <t>30.</t>
  </si>
  <si>
    <t>1.2. Nemzetgazdasági szempontból kiemelt jelentőségű tartós részesedések</t>
  </si>
  <si>
    <t>31.</t>
  </si>
  <si>
    <t>1.3. Korlátozottan forgalomképes tartós részesedések</t>
  </si>
  <si>
    <t>32.</t>
  </si>
  <si>
    <t>1.4. Üzleti tartós részesedések</t>
  </si>
  <si>
    <t>33.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</si>
  <si>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</si>
  <si>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</si>
  <si>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</si>
  <si>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</si>
  <si>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</si>
  <si>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</si>
  <si>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</si>
  <si>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</si>
  <si>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</si>
  <si>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</si>
  <si>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</si>
  <si>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</si>
  <si>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</si>
  <si>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</si>
  <si>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</si>
  <si>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</si>
  <si>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</si>
  <si>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</si>
  <si>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</si>
  <si>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</si>
  <si>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</si>
  <si>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</si>
  <si>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</si>
  <si>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</si>
  <si>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</si>
  <si>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</si>
  <si>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</si>
  <si>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</si>
  <si>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</si>
  <si>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</si>
  <si>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</si>
  <si>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</si>
  <si>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</si>
  <si>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</si>
  <si>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</si>
  <si>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</si>
  <si>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</si>
  <si>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</si>
  <si>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</si>
  <si>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54.</t>
  </si>
  <si>
    <t>55.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</si>
  <si>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</si>
  <si>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</si>
  <si>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</si>
  <si>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</si>
  <si>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</si>
  <si>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</si>
  <si>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</si>
  <si>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60.</t>
  </si>
  <si>
    <t>F) AKTÍV IDŐBELI ELHATÁROLÁSOK</t>
  </si>
  <si>
    <t>61.</t>
  </si>
  <si>
    <t>ESZKÖZÖK ÖSSZESEN  (45+48+53+57+60+61)</t>
  </si>
  <si>
    <t>62.</t>
  </si>
  <si>
    <t>állományi 
érték</t>
  </si>
  <si>
    <t>A</t>
  </si>
  <si>
    <t>G) SAJÁT TŐKE (01+….+06)</t>
  </si>
  <si>
    <t>I. Költségvetési évben esedékes kötelezettségek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</si>
  <si>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</si>
  <si>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</si>
  <si>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</si>
  <si>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</si>
  <si>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Mennyiség
(db)</t>
  </si>
  <si>
    <t>Értéke
(E Ft)</t>
  </si>
  <si>
    <t>„0”-ra leírt eszközök</t>
  </si>
  <si>
    <t>1.</t>
  </si>
  <si>
    <t>Használatban lévő kisértékű immateriális javak</t>
  </si>
  <si>
    <t>2.</t>
  </si>
  <si>
    <t>Használatban lévő kisértékű tárgyi eszközök</t>
  </si>
  <si>
    <t>3.</t>
  </si>
  <si>
    <t>Készletek</t>
  </si>
  <si>
    <t>4.</t>
  </si>
  <si>
    <t>01 számlacsoportban nyilvántartott befektetett eszközök (6+…+9)</t>
  </si>
  <si>
    <t>5.</t>
  </si>
  <si>
    <t>Államháztartáson belüli vagyonkezelésbe adott eszközök</t>
  </si>
  <si>
    <t>6.</t>
  </si>
  <si>
    <t>Bérbe vett befektetett eszközök</t>
  </si>
  <si>
    <t>7.</t>
  </si>
  <si>
    <t>Letétbe, bizományba, üzemeltetésre átvett befektetett eszközök</t>
  </si>
  <si>
    <t>8.</t>
  </si>
  <si>
    <t> PPP konstrukcióban használt befektetett eszközök</t>
  </si>
  <si>
    <t>9.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</si>
  <si>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</si>
  <si>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</si>
  <si>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</si>
  <si>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</si>
  <si>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Gyűjtemény, régészeti lelet* (15+…+17)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</si>
  <si>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</si>
  <si>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</si>
  <si>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</si>
  <si>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</si>
  <si>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(1+…+4)+5+10+14+18:</t>
  </si>
  <si>
    <t>* Nvt. 1. § (2) bekezdés g) és h) pontja szerinti kulturális javak és régészeti eszközök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</si>
  <si>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</si>
  <si>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</si>
  <si>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</si>
  <si>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 xml:space="preserve">I        Tevékenység nettó eredményszemléletű bevétele (=01+02+03) 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</si>
  <si>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</si>
  <si>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</si>
  <si>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</si>
  <si>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</si>
  <si>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</si>
  <si>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</si>
  <si>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</si>
  <si>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</si>
  <si>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</si>
  <si>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</si>
  <si>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</si>
  <si>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 xml:space="preserve">IV        Anyagjellegű ráfordítások (=09+10+11+12) </t>
  </si>
  <si>
    <t>13        Bérköltség</t>
  </si>
  <si>
    <t>14        Személyi jellegű egyéb kifizetések</t>
  </si>
  <si>
    <t>15        Bérjárulékok</t>
  </si>
  <si>
    <t xml:space="preserve">V        Személyi jellegű ráfordítások (=13+14+15) </t>
  </si>
  <si>
    <t>VI        Értékcsökkenési leírás</t>
  </si>
  <si>
    <t>VII        Egyéb ráfordítások</t>
  </si>
  <si>
    <t>A) TEVÉKENYSÉGEK EREDMÉNYE (=I±II+III-IV-V-VI-VII)</t>
  </si>
  <si>
    <t>16        Kapott (járó) osztalék és részesedés</t>
  </si>
  <si>
    <t>17        Kapott (járó) kamatok és kamatjellegű eredményszemléletű bevételek</t>
  </si>
  <si>
    <t xml:space="preserve">18        Pénzügyi műveletek egyéb eredményszemléletű bevételei (&gt;=18a) </t>
  </si>
  <si>
    <t>18a        - ebből: árfolyamnyereség</t>
  </si>
  <si>
    <t>VIII        Pénzügyi műveletek eredményszemléletű bevételei (=16+17+18)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</si>
  <si>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</si>
  <si>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</si>
  <si>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</t>
  </si>
  <si>
    <t>21a        - ebből: árfolyamveszteség</t>
  </si>
  <si>
    <t xml:space="preserve">IX        Pénzügyi műveletek ráfordításai (=19+20+21) </t>
  </si>
  <si>
    <t xml:space="preserve">B)        PÉNZÜGYI MŰVELETEK EREDMÉNYE (=VIII-IX) </t>
  </si>
  <si>
    <t>Sor-szám</t>
  </si>
  <si>
    <t>Bankszámlák egyenlege</t>
  </si>
  <si>
    <t>Pénztárak és betétkönyvek egyenlege</t>
  </si>
  <si>
    <t>Bevételek (+)</t>
  </si>
  <si>
    <t>Kiadások (-)</t>
  </si>
  <si>
    <t>Költségvetési maradvány igénybevétel (-)</t>
  </si>
  <si>
    <t>Sajátos elszámolások (36) tárgyidőszaki forgalma (+/-)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</si>
  <si>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</si>
  <si>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</si>
  <si>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</si>
  <si>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</si>
  <si>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</si>
  <si>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</si>
  <si>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</si>
  <si>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</si>
  <si>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</si>
  <si>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</si>
  <si>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</si>
  <si>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</si>
  <si>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</si>
  <si>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</si>
  <si>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</si>
  <si>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</si>
  <si>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</si>
  <si>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</si>
  <si>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</si>
  <si>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</si>
  <si>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</si>
  <si>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</si>
  <si>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</si>
  <si>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</si>
  <si>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</si>
  <si>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</si>
  <si>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</si>
  <si>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</si>
  <si>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</si>
  <si>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</si>
  <si>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</si>
  <si>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</si>
  <si>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(K334)</t>
  </si>
  <si>
    <t>Kiküldetések kiadásai (K341)</t>
  </si>
  <si>
    <t>Reklám- és propagandakiadások (K342)</t>
  </si>
  <si>
    <t>Kiküldetések, reklám- és propagandakiadások (=46+47) (K34)</t>
  </si>
  <si>
    <t>Működési célú előzetesen felszámított általános forgalmi adó (K351)</t>
  </si>
  <si>
    <t>Kamatkiadások (&gt;=52+53) (K353)</t>
  </si>
  <si>
    <t>Egyéb dologi kiadások (K355)</t>
  </si>
  <si>
    <t>Különféle befizetések és egyéb dologi kiadások (=49+50+51+54+58) (K35)</t>
  </si>
  <si>
    <t>Működési célú garancia- és kezességvállalásból származó kifizetés államháztartáson belülre (K503)</t>
  </si>
  <si>
    <t>ebből: központi költségvetési szervek (K506)</t>
  </si>
  <si>
    <t>ebből: központi kezelésű előirányzatok (K506)</t>
  </si>
  <si>
    <t>ebből: fejezeti kezelésű előirányzatok EU-s programokra és azok hazai társfinanszírozása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</si>
  <si>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</si>
  <si>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</si>
  <si>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</si>
  <si>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</si>
  <si>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</si>
  <si>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</si>
  <si>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</si>
  <si>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Árkiegészítések, ártámogatások (K509)</t>
  </si>
  <si>
    <t>Kamattámogatások (K510)</t>
  </si>
  <si>
    <t>Működési célú támogatások az Európai Uniónak (K511)</t>
  </si>
  <si>
    <t>Tartalékok (K513)</t>
  </si>
  <si>
    <t>Immateriális javak beszerzése, létesítése (K61)</t>
  </si>
  <si>
    <t>Informatikai eszközök beszerzése, létesítése (K63)</t>
  </si>
  <si>
    <t>Egyéb tárgyi eszközök beszerzése, létesítése (K64)</t>
  </si>
  <si>
    <t>Részesedések beszerzése (K65)</t>
  </si>
  <si>
    <t>Meglévő részesedések növeléséhez kapcsolódó kiadások (K66)</t>
  </si>
  <si>
    <t>Beruházási célú előzetesen felszámított általános forgalmi adó (K67)</t>
  </si>
  <si>
    <t>Ingatlanok felújítása (K71)</t>
  </si>
  <si>
    <t>Informatikai eszközök felújítása (K72)</t>
  </si>
  <si>
    <t>Felújítási célú előzetesen felszámított általános forgalmi adó (K74)</t>
  </si>
  <si>
    <t>Felhalmozási célú garancia- és kezességvállalásból származó kifizetés államháztartáson belülre (K81)</t>
  </si>
  <si>
    <t>Lakástámogatás (K87)</t>
  </si>
  <si>
    <t>Felhalmozási célú támogatások az Európai Uniónak (K88)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</si>
  <si>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</si>
  <si>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</si>
  <si>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</si>
  <si>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</si>
  <si>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</si>
  <si>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</si>
  <si>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Adóssághoz nem kapcsolódó származékos ügyletek kiadásai (K93)</t>
  </si>
  <si>
    <t>Váltókiadások (K94)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</si>
  <si>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</si>
  <si>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</si>
  <si>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</si>
  <si>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</si>
  <si>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Működési célú visszatérítendő támogatások, kölcsönök igénybevétele államháztartáson belülről (=22+…+31)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</si>
  <si>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</si>
  <si>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</si>
  <si>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</si>
  <si>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</si>
  <si>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</si>
  <si>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</si>
  <si>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</si>
  <si>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</si>
  <si>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</si>
  <si>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</si>
  <si>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</si>
  <si>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</si>
  <si>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</si>
  <si>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</si>
  <si>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</si>
  <si>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Felhalmozási célú visszatérítendő támogatások, kölcsönök igénybevétele államháztartáson belülről (=58+…+67) (B24)</t>
  </si>
  <si>
    <t>Egyéb felhalmozási célú támogatások bevételei államháztartáson belülről (=69+…+78) (B25)</t>
  </si>
  <si>
    <t>Felhalmozási célú támogatások államháztartáson belülről (=44+45+46+57+68) (B2)</t>
  </si>
  <si>
    <t>Készletértékesítés ellenértéke (B401)</t>
  </si>
  <si>
    <t>Ellátási díjak (B405)</t>
  </si>
  <si>
    <t>Kiszámlázott általános forgalmi adó (B406)</t>
  </si>
  <si>
    <t>Általános forgalmi adó visszatérítése (B407)</t>
  </si>
  <si>
    <t>Biztosító által fizetett kártérítés (B410)</t>
  </si>
  <si>
    <t>Egyéb tárgyi eszközök értékesítése (B53)</t>
  </si>
  <si>
    <t>Részesedések megszűnéséhez kapcsolódó bevételek (B55)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</si>
  <si>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</si>
  <si>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</si>
  <si>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</si>
  <si>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</si>
  <si>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</si>
  <si>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</si>
  <si>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</si>
  <si>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</si>
  <si>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</si>
  <si>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</si>
  <si>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</si>
  <si>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</si>
  <si>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</si>
  <si>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Adóssághoz nem kapcsolódó származékos ügyletek bevételei (B83)</t>
  </si>
  <si>
    <t>Váltóbevételek (B84)</t>
  </si>
  <si>
    <t>CSALÁD- ÉS GYERMEKJÓLÉTI KÖZPONT</t>
  </si>
  <si>
    <t>SZOCIÁLIS ÉTKEZTETÉS</t>
  </si>
  <si>
    <t>Szociális étkeztetés</t>
  </si>
  <si>
    <t>CSALÁD- ÉS GYERMEKJÓLÉTI SZOLGÁLAT</t>
  </si>
  <si>
    <t>104042 Család és gyermekjóléti szolgáltatások</t>
  </si>
  <si>
    <t>104043 Család és gyermekjóléti központ</t>
  </si>
  <si>
    <t>107051 Szociális étkezés</t>
  </si>
  <si>
    <t>102031 Idősek nappali ellátása</t>
  </si>
  <si>
    <t>107051 Szociális étkeztetés</t>
  </si>
  <si>
    <t>10        Felhalmozási célú támogatások eredményszemléletű bevételei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</si>
  <si>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</si>
  <si>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</si>
  <si>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</si>
  <si>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Házi segítségnyújtás  - társulási kiegészítéssel</t>
  </si>
  <si>
    <t xml:space="preserve">     Idősek klubja - társulási kiegészítéssel </t>
  </si>
  <si>
    <t xml:space="preserve">     Támogató szolgáltatás</t>
  </si>
  <si>
    <t xml:space="preserve">     Család- és Gyermekjóléti Központ</t>
  </si>
  <si>
    <t xml:space="preserve">     Család- és Gyermekjóléti Szolgálat</t>
  </si>
  <si>
    <t>CSALÁDI BÖLCSÖDE</t>
  </si>
  <si>
    <t>B) Fogorvosi ügyelethez</t>
  </si>
  <si>
    <t>072312 Fogorvosi ügyeleti ellátás</t>
  </si>
  <si>
    <t xml:space="preserve">     Házi segítségnyújtás - szociális segítség</t>
  </si>
  <si>
    <t xml:space="preserve">     Családi bölcsőde</t>
  </si>
  <si>
    <t>10/1.sz. táblázat</t>
  </si>
  <si>
    <t>10/2.sz. táblázat</t>
  </si>
  <si>
    <t>10/3.sz. táblázat</t>
  </si>
  <si>
    <t>C) Szociális ellátásokhoz</t>
  </si>
  <si>
    <t>E) Belső ellenőrzéshez</t>
  </si>
  <si>
    <t>F) Munkaszervezeti feladatokhoz</t>
  </si>
  <si>
    <t>G) Normatív támogatás átvétel</t>
  </si>
  <si>
    <t>Család-és Gyermekjóléti Központ</t>
  </si>
  <si>
    <t>Házi segítségnyújtás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</si>
  <si>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</si>
  <si>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</si>
  <si>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</si>
  <si>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</si>
  <si>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>Fogorvosi ügyelet</t>
  </si>
  <si>
    <t>Állományi érték</t>
  </si>
  <si>
    <t>Óvoda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</si>
  <si>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</si>
  <si>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</si>
  <si>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</si>
  <si>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</si>
  <si>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</si>
  <si>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ebből: államháztartáson belül (K335)</t>
  </si>
  <si>
    <t>Szakmai tevékenységet segítő szolgáltatások  (K336)</t>
  </si>
  <si>
    <t>Egyéb szolgáltatások (&gt;=44)  (K337)</t>
  </si>
  <si>
    <t>ebből: biztosítási díjak (K337)</t>
  </si>
  <si>
    <t>Szolgáltatási kiadások (=35+36+37+39+40+42+43) (K33)</t>
  </si>
  <si>
    <t>Fizetendő általános forgalmi adó  (K352)</t>
  </si>
  <si>
    <t>Egyéb pénzügyi műveletek kiadásai (&gt;=55+…+57) (K354)</t>
  </si>
  <si>
    <t>Dologi kiadások (=31+34+45+48+59) (K3)</t>
  </si>
  <si>
    <t>Ellátottak pénzbeli juttatásai (=61+62+73+74+83+92+95+98) (K4)</t>
  </si>
  <si>
    <t>Elvonások és befizetések (=121+122+123) (K502)</t>
  </si>
  <si>
    <t>Működési célú visszatérítendő támogatások, kölcsönök nyújtása államháztartáson belülre (=127+…+136) (K504)</t>
  </si>
  <si>
    <t>Működési célú visszatérítendő támogatások, kölcsönök törlesztése államháztartáson belülre (=138+…+147) (K505)</t>
  </si>
  <si>
    <t>Egyéb működési célú támogatások államháztartáson belülre (=149+…+158) (K506)</t>
  </si>
  <si>
    <t>Működési célú garancia- és kezességvállalásból származó kifizetés államháztartáson kívülre (&gt;=160) (K507)</t>
  </si>
  <si>
    <t>Működési célú visszatérítendő támogatások, kölcsönök nyújtása államháztartáson kívülre (=162+…+172) (K508)</t>
  </si>
  <si>
    <t>Egyéb működési célú támogatások államháztartáson kívülre (=177+…+186) (K512)</t>
  </si>
  <si>
    <t>Egyéb működési célú kiadások (=119+124+125+126+137+148+159+161+173+174+175+176+187) (K5)</t>
  </si>
  <si>
    <t>Ingatlanok beszerzése, létesítése (&gt;=191) (K62)</t>
  </si>
  <si>
    <t>ebből: termőföld-vásárlás kiadásai (K62)</t>
  </si>
  <si>
    <t>Beruházások (=189+190+192+…+196) (K6)</t>
  </si>
  <si>
    <t>Egyéb tárgyi eszközök felújítása  (K73)</t>
  </si>
  <si>
    <t>Felújítások (=198+...+201) (K7)</t>
  </si>
  <si>
    <t>Felhalmozási célú visszatérítendő támogatások, kölcsönök nyújtása államháztartáson belülre (=205+…+214) (K82)</t>
  </si>
  <si>
    <t>Felhalmozási célú visszatérítendő támogatások, kölcsönök törlesztése államháztartáson belülre (=216+…+225) (K83)</t>
  </si>
  <si>
    <t>Egyéb felhalmozási célú támogatások államháztartáson belülre (=227+…+236) (K84)</t>
  </si>
  <si>
    <t>Felhalmozási célú garancia- és kezességvállalásból származó kifizetés államháztartáson kívülre (&gt;=238) (K85)</t>
  </si>
  <si>
    <t>Felhalmozási célú visszatérítendő támogatások, kölcsönök nyújtása államháztartáson kívülre (=240+…+250) (K86)</t>
  </si>
  <si>
    <t>Egyéb felhalmozási célú támogatások államháztartáson kívülre (=254+…+263) (K89)</t>
  </si>
  <si>
    <t>Egyéb felhalmozási célú kiadások (=203+204+215+226+237+239+251+252+253) (K8)</t>
  </si>
  <si>
    <t>Költségvetési kiadások (=20+21+60+118+188+197+202+264) (K1-K8)</t>
  </si>
  <si>
    <t>Hitel-, kölcsöntörlesztés államháztartáson kívülre (=266+268+269) (K911)</t>
  </si>
  <si>
    <t>Belföldi értékpapírok kiadásai (=272+275+276+277+281+282) (K912)</t>
  </si>
  <si>
    <t>Tulajdonosi kölcsönök kiadásai (=291+292) (K919)</t>
  </si>
  <si>
    <t>Belföldi finanszírozás kiadásai (=271+284+…+290+293) (K91)</t>
  </si>
  <si>
    <t>Külföldi finanszírozás kiadásai (=295+296+297+299+300) (K92)</t>
  </si>
  <si>
    <t>Finanszírozási kiadások (=294+302+303+304) (K9)</t>
  </si>
  <si>
    <t>Kiadások összesen (=265+305) (K1-K9)</t>
  </si>
  <si>
    <t>Közhatalmi bevételek (=93+94+104+109+167+168) (B3)</t>
  </si>
  <si>
    <t>Szolgáltatások ellenértéke (&gt;=189+190) (B402)</t>
  </si>
  <si>
    <t>ebből:tárgyi eszközök bérbeadásából származó bevétel (B402)</t>
  </si>
  <si>
    <t>ebből: utak használata ellenében beszedett használati díj, pótdíj, elektronikus útdíj (B402)</t>
  </si>
  <si>
    <t>Közvetített szolgáltatások ellenértéke  (&gt;=192) (B403)</t>
  </si>
  <si>
    <t>ebből: államháztartáson belül (B403)</t>
  </si>
  <si>
    <t>Tulajdonosi bevételek (&gt;=194+…+199) (B404)</t>
  </si>
  <si>
    <t>Befektetett pénzügyi eszközökből származó bevételek (&gt;=204+205) (B4081)</t>
  </si>
  <si>
    <t>Egyéb kapott (járó) kamatok és kamatjellegű bevételek (&gt;=207+208) (B4082)</t>
  </si>
  <si>
    <t>Kamatbevételek és más nyereségjellegű bevételek (=203+206) (B408)</t>
  </si>
  <si>
    <t>Részesedésekből származó pénzügyi műveletek bevételei (B4091)</t>
  </si>
  <si>
    <t>Más egyéb pénzügyi műveletek bevételei (&gt;=212+...+216) (B4092)</t>
  </si>
  <si>
    <t>Egyéb pénzügyi műveletek bevételei (=210+211) (B409)</t>
  </si>
  <si>
    <t>Egyéb működési bevételek (&gt;=220+221) (B411)</t>
  </si>
  <si>
    <t>Működési bevételek (=187+188+191+193+200+…+202+209+217+218+219) (B4)</t>
  </si>
  <si>
    <t>Immateriális javak értékesítése (&gt;=224) (B51)</t>
  </si>
  <si>
    <t>Ingatlanok értékesítése (&gt;=226) (B52)</t>
  </si>
  <si>
    <t>Részesedések értékesítése (&gt;=229) (B54)</t>
  </si>
  <si>
    <t>Felhalmozási bevételek (=223+225+227+228+230)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</si>
  <si>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</si>
  <si>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</si>
  <si>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</si>
  <si>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</si>
  <si>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</si>
  <si>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</si>
  <si>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</si>
  <si>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</si>
  <si>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 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</si>
  <si>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</si>
  <si>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</si>
  <si>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</si>
  <si>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</si>
  <si>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</si>
  <si>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</si>
  <si>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</si>
  <si>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Felhalmozási célú átvett pénzeszközök (=258+…+261+271) (B7)</t>
  </si>
  <si>
    <t>Költségvetési bevételek (=43+79+186+222+231+257+283) (B1-B7)</t>
  </si>
  <si>
    <t>Hitel-, kölcsönfelvétel pénzügyi vállalkozástól (=285+286+287) (B811)</t>
  </si>
  <si>
    <t>Belföldi értékpapírok bevételei (=289+292+293+294) (B812)</t>
  </si>
  <si>
    <t>Maradvány igénybevétele (=296+297) (B813)</t>
  </si>
  <si>
    <t>Hosszú lejáratú tulajdonosi kölcsönök bevételei (B8191)</t>
  </si>
  <si>
    <t>Rövid lejáratú tulajdonosi kölcsönök bevételei (B8192)</t>
  </si>
  <si>
    <t>Tulajdonosi kölcsönök bevételei (=304+305) (B819)</t>
  </si>
  <si>
    <t>Belföldi finanszírozás bevételei (=288+295+298+…+303+306) (B81)</t>
  </si>
  <si>
    <t>Külföldi finanszírozás bevételei (=308+…+312) (B82)</t>
  </si>
  <si>
    <t>Finanszírozási bevételek (=307+313+314+315) (B8)</t>
  </si>
  <si>
    <t>Bevételek összesen (284+316) (B1-B8)</t>
  </si>
  <si>
    <t>018030 Támogatási célú finanszírozási műveletek</t>
  </si>
  <si>
    <t>011130 Önkormányzatok és önkormányzati hivatalok jogalkotó és általános igazgatási tevékenysége</t>
  </si>
  <si>
    <t>J. PASSZÍV IDŐBELI ELHATÁROLÁSOK</t>
  </si>
  <si>
    <t>J)        PASSZÍV IDŐBELI ELHATÁROLÁSOK (=K/1+K/2+K/3) (153=150+...+152)</t>
  </si>
  <si>
    <t>Cs-Gy. Szolgálat</t>
  </si>
  <si>
    <t>Cs-Gy. Központ</t>
  </si>
  <si>
    <t xml:space="preserve">     Óvodai és iskolai szociális segítő tevékenység támogatása</t>
  </si>
  <si>
    <t xml:space="preserve">     Idősek klubja</t>
  </si>
  <si>
    <t>Marton ÖTE támogatás</t>
  </si>
  <si>
    <t>Vál Önk.TP támogatás</t>
  </si>
  <si>
    <t>ebből: szociális feladatok tartaléka</t>
  </si>
  <si>
    <t>ebből: családi bölcsöde tartaléka (pm-ből és többlettám-ból)</t>
  </si>
  <si>
    <t xml:space="preserve">D/1) Tagdíjhoz     </t>
  </si>
  <si>
    <t xml:space="preserve">Baracska               </t>
  </si>
  <si>
    <t xml:space="preserve">Ercsi                      </t>
  </si>
  <si>
    <t xml:space="preserve">Gyúró                  </t>
  </si>
  <si>
    <t xml:space="preserve">Kajászó                 </t>
  </si>
  <si>
    <t xml:space="preserve">Martonvásár         </t>
  </si>
  <si>
    <t xml:space="preserve">Ráckeresztúr        </t>
  </si>
  <si>
    <t xml:space="preserve">Tordas                   </t>
  </si>
  <si>
    <t xml:space="preserve">Vál                         </t>
  </si>
  <si>
    <t>D/2) Martonvásári Önkéntes Tűzoltó Egyesülethez</t>
  </si>
  <si>
    <t xml:space="preserve">Gyúró      </t>
  </si>
  <si>
    <t xml:space="preserve">Martonvásár    </t>
  </si>
  <si>
    <t xml:space="preserve">Ráckeresztúr   </t>
  </si>
  <si>
    <t xml:space="preserve">Tordas        </t>
  </si>
  <si>
    <t>D/3) Váli Önkormányzati Tűzoltósághoz</t>
  </si>
  <si>
    <t xml:space="preserve">Kajászó          </t>
  </si>
  <si>
    <t xml:space="preserve">Vál        </t>
  </si>
  <si>
    <t>B16(TKT)</t>
  </si>
  <si>
    <t>Ingatlanok és a kapcsolódó vagyoni értékű jogok</t>
  </si>
  <si>
    <t>IV. Koncesszióba, vagyonkezelésbe adott eszközök összesen</t>
  </si>
  <si>
    <t>E. EGYÉB SAJÁTOS ELSZÁMOLÁSOK ÖSSZESEN</t>
  </si>
  <si>
    <t>F. AKTÍV IDŐBELI ELHATÁROLÁSOK ÖSSZESEN</t>
  </si>
  <si>
    <t>I. KINCSTÁRI VEZETÉSSEL KAPCSOLATOS ELSZÁMOLÁSOK</t>
  </si>
  <si>
    <t>Működési célú támogatások Áh belülről</t>
  </si>
  <si>
    <t xml:space="preserve">Működési célú átvett pénzeszközök </t>
  </si>
  <si>
    <t>Maradvány igénybevétele</t>
  </si>
  <si>
    <t>Felhalmozási célú támogatások Áh belülről</t>
  </si>
  <si>
    <t>Felhalmozási bevételek</t>
  </si>
  <si>
    <t>Felhalmozási célú átvett pénzeszközök</t>
  </si>
  <si>
    <t xml:space="preserve">Felhalmozási célú átvett pénzeszközök </t>
  </si>
  <si>
    <t>K513</t>
  </si>
  <si>
    <t>B65</t>
  </si>
  <si>
    <t>B75</t>
  </si>
  <si>
    <t>B411</t>
  </si>
  <si>
    <t>E) SZABAD MARADVÁNY</t>
  </si>
  <si>
    <t>Falugondnoki feladatellátás</t>
  </si>
  <si>
    <t>Támogató Szolgáltatás</t>
  </si>
  <si>
    <t>Idősek klubja</t>
  </si>
  <si>
    <t>E) EGYÉB SAJÁTOS ELSZÁMOLÁSOK (58+59)</t>
  </si>
  <si>
    <t xml:space="preserve">C)       MÉRLEG SZERINTI EREDMÉNY (=±A±B) </t>
  </si>
  <si>
    <t>E)        EGYÉB SAJÁTOS ELSZÁMOLÁSOK</t>
  </si>
  <si>
    <t>IDŐSEK KLUBJA</t>
  </si>
  <si>
    <t>TÁMOGATÓ SZOLGÁLTATÁS</t>
  </si>
  <si>
    <t>Tartalék összesen</t>
  </si>
  <si>
    <t>H) Bankköltség, vagyonbiztosítás</t>
  </si>
  <si>
    <t xml:space="preserve">Ercsi </t>
  </si>
  <si>
    <t>JÁRVÁNYÜGYI ELLÁTÁS</t>
  </si>
  <si>
    <t>Egyéb működési célú támogatások államháztartáson kívülre  (Marton ÖTE, Vál Önk.TP)</t>
  </si>
  <si>
    <t>Elmaradás - túlfizetés ei-hoz</t>
  </si>
  <si>
    <t>Bankköltség, vagyonbiztosítás</t>
  </si>
  <si>
    <t>Idősek nappali</t>
  </si>
  <si>
    <t>Támogató szolgálat</t>
  </si>
  <si>
    <t>Tanyabusz</t>
  </si>
  <si>
    <t>Bérminimum emelés szociális</t>
  </si>
  <si>
    <t>Óviped.segítő bérem.kieg.támogatás</t>
  </si>
  <si>
    <t>ebből: Kajászó Községet megillető maradvány összege</t>
  </si>
  <si>
    <t xml:space="preserve">ebből: Vál Községet megillető maradvány összege </t>
  </si>
  <si>
    <r>
      <t xml:space="preserve">Önkormányzati elszámolás </t>
    </r>
    <r>
      <rPr>
        <i/>
        <sz val="10"/>
        <rFont val="Times New Roman"/>
        <family val="1"/>
        <charset val="238"/>
      </rPr>
      <t>(9.sz. táblázat szerint)</t>
    </r>
    <r>
      <rPr>
        <sz val="10"/>
        <rFont val="Times New Roman"/>
        <family val="1"/>
        <charset val="238"/>
      </rPr>
      <t xml:space="preserve"> visszafizetés</t>
    </r>
  </si>
  <si>
    <t>Társulási kötelezettségek a maradvány terhére</t>
  </si>
  <si>
    <t>Intézményi, kötelezettséggel nem terhelt maradvány</t>
  </si>
  <si>
    <t>Segítő Szolgálat elszámolás</t>
  </si>
  <si>
    <t>Segítő Szolgálat Szoc.étk elszámolás</t>
  </si>
  <si>
    <t>Segítő Szolgálat Falug. elszámolás</t>
  </si>
  <si>
    <t>Belső ellenőrzés elszámolás</t>
  </si>
  <si>
    <t>Orvosi ügyeleti feladat elszámolás</t>
  </si>
  <si>
    <t>Visszafizetés (-) egyenlege</t>
  </si>
  <si>
    <t xml:space="preserve">Műk. célú átvett pénzeszközök </t>
  </si>
  <si>
    <t>Munkaadókat terhelő járulékok és szocális hozzájárulási adó</t>
  </si>
  <si>
    <t>Ellátottak pénzbeli juttatási</t>
  </si>
  <si>
    <r>
      <t xml:space="preserve">Ellátási díjak </t>
    </r>
    <r>
      <rPr>
        <i/>
        <sz val="10"/>
        <rFont val="Times New Roman"/>
        <family val="1"/>
        <charset val="238"/>
      </rPr>
      <t>(Bölcsőde étkezési díj )</t>
    </r>
  </si>
  <si>
    <r>
      <t xml:space="preserve">Kiszámlázott általános forgalmi adó </t>
    </r>
    <r>
      <rPr>
        <i/>
        <sz val="10"/>
        <rFont val="Times New Roman"/>
        <family val="1"/>
        <charset val="238"/>
      </rPr>
      <t>(Szociális étkezés 170 E Ft, Bölcsőde étkezési díj 864 E Ft, Tanyagondnoki feladatellátás busz igénybevétele 64 E Ft)</t>
    </r>
  </si>
  <si>
    <r>
      <t xml:space="preserve">Általános forgalmi adó visszatérítése </t>
    </r>
    <r>
      <rPr>
        <i/>
        <sz val="10"/>
        <rFont val="Times New Roman"/>
        <family val="1"/>
        <charset val="238"/>
      </rPr>
      <t>(Szociális étkezés 170 E Ft, Bölcsőde étkezési díj 864 E Ft, Tanyagondnoki feladatellátás busz igénybevétele 64E Ft)</t>
    </r>
  </si>
  <si>
    <t>ebből: Gyúró Községet megillető maradvány összege</t>
  </si>
  <si>
    <t>ebből: Tordas Községet megillető maradvány összege</t>
  </si>
  <si>
    <t>ebből: Ráckeresztúr Községet megillető maradvány összege</t>
  </si>
  <si>
    <t>ebből: Baracska Községet megillető maradvány összege</t>
  </si>
  <si>
    <t>ebből: Martonvásár Várost megillető maradvány összege</t>
  </si>
  <si>
    <t>ebből:bölcsődei feladatok tartaléka</t>
  </si>
  <si>
    <t>Erzsébet tábor utáni fizetendő ÁFA</t>
  </si>
  <si>
    <t>Segítő Szolgálat bérleti díj</t>
  </si>
  <si>
    <r>
      <t xml:space="preserve">Korrekció normatíva elszámolás </t>
    </r>
    <r>
      <rPr>
        <i/>
        <sz val="10"/>
        <rFont val="Times New Roman"/>
        <family val="1"/>
        <charset val="238"/>
      </rPr>
      <t>(5. sz. táblázat) Házi segítségnyújtás</t>
    </r>
  </si>
  <si>
    <r>
      <t xml:space="preserve">Korrekció normatíva elszámolás </t>
    </r>
    <r>
      <rPr>
        <i/>
        <sz val="10"/>
        <rFont val="Times New Roman"/>
        <family val="1"/>
        <charset val="238"/>
      </rPr>
      <t>(5. sz. táblázat) családi bölcsőde</t>
    </r>
  </si>
  <si>
    <t>Szoc.étk többlet finanszírozás</t>
  </si>
  <si>
    <t>Pénzkészlet 2023. január 1-jén                            ebből:</t>
  </si>
  <si>
    <t>Záró pénzkészlet 2023. december 31-én ebből:</t>
  </si>
  <si>
    <t>2023. évi eredeti ei.</t>
  </si>
  <si>
    <t>2023. évi módosítás</t>
  </si>
  <si>
    <t>2022.évi normatíva elszámolásból eredő többletbevétel</t>
  </si>
  <si>
    <t xml:space="preserve">     Óvodai-és iskolai szociális segítő tevékenység támogatása</t>
  </si>
  <si>
    <t xml:space="preserve">     Tanyagondnoki feladatellátás</t>
  </si>
  <si>
    <t xml:space="preserve">     Szociális étkezés</t>
  </si>
  <si>
    <t>2023.ÉVI BÉRINTÉZKEDÉSEK TÁMOGATÁSA ÖSSZESEN</t>
  </si>
  <si>
    <t>2022.évi zárszámadadási elszámolás összesen</t>
  </si>
  <si>
    <t>Martonvásár Város részére 2022.évi normatíva visszafizetés</t>
  </si>
  <si>
    <t>TANYAGONDNOKI FELADATELLÁTÁS</t>
  </si>
  <si>
    <t>B410</t>
  </si>
  <si>
    <t>Biztosító által fizetett kártérítés</t>
  </si>
  <si>
    <t>2023.évi bérintézkedések támogatása</t>
  </si>
  <si>
    <t>2022.évi normatíva elszámolás</t>
  </si>
  <si>
    <t>I) Segítő Szolgálat bérleti díj</t>
  </si>
  <si>
    <t xml:space="preserve">Kiszámlázott általános forgalmi adó </t>
  </si>
  <si>
    <t xml:space="preserve">Általános forgalmi adó visszatérítése </t>
  </si>
  <si>
    <t>ebből: gázenergia szolgáltatás díjának teljesítése</t>
  </si>
  <si>
    <t>ebből: villamosenergia szolgáltatás díjának teljesítése</t>
  </si>
  <si>
    <t>ebből:víz-és csatorna szolgáltatás díjának teljesítése</t>
  </si>
  <si>
    <t>K3311</t>
  </si>
  <si>
    <t>K3312</t>
  </si>
  <si>
    <t>K3314</t>
  </si>
  <si>
    <t xml:space="preserve">     Tanyagondnoki feladatellátás </t>
  </si>
  <si>
    <t xml:space="preserve">2023.évi belső ellenőrzés Gabala Trading &amp; Consulting Kft </t>
  </si>
  <si>
    <t>2024. évi vagyonbiztosítás Generali</t>
  </si>
  <si>
    <t>MVK Nonprofit Kft. MG/001004 2023.évi közmű számla</t>
  </si>
  <si>
    <t>Ország Kft. M000011/ÁTOR-2024 üzemanyag</t>
  </si>
  <si>
    <t>Társulás 2023.évi bankköltség,  maradványából működési tartalék növelés</t>
  </si>
  <si>
    <t>Családi bölcsőde 2023.évi maradványából működési tartalék növelés</t>
  </si>
  <si>
    <t>TKT belső ellenőrzés pénzmaradványból történő visszautalás</t>
  </si>
  <si>
    <t>Egyenleg: 68.783 E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</si>
</sst>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.0"/>
    <numFmt numFmtId="165" formatCode="0.0%"/>
    <numFmt numFmtId="166" formatCode="#,##0.000"/>
    <numFmt numFmtId="167" formatCode="#,##0_ ;\-#,##0\ "/>
    <numFmt numFmtId="168" formatCode="0__"/>
    <numFmt numFmtId="169" formatCode="00"/>
    <numFmt numFmtId="170" formatCode="#,###__;\-#,###__"/>
    <numFmt numFmtId="171" formatCode="#,###\ _F_t;\-#,###\ _F_t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16"/>
      <name val="Times New Roman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i/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2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0" fontId="22" fillId="0" borderId="0"/>
    <xf numFmtId="0" fontId="42" fillId="0" borderId="0"/>
    <xf numFmtId="0" fontId="43" fillId="0" borderId="0"/>
    <xf numFmtId="9" fontId="1" fillId="0" borderId="0" applyFont="0" applyFill="0" applyBorder="0" applyAlignment="0" applyProtection="0"/>
  </cellStyleXfs>
  <cellXfs count="1429">
    <xf numFmtId="0" fontId="0" fillId="0" borderId="0" xfId="0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21" fillId="0" borderId="3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0" fontId="31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 wrapText="1"/>
    </xf>
    <xf numFmtId="0" fontId="26" fillId="0" borderId="49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0" fontId="26" fillId="0" borderId="60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26" fillId="0" borderId="7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vertical="center"/>
    </xf>
    <xf numFmtId="0" fontId="26" fillId="0" borderId="39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24" xfId="0" applyFont="1" applyFill="1" applyBorder="1" applyAlignment="1">
      <alignment vertical="center" wrapText="1"/>
    </xf>
    <xf numFmtId="0" fontId="31" fillId="0" borderId="34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horizontal="center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horizontal="center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3" fontId="21" fillId="0" borderId="60" xfId="0" applyNumberFormat="1" applyFont="1" applyFill="1" applyBorder="1"/>
    <xf numFmtId="3" fontId="21" fillId="0" borderId="59" xfId="0" applyNumberFormat="1" applyFont="1" applyFill="1" applyBorder="1"/>
    <xf numFmtId="0" fontId="28" fillId="0" borderId="77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 wrapText="1"/>
    </xf>
    <xf numFmtId="3" fontId="28" fillId="0" borderId="14" xfId="54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/>
    <xf numFmtId="3" fontId="28" fillId="0" borderId="22" xfId="54" applyNumberFormat="1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72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/>
    </xf>
    <xf numFmtId="0" fontId="35" fillId="0" borderId="46" xfId="75" applyFont="1" applyFill="1" applyBorder="1" applyAlignment="1">
      <alignment vertical="center" wrapText="1"/>
    </xf>
    <xf numFmtId="168" fontId="37" fillId="0" borderId="46" xfId="75" applyNumberFormat="1" applyFont="1" applyFill="1" applyBorder="1" applyAlignment="1">
      <alignment horizontal="left" vertical="center" wrapText="1"/>
    </xf>
    <xf numFmtId="0" fontId="31" fillId="0" borderId="62" xfId="0" applyFont="1" applyFill="1" applyBorder="1" applyAlignment="1">
      <alignment vertical="center" wrapText="1"/>
    </xf>
    <xf numFmtId="0" fontId="26" fillId="0" borderId="92" xfId="0" applyFont="1" applyFill="1" applyBorder="1" applyAlignment="1">
      <alignment vertical="center" wrapText="1"/>
    </xf>
    <xf numFmtId="0" fontId="26" fillId="0" borderId="93" xfId="0" applyFont="1" applyFill="1" applyBorder="1" applyAlignment="1">
      <alignment horizontal="center" vertical="center" wrapText="1"/>
    </xf>
    <xf numFmtId="3" fontId="31" fillId="0" borderId="37" xfId="0" applyNumberFormat="1" applyFont="1" applyFill="1" applyBorder="1" applyAlignment="1">
      <alignment horizontal="right" vertical="center"/>
    </xf>
    <xf numFmtId="0" fontId="29" fillId="0" borderId="81" xfId="0" applyFont="1" applyFill="1" applyBorder="1" applyAlignment="1">
      <alignment horizontal="left" vertical="center"/>
    </xf>
    <xf numFmtId="0" fontId="21" fillId="0" borderId="80" xfId="0" applyFont="1" applyFill="1" applyBorder="1" applyAlignment="1">
      <alignment horizontal="left" vertical="center"/>
    </xf>
    <xf numFmtId="0" fontId="21" fillId="0" borderId="81" xfId="0" applyFont="1" applyFill="1" applyBorder="1" applyAlignment="1">
      <alignment horizontal="left" vertical="center"/>
    </xf>
    <xf numFmtId="0" fontId="21" fillId="0" borderId="102" xfId="0" applyFont="1" applyFill="1" applyBorder="1" applyAlignment="1">
      <alignment horizontal="left" vertical="center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3" xfId="75" applyFont="1" applyFill="1" applyBorder="1" applyAlignment="1">
      <alignment vertical="center" wrapText="1"/>
    </xf>
    <xf numFmtId="0" fontId="21" fillId="0" borderId="78" xfId="0" applyFont="1" applyFill="1" applyBorder="1" applyAlignment="1">
      <alignment horizontal="left" vertical="center" wrapText="1"/>
    </xf>
    <xf numFmtId="0" fontId="21" fillId="0" borderId="74" xfId="0" applyFont="1" applyFill="1" applyBorder="1" applyAlignment="1">
      <alignment horizontal="left" vertical="center" wrapText="1"/>
    </xf>
    <xf numFmtId="0" fontId="21" fillId="0" borderId="75" xfId="0" applyFont="1" applyFill="1" applyBorder="1" applyAlignment="1">
      <alignment horizontal="left" vertical="center" wrapText="1"/>
    </xf>
    <xf numFmtId="0" fontId="21" fillId="0" borderId="76" xfId="0" applyFont="1" applyFill="1" applyBorder="1" applyAlignment="1">
      <alignment horizontal="left" vertical="center" wrapText="1"/>
    </xf>
    <xf numFmtId="0" fontId="21" fillId="0" borderId="104" xfId="0" applyFont="1" applyFill="1" applyBorder="1" applyAlignment="1">
      <alignment horizontal="left" vertical="center" wrapText="1"/>
    </xf>
    <xf numFmtId="0" fontId="28" fillId="0" borderId="104" xfId="0" applyFont="1" applyFill="1" applyBorder="1" applyAlignment="1">
      <alignment horizontal="left" vertical="center"/>
    </xf>
    <xf numFmtId="168" fontId="37" fillId="0" borderId="45" xfId="75" applyNumberFormat="1" applyFont="1" applyFill="1" applyBorder="1" applyAlignment="1">
      <alignment horizontal="left" vertical="center"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0" fontId="35" fillId="0" borderId="80" xfId="75" applyFont="1" applyFill="1" applyBorder="1" applyAlignment="1">
      <alignment horizontal="left" vertical="center"/>
    </xf>
    <xf numFmtId="0" fontId="35" fillId="0" borderId="72" xfId="75" applyFont="1" applyFill="1" applyBorder="1" applyAlignment="1">
      <alignment horizontal="left" vertical="center"/>
    </xf>
    <xf numFmtId="0" fontId="35" fillId="0" borderId="81" xfId="75" applyFont="1" applyFill="1" applyBorder="1" applyAlignment="1">
      <alignment horizontal="left" vertical="center"/>
    </xf>
    <xf numFmtId="0" fontId="36" fillId="0" borderId="36" xfId="75" applyFont="1" applyFill="1" applyBorder="1" applyAlignment="1">
      <alignment horizontal="left" vertical="center"/>
    </xf>
    <xf numFmtId="0" fontId="37" fillId="0" borderId="80" xfId="75" applyFont="1" applyFill="1" applyBorder="1" applyAlignment="1">
      <alignment horizontal="left" vertical="center"/>
    </xf>
    <xf numFmtId="0" fontId="37" fillId="0" borderId="72" xfId="75" applyFont="1" applyFill="1" applyBorder="1" applyAlignment="1">
      <alignment horizontal="left" vertical="center"/>
    </xf>
    <xf numFmtId="0" fontId="37" fillId="0" borderId="81" xfId="75" applyFont="1" applyFill="1" applyBorder="1" applyAlignment="1">
      <alignment horizontal="left" vertical="center" wrapText="1"/>
    </xf>
    <xf numFmtId="0" fontId="36" fillId="0" borderId="36" xfId="75" applyFont="1" applyFill="1" applyBorder="1" applyAlignment="1">
      <alignment horizontal="left" vertical="center" wrapText="1"/>
    </xf>
    <xf numFmtId="3" fontId="21" fillId="0" borderId="30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vertical="center" wrapText="1"/>
    </xf>
    <xf numFmtId="3" fontId="21" fillId="0" borderId="71" xfId="0" applyNumberFormat="1" applyFont="1" applyFill="1" applyBorder="1" applyAlignment="1">
      <alignment vertical="center" wrapText="1"/>
    </xf>
    <xf numFmtId="3" fontId="21" fillId="0" borderId="107" xfId="0" applyNumberFormat="1" applyFont="1" applyFill="1" applyBorder="1" applyAlignment="1">
      <alignment vertical="center" wrapText="1"/>
    </xf>
    <xf numFmtId="3" fontId="21" fillId="0" borderId="105" xfId="0" applyNumberFormat="1" applyFont="1" applyFill="1" applyBorder="1" applyAlignment="1">
      <alignment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09" xfId="0" applyNumberFormat="1" applyFont="1" applyFill="1" applyBorder="1" applyAlignment="1">
      <alignment vertical="center" wrapText="1"/>
    </xf>
    <xf numFmtId="3" fontId="21" fillId="0" borderId="110" xfId="0" applyNumberFormat="1" applyFont="1" applyFill="1" applyBorder="1" applyAlignment="1">
      <alignment vertical="center" wrapText="1"/>
    </xf>
    <xf numFmtId="3" fontId="21" fillId="0" borderId="111" xfId="0" applyNumberFormat="1" applyFont="1" applyFill="1" applyBorder="1" applyAlignment="1">
      <alignment vertical="center" wrapText="1"/>
    </xf>
    <xf numFmtId="3" fontId="21" fillId="0" borderId="19" xfId="0" applyNumberFormat="1" applyFont="1" applyFill="1" applyBorder="1" applyAlignment="1">
      <alignment vertical="center" wrapText="1"/>
    </xf>
    <xf numFmtId="3" fontId="21" fillId="0" borderId="67" xfId="0" applyNumberFormat="1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 indent="5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3" fontId="21" fillId="0" borderId="88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130" xfId="0" applyNumberFormat="1" applyFont="1" applyFill="1" applyBorder="1" applyAlignment="1">
      <alignment vertical="center" wrapText="1"/>
    </xf>
    <xf numFmtId="3" fontId="21" fillId="0" borderId="26" xfId="0" applyNumberFormat="1" applyFont="1" applyFill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36" fillId="0" borderId="102" xfId="0" applyFont="1" applyFill="1" applyBorder="1" applyAlignment="1">
      <alignment horizontal="left" vertical="center" wrapText="1"/>
    </xf>
    <xf numFmtId="0" fontId="35" fillId="0" borderId="75" xfId="75" applyFont="1" applyFill="1" applyBorder="1" applyAlignment="1">
      <alignment vertical="center" wrapText="1"/>
    </xf>
    <xf numFmtId="0" fontId="35" fillId="0" borderId="74" xfId="75" applyFont="1" applyFill="1" applyBorder="1" applyAlignment="1">
      <alignment vertical="center" wrapText="1"/>
    </xf>
    <xf numFmtId="0" fontId="35" fillId="0" borderId="76" xfId="75" applyFont="1" applyFill="1" applyBorder="1" applyAlignment="1">
      <alignment vertical="center" wrapText="1"/>
    </xf>
    <xf numFmtId="0" fontId="36" fillId="0" borderId="77" xfId="75" applyFont="1" applyFill="1" applyBorder="1" applyAlignment="1">
      <alignment vertical="center" wrapText="1"/>
    </xf>
    <xf numFmtId="168" fontId="37" fillId="0" borderId="75" xfId="75" applyNumberFormat="1" applyFont="1" applyFill="1" applyBorder="1" applyAlignment="1">
      <alignment horizontal="left" vertical="center" wrapText="1"/>
    </xf>
    <xf numFmtId="168" fontId="37" fillId="0" borderId="74" xfId="75" applyNumberFormat="1" applyFont="1" applyFill="1" applyBorder="1" applyAlignment="1">
      <alignment horizontal="left" vertical="center" wrapText="1"/>
    </xf>
    <xf numFmtId="0" fontId="28" fillId="0" borderId="104" xfId="0" applyFont="1" applyFill="1" applyBorder="1" applyAlignment="1">
      <alignment vertical="center" wrapText="1"/>
    </xf>
    <xf numFmtId="3" fontId="28" fillId="0" borderId="124" xfId="54" applyNumberFormat="1" applyFont="1" applyFill="1" applyBorder="1" applyAlignment="1">
      <alignment horizontal="center"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140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1" fillId="0" borderId="72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 applyAlignment="1">
      <alignment vertical="center" wrapText="1"/>
    </xf>
    <xf numFmtId="3" fontId="29" fillId="0" borderId="23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82" xfId="0" applyFont="1" applyFill="1" applyBorder="1" applyAlignment="1">
      <alignment horizontal="left" vertical="center" wrapText="1"/>
    </xf>
    <xf numFmtId="0" fontId="28" fillId="0" borderId="142" xfId="0" applyFont="1" applyFill="1" applyBorder="1" applyAlignment="1">
      <alignment horizontal="left" vertical="center"/>
    </xf>
    <xf numFmtId="3" fontId="28" fillId="0" borderId="2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1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14" xfId="0" applyNumberFormat="1" applyFont="1" applyFill="1" applyBorder="1" applyAlignment="1">
      <alignment vertical="center" wrapText="1"/>
    </xf>
    <xf numFmtId="3" fontId="28" fillId="0" borderId="123" xfId="0" applyNumberFormat="1" applyFont="1" applyFill="1" applyBorder="1" applyAlignment="1">
      <alignment vertical="center" wrapText="1"/>
    </xf>
    <xf numFmtId="3" fontId="28" fillId="0" borderId="124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25" xfId="0" applyNumberFormat="1" applyFont="1" applyFill="1" applyBorder="1" applyAlignment="1">
      <alignment vertical="center" wrapText="1"/>
    </xf>
    <xf numFmtId="3" fontId="28" fillId="0" borderId="53" xfId="0" applyNumberFormat="1" applyFont="1" applyFill="1" applyBorder="1" applyAlignment="1">
      <alignment vertical="center" wrapText="1"/>
    </xf>
    <xf numFmtId="3" fontId="28" fillId="0" borderId="29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9" fillId="0" borderId="19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67" xfId="0" applyNumberFormat="1" applyFont="1" applyFill="1" applyBorder="1" applyAlignment="1">
      <alignment vertical="center" wrapText="1"/>
    </xf>
    <xf numFmtId="3" fontId="28" fillId="0" borderId="88" xfId="0" applyNumberFormat="1" applyFont="1" applyFill="1" applyBorder="1" applyAlignment="1">
      <alignment vertical="center" wrapText="1"/>
    </xf>
    <xf numFmtId="3" fontId="28" fillId="0" borderId="128" xfId="0" applyNumberFormat="1" applyFont="1" applyFill="1" applyBorder="1" applyAlignment="1">
      <alignment vertical="center" wrapText="1"/>
    </xf>
    <xf numFmtId="0" fontId="35" fillId="0" borderId="55" xfId="75" applyFont="1" applyFill="1" applyBorder="1" applyAlignment="1">
      <alignment horizontal="left" vertical="center" wrapText="1"/>
    </xf>
    <xf numFmtId="3" fontId="28" fillId="0" borderId="125" xfId="0" applyNumberFormat="1" applyFont="1" applyFill="1" applyBorder="1" applyAlignment="1">
      <alignment vertical="center" wrapText="1"/>
    </xf>
    <xf numFmtId="3" fontId="28" fillId="0" borderId="126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29" xfId="0" applyNumberFormat="1" applyFont="1" applyFill="1" applyBorder="1" applyAlignment="1">
      <alignment vertical="center" wrapText="1"/>
    </xf>
    <xf numFmtId="3" fontId="28" fillId="0" borderId="130" xfId="0" applyNumberFormat="1" applyFont="1" applyFill="1" applyBorder="1" applyAlignment="1">
      <alignment vertical="center" wrapText="1"/>
    </xf>
    <xf numFmtId="3" fontId="28" fillId="0" borderId="133" xfId="0" applyNumberFormat="1" applyFont="1" applyFill="1" applyBorder="1" applyAlignment="1">
      <alignment vertical="center" wrapText="1"/>
    </xf>
    <xf numFmtId="3" fontId="28" fillId="0" borderId="131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5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165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1" fillId="0" borderId="33" xfId="54" applyNumberFormat="1" applyFont="1" applyFill="1" applyBorder="1"/>
    <xf numFmtId="3" fontId="21" fillId="0" borderId="108" xfId="54" applyNumberFormat="1" applyFont="1" applyFill="1" applyBorder="1"/>
    <xf numFmtId="3" fontId="21" fillId="0" borderId="64" xfId="54" applyNumberFormat="1" applyFont="1" applyFill="1" applyBorder="1"/>
    <xf numFmtId="3" fontId="29" fillId="0" borderId="64" xfId="54" applyNumberFormat="1" applyFont="1" applyFill="1" applyBorder="1"/>
    <xf numFmtId="3" fontId="21" fillId="0" borderId="119" xfId="54" applyNumberFormat="1" applyFont="1" applyFill="1" applyBorder="1"/>
    <xf numFmtId="3" fontId="21" fillId="0" borderId="31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19" xfId="54" applyNumberFormat="1" applyFont="1" applyFill="1" applyBorder="1"/>
    <xf numFmtId="3" fontId="29" fillId="0" borderId="31" xfId="0" applyNumberFormat="1" applyFont="1" applyFill="1" applyBorder="1"/>
    <xf numFmtId="3" fontId="21" fillId="0" borderId="33" xfId="0" applyNumberFormat="1" applyFont="1" applyFill="1" applyBorder="1"/>
    <xf numFmtId="3" fontId="28" fillId="0" borderId="123" xfId="54" applyNumberFormat="1" applyFont="1" applyFill="1" applyBorder="1" applyAlignment="1">
      <alignment vertical="center"/>
    </xf>
    <xf numFmtId="3" fontId="28" fillId="0" borderId="123" xfId="54" applyNumberFormat="1" applyFont="1" applyFill="1" applyBorder="1"/>
    <xf numFmtId="3" fontId="28" fillId="0" borderId="32" xfId="0" applyNumberFormat="1" applyFont="1" applyFill="1" applyBorder="1"/>
    <xf numFmtId="3" fontId="21" fillId="0" borderId="127" xfId="54" applyNumberFormat="1" applyFont="1" applyFill="1" applyBorder="1"/>
    <xf numFmtId="0" fontId="28" fillId="0" borderId="83" xfId="0" applyFont="1" applyFill="1" applyBorder="1" applyAlignment="1">
      <alignment horizontal="left" vertical="center"/>
    </xf>
    <xf numFmtId="3" fontId="28" fillId="0" borderId="148" xfId="54" applyNumberFormat="1" applyFont="1" applyFill="1" applyBorder="1"/>
    <xf numFmtId="3" fontId="28" fillId="0" borderId="57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1" fillId="0" borderId="18" xfId="0" applyFont="1" applyFill="1" applyBorder="1" applyAlignment="1">
      <alignment horizontal="left" wrapText="1" indent="4"/>
    </xf>
    <xf numFmtId="0" fontId="29" fillId="0" borderId="59" xfId="0" applyFont="1" applyFill="1" applyBorder="1" applyAlignment="1">
      <alignment horizontal="left" vertical="center" wrapText="1" indent="2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5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59" xfId="0" applyFont="1" applyFill="1" applyBorder="1" applyAlignment="1">
      <alignment horizontal="left" vertical="center" wrapText="1" indent="2"/>
    </xf>
    <xf numFmtId="0" fontId="29" fillId="0" borderId="60" xfId="0" applyFont="1" applyFill="1" applyBorder="1" applyAlignment="1">
      <alignment horizontal="left" vertical="center" wrapText="1" indent="2"/>
    </xf>
    <xf numFmtId="3" fontId="29" fillId="0" borderId="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29" fillId="0" borderId="74" xfId="0" applyFont="1" applyFill="1" applyBorder="1" applyAlignment="1">
      <alignment horizontal="left" vertical="center" wrapText="1"/>
    </xf>
    <xf numFmtId="0" fontId="29" fillId="0" borderId="76" xfId="0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vertical="center"/>
    </xf>
    <xf numFmtId="3" fontId="21" fillId="0" borderId="49" xfId="0" applyNumberFormat="1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0" fontId="21" fillId="0" borderId="80" xfId="0" applyFont="1" applyFill="1" applyBorder="1" applyAlignment="1">
      <alignment vertical="center"/>
    </xf>
    <xf numFmtId="3" fontId="21" fillId="0" borderId="75" xfId="0" applyNumberFormat="1" applyFont="1" applyFill="1" applyBorder="1" applyAlignment="1">
      <alignment vertical="center"/>
    </xf>
    <xf numFmtId="3" fontId="28" fillId="0" borderId="34" xfId="0" applyNumberFormat="1" applyFont="1" applyFill="1" applyBorder="1" applyAlignment="1">
      <alignment vertical="center"/>
    </xf>
    <xf numFmtId="0" fontId="35" fillId="0" borderId="72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2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7" borderId="21" xfId="0" applyFont="1" applyFill="1" applyBorder="1" applyAlignment="1">
      <alignment horizontal="left" vertical="center" wrapText="1"/>
    </xf>
    <xf numFmtId="0" fontId="28" fillId="27" borderId="77" xfId="0" applyFont="1" applyFill="1" applyBorder="1" applyAlignment="1">
      <alignment horizontal="left" vertical="center" wrapText="1"/>
    </xf>
    <xf numFmtId="3" fontId="28" fillId="27" borderId="22" xfId="0" applyNumberFormat="1" applyFont="1" applyFill="1" applyBorder="1" applyAlignment="1">
      <alignment vertical="center" wrapText="1"/>
    </xf>
    <xf numFmtId="0" fontId="36" fillId="27" borderId="81" xfId="0" applyFont="1" applyFill="1" applyBorder="1" applyAlignment="1">
      <alignment horizontal="left" vertical="center" wrapText="1"/>
    </xf>
    <xf numFmtId="0" fontId="28" fillId="27" borderId="47" xfId="0" applyFont="1" applyFill="1" applyBorder="1" applyAlignment="1">
      <alignment vertical="center" wrapText="1"/>
    </xf>
    <xf numFmtId="3" fontId="28" fillId="27" borderId="26" xfId="0" applyNumberFormat="1" applyFont="1" applyFill="1" applyBorder="1" applyAlignment="1">
      <alignment vertical="center" wrapText="1"/>
    </xf>
    <xf numFmtId="3" fontId="28" fillId="0" borderId="93" xfId="91" applyNumberFormat="1" applyFont="1" applyFill="1" applyBorder="1" applyAlignment="1" applyProtection="1">
      <alignment horizontal="center" vertical="center"/>
    </xf>
    <xf numFmtId="3" fontId="28" fillId="0" borderId="93" xfId="91" applyNumberFormat="1" applyFont="1" applyFill="1" applyBorder="1" applyAlignment="1" applyProtection="1">
      <alignment horizontal="center" vertical="center" wrapText="1"/>
    </xf>
    <xf numFmtId="3" fontId="28" fillId="0" borderId="95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37" xfId="75" applyNumberFormat="1" applyFont="1" applyFill="1" applyBorder="1" applyAlignment="1">
      <alignment horizontal="right" vertical="center" wrapText="1"/>
    </xf>
    <xf numFmtId="3" fontId="28" fillId="0" borderId="38" xfId="75" applyNumberFormat="1" applyFont="1" applyFill="1" applyBorder="1" applyAlignment="1">
      <alignment horizontal="right" vertical="center" wrapText="1"/>
    </xf>
    <xf numFmtId="3" fontId="28" fillId="0" borderId="33" xfId="91" applyNumberFormat="1" applyFont="1" applyFill="1" applyBorder="1" applyAlignment="1" applyProtection="1">
      <alignment horizontal="center" vertical="center"/>
    </xf>
    <xf numFmtId="3" fontId="28" fillId="0" borderId="32" xfId="75" applyNumberFormat="1" applyFont="1" applyFill="1" applyBorder="1" applyAlignment="1">
      <alignment horizontal="right" vertical="center" wrapText="1"/>
    </xf>
    <xf numFmtId="3" fontId="28" fillId="0" borderId="92" xfId="91" applyNumberFormat="1" applyFont="1" applyFill="1" applyBorder="1" applyAlignment="1" applyProtection="1">
      <alignment horizontal="center" vertical="center"/>
    </xf>
    <xf numFmtId="3" fontId="28" fillId="0" borderId="15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8" fillId="0" borderId="21" xfId="75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3" fontId="28" fillId="0" borderId="21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7" xfId="75" applyFont="1" applyFill="1" applyBorder="1" applyAlignment="1">
      <alignment vertical="center" wrapText="1"/>
    </xf>
    <xf numFmtId="0" fontId="35" fillId="0" borderId="15" xfId="75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3" fontId="28" fillId="0" borderId="150" xfId="91" applyNumberFormat="1" applyFont="1" applyFill="1" applyBorder="1" applyAlignment="1" applyProtection="1">
      <alignment vertical="center"/>
    </xf>
    <xf numFmtId="3" fontId="28" fillId="0" borderId="153" xfId="91" applyNumberFormat="1" applyFont="1" applyFill="1" applyBorder="1" applyAlignment="1" applyProtection="1">
      <alignment horizontal="center" vertical="center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23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97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24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37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1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0" xfId="0" applyNumberFormat="1" applyFont="1" applyFill="1" applyBorder="1" applyAlignment="1">
      <alignment horizontal="right" vertical="center"/>
    </xf>
    <xf numFmtId="3" fontId="21" fillId="0" borderId="64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0" xfId="91" applyNumberFormat="1" applyFont="1" applyFill="1" applyBorder="1" applyAlignment="1" applyProtection="1">
      <alignment horizontal="right" vertical="center"/>
      <protection locked="0"/>
    </xf>
    <xf numFmtId="3" fontId="21" fillId="0" borderId="71" xfId="91" applyNumberFormat="1" applyFont="1" applyFill="1" applyBorder="1" applyAlignment="1" applyProtection="1">
      <alignment horizontal="right" vertical="center"/>
      <protection locked="0"/>
    </xf>
    <xf numFmtId="3" fontId="21" fillId="0" borderId="59" xfId="0" applyNumberFormat="1" applyFont="1" applyFill="1" applyBorder="1" applyAlignment="1">
      <alignment horizontal="right" vertical="center"/>
    </xf>
    <xf numFmtId="3" fontId="21" fillId="0" borderId="119" xfId="91" applyNumberFormat="1" applyFont="1" applyFill="1" applyBorder="1" applyAlignment="1" applyProtection="1">
      <alignment horizontal="right" vertical="center"/>
      <protection locked="0"/>
    </xf>
    <xf numFmtId="3" fontId="21" fillId="0" borderId="31" xfId="91" applyNumberFormat="1" applyFont="1" applyFill="1" applyBorder="1" applyAlignment="1" applyProtection="1">
      <alignment horizontal="right" vertical="center"/>
      <protection locked="0"/>
    </xf>
    <xf numFmtId="3" fontId="21" fillId="0" borderId="120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</xf>
    <xf numFmtId="3" fontId="28" fillId="0" borderId="37" xfId="0" applyNumberFormat="1" applyFont="1" applyFill="1" applyBorder="1" applyAlignment="1">
      <alignment horizontal="right" vertical="center"/>
    </xf>
    <xf numFmtId="3" fontId="28" fillId="0" borderId="123" xfId="0" applyNumberFormat="1" applyFont="1" applyFill="1" applyBorder="1" applyAlignment="1">
      <alignment horizontal="right" vertical="center"/>
    </xf>
    <xf numFmtId="3" fontId="28" fillId="0" borderId="32" xfId="0" applyNumberFormat="1" applyFont="1" applyFill="1" applyBorder="1" applyAlignment="1">
      <alignment horizontal="right" vertical="center"/>
    </xf>
    <xf numFmtId="3" fontId="28" fillId="0" borderId="124" xfId="0" applyNumberFormat="1" applyFont="1" applyFill="1" applyBorder="1" applyAlignment="1">
      <alignment horizontal="right" vertical="center"/>
    </xf>
    <xf numFmtId="3" fontId="28" fillId="0" borderId="38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08" xfId="91" applyNumberFormat="1" applyFont="1" applyFill="1" applyBorder="1" applyAlignment="1" applyProtection="1">
      <alignment horizontal="right" vertical="center"/>
      <protection locked="0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109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  <protection locked="0"/>
    </xf>
    <xf numFmtId="3" fontId="28" fillId="0" borderId="37" xfId="91" applyNumberFormat="1" applyFont="1" applyFill="1" applyBorder="1" applyAlignment="1" applyProtection="1">
      <alignment horizontal="right" vertical="center"/>
    </xf>
    <xf numFmtId="3" fontId="28" fillId="0" borderId="123" xfId="91" applyNumberFormat="1" applyFont="1" applyFill="1" applyBorder="1" applyAlignment="1" applyProtection="1">
      <alignment horizontal="right" vertical="center"/>
    </xf>
    <xf numFmtId="3" fontId="28" fillId="0" borderId="32" xfId="91" applyNumberFormat="1" applyFont="1" applyFill="1" applyBorder="1" applyAlignment="1" applyProtection="1">
      <alignment horizontal="right" vertical="center"/>
    </xf>
    <xf numFmtId="3" fontId="28" fillId="0" borderId="124" xfId="91" applyNumberFormat="1" applyFont="1" applyFill="1" applyBorder="1" applyAlignment="1" applyProtection="1">
      <alignment horizontal="right" vertical="center"/>
    </xf>
    <xf numFmtId="3" fontId="28" fillId="0" borderId="38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08" xfId="91" applyNumberFormat="1" applyFont="1" applyFill="1" applyBorder="1" applyAlignment="1" applyProtection="1">
      <alignment horizontal="right" vertical="center"/>
    </xf>
    <xf numFmtId="3" fontId="28" fillId="0" borderId="33" xfId="91" applyNumberFormat="1" applyFont="1" applyFill="1" applyBorder="1" applyAlignment="1" applyProtection="1">
      <alignment horizontal="right" vertical="center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23" xfId="91" applyNumberFormat="1" applyFont="1" applyFill="1" applyBorder="1" applyAlignment="1" applyProtection="1">
      <alignment horizontal="right" vertical="center"/>
      <protection locked="0"/>
    </xf>
    <xf numFmtId="3" fontId="21" fillId="0" borderId="32" xfId="91" applyNumberFormat="1" applyFont="1" applyFill="1" applyBorder="1" applyAlignment="1" applyProtection="1">
      <alignment horizontal="right" vertical="center"/>
      <protection locked="0"/>
    </xf>
    <xf numFmtId="3" fontId="21" fillId="0" borderId="124" xfId="91" applyNumberFormat="1" applyFont="1" applyFill="1" applyBorder="1" applyAlignment="1" applyProtection="1">
      <alignment horizontal="right" vertical="center"/>
      <protection locked="0"/>
    </xf>
    <xf numFmtId="3" fontId="28" fillId="0" borderId="98" xfId="91" applyNumberFormat="1" applyFont="1" applyFill="1" applyBorder="1" applyAlignment="1" applyProtection="1">
      <alignment horizontal="right" vertical="center"/>
    </xf>
    <xf numFmtId="3" fontId="28" fillId="0" borderId="151" xfId="91" applyNumberFormat="1" applyFont="1" applyFill="1" applyBorder="1" applyAlignment="1" applyProtection="1">
      <alignment horizontal="right" vertical="center"/>
    </xf>
    <xf numFmtId="3" fontId="28" fillId="0" borderId="149" xfId="91" applyNumberFormat="1" applyFont="1" applyFill="1" applyBorder="1" applyAlignment="1" applyProtection="1">
      <alignment horizontal="right" vertical="center"/>
    </xf>
    <xf numFmtId="3" fontId="28" fillId="0" borderId="152" xfId="91" applyNumberFormat="1" applyFont="1" applyFill="1" applyBorder="1" applyAlignment="1" applyProtection="1">
      <alignment horizontal="right" vertical="center"/>
    </xf>
    <xf numFmtId="3" fontId="28" fillId="0" borderId="99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3" fontId="28" fillId="0" borderId="154" xfId="0" applyNumberFormat="1" applyFont="1" applyFill="1" applyBorder="1" applyAlignment="1">
      <alignment vertical="center"/>
    </xf>
    <xf numFmtId="3" fontId="31" fillId="0" borderId="77" xfId="0" applyNumberFormat="1" applyFont="1" applyFill="1" applyBorder="1" applyAlignment="1">
      <alignment horizontal="right" vertical="center"/>
    </xf>
    <xf numFmtId="3" fontId="26" fillId="0" borderId="87" xfId="0" applyNumberFormat="1" applyFont="1" applyFill="1" applyBorder="1" applyAlignment="1">
      <alignment horizontal="right" vertical="center"/>
    </xf>
    <xf numFmtId="3" fontId="31" fillId="0" borderId="66" xfId="0" applyNumberFormat="1" applyFont="1" applyFill="1" applyBorder="1" applyAlignment="1">
      <alignment horizontal="right" vertical="center"/>
    </xf>
    <xf numFmtId="1" fontId="26" fillId="0" borderId="95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1" fontId="26" fillId="0" borderId="97" xfId="0" applyNumberFormat="1" applyFont="1" applyFill="1" applyBorder="1" applyAlignment="1">
      <alignment horizontal="center" vertical="center" wrapText="1"/>
    </xf>
    <xf numFmtId="3" fontId="26" fillId="0" borderId="78" xfId="0" applyNumberFormat="1" applyFont="1" applyFill="1" applyBorder="1" applyAlignment="1">
      <alignment horizontal="right" vertical="center"/>
    </xf>
    <xf numFmtId="3" fontId="26" fillId="0" borderId="75" xfId="0" applyNumberFormat="1" applyFont="1" applyFill="1" applyBorder="1" applyAlignment="1">
      <alignment horizontal="right" vertical="center"/>
    </xf>
    <xf numFmtId="3" fontId="26" fillId="0" borderId="104" xfId="0" applyNumberFormat="1" applyFont="1" applyFill="1" applyBorder="1" applyAlignment="1">
      <alignment horizontal="right" vertical="center"/>
    </xf>
    <xf numFmtId="3" fontId="26" fillId="0" borderId="74" xfId="0" applyNumberFormat="1" applyFont="1" applyFill="1" applyBorder="1" applyAlignment="1">
      <alignment horizontal="right" vertical="center"/>
    </xf>
    <xf numFmtId="165" fontId="26" fillId="0" borderId="48" xfId="0" applyNumberFormat="1" applyFont="1" applyFill="1" applyBorder="1" applyAlignment="1">
      <alignment horizontal="right" vertical="center"/>
    </xf>
    <xf numFmtId="165" fontId="26" fillId="0" borderId="155" xfId="0" applyNumberFormat="1" applyFont="1" applyFill="1" applyBorder="1" applyAlignment="1">
      <alignment horizontal="right" vertical="center"/>
    </xf>
    <xf numFmtId="165" fontId="31" fillId="0" borderId="38" xfId="0" applyNumberFormat="1" applyFont="1" applyFill="1" applyBorder="1" applyAlignment="1">
      <alignment horizontal="right" vertical="center"/>
    </xf>
    <xf numFmtId="165" fontId="31" fillId="0" borderId="35" xfId="0" applyNumberFormat="1" applyFont="1" applyFill="1" applyBorder="1" applyAlignment="1">
      <alignment horizontal="right" vertical="center"/>
    </xf>
    <xf numFmtId="3" fontId="28" fillId="0" borderId="126" xfId="54" applyNumberFormat="1" applyFont="1" applyFill="1" applyBorder="1" applyAlignment="1">
      <alignment horizontal="center" vertical="center" wrapText="1"/>
    </xf>
    <xf numFmtId="3" fontId="21" fillId="0" borderId="48" xfId="0" applyNumberFormat="1" applyFont="1" applyFill="1" applyBorder="1"/>
    <xf numFmtId="3" fontId="28" fillId="27" borderId="32" xfId="0" applyNumberFormat="1" applyFont="1" applyFill="1" applyBorder="1" applyAlignment="1">
      <alignment vertical="center" wrapText="1"/>
    </xf>
    <xf numFmtId="3" fontId="28" fillId="27" borderId="88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66" xfId="0" applyNumberFormat="1" applyFont="1" applyFill="1" applyBorder="1" applyAlignment="1">
      <alignment vertical="center" wrapText="1"/>
    </xf>
    <xf numFmtId="3" fontId="28" fillId="0" borderId="157" xfId="0" applyNumberFormat="1" applyFont="1" applyFill="1" applyBorder="1" applyAlignment="1">
      <alignment vertical="center" wrapText="1"/>
    </xf>
    <xf numFmtId="3" fontId="28" fillId="0" borderId="106" xfId="0" applyNumberFormat="1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 wrapText="1"/>
    </xf>
    <xf numFmtId="3" fontId="29" fillId="0" borderId="20" xfId="54" applyNumberFormat="1" applyFont="1" applyFill="1" applyBorder="1" applyAlignment="1">
      <alignment horizontal="right" vertical="center"/>
    </xf>
    <xf numFmtId="3" fontId="29" fillId="0" borderId="31" xfId="54" applyNumberFormat="1" applyFont="1" applyFill="1" applyBorder="1" applyAlignment="1">
      <alignment horizontal="right" vertical="center"/>
    </xf>
    <xf numFmtId="0" fontId="29" fillId="0" borderId="55" xfId="0" applyFont="1" applyFill="1" applyBorder="1" applyAlignment="1">
      <alignment horizontal="left" vertical="center"/>
    </xf>
    <xf numFmtId="0" fontId="29" fillId="0" borderId="41" xfId="0" applyFont="1" applyFill="1" applyBorder="1" applyAlignment="1">
      <alignment horizontal="left" vertical="center" wrapText="1" indent="5"/>
    </xf>
    <xf numFmtId="3" fontId="29" fillId="0" borderId="135" xfId="54" applyNumberFormat="1" applyFont="1" applyFill="1" applyBorder="1"/>
    <xf numFmtId="3" fontId="29" fillId="0" borderId="134" xfId="0" applyNumberFormat="1" applyFont="1" applyFill="1" applyBorder="1"/>
    <xf numFmtId="3" fontId="28" fillId="0" borderId="84" xfId="0" applyNumberFormat="1" applyFont="1" applyFill="1" applyBorder="1" applyAlignment="1">
      <alignment vertical="center"/>
    </xf>
    <xf numFmtId="3" fontId="28" fillId="0" borderId="142" xfId="0" applyNumberFormat="1" applyFont="1" applyFill="1" applyBorder="1" applyAlignment="1">
      <alignment vertical="center"/>
    </xf>
    <xf numFmtId="0" fontId="31" fillId="0" borderId="28" xfId="0" applyFont="1" applyFill="1" applyBorder="1" applyAlignment="1">
      <alignment vertical="center" wrapText="1"/>
    </xf>
    <xf numFmtId="0" fontId="31" fillId="0" borderId="79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1" fillId="0" borderId="104" xfId="0" applyNumberFormat="1" applyFont="1" applyFill="1" applyBorder="1" applyAlignment="1">
      <alignment horizontal="right" vertical="center"/>
    </xf>
    <xf numFmtId="165" fontId="31" fillId="0" borderId="155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vertical="center" wrapText="1"/>
    </xf>
    <xf numFmtId="0" fontId="31" fillId="0" borderId="60" xfId="0" applyFont="1" applyFill="1" applyBorder="1" applyAlignment="1">
      <alignment horizontal="center" vertical="center"/>
    </xf>
    <xf numFmtId="3" fontId="31" fillId="0" borderId="46" xfId="0" applyNumberFormat="1" applyFont="1" applyFill="1" applyBorder="1" applyAlignment="1">
      <alignment horizontal="right" vertical="center"/>
    </xf>
    <xf numFmtId="3" fontId="31" fillId="0" borderId="74" xfId="0" applyNumberFormat="1" applyFont="1" applyFill="1" applyBorder="1" applyAlignment="1">
      <alignment horizontal="right" vertical="center"/>
    </xf>
    <xf numFmtId="165" fontId="31" fillId="0" borderId="48" xfId="0" applyNumberFormat="1" applyFont="1" applyFill="1" applyBorder="1" applyAlignment="1">
      <alignment horizontal="right" vertical="center"/>
    </xf>
    <xf numFmtId="0" fontId="29" fillId="0" borderId="81" xfId="0" applyFont="1" applyFill="1" applyBorder="1" applyAlignment="1">
      <alignment horizontal="left" vertical="center" wrapText="1"/>
    </xf>
    <xf numFmtId="3" fontId="28" fillId="0" borderId="66" xfId="0" applyNumberFormat="1" applyFont="1" applyFill="1" applyBorder="1" applyAlignment="1">
      <alignment vertical="center" wrapText="1"/>
    </xf>
    <xf numFmtId="3" fontId="28" fillId="27" borderId="124" xfId="0" applyNumberFormat="1" applyFont="1" applyFill="1" applyBorder="1" applyAlignment="1">
      <alignment vertical="center" wrapText="1"/>
    </xf>
    <xf numFmtId="3" fontId="29" fillId="0" borderId="109" xfId="0" applyNumberFormat="1" applyFont="1" applyFill="1" applyBorder="1" applyAlignment="1">
      <alignment vertical="center" wrapText="1"/>
    </xf>
    <xf numFmtId="3" fontId="29" fillId="0" borderId="71" xfId="0" applyNumberFormat="1" applyFont="1" applyFill="1" applyBorder="1" applyAlignment="1">
      <alignment vertical="center" wrapText="1"/>
    </xf>
    <xf numFmtId="3" fontId="29" fillId="0" borderId="120" xfId="0" applyNumberFormat="1" applyFont="1" applyFill="1" applyBorder="1" applyAlignment="1">
      <alignment vertical="center" wrapText="1"/>
    </xf>
    <xf numFmtId="3" fontId="28" fillId="27" borderId="128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3" fontId="28" fillId="0" borderId="38" xfId="54" applyNumberFormat="1" applyFont="1" applyFill="1" applyBorder="1" applyAlignment="1">
      <alignment horizontal="center" vertical="center" wrapText="1"/>
    </xf>
    <xf numFmtId="3" fontId="28" fillId="0" borderId="35" xfId="0" applyNumberFormat="1" applyFont="1" applyFill="1" applyBorder="1" applyAlignment="1">
      <alignment vertical="center" wrapText="1"/>
    </xf>
    <xf numFmtId="10" fontId="28" fillId="0" borderId="38" xfId="0" applyNumberFormat="1" applyFont="1" applyFill="1" applyBorder="1" applyAlignment="1">
      <alignment vertical="center" wrapText="1"/>
    </xf>
    <xf numFmtId="10" fontId="28" fillId="27" borderId="38" xfId="0" applyNumberFormat="1" applyFont="1" applyFill="1" applyBorder="1" applyAlignment="1">
      <alignment vertical="center" wrapText="1"/>
    </xf>
    <xf numFmtId="10" fontId="21" fillId="0" borderId="50" xfId="0" applyNumberFormat="1" applyFont="1" applyFill="1" applyBorder="1" applyAlignment="1">
      <alignment vertical="center" wrapText="1"/>
    </xf>
    <xf numFmtId="10" fontId="21" fillId="0" borderId="48" xfId="0" applyNumberFormat="1" applyFont="1" applyFill="1" applyBorder="1" applyAlignment="1">
      <alignment vertical="center" wrapText="1"/>
    </xf>
    <xf numFmtId="10" fontId="21" fillId="0" borderId="61" xfId="0" applyNumberFormat="1" applyFont="1" applyFill="1" applyBorder="1" applyAlignment="1">
      <alignment vertical="center" wrapText="1"/>
    </xf>
    <xf numFmtId="10" fontId="29" fillId="0" borderId="50" xfId="0" applyNumberFormat="1" applyFont="1" applyFill="1" applyBorder="1" applyAlignment="1">
      <alignment vertical="center" wrapText="1"/>
    </xf>
    <xf numFmtId="10" fontId="29" fillId="0" borderId="48" xfId="0" applyNumberFormat="1" applyFont="1" applyFill="1" applyBorder="1" applyAlignment="1">
      <alignment vertical="center" wrapText="1"/>
    </xf>
    <xf numFmtId="10" fontId="28" fillId="27" borderId="155" xfId="0" applyNumberFormat="1" applyFont="1" applyFill="1" applyBorder="1" applyAlignment="1">
      <alignment vertical="center" wrapText="1"/>
    </xf>
    <xf numFmtId="10" fontId="28" fillId="0" borderId="35" xfId="0" applyNumberFormat="1" applyFont="1" applyFill="1" applyBorder="1" applyAlignment="1">
      <alignment vertical="center" wrapText="1"/>
    </xf>
    <xf numFmtId="3" fontId="28" fillId="0" borderId="34" xfId="0" applyNumberFormat="1" applyFont="1" applyFill="1" applyBorder="1" applyAlignment="1">
      <alignment vertical="center" wrapText="1"/>
    </xf>
    <xf numFmtId="3" fontId="29" fillId="0" borderId="120" xfId="54" applyNumberFormat="1" applyFont="1" applyFill="1" applyBorder="1" applyAlignment="1">
      <alignment horizontal="right" vertical="center"/>
    </xf>
    <xf numFmtId="10" fontId="21" fillId="0" borderId="50" xfId="54" applyNumberFormat="1" applyFont="1" applyFill="1" applyBorder="1" applyAlignment="1">
      <alignment horizontal="right" vertical="center"/>
    </xf>
    <xf numFmtId="10" fontId="21" fillId="0" borderId="155" xfId="54" applyNumberFormat="1" applyFont="1" applyFill="1" applyBorder="1" applyAlignment="1">
      <alignment horizontal="right" vertical="center"/>
    </xf>
    <xf numFmtId="10" fontId="28" fillId="0" borderId="38" xfId="54" applyNumberFormat="1" applyFont="1" applyFill="1" applyBorder="1" applyAlignment="1">
      <alignment horizontal="right" vertical="center"/>
    </xf>
    <xf numFmtId="10" fontId="21" fillId="0" borderId="48" xfId="54" applyNumberFormat="1" applyFont="1" applyFill="1" applyBorder="1" applyAlignment="1">
      <alignment horizontal="right" vertical="center"/>
    </xf>
    <xf numFmtId="10" fontId="28" fillId="0" borderId="35" xfId="54" applyNumberFormat="1" applyFont="1" applyFill="1" applyBorder="1" applyAlignment="1">
      <alignment horizontal="right" vertical="center"/>
    </xf>
    <xf numFmtId="10" fontId="21" fillId="0" borderId="61" xfId="54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 wrapText="1"/>
    </xf>
    <xf numFmtId="10" fontId="21" fillId="0" borderId="48" xfId="0" applyNumberFormat="1" applyFont="1" applyFill="1" applyBorder="1" applyAlignment="1">
      <alignment horizontal="right" vertical="center" wrapText="1"/>
    </xf>
    <xf numFmtId="10" fontId="21" fillId="0" borderId="61" xfId="0" applyNumberFormat="1" applyFont="1" applyFill="1" applyBorder="1" applyAlignment="1">
      <alignment horizontal="right" vertical="center" wrapText="1"/>
    </xf>
    <xf numFmtId="10" fontId="28" fillId="0" borderId="38" xfId="0" applyNumberFormat="1" applyFont="1" applyFill="1" applyBorder="1" applyAlignment="1">
      <alignment horizontal="right" vertical="center" wrapText="1"/>
    </xf>
    <xf numFmtId="10" fontId="21" fillId="0" borderId="155" xfId="0" applyNumberFormat="1" applyFont="1" applyFill="1" applyBorder="1" applyAlignment="1">
      <alignment horizontal="right" vertical="center" wrapText="1"/>
    </xf>
    <xf numFmtId="10" fontId="28" fillId="27" borderId="38" xfId="0" applyNumberFormat="1" applyFont="1" applyFill="1" applyBorder="1" applyAlignment="1">
      <alignment horizontal="right" vertical="center" wrapText="1"/>
    </xf>
    <xf numFmtId="10" fontId="21" fillId="0" borderId="61" xfId="54" applyNumberFormat="1" applyFont="1" applyFill="1" applyBorder="1" applyAlignment="1">
      <alignment horizontal="right" vertical="center" wrapText="1"/>
    </xf>
    <xf numFmtId="10" fontId="29" fillId="0" borderId="50" xfId="0" applyNumberFormat="1" applyFont="1" applyFill="1" applyBorder="1" applyAlignment="1">
      <alignment horizontal="right" vertical="center" wrapText="1"/>
    </xf>
    <xf numFmtId="10" fontId="29" fillId="0" borderId="48" xfId="0" applyNumberFormat="1" applyFont="1" applyFill="1" applyBorder="1" applyAlignment="1">
      <alignment horizontal="right" vertical="center" wrapText="1"/>
    </xf>
    <xf numFmtId="10" fontId="29" fillId="0" borderId="61" xfId="0" applyNumberFormat="1" applyFont="1" applyFill="1" applyBorder="1" applyAlignment="1">
      <alignment horizontal="right" vertical="center" wrapText="1"/>
    </xf>
    <xf numFmtId="10" fontId="28" fillId="27" borderId="61" xfId="0" applyNumberFormat="1" applyFont="1" applyFill="1" applyBorder="1" applyAlignment="1">
      <alignment horizontal="right" vertical="center" wrapText="1"/>
    </xf>
    <xf numFmtId="10" fontId="28" fillId="0" borderId="35" xfId="0" applyNumberFormat="1" applyFont="1" applyFill="1" applyBorder="1" applyAlignment="1">
      <alignment horizontal="right" vertical="center" wrapText="1"/>
    </xf>
    <xf numFmtId="3" fontId="21" fillId="0" borderId="20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horizontal="right" vertical="center"/>
    </xf>
    <xf numFmtId="3" fontId="21" fillId="0" borderId="120" xfId="54" applyNumberFormat="1" applyFont="1" applyFill="1" applyBorder="1" applyAlignment="1">
      <alignment horizontal="right" vertical="center"/>
    </xf>
    <xf numFmtId="0" fontId="28" fillId="0" borderId="164" xfId="0" applyFont="1" applyFill="1" applyBorder="1" applyAlignment="1">
      <alignment vertical="center" wrapText="1"/>
    </xf>
    <xf numFmtId="0" fontId="28" fillId="0" borderId="166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8" fillId="0" borderId="167" xfId="0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vertical="center"/>
    </xf>
    <xf numFmtId="3" fontId="21" fillId="0" borderId="119" xfId="0" applyNumberFormat="1" applyFont="1" applyFill="1" applyBorder="1"/>
    <xf numFmtId="3" fontId="21" fillId="0" borderId="120" xfId="0" applyNumberFormat="1" applyFont="1" applyFill="1" applyBorder="1"/>
    <xf numFmtId="0" fontId="21" fillId="0" borderId="13" xfId="0" applyFont="1" applyFill="1" applyBorder="1"/>
    <xf numFmtId="0" fontId="28" fillId="0" borderId="58" xfId="0" applyFont="1" applyFill="1" applyBorder="1" applyAlignment="1">
      <alignment vertical="center"/>
    </xf>
    <xf numFmtId="3" fontId="21" fillId="0" borderId="109" xfId="0" applyNumberFormat="1" applyFont="1" applyFill="1" applyBorder="1"/>
    <xf numFmtId="0" fontId="21" fillId="0" borderId="72" xfId="0" applyFont="1" applyFill="1" applyBorder="1" applyAlignment="1">
      <alignment vertical="center"/>
    </xf>
    <xf numFmtId="3" fontId="21" fillId="0" borderId="64" xfId="0" applyNumberFormat="1" applyFont="1" applyFill="1" applyBorder="1"/>
    <xf numFmtId="3" fontId="21" fillId="0" borderId="71" xfId="0" applyNumberFormat="1" applyFont="1" applyFill="1" applyBorder="1"/>
    <xf numFmtId="0" fontId="28" fillId="0" borderId="168" xfId="0" applyFont="1" applyFill="1" applyBorder="1" applyAlignment="1">
      <alignment horizontal="center" vertical="center" wrapText="1"/>
    </xf>
    <xf numFmtId="3" fontId="21" fillId="0" borderId="109" xfId="54" applyNumberFormat="1" applyFont="1" applyFill="1" applyBorder="1"/>
    <xf numFmtId="3" fontId="21" fillId="0" borderId="46" xfId="54" applyNumberFormat="1" applyFont="1" applyFill="1" applyBorder="1"/>
    <xf numFmtId="3" fontId="29" fillId="0" borderId="71" xfId="0" applyNumberFormat="1" applyFont="1" applyFill="1" applyBorder="1"/>
    <xf numFmtId="3" fontId="29" fillId="0" borderId="120" xfId="0" applyNumberFormat="1" applyFont="1" applyFill="1" applyBorder="1"/>
    <xf numFmtId="3" fontId="21" fillId="0" borderId="47" xfId="54" applyNumberFormat="1" applyFont="1" applyFill="1" applyBorder="1"/>
    <xf numFmtId="3" fontId="29" fillId="0" borderId="136" xfId="0" applyNumberFormat="1" applyFont="1" applyFill="1" applyBorder="1"/>
    <xf numFmtId="3" fontId="28" fillId="0" borderId="63" xfId="54" applyNumberFormat="1" applyFont="1" applyFill="1" applyBorder="1"/>
    <xf numFmtId="3" fontId="28" fillId="0" borderId="124" xfId="0" applyNumberFormat="1" applyFont="1" applyFill="1" applyBorder="1"/>
    <xf numFmtId="3" fontId="21" fillId="0" borderId="128" xfId="0" applyNumberFormat="1" applyFont="1" applyFill="1" applyBorder="1"/>
    <xf numFmtId="3" fontId="28" fillId="0" borderId="124" xfId="54" applyNumberFormat="1" applyFont="1" applyFill="1" applyBorder="1"/>
    <xf numFmtId="3" fontId="28" fillId="0" borderId="170" xfId="54" applyNumberFormat="1" applyFont="1" applyFill="1" applyBorder="1"/>
    <xf numFmtId="3" fontId="28" fillId="0" borderId="66" xfId="54" applyNumberFormat="1" applyFont="1" applyFill="1" applyBorder="1"/>
    <xf numFmtId="10" fontId="21" fillId="0" borderId="50" xfId="90" applyNumberFormat="1" applyFont="1" applyFill="1" applyBorder="1"/>
    <xf numFmtId="10" fontId="21" fillId="0" borderId="48" xfId="90" applyNumberFormat="1" applyFont="1" applyFill="1" applyBorder="1"/>
    <xf numFmtId="10" fontId="21" fillId="0" borderId="61" xfId="90" applyNumberFormat="1" applyFont="1" applyFill="1" applyBorder="1"/>
    <xf numFmtId="10" fontId="28" fillId="0" borderId="38" xfId="90" applyNumberFormat="1" applyFont="1" applyFill="1" applyBorder="1"/>
    <xf numFmtId="10" fontId="21" fillId="0" borderId="155" xfId="90" applyNumberFormat="1" applyFont="1" applyFill="1" applyBorder="1"/>
    <xf numFmtId="10" fontId="28" fillId="0" borderId="43" xfId="90" applyNumberFormat="1" applyFont="1" applyFill="1" applyBorder="1"/>
    <xf numFmtId="10" fontId="28" fillId="0" borderId="35" xfId="90" applyNumberFormat="1" applyFont="1" applyFill="1" applyBorder="1"/>
    <xf numFmtId="10" fontId="21" fillId="0" borderId="38" xfId="90" applyNumberFormat="1" applyFont="1" applyFill="1" applyBorder="1"/>
    <xf numFmtId="0" fontId="21" fillId="0" borderId="75" xfId="75" applyFont="1" applyFill="1" applyBorder="1" applyAlignment="1">
      <alignment vertical="center" wrapText="1"/>
    </xf>
    <xf numFmtId="0" fontId="29" fillId="0" borderId="76" xfId="75" applyFont="1" applyFill="1" applyBorder="1" applyAlignment="1">
      <alignment horizontal="left" vertical="center" wrapText="1"/>
    </xf>
    <xf numFmtId="0" fontId="21" fillId="0" borderId="73" xfId="75" applyFont="1" applyFill="1" applyBorder="1" applyAlignment="1">
      <alignment horizontal="left" vertical="center" wrapText="1"/>
    </xf>
    <xf numFmtId="3" fontId="28" fillId="0" borderId="63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1" fillId="0" borderId="23" xfId="54" applyNumberFormat="1" applyFont="1" applyFill="1" applyBorder="1" applyAlignment="1">
      <alignment horizontal="right" vertical="center"/>
    </xf>
    <xf numFmtId="3" fontId="29" fillId="0" borderId="121" xfId="0" applyNumberFormat="1" applyFont="1" applyFill="1" applyBorder="1" applyAlignment="1">
      <alignment vertical="center" wrapText="1"/>
    </xf>
    <xf numFmtId="3" fontId="21" fillId="0" borderId="52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1" fillId="0" borderId="174" xfId="0" applyNumberFormat="1" applyFont="1" applyFill="1" applyBorder="1" applyAlignment="1">
      <alignment vertical="center" wrapText="1"/>
    </xf>
    <xf numFmtId="0" fontId="21" fillId="0" borderId="0" xfId="77" applyFont="1" applyFill="1" applyAlignment="1">
      <alignment wrapText="1"/>
    </xf>
    <xf numFmtId="0" fontId="21" fillId="0" borderId="0" xfId="77" applyFont="1" applyFill="1"/>
    <xf numFmtId="3" fontId="21" fillId="0" borderId="0" xfId="77" applyNumberFormat="1" applyFont="1" applyFill="1"/>
    <xf numFmtId="3" fontId="21" fillId="0" borderId="37" xfId="0" applyNumberFormat="1" applyFont="1" applyFill="1" applyBorder="1"/>
    <xf numFmtId="3" fontId="21" fillId="0" borderId="123" xfId="0" applyNumberFormat="1" applyFont="1" applyFill="1" applyBorder="1"/>
    <xf numFmtId="3" fontId="21" fillId="0" borderId="38" xfId="0" applyNumberFormat="1" applyFont="1" applyFill="1" applyBorder="1"/>
    <xf numFmtId="0" fontId="21" fillId="0" borderId="62" xfId="0" applyFont="1" applyFill="1" applyBorder="1"/>
    <xf numFmtId="3" fontId="21" fillId="0" borderId="39" xfId="0" applyNumberFormat="1" applyFont="1" applyFill="1" applyBorder="1"/>
    <xf numFmtId="3" fontId="21" fillId="0" borderId="138" xfId="0" applyNumberFormat="1" applyFont="1" applyFill="1" applyBorder="1"/>
    <xf numFmtId="3" fontId="21" fillId="0" borderId="139" xfId="0" applyNumberFormat="1" applyFont="1" applyFill="1" applyBorder="1"/>
    <xf numFmtId="3" fontId="21" fillId="0" borderId="40" xfId="0" applyNumberFormat="1" applyFont="1" applyFill="1" applyBorder="1"/>
    <xf numFmtId="0" fontId="21" fillId="0" borderId="17" xfId="0" applyFont="1" applyFill="1" applyBorder="1"/>
    <xf numFmtId="3" fontId="28" fillId="0" borderId="146" xfId="0" applyNumberFormat="1" applyFont="1" applyFill="1" applyBorder="1" applyAlignment="1">
      <alignment vertical="center" wrapText="1"/>
    </xf>
    <xf numFmtId="3" fontId="28" fillId="0" borderId="84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1" fillId="0" borderId="60" xfId="0" applyNumberFormat="1" applyFont="1" applyFill="1" applyBorder="1" applyAlignment="1">
      <alignment vertical="center"/>
    </xf>
    <xf numFmtId="3" fontId="21" fillId="0" borderId="74" xfId="0" applyNumberFormat="1" applyFont="1" applyFill="1" applyBorder="1" applyAlignment="1">
      <alignment vertical="center"/>
    </xf>
    <xf numFmtId="3" fontId="21" fillId="0" borderId="48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3" fontId="21" fillId="0" borderId="5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1" fillId="0" borderId="19" xfId="54" applyNumberFormat="1" applyFont="1" applyFill="1" applyBorder="1" applyAlignment="1">
      <alignment horizontal="right" vertical="center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09" xfId="54" applyNumberFormat="1" applyFont="1" applyFill="1" applyBorder="1" applyAlignment="1">
      <alignment horizontal="right" vertical="center"/>
    </xf>
    <xf numFmtId="3" fontId="21" fillId="0" borderId="140" xfId="54" applyNumberFormat="1" applyFont="1" applyFill="1" applyBorder="1" applyAlignment="1">
      <alignment horizontal="right" vertical="center"/>
    </xf>
    <xf numFmtId="3" fontId="21" fillId="0" borderId="139" xfId="54" applyNumberFormat="1" applyFont="1" applyFill="1" applyBorder="1" applyAlignment="1">
      <alignment horizontal="right" vertical="center"/>
    </xf>
    <xf numFmtId="3" fontId="21" fillId="0" borderId="158" xfId="54" applyNumberFormat="1" applyFont="1" applyFill="1" applyBorder="1" applyAlignment="1">
      <alignment horizontal="right" vertical="center"/>
    </xf>
    <xf numFmtId="3" fontId="21" fillId="0" borderId="30" xfId="54" applyNumberFormat="1" applyFont="1" applyFill="1" applyBorder="1" applyAlignment="1">
      <alignment horizontal="right" vertical="center"/>
    </xf>
    <xf numFmtId="3" fontId="21" fillId="0" borderId="71" xfId="54" applyNumberFormat="1" applyFont="1" applyFill="1" applyBorder="1" applyAlignment="1">
      <alignment horizontal="right" vertical="center"/>
    </xf>
    <xf numFmtId="10" fontId="29" fillId="0" borderId="61" xfId="54" applyNumberFormat="1" applyFont="1" applyFill="1" applyBorder="1" applyAlignment="1">
      <alignment horizontal="right" vertical="center"/>
    </xf>
    <xf numFmtId="3" fontId="28" fillId="0" borderId="22" xfId="54" applyNumberFormat="1" applyFont="1" applyFill="1" applyBorder="1" applyAlignment="1">
      <alignment horizontal="right" vertical="center"/>
    </xf>
    <xf numFmtId="3" fontId="28" fillId="0" borderId="32" xfId="54" applyNumberFormat="1" applyFont="1" applyFill="1" applyBorder="1" applyAlignment="1">
      <alignment horizontal="right" vertical="center"/>
    </xf>
    <xf numFmtId="3" fontId="28" fillId="0" borderId="124" xfId="54" applyNumberFormat="1" applyFont="1" applyFill="1" applyBorder="1" applyAlignment="1">
      <alignment horizontal="right" vertical="center"/>
    </xf>
    <xf numFmtId="10" fontId="21" fillId="0" borderId="48" xfId="0" applyNumberFormat="1" applyFont="1" applyFill="1" applyBorder="1" applyAlignment="1">
      <alignment horizontal="right" vertical="center"/>
    </xf>
    <xf numFmtId="10" fontId="21" fillId="0" borderId="40" xfId="54" applyNumberFormat="1" applyFont="1" applyFill="1" applyBorder="1" applyAlignment="1">
      <alignment horizontal="right" vertical="center"/>
    </xf>
    <xf numFmtId="3" fontId="28" fillId="0" borderId="26" xfId="54" applyNumberFormat="1" applyFont="1" applyFill="1" applyBorder="1" applyAlignment="1">
      <alignment horizontal="right" vertical="center"/>
    </xf>
    <xf numFmtId="3" fontId="28" fillId="0" borderId="88" xfId="54" applyNumberFormat="1" applyFont="1" applyFill="1" applyBorder="1" applyAlignment="1">
      <alignment horizontal="right" vertical="center"/>
    </xf>
    <xf numFmtId="3" fontId="28" fillId="0" borderId="128" xfId="54" applyNumberFormat="1" applyFont="1" applyFill="1" applyBorder="1" applyAlignment="1">
      <alignment horizontal="right" vertical="center"/>
    </xf>
    <xf numFmtId="10" fontId="28" fillId="0" borderId="155" xfId="54" applyNumberFormat="1" applyFont="1" applyFill="1" applyBorder="1" applyAlignment="1">
      <alignment horizontal="right" vertical="center"/>
    </xf>
    <xf numFmtId="3" fontId="28" fillId="0" borderId="25" xfId="54" applyNumberFormat="1" applyFont="1" applyFill="1" applyBorder="1" applyAlignment="1">
      <alignment horizontal="right" vertical="center"/>
    </xf>
    <xf numFmtId="3" fontId="28" fillId="0" borderId="53" xfId="54" applyNumberFormat="1" applyFont="1" applyFill="1" applyBorder="1" applyAlignment="1">
      <alignment horizontal="right" vertical="center"/>
    </xf>
    <xf numFmtId="3" fontId="28" fillId="0" borderId="132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vertical="center" wrapText="1"/>
    </xf>
    <xf numFmtId="3" fontId="21" fillId="0" borderId="120" xfId="54" applyNumberFormat="1" applyFont="1" applyFill="1" applyBorder="1" applyAlignment="1">
      <alignment vertical="center" wrapText="1"/>
    </xf>
    <xf numFmtId="3" fontId="28" fillId="27" borderId="20" xfId="0" applyNumberFormat="1" applyFont="1" applyFill="1" applyBorder="1" applyAlignment="1">
      <alignment vertical="center" wrapText="1"/>
    </xf>
    <xf numFmtId="3" fontId="28" fillId="27" borderId="31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3" fontId="28" fillId="0" borderId="0" xfId="54" applyNumberFormat="1" applyFont="1" applyFill="1" applyAlignment="1">
      <alignment vertical="center" wrapText="1"/>
    </xf>
    <xf numFmtId="3" fontId="28" fillId="0" borderId="0" xfId="0" applyNumberFormat="1" applyFont="1" applyFill="1" applyAlignment="1">
      <alignment vertical="center" wrapText="1"/>
    </xf>
    <xf numFmtId="3" fontId="21" fillId="0" borderId="0" xfId="54" applyNumberFormat="1" applyFont="1" applyFill="1" applyAlignment="1">
      <alignment vertical="center" wrapText="1"/>
    </xf>
    <xf numFmtId="0" fontId="21" fillId="0" borderId="0" xfId="92" applyFont="1"/>
    <xf numFmtId="0" fontId="41" fillId="0" borderId="0" xfId="92" applyFont="1" applyAlignment="1">
      <alignment horizontal="center"/>
    </xf>
    <xf numFmtId="0" fontId="26" fillId="0" borderId="0" xfId="92" applyFont="1"/>
    <xf numFmtId="166" fontId="21" fillId="0" borderId="0" xfId="92" applyNumberFormat="1" applyFont="1" applyFill="1" applyBorder="1" applyAlignment="1">
      <alignment vertical="center" wrapText="1"/>
    </xf>
    <xf numFmtId="0" fontId="28" fillId="0" borderId="136" xfId="92" applyNumberFormat="1" applyFont="1" applyFill="1" applyBorder="1" applyAlignment="1">
      <alignment horizontal="center" vertical="center" wrapText="1"/>
    </xf>
    <xf numFmtId="0" fontId="28" fillId="0" borderId="137" xfId="92" applyNumberFormat="1" applyFont="1" applyFill="1" applyBorder="1" applyAlignment="1">
      <alignment horizontal="center" vertical="center" wrapText="1"/>
    </xf>
    <xf numFmtId="166" fontId="28" fillId="0" borderId="15" xfId="92" applyNumberFormat="1" applyFont="1" applyBorder="1" applyAlignment="1">
      <alignment horizontal="justify" vertical="center"/>
    </xf>
    <xf numFmtId="166" fontId="21" fillId="0" borderId="188" xfId="92" applyNumberFormat="1" applyFont="1" applyFill="1" applyBorder="1" applyAlignment="1">
      <alignment horizontal="center" vertical="center" wrapText="1"/>
    </xf>
    <xf numFmtId="166" fontId="21" fillId="0" borderId="49" xfId="92" applyNumberFormat="1" applyFont="1" applyBorder="1" applyAlignment="1">
      <alignment horizontal="justify" vertical="center"/>
    </xf>
    <xf numFmtId="166" fontId="21" fillId="0" borderId="189" xfId="92" applyNumberFormat="1" applyFont="1" applyFill="1" applyBorder="1" applyAlignment="1">
      <alignment horizontal="right" vertical="center" wrapText="1"/>
    </xf>
    <xf numFmtId="166" fontId="21" fillId="0" borderId="0" xfId="92" applyNumberFormat="1" applyFont="1" applyFill="1" applyBorder="1" applyAlignment="1">
      <alignment horizontal="center" vertical="center" wrapText="1"/>
    </xf>
    <xf numFmtId="166" fontId="21" fillId="0" borderId="13" xfId="92" applyNumberFormat="1" applyFont="1" applyFill="1" applyBorder="1" applyAlignment="1">
      <alignment vertical="center" wrapText="1"/>
    </xf>
    <xf numFmtId="3" fontId="21" fillId="0" borderId="71" xfId="92" applyNumberFormat="1" applyFont="1" applyFill="1" applyBorder="1" applyAlignment="1">
      <alignment vertical="center" wrapText="1"/>
    </xf>
    <xf numFmtId="3" fontId="21" fillId="0" borderId="105" xfId="92" applyNumberFormat="1" applyFont="1" applyFill="1" applyBorder="1" applyAlignment="1">
      <alignment vertical="center" wrapText="1"/>
    </xf>
    <xf numFmtId="165" fontId="21" fillId="0" borderId="18" xfId="96" applyNumberFormat="1" applyFont="1" applyFill="1" applyBorder="1" applyAlignment="1">
      <alignment vertical="center" wrapText="1"/>
    </xf>
    <xf numFmtId="166" fontId="29" fillId="0" borderId="49" xfId="92" applyNumberFormat="1" applyFont="1" applyBorder="1" applyAlignment="1">
      <alignment horizontal="justify" vertical="center"/>
    </xf>
    <xf numFmtId="3" fontId="29" fillId="0" borderId="30" xfId="92" applyNumberFormat="1" applyFont="1" applyFill="1" applyBorder="1" applyAlignment="1">
      <alignment vertical="center" wrapText="1"/>
    </xf>
    <xf numFmtId="3" fontId="29" fillId="0" borderId="71" xfId="92" applyNumberFormat="1" applyFont="1" applyFill="1" applyBorder="1" applyAlignment="1">
      <alignment vertical="center" wrapText="1"/>
    </xf>
    <xf numFmtId="3" fontId="29" fillId="0" borderId="105" xfId="92" applyNumberFormat="1" applyFont="1" applyFill="1" applyBorder="1" applyAlignment="1">
      <alignment vertical="center" wrapText="1"/>
    </xf>
    <xf numFmtId="3" fontId="29" fillId="0" borderId="109" xfId="92" applyNumberFormat="1" applyFont="1" applyFill="1" applyBorder="1" applyAlignment="1">
      <alignment horizontal="right" vertical="center" wrapText="1"/>
    </xf>
    <xf numFmtId="165" fontId="29" fillId="0" borderId="190" xfId="96" applyNumberFormat="1" applyFont="1" applyFill="1" applyBorder="1" applyAlignment="1">
      <alignment horizontal="right" vertical="center" wrapText="1"/>
    </xf>
    <xf numFmtId="166" fontId="29" fillId="0" borderId="13" xfId="92" applyNumberFormat="1" applyFont="1" applyFill="1" applyBorder="1" applyAlignment="1">
      <alignment vertical="center" wrapText="1"/>
    </xf>
    <xf numFmtId="165" fontId="29" fillId="0" borderId="18" xfId="96" applyNumberFormat="1" applyFont="1" applyFill="1" applyBorder="1" applyAlignment="1">
      <alignment vertical="center" wrapText="1"/>
    </xf>
    <xf numFmtId="166" fontId="29" fillId="0" borderId="60" xfId="92" applyNumberFormat="1" applyFont="1" applyBorder="1" applyAlignment="1">
      <alignment horizontal="justify" vertical="center"/>
    </xf>
    <xf numFmtId="3" fontId="29" fillId="0" borderId="71" xfId="92" applyNumberFormat="1" applyFont="1" applyFill="1" applyBorder="1" applyAlignment="1">
      <alignment horizontal="right" vertical="center" wrapText="1"/>
    </xf>
    <xf numFmtId="166" fontId="28" fillId="0" borderId="60" xfId="92" applyNumberFormat="1" applyFont="1" applyFill="1" applyBorder="1" applyAlignment="1">
      <alignment vertical="center" wrapText="1"/>
    </xf>
    <xf numFmtId="3" fontId="28" fillId="0" borderId="30" xfId="92" applyNumberFormat="1" applyFont="1" applyFill="1" applyBorder="1" applyAlignment="1">
      <alignment vertical="center" wrapText="1"/>
    </xf>
    <xf numFmtId="3" fontId="28" fillId="0" borderId="71" xfId="92" applyNumberFormat="1" applyFont="1" applyFill="1" applyBorder="1" applyAlignment="1">
      <alignment vertical="center" wrapText="1"/>
    </xf>
    <xf numFmtId="3" fontId="28" fillId="0" borderId="105" xfId="92" applyNumberFormat="1" applyFont="1" applyFill="1" applyBorder="1" applyAlignment="1">
      <alignment vertical="center" wrapText="1"/>
    </xf>
    <xf numFmtId="165" fontId="28" fillId="0" borderId="190" xfId="96" applyNumberFormat="1" applyFont="1" applyFill="1" applyBorder="1" applyAlignment="1">
      <alignment horizontal="right" vertical="center" wrapText="1"/>
    </xf>
    <xf numFmtId="166" fontId="29" fillId="0" borderId="0" xfId="92" applyNumberFormat="1" applyFont="1" applyFill="1" applyBorder="1" applyAlignment="1">
      <alignment vertical="center" wrapText="1"/>
    </xf>
    <xf numFmtId="166" fontId="29" fillId="0" borderId="13" xfId="92" applyNumberFormat="1" applyFont="1" applyFill="1" applyBorder="1" applyAlignment="1">
      <alignment horizontal="left" vertical="center" wrapText="1"/>
    </xf>
    <xf numFmtId="166" fontId="29" fillId="0" borderId="60" xfId="92" applyNumberFormat="1" applyFont="1" applyFill="1" applyBorder="1" applyAlignment="1">
      <alignment vertical="center" wrapText="1"/>
    </xf>
    <xf numFmtId="166" fontId="28" fillId="0" borderId="13" xfId="92" applyNumberFormat="1" applyFont="1" applyFill="1" applyBorder="1" applyAlignment="1">
      <alignment horizontal="left" vertical="center" wrapText="1"/>
    </xf>
    <xf numFmtId="165" fontId="28" fillId="0" borderId="18" xfId="96" applyNumberFormat="1" applyFont="1" applyFill="1" applyBorder="1" applyAlignment="1">
      <alignment vertical="center" wrapText="1"/>
    </xf>
    <xf numFmtId="166" fontId="28" fillId="0" borderId="0" xfId="92" applyNumberFormat="1" applyFont="1" applyFill="1" applyBorder="1" applyAlignment="1">
      <alignment vertical="center" wrapText="1"/>
    </xf>
    <xf numFmtId="165" fontId="21" fillId="0" borderId="190" xfId="96" applyNumberFormat="1" applyFont="1" applyFill="1" applyBorder="1" applyAlignment="1">
      <alignment horizontal="right" vertical="center" wrapText="1"/>
    </xf>
    <xf numFmtId="166" fontId="28" fillId="0" borderId="13" xfId="92" applyNumberFormat="1" applyFont="1" applyFill="1" applyBorder="1" applyAlignment="1">
      <alignment vertical="center" wrapText="1"/>
    </xf>
    <xf numFmtId="0" fontId="28" fillId="0" borderId="17" xfId="92" applyNumberFormat="1" applyFont="1" applyFill="1" applyBorder="1" applyAlignment="1">
      <alignment vertical="center" wrapText="1"/>
    </xf>
    <xf numFmtId="3" fontId="28" fillId="0" borderId="192" xfId="92" applyNumberFormat="1" applyFont="1" applyFill="1" applyBorder="1" applyAlignment="1">
      <alignment vertical="center" wrapText="1"/>
    </xf>
    <xf numFmtId="3" fontId="28" fillId="0" borderId="193" xfId="92" applyNumberFormat="1" applyFont="1" applyFill="1" applyBorder="1" applyAlignment="1">
      <alignment vertical="center" wrapText="1"/>
    </xf>
    <xf numFmtId="166" fontId="21" fillId="0" borderId="59" xfId="92" applyNumberFormat="1" applyFont="1" applyFill="1" applyBorder="1" applyAlignment="1">
      <alignment vertical="center" wrapText="1"/>
    </xf>
    <xf numFmtId="3" fontId="21" fillId="0" borderId="120" xfId="92" applyNumberFormat="1" applyFont="1" applyFill="1" applyBorder="1" applyAlignment="1">
      <alignment vertical="center" wrapText="1"/>
    </xf>
    <xf numFmtId="3" fontId="21" fillId="0" borderId="122" xfId="92" applyNumberFormat="1" applyFont="1" applyFill="1" applyBorder="1" applyAlignment="1">
      <alignment vertical="center" wrapText="1"/>
    </xf>
    <xf numFmtId="165" fontId="21" fillId="0" borderId="174" xfId="96" applyNumberFormat="1" applyFont="1" applyFill="1" applyBorder="1" applyAlignment="1">
      <alignment horizontal="right" vertical="center" wrapText="1"/>
    </xf>
    <xf numFmtId="3" fontId="28" fillId="0" borderId="53" xfId="92" applyNumberFormat="1" applyFont="1" applyFill="1" applyBorder="1" applyAlignment="1">
      <alignment vertical="center" wrapText="1"/>
    </xf>
    <xf numFmtId="3" fontId="28" fillId="0" borderId="131" xfId="92" applyNumberFormat="1" applyFont="1" applyFill="1" applyBorder="1" applyAlignment="1">
      <alignment vertical="center" wrapText="1"/>
    </xf>
    <xf numFmtId="165" fontId="28" fillId="0" borderId="34" xfId="96" applyNumberFormat="1" applyFont="1" applyFill="1" applyBorder="1" applyAlignment="1">
      <alignment vertical="center" wrapText="1"/>
    </xf>
    <xf numFmtId="166" fontId="28" fillId="0" borderId="34" xfId="92" applyNumberFormat="1" applyFont="1" applyFill="1" applyBorder="1" applyAlignment="1">
      <alignment vertical="center" wrapText="1"/>
    </xf>
    <xf numFmtId="165" fontId="28" fillId="0" borderId="173" xfId="96" applyNumberFormat="1" applyFont="1" applyFill="1" applyBorder="1" applyAlignment="1">
      <alignment horizontal="right" vertical="center" wrapText="1"/>
    </xf>
    <xf numFmtId="3" fontId="21" fillId="0" borderId="0" xfId="92" applyNumberFormat="1" applyFont="1" applyFill="1" applyBorder="1" applyAlignment="1">
      <alignment vertical="center" wrapText="1"/>
    </xf>
    <xf numFmtId="166" fontId="21" fillId="0" borderId="0" xfId="92" applyNumberFormat="1" applyFont="1" applyAlignment="1">
      <alignment vertical="center" wrapText="1"/>
    </xf>
    <xf numFmtId="166" fontId="21" fillId="0" borderId="0" xfId="92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/>
    </xf>
    <xf numFmtId="0" fontId="45" fillId="0" borderId="80" xfId="0" applyFont="1" applyFill="1" applyBorder="1" applyAlignment="1">
      <alignment horizontal="center" vertical="center" wrapText="1"/>
    </xf>
    <xf numFmtId="0" fontId="45" fillId="0" borderId="49" xfId="0" applyFont="1" applyFill="1" applyBorder="1" applyAlignment="1">
      <alignment horizontal="left" vertical="center" wrapText="1"/>
    </xf>
    <xf numFmtId="0" fontId="45" fillId="0" borderId="60" xfId="0" applyFont="1" applyFill="1" applyBorder="1" applyAlignment="1">
      <alignment horizontal="left" vertical="center" wrapText="1"/>
    </xf>
    <xf numFmtId="0" fontId="45" fillId="0" borderId="59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vertical="center"/>
    </xf>
    <xf numFmtId="3" fontId="45" fillId="0" borderId="33" xfId="0" applyNumberFormat="1" applyFont="1" applyFill="1" applyBorder="1" applyAlignment="1">
      <alignment horizontal="right" vertical="center" wrapText="1"/>
    </xf>
    <xf numFmtId="3" fontId="44" fillId="0" borderId="49" xfId="0" applyNumberFormat="1" applyFont="1" applyFill="1" applyBorder="1" applyAlignment="1">
      <alignment vertical="center"/>
    </xf>
    <xf numFmtId="3" fontId="44" fillId="0" borderId="50" xfId="0" applyNumberFormat="1" applyFont="1" applyFill="1" applyBorder="1" applyAlignment="1">
      <alignment vertical="center"/>
    </xf>
    <xf numFmtId="3" fontId="45" fillId="0" borderId="30" xfId="0" applyNumberFormat="1" applyFont="1" applyFill="1" applyBorder="1" applyAlignment="1">
      <alignment horizontal="right" vertical="center" wrapText="1"/>
    </xf>
    <xf numFmtId="3" fontId="44" fillId="0" borderId="60" xfId="0" applyNumberFormat="1" applyFont="1" applyFill="1" applyBorder="1" applyAlignment="1">
      <alignment vertical="center"/>
    </xf>
    <xf numFmtId="3" fontId="44" fillId="0" borderId="48" xfId="0" applyNumberFormat="1" applyFont="1" applyFill="1" applyBorder="1" applyAlignment="1">
      <alignment vertical="center"/>
    </xf>
    <xf numFmtId="3" fontId="45" fillId="0" borderId="31" xfId="0" applyNumberFormat="1" applyFont="1" applyFill="1" applyBorder="1" applyAlignment="1">
      <alignment horizontal="right" vertical="center" wrapText="1"/>
    </xf>
    <xf numFmtId="3" fontId="44" fillId="0" borderId="59" xfId="0" applyNumberFormat="1" applyFont="1" applyFill="1" applyBorder="1" applyAlignment="1">
      <alignment vertical="center"/>
    </xf>
    <xf numFmtId="3" fontId="44" fillId="0" borderId="6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right"/>
    </xf>
    <xf numFmtId="0" fontId="21" fillId="0" borderId="0" xfId="92" applyFont="1" applyAlignment="1">
      <alignment vertical="center"/>
    </xf>
    <xf numFmtId="0" fontId="21" fillId="0" borderId="0" xfId="92" applyFont="1" applyBorder="1" applyAlignment="1">
      <alignment vertical="center"/>
    </xf>
    <xf numFmtId="3" fontId="28" fillId="0" borderId="191" xfId="92" applyNumberFormat="1" applyFont="1" applyBorder="1" applyAlignment="1">
      <alignment horizontal="center" vertical="center"/>
    </xf>
    <xf numFmtId="3" fontId="28" fillId="0" borderId="196" xfId="92" applyNumberFormat="1" applyFont="1" applyBorder="1" applyAlignment="1">
      <alignment horizontal="center" vertical="center"/>
    </xf>
    <xf numFmtId="0" fontId="21" fillId="0" borderId="195" xfId="92" applyFont="1" applyBorder="1" applyAlignment="1">
      <alignment vertical="center"/>
    </xf>
    <xf numFmtId="3" fontId="21" fillId="0" borderId="33" xfId="92" applyNumberFormat="1" applyFont="1" applyBorder="1"/>
    <xf numFmtId="3" fontId="21" fillId="0" borderId="67" xfId="92" applyNumberFormat="1" applyFont="1" applyBorder="1"/>
    <xf numFmtId="3" fontId="29" fillId="0" borderId="30" xfId="92" applyNumberFormat="1" applyFont="1" applyBorder="1"/>
    <xf numFmtId="3" fontId="29" fillId="0" borderId="16" xfId="92" applyNumberFormat="1" applyFont="1" applyBorder="1"/>
    <xf numFmtId="0" fontId="29" fillId="0" borderId="0" xfId="92" applyFont="1"/>
    <xf numFmtId="3" fontId="29" fillId="0" borderId="31" xfId="92" applyNumberFormat="1" applyFont="1" applyBorder="1"/>
    <xf numFmtId="3" fontId="21" fillId="0" borderId="14" xfId="92" applyNumberFormat="1" applyFont="1" applyBorder="1"/>
    <xf numFmtId="0" fontId="21" fillId="0" borderId="15" xfId="92" applyFont="1" applyBorder="1" applyAlignment="1">
      <alignment vertical="center"/>
    </xf>
    <xf numFmtId="3" fontId="29" fillId="0" borderId="51" xfId="92" applyNumberFormat="1" applyFont="1" applyBorder="1"/>
    <xf numFmtId="0" fontId="21" fillId="0" borderId="28" xfId="92" applyFont="1" applyBorder="1" applyAlignment="1">
      <alignment vertical="center"/>
    </xf>
    <xf numFmtId="3" fontId="21" fillId="0" borderId="88" xfId="92" applyNumberFormat="1" applyFont="1" applyBorder="1"/>
    <xf numFmtId="3" fontId="21" fillId="0" borderId="68" xfId="92" applyNumberFormat="1" applyFont="1" applyBorder="1"/>
    <xf numFmtId="3" fontId="28" fillId="0" borderId="14" xfId="92" applyNumberFormat="1" applyFont="1" applyBorder="1"/>
    <xf numFmtId="0" fontId="28" fillId="0" borderId="0" xfId="92" applyFont="1"/>
    <xf numFmtId="3" fontId="21" fillId="0" borderId="0" xfId="92" applyNumberFormat="1" applyFont="1"/>
    <xf numFmtId="3" fontId="28" fillId="0" borderId="0" xfId="92" applyNumberFormat="1" applyFont="1"/>
    <xf numFmtId="3" fontId="21" fillId="0" borderId="30" xfId="92" applyNumberFormat="1" applyFont="1" applyBorder="1"/>
    <xf numFmtId="3" fontId="21" fillId="0" borderId="16" xfId="92" applyNumberFormat="1" applyFont="1" applyBorder="1"/>
    <xf numFmtId="0" fontId="21" fillId="0" borderId="13" xfId="92" applyFont="1" applyBorder="1" applyAlignment="1">
      <alignment vertical="center"/>
    </xf>
    <xf numFmtId="3" fontId="21" fillId="0" borderId="16" xfId="92" applyNumberFormat="1" applyFont="1" applyFill="1" applyBorder="1"/>
    <xf numFmtId="0" fontId="28" fillId="0" borderId="25" xfId="92" applyFont="1" applyBorder="1" applyAlignment="1">
      <alignment vertical="center"/>
    </xf>
    <xf numFmtId="0" fontId="26" fillId="0" borderId="0" xfId="92" applyFont="1" applyFill="1"/>
    <xf numFmtId="166" fontId="21" fillId="0" borderId="100" xfId="92" applyNumberFormat="1" applyFont="1" applyBorder="1" applyAlignment="1">
      <alignment horizontal="center" vertical="center" wrapText="1"/>
    </xf>
    <xf numFmtId="3" fontId="28" fillId="0" borderId="93" xfId="92" applyNumberFormat="1" applyFont="1" applyFill="1" applyBorder="1" applyAlignment="1">
      <alignment horizontal="center" vertical="center" wrapText="1"/>
    </xf>
    <xf numFmtId="3" fontId="28" fillId="0" borderId="95" xfId="92" applyNumberFormat="1" applyFont="1" applyFill="1" applyBorder="1" applyAlignment="1">
      <alignment horizontal="center" vertical="center" wrapText="1"/>
    </xf>
    <xf numFmtId="0" fontId="28" fillId="0" borderId="80" xfId="92" applyFont="1" applyBorder="1" applyAlignment="1">
      <alignment horizontal="center" vertical="center" wrapText="1"/>
    </xf>
    <xf numFmtId="0" fontId="28" fillId="0" borderId="49" xfId="92" applyFont="1" applyBorder="1" applyAlignment="1">
      <alignment horizontal="left" wrapText="1"/>
    </xf>
    <xf numFmtId="0" fontId="21" fillId="0" borderId="49" xfId="92" applyFont="1" applyBorder="1" applyAlignment="1">
      <alignment vertical="center"/>
    </xf>
    <xf numFmtId="0" fontId="21" fillId="0" borderId="50" xfId="92" applyFont="1" applyBorder="1" applyAlignment="1">
      <alignment vertical="center"/>
    </xf>
    <xf numFmtId="0" fontId="21" fillId="0" borderId="72" xfId="92" applyFont="1" applyBorder="1" applyAlignment="1">
      <alignment horizontal="center" vertical="top" wrapText="1"/>
    </xf>
    <xf numFmtId="0" fontId="21" fillId="0" borderId="60" xfId="92" applyFont="1" applyBorder="1" applyAlignment="1">
      <alignment horizontal="left" vertical="top" wrapText="1"/>
    </xf>
    <xf numFmtId="3" fontId="21" fillId="0" borderId="60" xfId="92" applyNumberFormat="1" applyFont="1" applyBorder="1" applyAlignment="1">
      <alignment horizontal="right" vertical="top" wrapText="1"/>
    </xf>
    <xf numFmtId="3" fontId="21" fillId="0" borderId="48" xfId="92" applyNumberFormat="1" applyFont="1" applyBorder="1" applyAlignment="1">
      <alignment horizontal="right" vertical="top" wrapText="1"/>
    </xf>
    <xf numFmtId="0" fontId="21" fillId="0" borderId="81" xfId="92" applyFont="1" applyBorder="1" applyAlignment="1">
      <alignment horizontal="center" vertical="top" wrapText="1"/>
    </xf>
    <xf numFmtId="0" fontId="21" fillId="0" borderId="59" xfId="92" applyFont="1" applyBorder="1" applyAlignment="1">
      <alignment horizontal="left" vertical="top" wrapText="1"/>
    </xf>
    <xf numFmtId="3" fontId="21" fillId="0" borderId="59" xfId="92" applyNumberFormat="1" applyFont="1" applyBorder="1" applyAlignment="1">
      <alignment horizontal="right" vertical="top" wrapText="1"/>
    </xf>
    <xf numFmtId="3" fontId="21" fillId="0" borderId="61" xfId="92" applyNumberFormat="1" applyFont="1" applyBorder="1" applyAlignment="1">
      <alignment horizontal="right" vertical="top" wrapText="1"/>
    </xf>
    <xf numFmtId="0" fontId="21" fillId="0" borderId="80" xfId="92" applyFont="1" applyBorder="1" applyAlignment="1">
      <alignment horizontal="center" vertical="top" wrapText="1"/>
    </xf>
    <xf numFmtId="0" fontId="21" fillId="0" borderId="49" xfId="92" applyFont="1" applyBorder="1" applyAlignment="1">
      <alignment horizontal="left" vertical="top" wrapText="1"/>
    </xf>
    <xf numFmtId="3" fontId="21" fillId="0" borderId="49" xfId="92" applyNumberFormat="1" applyFont="1" applyBorder="1" applyAlignment="1">
      <alignment horizontal="right" vertical="top" wrapText="1"/>
    </xf>
    <xf numFmtId="3" fontId="21" fillId="0" borderId="50" xfId="92" applyNumberFormat="1" applyFont="1" applyBorder="1" applyAlignment="1">
      <alignment horizontal="right" vertical="top" wrapText="1"/>
    </xf>
    <xf numFmtId="0" fontId="28" fillId="0" borderId="80" xfId="92" applyFont="1" applyBorder="1" applyAlignment="1">
      <alignment horizontal="center" vertical="top" wrapText="1"/>
    </xf>
    <xf numFmtId="0" fontId="28" fillId="0" borderId="49" xfId="92" applyFont="1" applyBorder="1" applyAlignment="1">
      <alignment horizontal="left" vertical="top" wrapText="1"/>
    </xf>
    <xf numFmtId="0" fontId="21" fillId="0" borderId="49" xfId="92" applyFont="1" applyBorder="1"/>
    <xf numFmtId="0" fontId="21" fillId="0" borderId="50" xfId="92" applyFont="1" applyBorder="1"/>
    <xf numFmtId="0" fontId="28" fillId="0" borderId="194" xfId="92" applyFont="1" applyBorder="1" applyAlignment="1">
      <alignment horizontal="center" vertical="top" wrapText="1"/>
    </xf>
    <xf numFmtId="0" fontId="28" fillId="0" borderId="98" xfId="92" applyFont="1" applyBorder="1" applyAlignment="1">
      <alignment horizontal="left" vertical="top" wrapText="1"/>
    </xf>
    <xf numFmtId="3" fontId="28" fillId="0" borderId="98" xfId="92" applyNumberFormat="1" applyFont="1" applyBorder="1" applyAlignment="1">
      <alignment horizontal="right" vertical="top" wrapText="1"/>
    </xf>
    <xf numFmtId="0" fontId="38" fillId="0" borderId="82" xfId="95" applyFont="1" applyFill="1" applyBorder="1" applyAlignment="1" applyProtection="1">
      <alignment horizontal="center" vertical="center" wrapText="1"/>
    </xf>
    <xf numFmtId="0" fontId="38" fillId="0" borderId="84" xfId="95" applyFont="1" applyFill="1" applyBorder="1" applyAlignment="1" applyProtection="1">
      <alignment horizontal="center" vertical="center" wrapText="1"/>
    </xf>
    <xf numFmtId="0" fontId="38" fillId="0" borderId="85" xfId="95" applyFont="1" applyFill="1" applyBorder="1" applyAlignment="1" applyProtection="1">
      <alignment horizontal="center" vertical="center" wrapText="1"/>
    </xf>
    <xf numFmtId="0" fontId="28" fillId="0" borderId="100" xfId="95" applyFont="1" applyFill="1" applyBorder="1" applyAlignment="1" applyProtection="1">
      <alignment vertical="center" wrapText="1"/>
    </xf>
    <xf numFmtId="169" fontId="28" fillId="0" borderId="93" xfId="94" applyNumberFormat="1" applyFont="1" applyFill="1" applyBorder="1" applyAlignment="1" applyProtection="1">
      <alignment horizontal="center" vertical="center"/>
    </xf>
    <xf numFmtId="170" fontId="28" fillId="0" borderId="95" xfId="95" applyNumberFormat="1" applyFont="1" applyFill="1" applyBorder="1" applyAlignment="1" applyProtection="1">
      <alignment horizontal="right" vertical="center" wrapText="1"/>
      <protection locked="0"/>
    </xf>
    <xf numFmtId="3" fontId="28" fillId="0" borderId="0" xfId="92" applyNumberFormat="1" applyFont="1" applyFill="1" applyBorder="1" applyAlignment="1">
      <alignment vertical="center" wrapText="1"/>
    </xf>
    <xf numFmtId="166" fontId="28" fillId="0" borderId="0" xfId="92" applyNumberFormat="1" applyFont="1" applyFill="1" applyBorder="1" applyAlignment="1">
      <alignment horizontal="right" vertical="center" wrapText="1"/>
    </xf>
    <xf numFmtId="0" fontId="28" fillId="0" borderId="82" xfId="95" applyFont="1" applyFill="1" applyBorder="1" applyAlignment="1" applyProtection="1">
      <alignment vertical="center" wrapText="1"/>
    </xf>
    <xf numFmtId="169" fontId="28" fillId="0" borderId="84" xfId="94" applyNumberFormat="1" applyFont="1" applyFill="1" applyBorder="1" applyAlignment="1" applyProtection="1">
      <alignment horizontal="center" vertical="center"/>
    </xf>
    <xf numFmtId="170" fontId="28" fillId="0" borderId="84" xfId="95" applyNumberFormat="1" applyFont="1" applyFill="1" applyBorder="1" applyAlignment="1" applyProtection="1">
      <alignment horizontal="right" vertical="center" wrapText="1"/>
    </xf>
    <xf numFmtId="170" fontId="28" fillId="0" borderId="85" xfId="95" applyNumberFormat="1" applyFont="1" applyFill="1" applyBorder="1" applyAlignment="1" applyProtection="1">
      <alignment horizontal="right" vertical="center" wrapText="1"/>
    </xf>
    <xf numFmtId="49" fontId="48" fillId="0" borderId="82" xfId="94" applyNumberFormat="1" applyFont="1" applyFill="1" applyBorder="1" applyAlignment="1" applyProtection="1">
      <alignment horizontal="center" vertical="center" wrapText="1"/>
    </xf>
    <xf numFmtId="49" fontId="48" fillId="0" borderId="84" xfId="94" applyNumberFormat="1" applyFont="1" applyFill="1" applyBorder="1" applyAlignment="1" applyProtection="1">
      <alignment horizontal="center" vertical="center"/>
    </xf>
    <xf numFmtId="49" fontId="48" fillId="0" borderId="85" xfId="94" applyNumberFormat="1" applyFont="1" applyFill="1" applyBorder="1" applyAlignment="1" applyProtection="1">
      <alignment horizontal="center" vertical="center"/>
    </xf>
    <xf numFmtId="169" fontId="49" fillId="0" borderId="179" xfId="94" applyNumberFormat="1" applyFont="1" applyFill="1" applyBorder="1" applyAlignment="1" applyProtection="1">
      <alignment horizontal="center" vertical="center"/>
    </xf>
    <xf numFmtId="171" fontId="49" fillId="0" borderId="171" xfId="94" applyNumberFormat="1" applyFont="1" applyFill="1" applyBorder="1" applyAlignment="1" applyProtection="1">
      <alignment vertical="center"/>
      <protection locked="0"/>
    </xf>
    <xf numFmtId="0" fontId="48" fillId="0" borderId="82" xfId="94" applyFont="1" applyFill="1" applyBorder="1" applyAlignment="1" applyProtection="1">
      <alignment horizontal="left" vertical="center" wrapText="1"/>
    </xf>
    <xf numFmtId="169" fontId="49" fillId="0" borderId="84" xfId="94" applyNumberFormat="1" applyFont="1" applyFill="1" applyBorder="1" applyAlignment="1" applyProtection="1">
      <alignment horizontal="center" vertical="center"/>
    </xf>
    <xf numFmtId="171" fontId="48" fillId="0" borderId="85" xfId="94" applyNumberFormat="1" applyFont="1" applyFill="1" applyBorder="1" applyAlignment="1" applyProtection="1">
      <alignment vertical="center"/>
    </xf>
    <xf numFmtId="0" fontId="28" fillId="0" borderId="164" xfId="95" applyFont="1" applyFill="1" applyBorder="1" applyAlignment="1">
      <alignment horizontal="center" vertical="center"/>
    </xf>
    <xf numFmtId="0" fontId="28" fillId="0" borderId="165" xfId="95" applyFont="1" applyFill="1" applyBorder="1" applyAlignment="1">
      <alignment horizontal="center" vertical="center" wrapText="1"/>
    </xf>
    <xf numFmtId="0" fontId="28" fillId="0" borderId="168" xfId="95" applyFont="1" applyFill="1" applyBorder="1" applyAlignment="1">
      <alignment horizontal="center" vertical="center" wrapText="1"/>
    </xf>
    <xf numFmtId="0" fontId="28" fillId="0" borderId="58" xfId="95" applyFont="1" applyFill="1" applyBorder="1" applyAlignment="1">
      <alignment horizontal="center" vertical="center"/>
    </xf>
    <xf numFmtId="0" fontId="28" fillId="0" borderId="34" xfId="95" applyFont="1" applyFill="1" applyBorder="1" applyAlignment="1">
      <alignment horizontal="center" vertical="center" wrapText="1"/>
    </xf>
    <xf numFmtId="0" fontId="28" fillId="0" borderId="35" xfId="95" applyFont="1" applyFill="1" applyBorder="1" applyAlignment="1">
      <alignment horizontal="center" vertical="center" wrapText="1"/>
    </xf>
    <xf numFmtId="0" fontId="21" fillId="0" borderId="179" xfId="95" applyFont="1" applyFill="1" applyBorder="1" applyAlignment="1">
      <alignment horizontal="right" indent="1"/>
    </xf>
    <xf numFmtId="3" fontId="21" fillId="0" borderId="179" xfId="95" applyNumberFormat="1" applyFont="1" applyFill="1" applyBorder="1" applyProtection="1">
      <protection locked="0"/>
    </xf>
    <xf numFmtId="3" fontId="21" fillId="0" borderId="171" xfId="95" applyNumberFormat="1" applyFont="1" applyFill="1" applyBorder="1" applyProtection="1">
      <protection locked="0"/>
    </xf>
    <xf numFmtId="0" fontId="21" fillId="0" borderId="44" xfId="95" applyFont="1" applyFill="1" applyBorder="1" applyProtection="1">
      <protection locked="0"/>
    </xf>
    <xf numFmtId="0" fontId="21" fillId="0" borderId="42" xfId="95" applyFont="1" applyFill="1" applyBorder="1" applyAlignment="1">
      <alignment horizontal="right" indent="1"/>
    </xf>
    <xf numFmtId="3" fontId="21" fillId="0" borderId="42" xfId="95" applyNumberFormat="1" applyFont="1" applyFill="1" applyBorder="1" applyProtection="1">
      <protection locked="0"/>
    </xf>
    <xf numFmtId="3" fontId="21" fillId="0" borderId="43" xfId="95" applyNumberFormat="1" applyFont="1" applyFill="1" applyBorder="1" applyProtection="1">
      <protection locked="0"/>
    </xf>
    <xf numFmtId="0" fontId="28" fillId="0" borderId="58" xfId="95" applyFont="1" applyFill="1" applyBorder="1" applyProtection="1">
      <protection locked="0"/>
    </xf>
    <xf numFmtId="0" fontId="21" fillId="0" borderId="34" xfId="95" applyFont="1" applyFill="1" applyBorder="1" applyAlignment="1">
      <alignment horizontal="right" indent="1"/>
    </xf>
    <xf numFmtId="3" fontId="21" fillId="0" borderId="34" xfId="95" applyNumberFormat="1" applyFont="1" applyFill="1" applyBorder="1" applyProtection="1">
      <protection locked="0"/>
    </xf>
    <xf numFmtId="171" fontId="28" fillId="0" borderId="35" xfId="94" applyNumberFormat="1" applyFont="1" applyFill="1" applyBorder="1" applyAlignment="1" applyProtection="1">
      <alignment vertical="center"/>
    </xf>
    <xf numFmtId="0" fontId="21" fillId="0" borderId="162" xfId="95" applyFont="1" applyFill="1" applyBorder="1" applyProtection="1">
      <protection locked="0"/>
    </xf>
    <xf numFmtId="3" fontId="21" fillId="0" borderId="197" xfId="95" applyNumberFormat="1" applyFont="1" applyFill="1" applyBorder="1"/>
    <xf numFmtId="0" fontId="29" fillId="0" borderId="0" xfId="95" applyFont="1" applyFill="1"/>
    <xf numFmtId="0" fontId="21" fillId="0" borderId="0" xfId="95" applyFont="1" applyFill="1"/>
    <xf numFmtId="0" fontId="21" fillId="0" borderId="0" xfId="92" applyFont="1" applyFill="1" applyAlignment="1">
      <alignment vertical="center"/>
    </xf>
    <xf numFmtId="3" fontId="28" fillId="0" borderId="79" xfId="92" applyNumberFormat="1" applyFont="1" applyBorder="1" applyAlignment="1">
      <alignment horizontal="center" vertical="center"/>
    </xf>
    <xf numFmtId="3" fontId="28" fillId="0" borderId="79" xfId="92" applyNumberFormat="1" applyFont="1" applyBorder="1" applyAlignment="1">
      <alignment horizontal="center" vertical="center" wrapText="1"/>
    </xf>
    <xf numFmtId="3" fontId="28" fillId="0" borderId="155" xfId="92" applyNumberFormat="1" applyFont="1" applyBorder="1" applyAlignment="1">
      <alignment horizontal="center" vertical="center"/>
    </xf>
    <xf numFmtId="3" fontId="21" fillId="0" borderId="39" xfId="92" applyNumberFormat="1" applyFont="1" applyFill="1" applyBorder="1" applyAlignment="1">
      <alignment horizontal="right" vertical="center" wrapText="1"/>
    </xf>
    <xf numFmtId="3" fontId="21" fillId="0" borderId="40" xfId="92" applyNumberFormat="1" applyFont="1" applyFill="1" applyBorder="1" applyAlignment="1">
      <alignment horizontal="right" vertical="center" wrapText="1"/>
    </xf>
    <xf numFmtId="3" fontId="21" fillId="0" borderId="60" xfId="92" applyNumberFormat="1" applyFont="1" applyFill="1" applyBorder="1" applyAlignment="1">
      <alignment horizontal="right" vertical="center" wrapText="1"/>
    </xf>
    <xf numFmtId="3" fontId="21" fillId="0" borderId="48" xfId="92" applyNumberFormat="1" applyFont="1" applyFill="1" applyBorder="1" applyAlignment="1">
      <alignment horizontal="right" vertical="center" wrapText="1"/>
    </xf>
    <xf numFmtId="3" fontId="21" fillId="0" borderId="59" xfId="92" applyNumberFormat="1" applyFont="1" applyFill="1" applyBorder="1" applyAlignment="1">
      <alignment horizontal="right" vertical="center" wrapText="1"/>
    </xf>
    <xf numFmtId="3" fontId="21" fillId="0" borderId="61" xfId="92" applyNumberFormat="1" applyFont="1" applyFill="1" applyBorder="1" applyAlignment="1">
      <alignment horizontal="right" vertical="center" wrapText="1"/>
    </xf>
    <xf numFmtId="0" fontId="28" fillId="0" borderId="0" xfId="92" applyFont="1" applyFill="1" applyAlignment="1">
      <alignment vertical="center"/>
    </xf>
    <xf numFmtId="3" fontId="21" fillId="0" borderId="49" xfId="92" applyNumberFormat="1" applyFont="1" applyFill="1" applyBorder="1" applyAlignment="1">
      <alignment horizontal="right" vertical="center" wrapText="1"/>
    </xf>
    <xf numFmtId="3" fontId="21" fillId="0" borderId="50" xfId="92" applyNumberFormat="1" applyFont="1" applyFill="1" applyBorder="1" applyAlignment="1">
      <alignment horizontal="right" vertical="center" wrapText="1"/>
    </xf>
    <xf numFmtId="0" fontId="28" fillId="0" borderId="100" xfId="92" applyFont="1" applyFill="1" applyBorder="1" applyAlignment="1">
      <alignment horizontal="center" vertical="center" wrapText="1"/>
    </xf>
    <xf numFmtId="0" fontId="28" fillId="0" borderId="93" xfId="92" applyFont="1" applyFill="1" applyBorder="1" applyAlignment="1">
      <alignment horizontal="center" vertical="center" wrapText="1"/>
    </xf>
    <xf numFmtId="0" fontId="28" fillId="0" borderId="95" xfId="92" applyFont="1" applyFill="1" applyBorder="1" applyAlignment="1">
      <alignment horizontal="center" vertical="center" wrapText="1"/>
    </xf>
    <xf numFmtId="0" fontId="21" fillId="0" borderId="0" xfId="92" applyFont="1" applyFill="1" applyAlignment="1">
      <alignment horizontal="center" vertical="center" wrapText="1"/>
    </xf>
    <xf numFmtId="0" fontId="21" fillId="0" borderId="80" xfId="92" applyFont="1" applyFill="1" applyBorder="1" applyAlignment="1">
      <alignment horizontal="center" vertical="center" wrapText="1"/>
    </xf>
    <xf numFmtId="0" fontId="28" fillId="0" borderId="49" xfId="92" applyFont="1" applyFill="1" applyBorder="1" applyAlignment="1">
      <alignment horizontal="left" vertical="center" wrapText="1" indent="1"/>
    </xf>
    <xf numFmtId="3" fontId="28" fillId="0" borderId="49" xfId="92" applyNumberFormat="1" applyFont="1" applyFill="1" applyBorder="1" applyAlignment="1">
      <alignment horizontal="center" vertical="center" wrapText="1"/>
    </xf>
    <xf numFmtId="3" fontId="28" fillId="0" borderId="50" xfId="92" applyNumberFormat="1" applyFont="1" applyFill="1" applyBorder="1" applyAlignment="1">
      <alignment horizontal="center" vertical="center" wrapText="1"/>
    </xf>
    <xf numFmtId="0" fontId="28" fillId="0" borderId="0" xfId="92" applyFont="1" applyFill="1" applyAlignment="1">
      <alignment horizontal="center" vertical="center" wrapText="1"/>
    </xf>
    <xf numFmtId="0" fontId="29" fillId="0" borderId="72" xfId="92" applyFont="1" applyFill="1" applyBorder="1" applyAlignment="1">
      <alignment horizontal="center" vertical="center" wrapText="1"/>
    </xf>
    <xf numFmtId="0" fontId="29" fillId="0" borderId="60" xfId="92" applyFont="1" applyFill="1" applyBorder="1" applyAlignment="1">
      <alignment horizontal="left" vertical="center" wrapText="1" indent="2"/>
    </xf>
    <xf numFmtId="3" fontId="29" fillId="0" borderId="60" xfId="92" applyNumberFormat="1" applyFont="1" applyFill="1" applyBorder="1" applyAlignment="1">
      <alignment horizontal="center" vertical="center" wrapText="1"/>
    </xf>
    <xf numFmtId="3" fontId="38" fillId="0" borderId="48" xfId="92" applyNumberFormat="1" applyFont="1" applyFill="1" applyBorder="1" applyAlignment="1">
      <alignment horizontal="center" vertical="center" wrapText="1"/>
    </xf>
    <xf numFmtId="0" fontId="29" fillId="0" borderId="0" xfId="92" applyFont="1" applyFill="1" applyAlignment="1">
      <alignment horizontal="center" vertical="center" wrapText="1"/>
    </xf>
    <xf numFmtId="0" fontId="21" fillId="0" borderId="72" xfId="92" applyFont="1" applyFill="1" applyBorder="1" applyAlignment="1">
      <alignment horizontal="center" vertical="center" wrapText="1"/>
    </xf>
    <xf numFmtId="0" fontId="21" fillId="0" borderId="60" xfId="92" applyFont="1" applyFill="1" applyBorder="1" applyAlignment="1">
      <alignment horizontal="left" vertical="center" wrapText="1" indent="1"/>
    </xf>
    <xf numFmtId="3" fontId="21" fillId="0" borderId="60" xfId="92" applyNumberFormat="1" applyFont="1" applyFill="1" applyBorder="1" applyAlignment="1">
      <alignment horizontal="center" vertical="center" wrapText="1"/>
    </xf>
    <xf numFmtId="3" fontId="28" fillId="0" borderId="48" xfId="92" applyNumberFormat="1" applyFont="1" applyFill="1" applyBorder="1" applyAlignment="1">
      <alignment horizontal="center" vertical="center" wrapText="1"/>
    </xf>
    <xf numFmtId="0" fontId="28" fillId="0" borderId="60" xfId="92" applyFont="1" applyFill="1" applyBorder="1" applyAlignment="1">
      <alignment horizontal="left" vertical="center" wrapText="1" indent="1"/>
    </xf>
    <xf numFmtId="3" fontId="28" fillId="0" borderId="60" xfId="92" applyNumberFormat="1" applyFont="1" applyFill="1" applyBorder="1" applyAlignment="1">
      <alignment horizontal="center" vertical="center" wrapText="1"/>
    </xf>
    <xf numFmtId="0" fontId="29" fillId="0" borderId="198" xfId="92" applyFont="1" applyFill="1" applyBorder="1" applyAlignment="1">
      <alignment horizontal="center" vertical="center" wrapText="1"/>
    </xf>
    <xf numFmtId="0" fontId="29" fillId="0" borderId="199" xfId="92" applyFont="1" applyFill="1" applyBorder="1" applyAlignment="1">
      <alignment horizontal="left" vertical="center" wrapText="1" indent="2"/>
    </xf>
    <xf numFmtId="3" fontId="29" fillId="0" borderId="199" xfId="92" applyNumberFormat="1" applyFont="1" applyFill="1" applyBorder="1" applyAlignment="1">
      <alignment horizontal="center" vertical="center" wrapText="1"/>
    </xf>
    <xf numFmtId="3" fontId="38" fillId="0" borderId="200" xfId="92" applyNumberFormat="1" applyFont="1" applyFill="1" applyBorder="1" applyAlignment="1">
      <alignment horizontal="center" vertical="center" wrapText="1"/>
    </xf>
    <xf numFmtId="0" fontId="21" fillId="0" borderId="0" xfId="92" applyFont="1" applyFill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0" fontId="44" fillId="0" borderId="82" xfId="0" applyFont="1" applyFill="1" applyBorder="1" applyAlignment="1">
      <alignment horizontal="center" vertical="center" wrapText="1"/>
    </xf>
    <xf numFmtId="3" fontId="45" fillId="0" borderId="71" xfId="0" applyNumberFormat="1" applyFont="1" applyFill="1" applyBorder="1" applyAlignment="1">
      <alignment horizontal="right" vertical="center" wrapText="1"/>
    </xf>
    <xf numFmtId="3" fontId="45" fillId="0" borderId="64" xfId="0" applyNumberFormat="1" applyFont="1" applyFill="1" applyBorder="1" applyAlignment="1">
      <alignment horizontal="right" vertical="center" wrapText="1"/>
    </xf>
    <xf numFmtId="3" fontId="45" fillId="0" borderId="119" xfId="0" applyNumberFormat="1" applyFont="1" applyFill="1" applyBorder="1" applyAlignment="1">
      <alignment horizontal="right" vertical="center" wrapText="1"/>
    </xf>
    <xf numFmtId="3" fontId="45" fillId="0" borderId="108" xfId="0" applyNumberFormat="1" applyFont="1" applyFill="1" applyBorder="1" applyAlignment="1">
      <alignment horizontal="right" vertical="center" wrapText="1"/>
    </xf>
    <xf numFmtId="3" fontId="44" fillId="0" borderId="203" xfId="0" applyNumberFormat="1" applyFont="1" applyFill="1" applyBorder="1" applyAlignment="1">
      <alignment vertical="center"/>
    </xf>
    <xf numFmtId="0" fontId="44" fillId="0" borderId="207" xfId="0" applyFont="1" applyFill="1" applyBorder="1" applyAlignment="1">
      <alignment horizontal="center" vertical="center" wrapText="1"/>
    </xf>
    <xf numFmtId="3" fontId="44" fillId="0" borderId="204" xfId="0" applyNumberFormat="1" applyFont="1" applyFill="1" applyBorder="1" applyAlignment="1">
      <alignment horizontal="right" vertical="center" wrapText="1"/>
    </xf>
    <xf numFmtId="3" fontId="44" fillId="0" borderId="207" xfId="0" applyNumberFormat="1" applyFont="1" applyFill="1" applyBorder="1" applyAlignment="1">
      <alignment vertical="center"/>
    </xf>
    <xf numFmtId="0" fontId="28" fillId="0" borderId="100" xfId="92" applyFont="1" applyFill="1" applyBorder="1" applyAlignment="1">
      <alignment horizontal="left" vertical="center" wrapText="1"/>
    </xf>
    <xf numFmtId="0" fontId="28" fillId="0" borderId="116" xfId="92" applyFont="1" applyFill="1" applyBorder="1" applyAlignment="1">
      <alignment horizontal="center" vertical="center" wrapText="1"/>
    </xf>
    <xf numFmtId="0" fontId="28" fillId="0" borderId="113" xfId="92" applyFont="1" applyFill="1" applyBorder="1" applyAlignment="1">
      <alignment horizontal="center" vertical="center" wrapText="1"/>
    </xf>
    <xf numFmtId="0" fontId="28" fillId="0" borderId="114" xfId="92" applyFont="1" applyFill="1" applyBorder="1" applyAlignment="1">
      <alignment horizontal="center" vertical="center" wrapText="1"/>
    </xf>
    <xf numFmtId="0" fontId="21" fillId="0" borderId="80" xfId="92" applyFont="1" applyFill="1" applyBorder="1"/>
    <xf numFmtId="3" fontId="21" fillId="0" borderId="64" xfId="92" applyNumberFormat="1" applyFont="1" applyFill="1" applyBorder="1" applyAlignment="1">
      <alignment horizontal="right" vertical="center"/>
    </xf>
    <xf numFmtId="0" fontId="21" fillId="0" borderId="72" xfId="92" applyFont="1" applyFill="1" applyBorder="1"/>
    <xf numFmtId="0" fontId="21" fillId="0" borderId="81" xfId="92" applyFont="1" applyFill="1" applyBorder="1"/>
    <xf numFmtId="0" fontId="28" fillId="0" borderId="82" xfId="92" applyFont="1" applyFill="1" applyBorder="1"/>
    <xf numFmtId="3" fontId="28" fillId="0" borderId="84" xfId="92" applyNumberFormat="1" applyFont="1" applyFill="1" applyBorder="1" applyAlignment="1">
      <alignment horizontal="right" vertical="center"/>
    </xf>
    <xf numFmtId="3" fontId="28" fillId="0" borderId="144" xfId="92" applyNumberFormat="1" applyFont="1" applyFill="1" applyBorder="1" applyAlignment="1">
      <alignment horizontal="right" vertical="center"/>
    </xf>
    <xf numFmtId="0" fontId="21" fillId="0" borderId="0" xfId="92" applyFont="1" applyFill="1"/>
    <xf numFmtId="3" fontId="21" fillId="0" borderId="49" xfId="92" applyNumberFormat="1" applyFont="1" applyFill="1" applyBorder="1"/>
    <xf numFmtId="3" fontId="21" fillId="0" borderId="138" xfId="92" applyNumberFormat="1" applyFont="1" applyFill="1" applyBorder="1"/>
    <xf numFmtId="3" fontId="21" fillId="0" borderId="139" xfId="92" applyNumberFormat="1" applyFont="1" applyFill="1" applyBorder="1"/>
    <xf numFmtId="3" fontId="21" fillId="0" borderId="163" xfId="92" applyNumberFormat="1" applyFont="1" applyFill="1" applyBorder="1"/>
    <xf numFmtId="3" fontId="21" fillId="0" borderId="64" xfId="92" applyNumberFormat="1" applyFont="1" applyFill="1" applyBorder="1"/>
    <xf numFmtId="3" fontId="21" fillId="0" borderId="119" xfId="92" applyNumberFormat="1" applyFont="1" applyFill="1" applyBorder="1"/>
    <xf numFmtId="0" fontId="21" fillId="0" borderId="55" xfId="92" applyFont="1" applyFill="1" applyBorder="1"/>
    <xf numFmtId="3" fontId="21" fillId="0" borderId="135" xfId="92" applyNumberFormat="1" applyFont="1" applyFill="1" applyBorder="1"/>
    <xf numFmtId="3" fontId="28" fillId="0" borderId="84" xfId="92" applyNumberFormat="1" applyFont="1" applyFill="1" applyBorder="1"/>
    <xf numFmtId="3" fontId="28" fillId="0" borderId="148" xfId="92" applyNumberFormat="1" applyFont="1" applyFill="1" applyBorder="1"/>
    <xf numFmtId="3" fontId="28" fillId="0" borderId="85" xfId="92" applyNumberFormat="1" applyFont="1" applyFill="1" applyBorder="1"/>
    <xf numFmtId="0" fontId="21" fillId="0" borderId="80" xfId="0" applyFont="1" applyFill="1" applyBorder="1" applyAlignment="1">
      <alignment horizontal="left" vertical="center" wrapText="1"/>
    </xf>
    <xf numFmtId="0" fontId="38" fillId="0" borderId="165" xfId="94" applyFont="1" applyFill="1" applyBorder="1" applyAlignment="1" applyProtection="1">
      <alignment horizontal="center" vertical="center" textRotation="90"/>
    </xf>
    <xf numFmtId="165" fontId="50" fillId="0" borderId="190" xfId="96" applyNumberFormat="1" applyFont="1" applyFill="1" applyBorder="1" applyAlignment="1">
      <alignment horizontal="right" vertical="center" wrapText="1"/>
    </xf>
    <xf numFmtId="3" fontId="21" fillId="0" borderId="201" xfId="92" applyNumberFormat="1" applyFont="1" applyBorder="1"/>
    <xf numFmtId="3" fontId="28" fillId="0" borderId="201" xfId="92" applyNumberFormat="1" applyFont="1" applyBorder="1"/>
    <xf numFmtId="0" fontId="31" fillId="0" borderId="92" xfId="92" applyFont="1" applyFill="1" applyBorder="1" applyAlignment="1">
      <alignment horizontal="center" vertical="center"/>
    </xf>
    <xf numFmtId="0" fontId="31" fillId="0" borderId="0" xfId="92" applyFont="1" applyFill="1"/>
    <xf numFmtId="0" fontId="26" fillId="0" borderId="21" xfId="92" applyFont="1" applyFill="1" applyBorder="1" applyAlignment="1">
      <alignment horizontal="left" vertical="center"/>
    </xf>
    <xf numFmtId="164" fontId="31" fillId="0" borderId="203" xfId="92" applyNumberFormat="1" applyFont="1" applyFill="1" applyBorder="1" applyAlignment="1">
      <alignment horizontal="center" vertical="center" wrapText="1"/>
    </xf>
    <xf numFmtId="0" fontId="31" fillId="0" borderId="15" xfId="92" applyFont="1" applyFill="1" applyBorder="1" applyAlignment="1">
      <alignment horizontal="left" vertical="center"/>
    </xf>
    <xf numFmtId="164" fontId="31" fillId="0" borderId="49" xfId="92" applyNumberFormat="1" applyFont="1" applyFill="1" applyBorder="1" applyAlignment="1">
      <alignment horizontal="center" vertical="center" wrapText="1"/>
    </xf>
    <xf numFmtId="0" fontId="26" fillId="0" borderId="45" xfId="92" applyFont="1" applyFill="1" applyBorder="1"/>
    <xf numFmtId="0" fontId="26" fillId="0" borderId="46" xfId="92" applyFont="1" applyFill="1" applyBorder="1"/>
    <xf numFmtId="0" fontId="26" fillId="0" borderId="47" xfId="92" applyFont="1" applyFill="1" applyBorder="1"/>
    <xf numFmtId="0" fontId="28" fillId="0" borderId="206" xfId="92" applyFont="1" applyBorder="1" applyAlignment="1">
      <alignment horizontal="center" vertical="top" wrapText="1"/>
    </xf>
    <xf numFmtId="0" fontId="28" fillId="0" borderId="203" xfId="92" applyFont="1" applyBorder="1" applyAlignment="1">
      <alignment horizontal="left" vertical="top" wrapText="1"/>
    </xf>
    <xf numFmtId="3" fontId="28" fillId="0" borderId="203" xfId="92" applyNumberFormat="1" applyFont="1" applyBorder="1" applyAlignment="1">
      <alignment horizontal="right" vertical="top" wrapText="1"/>
    </xf>
    <xf numFmtId="3" fontId="28" fillId="0" borderId="207" xfId="92" applyNumberFormat="1" applyFont="1" applyBorder="1" applyAlignment="1">
      <alignment horizontal="right" vertical="top" wrapText="1"/>
    </xf>
    <xf numFmtId="0" fontId="28" fillId="0" borderId="206" xfId="95" applyFont="1" applyFill="1" applyBorder="1" applyAlignment="1" applyProtection="1">
      <alignment vertical="center" wrapText="1"/>
    </xf>
    <xf numFmtId="169" fontId="28" fillId="0" borderId="203" xfId="94" applyNumberFormat="1" applyFont="1" applyFill="1" applyBorder="1" applyAlignment="1" applyProtection="1">
      <alignment horizontal="center" vertical="center"/>
    </xf>
    <xf numFmtId="170" fontId="28" fillId="0" borderId="203" xfId="95" applyNumberFormat="1" applyFont="1" applyFill="1" applyBorder="1" applyAlignment="1" applyProtection="1">
      <alignment horizontal="right" vertical="center" wrapText="1"/>
    </xf>
    <xf numFmtId="170" fontId="28" fillId="0" borderId="207" xfId="95" applyNumberFormat="1" applyFont="1" applyFill="1" applyBorder="1" applyAlignment="1" applyProtection="1">
      <alignment horizontal="right" vertical="center" wrapText="1"/>
    </xf>
    <xf numFmtId="0" fontId="21" fillId="0" borderId="206" xfId="95" applyFont="1" applyFill="1" applyBorder="1" applyAlignment="1" applyProtection="1">
      <alignment vertical="center" wrapText="1"/>
    </xf>
    <xf numFmtId="169" fontId="21" fillId="0" borderId="203" xfId="94" applyNumberFormat="1" applyFont="1" applyFill="1" applyBorder="1" applyAlignment="1" applyProtection="1">
      <alignment horizontal="center" vertical="center"/>
    </xf>
    <xf numFmtId="170" fontId="21" fillId="0" borderId="203" xfId="95" applyNumberFormat="1" applyFont="1" applyFill="1" applyBorder="1" applyAlignment="1" applyProtection="1">
      <alignment horizontal="right" vertical="center" wrapText="1"/>
    </xf>
    <xf numFmtId="170" fontId="21" fillId="0" borderId="207" xfId="95" applyNumberFormat="1" applyFont="1" applyFill="1" applyBorder="1" applyAlignment="1" applyProtection="1">
      <alignment horizontal="right" vertical="center" wrapText="1"/>
    </xf>
    <xf numFmtId="0" fontId="29" fillId="0" borderId="206" xfId="95" applyFont="1" applyFill="1" applyBorder="1" applyAlignment="1" applyProtection="1">
      <alignment horizontal="left" vertical="center" wrapText="1" indent="1"/>
    </xf>
    <xf numFmtId="170" fontId="38" fillId="0" borderId="203" xfId="95" applyNumberFormat="1" applyFont="1" applyFill="1" applyBorder="1" applyAlignment="1" applyProtection="1">
      <alignment horizontal="right" vertical="center" wrapText="1"/>
      <protection locked="0"/>
    </xf>
    <xf numFmtId="170" fontId="38" fillId="0" borderId="207" xfId="95" applyNumberFormat="1" applyFont="1" applyFill="1" applyBorder="1" applyAlignment="1" applyProtection="1">
      <alignment horizontal="right" vertical="center" wrapText="1"/>
      <protection locked="0"/>
    </xf>
    <xf numFmtId="170" fontId="21" fillId="0" borderId="203" xfId="95" applyNumberFormat="1" applyFont="1" applyFill="1" applyBorder="1" applyAlignment="1" applyProtection="1">
      <alignment horizontal="right" vertical="center" wrapText="1"/>
      <protection locked="0"/>
    </xf>
    <xf numFmtId="170" fontId="21" fillId="0" borderId="207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203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207" xfId="95" applyNumberFormat="1" applyFont="1" applyFill="1" applyBorder="1" applyAlignment="1" applyProtection="1">
      <alignment horizontal="right" vertical="center" wrapText="1"/>
      <protection locked="0"/>
    </xf>
    <xf numFmtId="169" fontId="49" fillId="0" borderId="203" xfId="94" applyNumberFormat="1" applyFont="1" applyFill="1" applyBorder="1" applyAlignment="1" applyProtection="1">
      <alignment horizontal="center" vertical="center"/>
    </xf>
    <xf numFmtId="171" fontId="49" fillId="0" borderId="207" xfId="94" applyNumberFormat="1" applyFont="1" applyFill="1" applyBorder="1" applyAlignment="1" applyProtection="1">
      <alignment vertical="center"/>
      <protection locked="0"/>
    </xf>
    <xf numFmtId="171" fontId="48" fillId="0" borderId="207" xfId="94" applyNumberFormat="1" applyFont="1" applyFill="1" applyBorder="1" applyAlignment="1" applyProtection="1">
      <alignment vertical="center"/>
    </xf>
    <xf numFmtId="0" fontId="21" fillId="0" borderId="206" xfId="95" applyFont="1" applyFill="1" applyBorder="1" applyProtection="1">
      <protection locked="0"/>
    </xf>
    <xf numFmtId="0" fontId="21" fillId="0" borderId="203" xfId="95" applyFont="1" applyFill="1" applyBorder="1" applyAlignment="1">
      <alignment horizontal="right" indent="1"/>
    </xf>
    <xf numFmtId="3" fontId="21" fillId="0" borderId="203" xfId="95" applyNumberFormat="1" applyFont="1" applyFill="1" applyBorder="1" applyProtection="1">
      <protection locked="0"/>
    </xf>
    <xf numFmtId="3" fontId="21" fillId="0" borderId="207" xfId="95" applyNumberFormat="1" applyFont="1" applyFill="1" applyBorder="1" applyProtection="1">
      <protection locked="0"/>
    </xf>
    <xf numFmtId="3" fontId="28" fillId="0" borderId="203" xfId="92" applyNumberFormat="1" applyFont="1" applyFill="1" applyBorder="1" applyAlignment="1">
      <alignment horizontal="right" vertical="center" wrapText="1"/>
    </xf>
    <xf numFmtId="3" fontId="28" fillId="0" borderId="207" xfId="92" applyNumberFormat="1" applyFont="1" applyFill="1" applyBorder="1" applyAlignment="1">
      <alignment horizontal="right" vertical="center" wrapText="1"/>
    </xf>
    <xf numFmtId="10" fontId="28" fillId="0" borderId="38" xfId="54" applyNumberFormat="1" applyFont="1" applyFill="1" applyBorder="1" applyAlignment="1">
      <alignment horizontal="right" vertical="center" shrinkToFit="1"/>
    </xf>
    <xf numFmtId="3" fontId="21" fillId="0" borderId="124" xfId="0" applyNumberFormat="1" applyFont="1" applyFill="1" applyBorder="1"/>
    <xf numFmtId="3" fontId="21" fillId="0" borderId="158" xfId="0" applyNumberFormat="1" applyFont="1" applyFill="1" applyBorder="1"/>
    <xf numFmtId="3" fontId="21" fillId="0" borderId="30" xfId="92" applyNumberFormat="1" applyFont="1" applyFill="1" applyBorder="1"/>
    <xf numFmtId="3" fontId="28" fillId="0" borderId="202" xfId="54" applyNumberFormat="1" applyFont="1" applyFill="1" applyBorder="1" applyAlignment="1">
      <alignment horizontal="center" vertical="center" wrapText="1"/>
    </xf>
    <xf numFmtId="3" fontId="28" fillId="0" borderId="202" xfId="0" applyNumberFormat="1" applyFont="1" applyFill="1" applyBorder="1" applyAlignment="1">
      <alignment vertical="center" wrapText="1"/>
    </xf>
    <xf numFmtId="3" fontId="28" fillId="0" borderId="19" xfId="0" applyNumberFormat="1" applyFont="1" applyFill="1" applyBorder="1" applyAlignment="1">
      <alignment vertical="center" wrapText="1"/>
    </xf>
    <xf numFmtId="3" fontId="28" fillId="0" borderId="33" xfId="0" applyNumberFormat="1" applyFont="1" applyFill="1" applyBorder="1" applyAlignment="1">
      <alignment vertical="center" wrapText="1"/>
    </xf>
    <xf numFmtId="3" fontId="28" fillId="0" borderId="67" xfId="0" applyNumberFormat="1" applyFont="1" applyFill="1" applyBorder="1" applyAlignment="1">
      <alignment vertical="center" wrapText="1"/>
    </xf>
    <xf numFmtId="164" fontId="26" fillId="0" borderId="60" xfId="0" applyNumberFormat="1" applyFont="1" applyFill="1" applyBorder="1" applyAlignment="1">
      <alignment vertical="center" wrapText="1"/>
    </xf>
    <xf numFmtId="3" fontId="21" fillId="0" borderId="108" xfId="92" applyNumberFormat="1" applyFont="1" applyFill="1" applyBorder="1" applyAlignment="1">
      <alignment horizontal="right" vertical="center"/>
    </xf>
    <xf numFmtId="3" fontId="44" fillId="0" borderId="201" xfId="0" applyNumberFormat="1" applyFont="1" applyFill="1" applyBorder="1" applyAlignment="1">
      <alignment horizontal="right" vertical="center" wrapText="1"/>
    </xf>
    <xf numFmtId="3" fontId="21" fillId="0" borderId="79" xfId="92" applyNumberFormat="1" applyFont="1" applyFill="1" applyBorder="1" applyAlignment="1">
      <alignment horizontal="right" vertical="center" wrapText="1"/>
    </xf>
    <xf numFmtId="0" fontId="28" fillId="0" borderId="9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31" fillId="0" borderId="34" xfId="0" applyNumberFormat="1" applyFont="1" applyFill="1" applyBorder="1" applyAlignment="1">
      <alignment horizontal="right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 wrapText="1"/>
    </xf>
    <xf numFmtId="9" fontId="28" fillId="0" borderId="97" xfId="0" applyNumberFormat="1" applyFont="1" applyFill="1" applyBorder="1" applyAlignment="1">
      <alignment horizontal="center" vertical="center" wrapText="1"/>
    </xf>
    <xf numFmtId="9" fontId="28" fillId="0" borderId="95" xfId="0" applyNumberFormat="1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/>
    </xf>
    <xf numFmtId="0" fontId="19" fillId="0" borderId="0" xfId="77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3" fontId="21" fillId="0" borderId="60" xfId="0" applyNumberFormat="1" applyFont="1" applyFill="1" applyBorder="1" applyAlignment="1">
      <alignment vertical="center" wrapText="1"/>
    </xf>
    <xf numFmtId="3" fontId="21" fillId="0" borderId="48" xfId="0" applyNumberFormat="1" applyFont="1" applyFill="1" applyBorder="1" applyAlignment="1">
      <alignment vertical="center" wrapText="1"/>
    </xf>
    <xf numFmtId="9" fontId="21" fillId="0" borderId="74" xfId="0" applyNumberFormat="1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9" fontId="21" fillId="0" borderId="76" xfId="0" applyNumberFormat="1" applyFont="1" applyFill="1" applyBorder="1" applyAlignment="1">
      <alignment vertical="center"/>
    </xf>
    <xf numFmtId="10" fontId="21" fillId="0" borderId="61" xfId="0" applyNumberFormat="1" applyFont="1" applyFill="1" applyBorder="1" applyAlignment="1">
      <alignment horizontal="right" vertical="center"/>
    </xf>
    <xf numFmtId="0" fontId="34" fillId="0" borderId="81" xfId="0" applyFont="1" applyFill="1" applyBorder="1" applyAlignment="1">
      <alignment vertical="center"/>
    </xf>
    <xf numFmtId="0" fontId="34" fillId="0" borderId="59" xfId="0" applyFont="1" applyFill="1" applyBorder="1" applyAlignment="1">
      <alignment vertical="center"/>
    </xf>
    <xf numFmtId="0" fontId="34" fillId="0" borderId="61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3" fontId="28" fillId="0" borderId="37" xfId="0" applyNumberFormat="1" applyFont="1" applyFill="1" applyBorder="1" applyAlignment="1">
      <alignment vertical="center"/>
    </xf>
    <xf numFmtId="3" fontId="28" fillId="0" borderId="77" xfId="0" applyNumberFormat="1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0" fontId="28" fillId="0" borderId="62" xfId="0" applyFont="1" applyFill="1" applyBorder="1" applyAlignment="1">
      <alignment vertical="center"/>
    </xf>
    <xf numFmtId="3" fontId="28" fillId="0" borderId="39" xfId="0" applyNumberFormat="1" applyFont="1" applyFill="1" applyBorder="1" applyAlignment="1">
      <alignment vertical="center"/>
    </xf>
    <xf numFmtId="3" fontId="28" fillId="0" borderId="87" xfId="0" applyNumberFormat="1" applyFont="1" applyFill="1" applyBorder="1" applyAlignment="1">
      <alignment vertical="center"/>
    </xf>
    <xf numFmtId="9" fontId="21" fillId="0" borderId="78" xfId="0" applyNumberFormat="1" applyFont="1" applyFill="1" applyBorder="1" applyAlignment="1">
      <alignment vertical="center"/>
    </xf>
    <xf numFmtId="10" fontId="21" fillId="0" borderId="40" xfId="0" applyNumberFormat="1" applyFont="1" applyFill="1" applyBorder="1" applyAlignment="1">
      <alignment horizontal="right" vertical="center"/>
    </xf>
    <xf numFmtId="0" fontId="28" fillId="0" borderId="56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167" fontId="21" fillId="0" borderId="49" xfId="54" applyNumberFormat="1" applyFont="1" applyFill="1" applyBorder="1" applyAlignment="1">
      <alignment vertical="center"/>
    </xf>
    <xf numFmtId="167" fontId="21" fillId="0" borderId="50" xfId="54" applyNumberFormat="1" applyFont="1" applyFill="1" applyBorder="1" applyAlignment="1">
      <alignment vertical="center"/>
    </xf>
    <xf numFmtId="0" fontId="19" fillId="0" borderId="0" xfId="77" applyFont="1" applyFill="1" applyBorder="1" applyAlignment="1">
      <alignment vertical="center"/>
    </xf>
    <xf numFmtId="0" fontId="21" fillId="0" borderId="13" xfId="0" applyFont="1" applyFill="1" applyBorder="1" applyAlignment="1" applyProtection="1">
      <alignment vertical="center"/>
      <protection locked="0" hidden="1"/>
    </xf>
    <xf numFmtId="167" fontId="21" fillId="0" borderId="60" xfId="54" applyNumberFormat="1" applyFont="1" applyFill="1" applyBorder="1" applyAlignment="1">
      <alignment vertical="center"/>
    </xf>
    <xf numFmtId="167" fontId="21" fillId="0" borderId="48" xfId="54" applyNumberFormat="1" applyFont="1" applyFill="1" applyBorder="1" applyAlignment="1">
      <alignment vertical="center"/>
    </xf>
    <xf numFmtId="167" fontId="21" fillId="0" borderId="60" xfId="54" applyNumberFormat="1" applyFont="1" applyFill="1" applyBorder="1" applyAlignment="1">
      <alignment horizontal="right" vertical="center"/>
    </xf>
    <xf numFmtId="167" fontId="21" fillId="0" borderId="48" xfId="54" applyNumberFormat="1" applyFont="1" applyFill="1" applyBorder="1" applyAlignment="1">
      <alignment horizontal="right" vertical="center"/>
    </xf>
    <xf numFmtId="167" fontId="21" fillId="0" borderId="59" xfId="54" applyNumberFormat="1" applyFont="1" applyFill="1" applyBorder="1" applyAlignment="1">
      <alignment vertical="center"/>
    </xf>
    <xf numFmtId="167" fontId="21" fillId="0" borderId="61" xfId="54" applyNumberFormat="1" applyFont="1" applyFill="1" applyBorder="1" applyAlignment="1">
      <alignment vertical="center"/>
    </xf>
    <xf numFmtId="0" fontId="28" fillId="0" borderId="27" xfId="0" applyFont="1" applyFill="1" applyBorder="1" applyAlignment="1">
      <alignment vertical="center"/>
    </xf>
    <xf numFmtId="10" fontId="21" fillId="0" borderId="85" xfId="54" applyNumberFormat="1" applyFont="1" applyFill="1" applyBorder="1" applyAlignment="1">
      <alignment horizontal="right" vertical="center"/>
    </xf>
    <xf numFmtId="0" fontId="28" fillId="0" borderId="82" xfId="0" applyFont="1" applyFill="1" applyBorder="1" applyAlignment="1">
      <alignment vertical="center"/>
    </xf>
    <xf numFmtId="167" fontId="28" fillId="0" borderId="84" xfId="54" applyNumberFormat="1" applyFont="1" applyFill="1" applyBorder="1" applyAlignment="1">
      <alignment vertical="center"/>
    </xf>
    <xf numFmtId="167" fontId="28" fillId="0" borderId="85" xfId="54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horizontal="center" vertical="center"/>
    </xf>
    <xf numFmtId="3" fontId="28" fillId="0" borderId="58" xfId="0" applyNumberFormat="1" applyFont="1" applyFill="1" applyBorder="1" applyAlignment="1">
      <alignment horizontal="center" vertical="center"/>
    </xf>
    <xf numFmtId="167" fontId="28" fillId="0" borderId="34" xfId="54" applyNumberFormat="1" applyFont="1" applyFill="1" applyBorder="1" applyAlignment="1">
      <alignment vertical="center"/>
    </xf>
    <xf numFmtId="167" fontId="28" fillId="0" borderId="35" xfId="54" applyNumberFormat="1" applyFont="1" applyFill="1" applyBorder="1" applyAlignment="1">
      <alignment vertical="center"/>
    </xf>
    <xf numFmtId="3" fontId="28" fillId="0" borderId="32" xfId="54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justify"/>
    </xf>
    <xf numFmtId="0" fontId="21" fillId="0" borderId="60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0" fontId="21" fillId="0" borderId="59" xfId="0" applyFont="1" applyFill="1" applyBorder="1" applyAlignment="1">
      <alignment horizontal="left" indent="6"/>
    </xf>
    <xf numFmtId="0" fontId="21" fillId="0" borderId="52" xfId="0" applyFont="1" applyFill="1" applyBorder="1" applyAlignment="1">
      <alignment horizontal="left" indent="6"/>
    </xf>
    <xf numFmtId="10" fontId="21" fillId="0" borderId="207" xfId="90" applyNumberFormat="1" applyFont="1" applyFill="1" applyBorder="1"/>
    <xf numFmtId="3" fontId="28" fillId="0" borderId="156" xfId="54" applyNumberFormat="1" applyFont="1" applyFill="1" applyBorder="1" applyAlignment="1">
      <alignment horizontal="center" vertical="center" wrapText="1"/>
    </xf>
    <xf numFmtId="3" fontId="28" fillId="0" borderId="118" xfId="54" applyNumberFormat="1" applyFont="1" applyFill="1" applyBorder="1" applyAlignment="1">
      <alignment horizontal="center" vertical="center" wrapText="1"/>
    </xf>
    <xf numFmtId="3" fontId="28" fillId="0" borderId="117" xfId="54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1" fontId="26" fillId="0" borderId="94" xfId="0" applyNumberFormat="1" applyFont="1" applyFill="1" applyBorder="1" applyAlignment="1">
      <alignment horizontal="center" vertical="center" wrapText="1"/>
    </xf>
    <xf numFmtId="0" fontId="21" fillId="0" borderId="162" xfId="92" applyFont="1" applyFill="1" applyBorder="1"/>
    <xf numFmtId="0" fontId="28" fillId="0" borderId="165" xfId="77" applyFont="1" applyFill="1" applyBorder="1" applyAlignment="1">
      <alignment horizontal="center" vertical="center" wrapText="1"/>
    </xf>
    <xf numFmtId="3" fontId="28" fillId="27" borderId="120" xfId="0" applyNumberFormat="1" applyFont="1" applyFill="1" applyBorder="1" applyAlignment="1">
      <alignment vertical="center" wrapText="1"/>
    </xf>
    <xf numFmtId="3" fontId="28" fillId="0" borderId="201" xfId="92" applyNumberFormat="1" applyFont="1" applyFill="1" applyBorder="1"/>
    <xf numFmtId="3" fontId="28" fillId="0" borderId="14" xfId="92" applyNumberFormat="1" applyFont="1" applyFill="1" applyBorder="1"/>
    <xf numFmtId="1" fontId="21" fillId="0" borderId="0" xfId="0" applyNumberFormat="1" applyFont="1" applyFill="1" applyAlignment="1">
      <alignment vertical="center" wrapText="1"/>
    </xf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9" fillId="0" borderId="119" xfId="0" applyNumberFormat="1" applyFont="1" applyFill="1" applyBorder="1"/>
    <xf numFmtId="3" fontId="29" fillId="0" borderId="47" xfId="0" applyNumberFormat="1" applyFont="1" applyFill="1" applyBorder="1"/>
    <xf numFmtId="0" fontId="21" fillId="0" borderId="60" xfId="0" applyFont="1" applyBorder="1" applyAlignment="1">
      <alignment horizontal="left" indent="6"/>
    </xf>
    <xf numFmtId="0" fontId="21" fillId="0" borderId="18" xfId="0" applyFont="1" applyBorder="1" applyAlignment="1">
      <alignment horizontal="left" indent="6"/>
    </xf>
    <xf numFmtId="0" fontId="21" fillId="0" borderId="59" xfId="0" applyFont="1" applyBorder="1" applyAlignment="1">
      <alignment horizontal="left" indent="6"/>
    </xf>
    <xf numFmtId="3" fontId="21" fillId="0" borderId="189" xfId="92" applyNumberFormat="1" applyFont="1" applyBorder="1" applyAlignment="1">
      <alignment horizontal="right" vertical="top" wrapText="1"/>
    </xf>
    <xf numFmtId="3" fontId="21" fillId="0" borderId="190" xfId="92" applyNumberFormat="1" applyFont="1" applyBorder="1" applyAlignment="1">
      <alignment horizontal="right" vertical="top" wrapText="1"/>
    </xf>
    <xf numFmtId="3" fontId="21" fillId="0" borderId="39" xfId="92" applyNumberFormat="1" applyFont="1" applyBorder="1" applyAlignment="1">
      <alignment horizontal="right" vertical="top" wrapText="1"/>
    </xf>
    <xf numFmtId="3" fontId="21" fillId="0" borderId="174" xfId="92" applyNumberFormat="1" applyFont="1" applyBorder="1" applyAlignment="1">
      <alignment horizontal="right" vertical="top" wrapText="1"/>
    </xf>
    <xf numFmtId="3" fontId="21" fillId="0" borderId="41" xfId="92" applyNumberFormat="1" applyFont="1" applyBorder="1" applyAlignment="1">
      <alignment horizontal="right" vertical="top" wrapText="1"/>
    </xf>
    <xf numFmtId="10" fontId="28" fillId="0" borderId="207" xfId="54" applyNumberFormat="1" applyFont="1" applyFill="1" applyBorder="1" applyAlignment="1">
      <alignment horizontal="right" vertical="center"/>
    </xf>
    <xf numFmtId="3" fontId="28" fillId="0" borderId="93" xfId="92" applyNumberFormat="1" applyFont="1" applyFill="1" applyBorder="1" applyAlignment="1">
      <alignment horizontal="center" vertical="center"/>
    </xf>
    <xf numFmtId="166" fontId="21" fillId="0" borderId="0" xfId="92" applyNumberFormat="1" applyFont="1" applyFill="1" applyAlignment="1">
      <alignment vertical="center" wrapText="1"/>
    </xf>
    <xf numFmtId="166" fontId="28" fillId="0" borderId="0" xfId="92" applyNumberFormat="1" applyFont="1" applyFill="1" applyAlignment="1">
      <alignment vertical="center" wrapText="1"/>
    </xf>
    <xf numFmtId="3" fontId="21" fillId="0" borderId="19" xfId="54" applyNumberFormat="1" applyFont="1" applyFill="1" applyBorder="1" applyAlignment="1">
      <alignment horizontal="right"/>
    </xf>
    <xf numFmtId="3" fontId="21" fillId="0" borderId="33" xfId="54" applyNumberFormat="1" applyFont="1" applyFill="1" applyBorder="1" applyAlignment="1">
      <alignment horizontal="right"/>
    </xf>
    <xf numFmtId="3" fontId="21" fillId="0" borderId="109" xfId="54" applyNumberFormat="1" applyFont="1" applyFill="1" applyBorder="1" applyAlignment="1">
      <alignment horizontal="right"/>
    </xf>
    <xf numFmtId="9" fontId="21" fillId="0" borderId="50" xfId="90" applyFont="1" applyFill="1" applyBorder="1" applyAlignment="1">
      <alignment horizontal="right"/>
    </xf>
    <xf numFmtId="3" fontId="21" fillId="0" borderId="30" xfId="54" applyNumberFormat="1" applyFont="1" applyFill="1" applyBorder="1" applyAlignment="1">
      <alignment horizontal="right"/>
    </xf>
    <xf numFmtId="3" fontId="21" fillId="0" borderId="71" xfId="54" applyNumberFormat="1" applyFont="1" applyFill="1" applyBorder="1" applyAlignment="1">
      <alignment horizontal="right"/>
    </xf>
    <xf numFmtId="165" fontId="21" fillId="0" borderId="50" xfId="90" applyNumberFormat="1" applyFont="1" applyFill="1" applyBorder="1" applyAlignment="1">
      <alignment horizontal="right"/>
    </xf>
    <xf numFmtId="3" fontId="29" fillId="0" borderId="19" xfId="54" applyNumberFormat="1" applyFont="1" applyFill="1" applyBorder="1" applyAlignment="1">
      <alignment horizontal="right"/>
    </xf>
    <xf numFmtId="3" fontId="29" fillId="0" borderId="31" xfId="54" applyNumberFormat="1" applyFont="1" applyFill="1" applyBorder="1" applyAlignment="1">
      <alignment horizontal="right"/>
    </xf>
    <xf numFmtId="3" fontId="29" fillId="0" borderId="120" xfId="54" applyNumberFormat="1" applyFont="1" applyFill="1" applyBorder="1" applyAlignment="1">
      <alignment horizontal="right"/>
    </xf>
    <xf numFmtId="165" fontId="29" fillId="0" borderId="155" xfId="90" applyNumberFormat="1" applyFont="1" applyFill="1" applyBorder="1" applyAlignment="1">
      <alignment horizontal="right"/>
    </xf>
    <xf numFmtId="3" fontId="28" fillId="0" borderId="205" xfId="54" applyNumberFormat="1" applyFont="1" applyFill="1" applyBorder="1" applyAlignment="1">
      <alignment horizontal="right"/>
    </xf>
    <xf numFmtId="3" fontId="28" fillId="0" borderId="201" xfId="54" applyNumberFormat="1" applyFont="1" applyFill="1" applyBorder="1" applyAlignment="1">
      <alignment horizontal="right"/>
    </xf>
    <xf numFmtId="3" fontId="28" fillId="0" borderId="202" xfId="54" applyNumberFormat="1" applyFont="1" applyFill="1" applyBorder="1" applyAlignment="1">
      <alignment horizontal="right"/>
    </xf>
    <xf numFmtId="165" fontId="28" fillId="0" borderId="207" xfId="90" applyNumberFormat="1" applyFont="1" applyFill="1" applyBorder="1" applyAlignment="1">
      <alignment wrapText="1"/>
    </xf>
    <xf numFmtId="9" fontId="21" fillId="0" borderId="48" xfId="90" applyFont="1" applyFill="1" applyBorder="1" applyAlignment="1">
      <alignment horizontal="right"/>
    </xf>
    <xf numFmtId="9" fontId="29" fillId="0" borderId="61" xfId="90" applyFont="1" applyFill="1" applyBorder="1" applyAlignment="1">
      <alignment horizontal="right"/>
    </xf>
    <xf numFmtId="9" fontId="28" fillId="0" borderId="207" xfId="90" applyFont="1" applyFill="1" applyBorder="1" applyAlignment="1">
      <alignment horizontal="right"/>
    </xf>
    <xf numFmtId="3" fontId="21" fillId="0" borderId="23" xfId="54" applyNumberFormat="1" applyFont="1" applyFill="1" applyBorder="1" applyAlignment="1">
      <alignment horizontal="right"/>
    </xf>
    <xf numFmtId="165" fontId="21" fillId="0" borderId="48" xfId="90" applyNumberFormat="1" applyFont="1" applyFill="1" applyBorder="1" applyAlignment="1">
      <alignment horizontal="right"/>
    </xf>
    <xf numFmtId="10" fontId="21" fillId="0" borderId="48" xfId="90" applyNumberFormat="1" applyFont="1" applyFill="1" applyBorder="1" applyAlignment="1">
      <alignment horizontal="right"/>
    </xf>
    <xf numFmtId="3" fontId="21" fillId="0" borderId="30" xfId="0" applyNumberFormat="1" applyFont="1" applyFill="1" applyBorder="1" applyAlignment="1">
      <alignment wrapText="1"/>
    </xf>
    <xf numFmtId="3" fontId="21" fillId="0" borderId="71" xfId="0" applyNumberFormat="1" applyFont="1" applyFill="1" applyBorder="1" applyAlignment="1">
      <alignment wrapText="1"/>
    </xf>
    <xf numFmtId="3" fontId="21" fillId="0" borderId="20" xfId="54" applyNumberFormat="1" applyFont="1" applyFill="1" applyBorder="1" applyAlignment="1">
      <alignment horizontal="right"/>
    </xf>
    <xf numFmtId="3" fontId="21" fillId="0" borderId="31" xfId="0" applyNumberFormat="1" applyFont="1" applyFill="1" applyBorder="1" applyAlignment="1">
      <alignment wrapText="1"/>
    </xf>
    <xf numFmtId="3" fontId="21" fillId="0" borderId="120" xfId="0" applyNumberFormat="1" applyFont="1" applyFill="1" applyBorder="1" applyAlignment="1">
      <alignment wrapText="1"/>
    </xf>
    <xf numFmtId="3" fontId="28" fillId="0" borderId="201" xfId="0" applyNumberFormat="1" applyFont="1" applyFill="1" applyBorder="1" applyAlignment="1">
      <alignment wrapText="1"/>
    </xf>
    <xf numFmtId="3" fontId="28" fillId="0" borderId="202" xfId="0" applyNumberFormat="1" applyFont="1" applyFill="1" applyBorder="1" applyAlignment="1">
      <alignment wrapText="1"/>
    </xf>
    <xf numFmtId="165" fontId="28" fillId="0" borderId="207" xfId="90" applyNumberFormat="1" applyFont="1" applyFill="1" applyBorder="1" applyAlignment="1">
      <alignment horizontal="right"/>
    </xf>
    <xf numFmtId="9" fontId="28" fillId="0" borderId="207" xfId="90" applyFont="1" applyFill="1" applyBorder="1" applyAlignment="1">
      <alignment wrapText="1"/>
    </xf>
    <xf numFmtId="3" fontId="21" fillId="0" borderId="26" xfId="54" applyNumberFormat="1" applyFont="1" applyFill="1" applyBorder="1" applyAlignment="1">
      <alignment horizontal="right"/>
    </xf>
    <xf numFmtId="3" fontId="21" fillId="0" borderId="88" xfId="0" applyNumberFormat="1" applyFont="1" applyFill="1" applyBorder="1" applyAlignment="1">
      <alignment wrapText="1"/>
    </xf>
    <xf numFmtId="3" fontId="21" fillId="0" borderId="128" xfId="0" applyNumberFormat="1" applyFont="1" applyFill="1" applyBorder="1" applyAlignment="1">
      <alignment wrapText="1"/>
    </xf>
    <xf numFmtId="9" fontId="21" fillId="0" borderId="155" xfId="90" applyFont="1" applyFill="1" applyBorder="1" applyAlignment="1">
      <alignment wrapText="1"/>
    </xf>
    <xf numFmtId="3" fontId="28" fillId="27" borderId="205" xfId="54" applyNumberFormat="1" applyFont="1" applyFill="1" applyBorder="1" applyAlignment="1">
      <alignment horizontal="right"/>
    </xf>
    <xf numFmtId="3" fontId="28" fillId="27" borderId="201" xfId="0" applyNumberFormat="1" applyFont="1" applyFill="1" applyBorder="1" applyAlignment="1">
      <alignment wrapText="1"/>
    </xf>
    <xf numFmtId="3" fontId="28" fillId="27" borderId="202" xfId="0" applyNumberFormat="1" applyFont="1" applyFill="1" applyBorder="1" applyAlignment="1">
      <alignment wrapText="1"/>
    </xf>
    <xf numFmtId="9" fontId="28" fillId="27" borderId="207" xfId="90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88" xfId="0" applyNumberFormat="1" applyFont="1" applyFill="1" applyBorder="1" applyAlignment="1">
      <alignment wrapText="1"/>
    </xf>
    <xf numFmtId="3" fontId="28" fillId="0" borderId="128" xfId="0" applyNumberFormat="1" applyFont="1" applyFill="1" applyBorder="1" applyAlignment="1">
      <alignment wrapText="1"/>
    </xf>
    <xf numFmtId="165" fontId="28" fillId="0" borderId="155" xfId="90" applyNumberFormat="1" applyFont="1" applyFill="1" applyBorder="1" applyAlignment="1">
      <alignment wrapText="1"/>
    </xf>
    <xf numFmtId="3" fontId="28" fillId="0" borderId="25" xfId="54" applyNumberFormat="1" applyFont="1" applyFill="1" applyBorder="1" applyAlignment="1">
      <alignment horizontal="right"/>
    </xf>
    <xf numFmtId="3" fontId="28" fillId="0" borderId="53" xfId="0" applyNumberFormat="1" applyFont="1" applyFill="1" applyBorder="1" applyAlignment="1">
      <alignment wrapText="1"/>
    </xf>
    <xf numFmtId="3" fontId="28" fillId="0" borderId="132" xfId="0" applyNumberFormat="1" applyFont="1" applyFill="1" applyBorder="1" applyAlignment="1">
      <alignment wrapText="1"/>
    </xf>
    <xf numFmtId="165" fontId="28" fillId="0" borderId="35" xfId="90" applyNumberFormat="1" applyFont="1" applyFill="1" applyBorder="1" applyAlignment="1">
      <alignment wrapText="1"/>
    </xf>
    <xf numFmtId="3" fontId="21" fillId="0" borderId="33" xfId="0" applyNumberFormat="1" applyFont="1" applyFill="1" applyBorder="1" applyAlignment="1">
      <alignment wrapText="1"/>
    </xf>
    <xf numFmtId="3" fontId="21" fillId="0" borderId="109" xfId="0" applyNumberFormat="1" applyFont="1" applyFill="1" applyBorder="1" applyAlignment="1">
      <alignment wrapText="1"/>
    </xf>
    <xf numFmtId="10" fontId="21" fillId="0" borderId="48" xfId="54" applyNumberFormat="1" applyFont="1" applyFill="1" applyBorder="1" applyAlignment="1">
      <alignment horizontal="right"/>
    </xf>
    <xf numFmtId="3" fontId="21" fillId="0" borderId="31" xfId="54" applyNumberFormat="1" applyFont="1" applyFill="1" applyBorder="1" applyAlignment="1">
      <alignment horizontal="right"/>
    </xf>
    <xf numFmtId="3" fontId="21" fillId="0" borderId="120" xfId="54" applyNumberFormat="1" applyFont="1" applyFill="1" applyBorder="1" applyAlignment="1">
      <alignment horizontal="right"/>
    </xf>
    <xf numFmtId="10" fontId="21" fillId="0" borderId="61" xfId="54" applyNumberFormat="1" applyFont="1" applyFill="1" applyBorder="1" applyAlignment="1">
      <alignment horizontal="right"/>
    </xf>
    <xf numFmtId="10" fontId="21" fillId="0" borderId="50" xfId="54" applyNumberFormat="1" applyFont="1" applyFill="1" applyBorder="1" applyAlignment="1">
      <alignment horizontal="right"/>
    </xf>
    <xf numFmtId="165" fontId="21" fillId="0" borderId="61" xfId="90" applyNumberFormat="1" applyFont="1" applyFill="1" applyBorder="1" applyAlignment="1">
      <alignment horizontal="right"/>
    </xf>
    <xf numFmtId="3" fontId="29" fillId="0" borderId="33" xfId="0" applyNumberFormat="1" applyFont="1" applyFill="1" applyBorder="1" applyAlignment="1">
      <alignment wrapText="1"/>
    </xf>
    <xf numFmtId="3" fontId="29" fillId="0" borderId="109" xfId="0" applyNumberFormat="1" applyFont="1" applyFill="1" applyBorder="1" applyAlignment="1">
      <alignment wrapText="1"/>
    </xf>
    <xf numFmtId="3" fontId="29" fillId="0" borderId="23" xfId="54" applyNumberFormat="1" applyFont="1" applyFill="1" applyBorder="1" applyAlignment="1">
      <alignment horizontal="right"/>
    </xf>
    <xf numFmtId="3" fontId="29" fillId="0" borderId="30" xfId="0" applyNumberFormat="1" applyFont="1" applyFill="1" applyBorder="1" applyAlignment="1">
      <alignment wrapText="1"/>
    </xf>
    <xf numFmtId="3" fontId="29" fillId="0" borderId="71" xfId="0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horizontal="right"/>
    </xf>
    <xf numFmtId="10" fontId="21" fillId="0" borderId="48" xfId="54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wrapText="1"/>
    </xf>
    <xf numFmtId="3" fontId="28" fillId="0" borderId="205" xfId="0" applyNumberFormat="1" applyFont="1" applyFill="1" applyBorder="1" applyAlignment="1">
      <alignment vertical="center" wrapText="1"/>
    </xf>
    <xf numFmtId="3" fontId="28" fillId="0" borderId="201" xfId="54" applyNumberFormat="1" applyFont="1" applyFill="1" applyBorder="1" applyAlignment="1">
      <alignment wrapText="1"/>
    </xf>
    <xf numFmtId="3" fontId="28" fillId="0" borderId="202" xfId="54" applyNumberFormat="1" applyFont="1" applyFill="1" applyBorder="1" applyAlignment="1">
      <alignment wrapText="1"/>
    </xf>
    <xf numFmtId="10" fontId="21" fillId="0" borderId="61" xfId="54" applyNumberFormat="1" applyFont="1" applyFill="1" applyBorder="1" applyAlignment="1">
      <alignment wrapText="1"/>
    </xf>
    <xf numFmtId="3" fontId="29" fillId="0" borderId="20" xfId="54" applyNumberFormat="1" applyFont="1" applyFill="1" applyBorder="1" applyAlignment="1">
      <alignment horizontal="right"/>
    </xf>
    <xf numFmtId="3" fontId="29" fillId="0" borderId="120" xfId="0" applyNumberFormat="1" applyFont="1" applyFill="1" applyBorder="1" applyAlignment="1">
      <alignment wrapText="1"/>
    </xf>
    <xf numFmtId="165" fontId="29" fillId="0" borderId="61" xfId="54" applyNumberFormat="1" applyFont="1" applyFill="1" applyBorder="1" applyAlignment="1">
      <alignment wrapText="1"/>
    </xf>
    <xf numFmtId="165" fontId="21" fillId="0" borderId="48" xfId="54" applyNumberFormat="1" applyFont="1" applyFill="1" applyBorder="1" applyAlignment="1">
      <alignment wrapText="1"/>
    </xf>
    <xf numFmtId="165" fontId="29" fillId="0" borderId="48" xfId="54" applyNumberFormat="1" applyFont="1" applyFill="1" applyBorder="1" applyAlignment="1">
      <alignment wrapText="1"/>
    </xf>
    <xf numFmtId="3" fontId="28" fillId="0" borderId="201" xfId="0" applyNumberFormat="1" applyFont="1" applyFill="1" applyBorder="1" applyAlignment="1">
      <alignment vertical="center" wrapText="1"/>
    </xf>
    <xf numFmtId="10" fontId="21" fillId="0" borderId="50" xfId="54" applyNumberFormat="1" applyFont="1" applyFill="1" applyBorder="1" applyAlignment="1">
      <alignment wrapText="1"/>
    </xf>
    <xf numFmtId="10" fontId="28" fillId="0" borderId="207" xfId="54" applyNumberFormat="1" applyFont="1" applyFill="1" applyBorder="1" applyAlignment="1">
      <alignment wrapText="1"/>
    </xf>
    <xf numFmtId="3" fontId="28" fillId="27" borderId="20" xfId="54" applyNumberFormat="1" applyFont="1" applyFill="1" applyBorder="1" applyAlignment="1">
      <alignment horizontal="right"/>
    </xf>
    <xf numFmtId="3" fontId="28" fillId="27" borderId="31" xfId="0" applyNumberFormat="1" applyFont="1" applyFill="1" applyBorder="1" applyAlignment="1">
      <alignment wrapText="1"/>
    </xf>
    <xf numFmtId="3" fontId="28" fillId="27" borderId="120" xfId="0" applyNumberFormat="1" applyFont="1" applyFill="1" applyBorder="1" applyAlignment="1">
      <alignment wrapText="1"/>
    </xf>
    <xf numFmtId="3" fontId="28" fillId="27" borderId="85" xfId="0" applyNumberFormat="1" applyFont="1" applyFill="1" applyBorder="1" applyAlignment="1">
      <alignment wrapText="1"/>
    </xf>
    <xf numFmtId="3" fontId="28" fillId="0" borderId="25" xfId="0" applyNumberFormat="1" applyFont="1" applyFill="1" applyBorder="1" applyAlignment="1">
      <alignment wrapText="1"/>
    </xf>
    <xf numFmtId="165" fontId="28" fillId="0" borderId="35" xfId="90" applyNumberFormat="1" applyFont="1" applyFill="1" applyBorder="1" applyAlignment="1">
      <alignment horizontal="right"/>
    </xf>
    <xf numFmtId="3" fontId="28" fillId="0" borderId="0" xfId="0" applyNumberFormat="1" applyFont="1" applyFill="1" applyAlignment="1">
      <alignment wrapText="1"/>
    </xf>
    <xf numFmtId="3" fontId="44" fillId="0" borderId="49" xfId="0" applyNumberFormat="1" applyFont="1" applyFill="1" applyBorder="1" applyAlignment="1">
      <alignment horizontal="right" vertical="center" wrapText="1"/>
    </xf>
    <xf numFmtId="3" fontId="44" fillId="0" borderId="60" xfId="0" applyNumberFormat="1" applyFont="1" applyFill="1" applyBorder="1" applyAlignment="1">
      <alignment horizontal="right" vertical="center" wrapText="1"/>
    </xf>
    <xf numFmtId="3" fontId="45" fillId="0" borderId="107" xfId="0" applyNumberFormat="1" applyFont="1" applyFill="1" applyBorder="1" applyAlignment="1">
      <alignment horizontal="right" vertical="center" wrapText="1"/>
    </xf>
    <xf numFmtId="3" fontId="45" fillId="0" borderId="120" xfId="0" applyNumberFormat="1" applyFont="1" applyFill="1" applyBorder="1" applyAlignment="1">
      <alignment horizontal="right" vertical="center" wrapText="1"/>
    </xf>
    <xf numFmtId="3" fontId="44" fillId="0" borderId="59" xfId="0" applyNumberFormat="1" applyFont="1" applyFill="1" applyBorder="1" applyAlignment="1">
      <alignment horizontal="right" vertical="center" wrapText="1"/>
    </xf>
    <xf numFmtId="3" fontId="45" fillId="0" borderId="121" xfId="0" applyNumberFormat="1" applyFont="1" applyFill="1" applyBorder="1" applyAlignment="1">
      <alignment horizontal="right" vertical="center" wrapText="1"/>
    </xf>
    <xf numFmtId="3" fontId="44" fillId="0" borderId="125" xfId="0" applyNumberFormat="1" applyFont="1" applyFill="1" applyBorder="1" applyAlignment="1">
      <alignment horizontal="right" vertical="center" wrapText="1"/>
    </xf>
    <xf numFmtId="3" fontId="44" fillId="0" borderId="202" xfId="0" applyNumberFormat="1" applyFont="1" applyFill="1" applyBorder="1" applyAlignment="1">
      <alignment horizontal="right" vertical="center" wrapText="1"/>
    </xf>
    <xf numFmtId="3" fontId="45" fillId="0" borderId="109" xfId="0" applyNumberFormat="1" applyFont="1" applyFill="1" applyBorder="1" applyAlignment="1">
      <alignment horizontal="right" vertical="center" wrapText="1"/>
    </xf>
    <xf numFmtId="3" fontId="45" fillId="0" borderId="110" xfId="0" applyNumberFormat="1" applyFont="1" applyFill="1" applyBorder="1" applyAlignment="1">
      <alignment horizontal="right" vertical="center" wrapText="1"/>
    </xf>
    <xf numFmtId="3" fontId="44" fillId="0" borderId="203" xfId="0" applyNumberFormat="1" applyFont="1" applyFill="1" applyBorder="1" applyAlignment="1">
      <alignment horizontal="right" vertical="center" wrapText="1"/>
    </xf>
    <xf numFmtId="3" fontId="44" fillId="0" borderId="84" xfId="0" applyNumberFormat="1" applyFont="1" applyFill="1" applyBorder="1" applyAlignment="1">
      <alignment horizontal="right" vertical="center" wrapText="1"/>
    </xf>
    <xf numFmtId="3" fontId="44" fillId="0" borderId="210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/>
    </xf>
    <xf numFmtId="0" fontId="32" fillId="0" borderId="27" xfId="92" applyFont="1" applyFill="1" applyBorder="1" applyAlignment="1">
      <alignment horizontal="left" vertical="center"/>
    </xf>
    <xf numFmtId="164" fontId="32" fillId="0" borderId="84" xfId="92" applyNumberFormat="1" applyFont="1" applyFill="1" applyBorder="1" applyAlignment="1">
      <alignment vertical="center" wrapText="1"/>
    </xf>
    <xf numFmtId="164" fontId="26" fillId="0" borderId="18" xfId="0" applyNumberFormat="1" applyFont="1" applyFill="1" applyBorder="1" applyAlignment="1">
      <alignment vertical="center" wrapText="1"/>
    </xf>
    <xf numFmtId="3" fontId="26" fillId="0" borderId="0" xfId="0" applyNumberFormat="1" applyFont="1" applyFill="1" applyAlignment="1">
      <alignment vertical="center"/>
    </xf>
    <xf numFmtId="0" fontId="21" fillId="0" borderId="21" xfId="92" applyFont="1" applyBorder="1" applyAlignment="1">
      <alignment horizontal="left" vertical="center"/>
    </xf>
    <xf numFmtId="3" fontId="21" fillId="0" borderId="88" xfId="0" applyNumberFormat="1" applyFont="1" applyFill="1" applyBorder="1"/>
    <xf numFmtId="3" fontId="28" fillId="0" borderId="201" xfId="0" applyNumberFormat="1" applyFont="1" applyFill="1" applyBorder="1"/>
    <xf numFmtId="10" fontId="21" fillId="0" borderId="171" xfId="54" applyNumberFormat="1" applyFont="1" applyFill="1" applyBorder="1" applyAlignment="1">
      <alignment horizontal="right" vertical="center"/>
    </xf>
    <xf numFmtId="10" fontId="21" fillId="0" borderId="209" xfId="54" applyNumberFormat="1" applyFont="1" applyFill="1" applyBorder="1" applyAlignment="1">
      <alignment horizontal="right" vertical="center"/>
    </xf>
    <xf numFmtId="0" fontId="44" fillId="0" borderId="203" xfId="0" applyFont="1" applyFill="1" applyBorder="1" applyAlignment="1">
      <alignment horizontal="center" vertical="center" wrapText="1"/>
    </xf>
    <xf numFmtId="3" fontId="44" fillId="0" borderId="0" xfId="0" applyNumberFormat="1" applyFont="1" applyFill="1" applyBorder="1"/>
    <xf numFmtId="0" fontId="21" fillId="0" borderId="0" xfId="0" applyFont="1" applyAlignment="1">
      <alignment horizontal="left"/>
    </xf>
    <xf numFmtId="0" fontId="28" fillId="0" borderId="213" xfId="92" applyNumberFormat="1" applyFont="1" applyFill="1" applyBorder="1" applyAlignment="1">
      <alignment horizontal="center" vertical="center" wrapText="1"/>
    </xf>
    <xf numFmtId="3" fontId="21" fillId="0" borderId="107" xfId="92" applyNumberFormat="1" applyFont="1" applyFill="1" applyBorder="1" applyAlignment="1">
      <alignment vertical="center" wrapText="1"/>
    </xf>
    <xf numFmtId="3" fontId="29" fillId="0" borderId="110" xfId="92" applyNumberFormat="1" applyFont="1" applyFill="1" applyBorder="1" applyAlignment="1">
      <alignment horizontal="right" vertical="center" wrapText="1"/>
    </xf>
    <xf numFmtId="3" fontId="29" fillId="0" borderId="107" xfId="92" applyNumberFormat="1" applyFont="1" applyFill="1" applyBorder="1" applyAlignment="1">
      <alignment vertical="center" wrapText="1"/>
    </xf>
    <xf numFmtId="3" fontId="29" fillId="0" borderId="107" xfId="92" applyNumberFormat="1" applyFont="1" applyFill="1" applyBorder="1" applyAlignment="1">
      <alignment horizontal="right" vertical="center" wrapText="1"/>
    </xf>
    <xf numFmtId="3" fontId="28" fillId="0" borderId="107" xfId="92" applyNumberFormat="1" applyFont="1" applyFill="1" applyBorder="1" applyAlignment="1">
      <alignment vertical="center" wrapText="1"/>
    </xf>
    <xf numFmtId="3" fontId="28" fillId="0" borderId="214" xfId="92" applyNumberFormat="1" applyFont="1" applyFill="1" applyBorder="1" applyAlignment="1">
      <alignment vertical="center" wrapText="1"/>
    </xf>
    <xf numFmtId="3" fontId="21" fillId="0" borderId="121" xfId="92" applyNumberFormat="1" applyFont="1" applyFill="1" applyBorder="1" applyAlignment="1">
      <alignment vertical="center" wrapText="1"/>
    </xf>
    <xf numFmtId="3" fontId="28" fillId="0" borderId="57" xfId="92" applyNumberFormat="1" applyFont="1" applyFill="1" applyBorder="1" applyAlignment="1">
      <alignment vertical="center" wrapText="1"/>
    </xf>
    <xf numFmtId="3" fontId="28" fillId="0" borderId="133" xfId="92" applyNumberFormat="1" applyFont="1" applyFill="1" applyBorder="1" applyAlignment="1">
      <alignment vertical="center" wrapText="1"/>
    </xf>
    <xf numFmtId="166" fontId="28" fillId="0" borderId="58" xfId="92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right" vertical="top" wrapText="1"/>
    </xf>
    <xf numFmtId="3" fontId="51" fillId="0" borderId="0" xfId="0" applyNumberFormat="1" applyFont="1" applyAlignment="1">
      <alignment horizontal="right" vertical="top" wrapText="1"/>
    </xf>
    <xf numFmtId="0" fontId="44" fillId="0" borderId="177" xfId="0" applyFont="1" applyFill="1" applyBorder="1" applyAlignment="1">
      <alignment horizontal="center" vertical="center" wrapText="1"/>
    </xf>
    <xf numFmtId="0" fontId="44" fillId="0" borderId="215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176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 wrapText="1"/>
    </xf>
    <xf numFmtId="3" fontId="44" fillId="0" borderId="182" xfId="0" applyNumberFormat="1" applyFont="1" applyFill="1" applyBorder="1" applyAlignment="1">
      <alignment horizontal="right" vertical="center" wrapText="1"/>
    </xf>
    <xf numFmtId="3" fontId="44" fillId="0" borderId="190" xfId="0" applyNumberFormat="1" applyFont="1" applyFill="1" applyBorder="1" applyAlignment="1">
      <alignment horizontal="right" vertical="center" wrapText="1"/>
    </xf>
    <xf numFmtId="0" fontId="44" fillId="0" borderId="216" xfId="0" applyFont="1" applyFill="1" applyBorder="1" applyAlignment="1">
      <alignment horizontal="center" vertical="center" wrapText="1"/>
    </xf>
    <xf numFmtId="3" fontId="44" fillId="0" borderId="184" xfId="0" applyNumberFormat="1" applyFont="1" applyFill="1" applyBorder="1" applyAlignment="1">
      <alignment horizontal="right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182" xfId="0" applyFont="1" applyBorder="1" applyAlignment="1">
      <alignment horizontal="left" vertical="center" wrapText="1"/>
    </xf>
    <xf numFmtId="3" fontId="45" fillId="0" borderId="212" xfId="0" applyNumberFormat="1" applyFont="1" applyBorder="1" applyAlignment="1">
      <alignment horizontal="right" vertical="center" wrapText="1"/>
    </xf>
    <xf numFmtId="3" fontId="45" fillId="0" borderId="70" xfId="0" applyNumberFormat="1" applyFont="1" applyBorder="1" applyAlignment="1">
      <alignment horizontal="right" vertical="center" wrapText="1"/>
    </xf>
    <xf numFmtId="3" fontId="45" fillId="0" borderId="181" xfId="0" applyNumberFormat="1" applyFont="1" applyBorder="1" applyAlignment="1">
      <alignment horizontal="right" vertical="center" wrapText="1"/>
    </xf>
    <xf numFmtId="0" fontId="45" fillId="0" borderId="72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left" vertical="center" wrapText="1"/>
    </xf>
    <xf numFmtId="3" fontId="45" fillId="0" borderId="107" xfId="0" applyNumberFormat="1" applyFont="1" applyBorder="1" applyAlignment="1">
      <alignment horizontal="right" vertical="center" wrapText="1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105" xfId="0" applyNumberFormat="1" applyFont="1" applyBorder="1" applyAlignment="1">
      <alignment horizontal="right" vertical="center" wrapText="1"/>
    </xf>
    <xf numFmtId="0" fontId="45" fillId="0" borderId="81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left" vertical="center" wrapText="1"/>
    </xf>
    <xf numFmtId="3" fontId="45" fillId="0" borderId="121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5" fillId="0" borderId="122" xfId="0" applyNumberFormat="1" applyFont="1" applyBorder="1" applyAlignment="1">
      <alignment horizontal="right" vertical="center" wrapText="1"/>
    </xf>
    <xf numFmtId="3" fontId="44" fillId="0" borderId="174" xfId="0" applyNumberFormat="1" applyFont="1" applyFill="1" applyBorder="1" applyAlignment="1">
      <alignment horizontal="right" vertical="center" wrapText="1"/>
    </xf>
    <xf numFmtId="0" fontId="45" fillId="0" borderId="80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left" vertical="center" wrapText="1"/>
    </xf>
    <xf numFmtId="3" fontId="45" fillId="0" borderId="110" xfId="0" applyNumberFormat="1" applyFont="1" applyBorder="1" applyAlignment="1">
      <alignment horizontal="right" vertical="center" wrapText="1"/>
    </xf>
    <xf numFmtId="3" fontId="45" fillId="0" borderId="33" xfId="0" applyNumberFormat="1" applyFont="1" applyBorder="1" applyAlignment="1">
      <alignment horizontal="right" vertical="center" wrapText="1"/>
    </xf>
    <xf numFmtId="3" fontId="45" fillId="0" borderId="111" xfId="0" applyNumberFormat="1" applyFont="1" applyBorder="1" applyAlignment="1">
      <alignment horizontal="right" vertical="center" wrapText="1"/>
    </xf>
    <xf numFmtId="3" fontId="44" fillId="0" borderId="189" xfId="0" applyNumberFormat="1" applyFont="1" applyFill="1" applyBorder="1" applyAlignment="1">
      <alignment horizontal="right" vertical="center" wrapText="1"/>
    </xf>
    <xf numFmtId="0" fontId="44" fillId="0" borderId="206" xfId="0" applyFont="1" applyBorder="1" applyAlignment="1">
      <alignment horizontal="center" vertical="center" wrapText="1"/>
    </xf>
    <xf numFmtId="0" fontId="44" fillId="0" borderId="203" xfId="0" applyFont="1" applyBorder="1" applyAlignment="1">
      <alignment horizontal="left" vertical="center" wrapText="1"/>
    </xf>
    <xf numFmtId="3" fontId="44" fillId="0" borderId="125" xfId="0" applyNumberFormat="1" applyFont="1" applyBorder="1" applyAlignment="1">
      <alignment horizontal="right" vertical="center" wrapText="1"/>
    </xf>
    <xf numFmtId="3" fontId="44" fillId="0" borderId="201" xfId="0" applyNumberFormat="1" applyFont="1" applyBorder="1" applyAlignment="1">
      <alignment horizontal="right" vertical="center" wrapText="1"/>
    </xf>
    <xf numFmtId="3" fontId="44" fillId="0" borderId="126" xfId="0" applyNumberFormat="1" applyFont="1" applyBorder="1" applyAlignment="1">
      <alignment horizontal="right" vertical="center" wrapText="1"/>
    </xf>
    <xf numFmtId="0" fontId="45" fillId="0" borderId="206" xfId="0" applyFont="1" applyBorder="1" applyAlignment="1">
      <alignment horizontal="center" vertical="center" wrapText="1"/>
    </xf>
    <xf numFmtId="0" fontId="45" fillId="0" borderId="203" xfId="0" applyFont="1" applyBorder="1" applyAlignment="1">
      <alignment horizontal="left" vertical="center" wrapText="1"/>
    </xf>
    <xf numFmtId="3" fontId="45" fillId="0" borderId="125" xfId="0" applyNumberFormat="1" applyFont="1" applyBorder="1" applyAlignment="1">
      <alignment horizontal="right" vertical="center" wrapText="1"/>
    </xf>
    <xf numFmtId="3" fontId="45" fillId="0" borderId="201" xfId="0" applyNumberFormat="1" applyFont="1" applyBorder="1" applyAlignment="1">
      <alignment horizontal="right" vertical="center" wrapText="1"/>
    </xf>
    <xf numFmtId="3" fontId="45" fillId="0" borderId="126" xfId="0" applyNumberFormat="1" applyFont="1" applyBorder="1" applyAlignment="1">
      <alignment horizontal="right" vertical="center" wrapText="1"/>
    </xf>
    <xf numFmtId="0" fontId="44" fillId="0" borderId="84" xfId="0" applyFont="1" applyBorder="1" applyAlignment="1">
      <alignment horizontal="left" vertical="center" wrapText="1"/>
    </xf>
    <xf numFmtId="3" fontId="44" fillId="0" borderId="146" xfId="0" applyNumberFormat="1" applyFont="1" applyBorder="1" applyAlignment="1">
      <alignment horizontal="right" vertical="center" wrapText="1"/>
    </xf>
    <xf numFmtId="3" fontId="44" fillId="0" borderId="85" xfId="0" applyNumberFormat="1" applyFont="1" applyFill="1" applyBorder="1" applyAlignment="1">
      <alignment horizontal="right" vertical="center" wrapText="1"/>
    </xf>
    <xf numFmtId="0" fontId="44" fillId="0" borderId="82" xfId="0" applyFont="1" applyBorder="1" applyAlignment="1">
      <alignment horizontal="center" vertical="center" wrapText="1"/>
    </xf>
    <xf numFmtId="0" fontId="45" fillId="0" borderId="72" xfId="0" applyFont="1" applyFill="1" applyBorder="1" applyAlignment="1">
      <alignment horizontal="center" vertical="center" wrapText="1"/>
    </xf>
    <xf numFmtId="0" fontId="44" fillId="0" borderId="156" xfId="0" applyFont="1" applyFill="1" applyBorder="1" applyAlignment="1">
      <alignment horizontal="center" vertical="center" wrapText="1"/>
    </xf>
    <xf numFmtId="0" fontId="44" fillId="0" borderId="118" xfId="0" applyFont="1" applyFill="1" applyBorder="1" applyAlignment="1">
      <alignment horizontal="center" vertical="center" wrapText="1"/>
    </xf>
    <xf numFmtId="0" fontId="44" fillId="0" borderId="169" xfId="0" applyFont="1" applyFill="1" applyBorder="1" applyAlignment="1">
      <alignment horizontal="center" vertical="center" wrapText="1"/>
    </xf>
    <xf numFmtId="0" fontId="44" fillId="0" borderId="117" xfId="0" applyFont="1" applyFill="1" applyBorder="1" applyAlignment="1">
      <alignment horizontal="center" vertical="center" wrapText="1"/>
    </xf>
    <xf numFmtId="0" fontId="45" fillId="0" borderId="81" xfId="0" applyFont="1" applyFill="1" applyBorder="1" applyAlignment="1">
      <alignment horizontal="center" vertical="center" wrapText="1"/>
    </xf>
    <xf numFmtId="0" fontId="45" fillId="0" borderId="206" xfId="0" applyFont="1" applyFill="1" applyBorder="1" applyAlignment="1">
      <alignment horizontal="center" vertical="center" wrapText="1"/>
    </xf>
    <xf numFmtId="0" fontId="45" fillId="0" borderId="203" xfId="0" applyFont="1" applyFill="1" applyBorder="1" applyAlignment="1">
      <alignment horizontal="left" vertical="center" wrapText="1"/>
    </xf>
    <xf numFmtId="3" fontId="45" fillId="0" borderId="125" xfId="0" applyNumberFormat="1" applyFont="1" applyFill="1" applyBorder="1" applyAlignment="1">
      <alignment horizontal="right" vertical="center" wrapText="1"/>
    </xf>
    <xf numFmtId="3" fontId="45" fillId="0" borderId="204" xfId="0" applyNumberFormat="1" applyFont="1" applyFill="1" applyBorder="1" applyAlignment="1">
      <alignment horizontal="right" vertical="center" wrapText="1"/>
    </xf>
    <xf numFmtId="0" fontId="44" fillId="0" borderId="203" xfId="0" applyFont="1" applyFill="1" applyBorder="1" applyAlignment="1">
      <alignment horizontal="left" vertical="center" wrapText="1"/>
    </xf>
    <xf numFmtId="0" fontId="44" fillId="0" borderId="34" xfId="0" applyFont="1" applyFill="1" applyBorder="1" applyAlignment="1">
      <alignment horizontal="left" vertical="center" wrapText="1"/>
    </xf>
    <xf numFmtId="3" fontId="44" fillId="0" borderId="133" xfId="0" applyNumberFormat="1" applyFont="1" applyFill="1" applyBorder="1" applyAlignment="1">
      <alignment horizontal="right" vertical="center" wrapText="1"/>
    </xf>
    <xf numFmtId="3" fontId="44" fillId="0" borderId="53" xfId="0" applyNumberFormat="1" applyFont="1" applyFill="1" applyBorder="1" applyAlignment="1">
      <alignment horizontal="right" vertical="center" wrapText="1"/>
    </xf>
    <xf numFmtId="3" fontId="44" fillId="0" borderId="132" xfId="0" applyNumberFormat="1" applyFont="1" applyFill="1" applyBorder="1" applyAlignment="1">
      <alignment horizontal="right" vertical="center" wrapText="1"/>
    </xf>
    <xf numFmtId="3" fontId="44" fillId="0" borderId="34" xfId="0" applyNumberFormat="1" applyFont="1" applyFill="1" applyBorder="1" applyAlignment="1">
      <alignment vertical="center"/>
    </xf>
    <xf numFmtId="3" fontId="44" fillId="0" borderId="57" xfId="0" applyNumberFormat="1" applyFont="1" applyFill="1" applyBorder="1" applyAlignment="1">
      <alignment horizontal="right" vertical="center" wrapText="1"/>
    </xf>
    <xf numFmtId="3" fontId="44" fillId="0" borderId="35" xfId="0" applyNumberFormat="1" applyFont="1" applyFill="1" applyBorder="1" applyAlignment="1">
      <alignment vertical="center"/>
    </xf>
    <xf numFmtId="0" fontId="44" fillId="0" borderId="98" xfId="0" applyFont="1" applyFill="1" applyBorder="1" applyAlignment="1">
      <alignment horizontal="left" vertical="center" wrapText="1"/>
    </xf>
    <xf numFmtId="3" fontId="44" fillId="0" borderId="217" xfId="0" applyNumberFormat="1" applyFont="1" applyFill="1" applyBorder="1" applyAlignment="1">
      <alignment horizontal="right" vertical="center" wrapText="1"/>
    </xf>
    <xf numFmtId="3" fontId="44" fillId="0" borderId="98" xfId="0" applyNumberFormat="1" applyFont="1" applyFill="1" applyBorder="1" applyAlignment="1">
      <alignment vertical="center"/>
    </xf>
    <xf numFmtId="3" fontId="44" fillId="0" borderId="151" xfId="0" applyNumberFormat="1" applyFont="1" applyFill="1" applyBorder="1" applyAlignment="1">
      <alignment horizontal="right" vertical="center" wrapText="1"/>
    </xf>
    <xf numFmtId="3" fontId="44" fillId="0" borderId="99" xfId="0" applyNumberFormat="1" applyFont="1" applyFill="1" applyBorder="1" applyAlignment="1">
      <alignment vertical="center"/>
    </xf>
    <xf numFmtId="0" fontId="44" fillId="0" borderId="206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 vertical="center" wrapText="1"/>
    </xf>
    <xf numFmtId="0" fontId="21" fillId="0" borderId="56" xfId="92" applyFont="1" applyFill="1" applyBorder="1" applyAlignment="1">
      <alignment horizontal="left" vertical="center" wrapText="1"/>
    </xf>
    <xf numFmtId="0" fontId="21" fillId="0" borderId="72" xfId="92" applyFont="1" applyFill="1" applyBorder="1" applyAlignment="1">
      <alignment horizontal="left" vertical="center" wrapText="1"/>
    </xf>
    <xf numFmtId="0" fontId="21" fillId="0" borderId="81" xfId="92" applyFont="1" applyFill="1" applyBorder="1" applyAlignment="1">
      <alignment horizontal="left" vertical="center" wrapText="1"/>
    </xf>
    <xf numFmtId="0" fontId="28" fillId="0" borderId="206" xfId="92" applyFont="1" applyFill="1" applyBorder="1" applyAlignment="1">
      <alignment horizontal="left" vertical="center" wrapText="1"/>
    </xf>
    <xf numFmtId="0" fontId="21" fillId="0" borderId="80" xfId="92" applyFont="1" applyFill="1" applyBorder="1" applyAlignment="1">
      <alignment horizontal="left" vertical="center" wrapText="1"/>
    </xf>
    <xf numFmtId="0" fontId="21" fillId="0" borderId="102" xfId="92" applyFont="1" applyFill="1" applyBorder="1" applyAlignment="1">
      <alignment horizontal="left" vertical="center" wrapText="1"/>
    </xf>
    <xf numFmtId="167" fontId="28" fillId="0" borderId="93" xfId="95" applyNumberFormat="1" applyFont="1" applyFill="1" applyBorder="1" applyAlignment="1" applyProtection="1">
      <alignment horizontal="right" vertical="center" wrapText="1"/>
      <protection locked="0"/>
    </xf>
    <xf numFmtId="164" fontId="31" fillId="0" borderId="207" xfId="92" applyNumberFormat="1" applyFont="1" applyFill="1" applyBorder="1" applyAlignment="1">
      <alignment horizontal="center" vertical="center" wrapText="1"/>
    </xf>
    <xf numFmtId="164" fontId="31" fillId="0" borderId="50" xfId="92" applyNumberFormat="1" applyFont="1" applyFill="1" applyBorder="1" applyAlignment="1">
      <alignment horizontal="center" vertical="center" wrapText="1"/>
    </xf>
    <xf numFmtId="164" fontId="32" fillId="0" borderId="85" xfId="92" applyNumberFormat="1" applyFont="1" applyFill="1" applyBorder="1" applyAlignment="1">
      <alignment vertical="center" wrapText="1"/>
    </xf>
    <xf numFmtId="3" fontId="31" fillId="0" borderId="63" xfId="0" applyNumberFormat="1" applyFont="1" applyFill="1" applyBorder="1" applyAlignment="1">
      <alignment horizontal="right" vertical="center"/>
    </xf>
    <xf numFmtId="3" fontId="26" fillId="0" borderId="60" xfId="0" applyNumberFormat="1" applyFont="1" applyFill="1" applyBorder="1" applyAlignment="1">
      <alignment horizontal="right" vertical="center"/>
    </xf>
    <xf numFmtId="3" fontId="31" fillId="0" borderId="203" xfId="0" applyNumberFormat="1" applyFont="1" applyFill="1" applyBorder="1" applyAlignment="1">
      <alignment horizontal="right" vertical="center"/>
    </xf>
    <xf numFmtId="3" fontId="31" fillId="0" borderId="79" xfId="0" applyNumberFormat="1" applyFont="1" applyFill="1" applyBorder="1" applyAlignment="1">
      <alignment horizontal="right" vertical="center"/>
    </xf>
    <xf numFmtId="3" fontId="31" fillId="0" borderId="60" xfId="0" applyNumberFormat="1" applyFont="1" applyFill="1" applyBorder="1" applyAlignment="1">
      <alignment horizontal="right" vertical="center"/>
    </xf>
    <xf numFmtId="3" fontId="26" fillId="0" borderId="98" xfId="0" applyNumberFormat="1" applyFont="1" applyFill="1" applyBorder="1" applyAlignment="1">
      <alignment horizontal="right" vertical="center"/>
    </xf>
    <xf numFmtId="0" fontId="28" fillId="0" borderId="62" xfId="0" applyFont="1" applyFill="1" applyBorder="1" applyAlignment="1">
      <alignment wrapText="1"/>
    </xf>
    <xf numFmtId="3" fontId="21" fillId="0" borderId="163" xfId="0" applyNumberFormat="1" applyFont="1" applyFill="1" applyBorder="1"/>
    <xf numFmtId="0" fontId="44" fillId="0" borderId="69" xfId="0" applyFont="1" applyFill="1" applyBorder="1" applyAlignment="1">
      <alignment horizontal="center" vertical="center" wrapText="1"/>
    </xf>
    <xf numFmtId="3" fontId="45" fillId="0" borderId="74" xfId="0" applyNumberFormat="1" applyFont="1" applyBorder="1" applyAlignment="1">
      <alignment horizontal="right" wrapText="1"/>
    </xf>
    <xf numFmtId="3" fontId="45" fillId="0" borderId="77" xfId="0" applyNumberFormat="1" applyFont="1" applyBorder="1" applyAlignment="1">
      <alignment horizontal="right" vertical="center" wrapText="1"/>
    </xf>
    <xf numFmtId="3" fontId="44" fillId="0" borderId="77" xfId="0" applyNumberFormat="1" applyFont="1" applyBorder="1" applyAlignment="1">
      <alignment horizontal="right" vertical="center" wrapText="1"/>
    </xf>
    <xf numFmtId="3" fontId="44" fillId="0" borderId="142" xfId="0" applyNumberFormat="1" applyFont="1" applyBorder="1" applyAlignment="1">
      <alignment horizontal="right" vertical="center" wrapText="1"/>
    </xf>
    <xf numFmtId="3" fontId="45" fillId="0" borderId="74" xfId="0" applyNumberFormat="1" applyFont="1" applyBorder="1" applyAlignment="1">
      <alignment horizontal="right" vertical="center" wrapText="1"/>
    </xf>
    <xf numFmtId="3" fontId="45" fillId="0" borderId="172" xfId="0" applyNumberFormat="1" applyFont="1" applyBorder="1" applyAlignment="1">
      <alignment horizontal="right" vertical="center" wrapText="1"/>
    </xf>
    <xf numFmtId="3" fontId="45" fillId="0" borderId="76" xfId="0" applyNumberFormat="1" applyFont="1" applyBorder="1" applyAlignment="1">
      <alignment horizontal="right" vertical="center" wrapText="1"/>
    </xf>
    <xf numFmtId="3" fontId="45" fillId="0" borderId="75" xfId="0" applyNumberFormat="1" applyFont="1" applyBorder="1" applyAlignment="1">
      <alignment horizontal="right" vertical="center" wrapText="1"/>
    </xf>
    <xf numFmtId="0" fontId="44" fillId="0" borderId="146" xfId="0" applyFont="1" applyFill="1" applyBorder="1" applyAlignment="1">
      <alignment horizontal="center" vertical="center" wrapText="1"/>
    </xf>
    <xf numFmtId="3" fontId="45" fillId="0" borderId="18" xfId="0" applyNumberFormat="1" applyFont="1" applyFill="1" applyBorder="1" applyAlignment="1">
      <alignment horizontal="right" vertical="center" wrapText="1"/>
    </xf>
    <xf numFmtId="3" fontId="44" fillId="0" borderId="107" xfId="0" applyNumberFormat="1" applyFont="1" applyFill="1" applyBorder="1" applyAlignment="1">
      <alignment horizontal="right" vertical="center" wrapText="1"/>
    </xf>
    <xf numFmtId="3" fontId="44" fillId="0" borderId="64" xfId="0" applyNumberFormat="1" applyFont="1" applyFill="1" applyBorder="1" applyAlignment="1">
      <alignment horizontal="right" vertical="center" wrapText="1"/>
    </xf>
    <xf numFmtId="3" fontId="44" fillId="0" borderId="18" xfId="0" applyNumberFormat="1" applyFont="1" applyFill="1" applyBorder="1" applyAlignment="1">
      <alignment horizontal="right" vertical="center" wrapText="1"/>
    </xf>
    <xf numFmtId="3" fontId="45" fillId="0" borderId="105" xfId="0" applyNumberFormat="1" applyFont="1" applyFill="1" applyBorder="1" applyAlignment="1">
      <alignment horizontal="right" vertical="center" wrapText="1"/>
    </xf>
    <xf numFmtId="10" fontId="29" fillId="0" borderId="61" xfId="0" applyNumberFormat="1" applyFont="1" applyFill="1" applyBorder="1" applyAlignment="1">
      <alignment vertical="center" wrapText="1"/>
    </xf>
    <xf numFmtId="0" fontId="38" fillId="0" borderId="81" xfId="0" applyFont="1" applyFill="1" applyBorder="1" applyAlignment="1">
      <alignment horizontal="left" vertical="center"/>
    </xf>
    <xf numFmtId="0" fontId="28" fillId="0" borderId="59" xfId="0" applyFont="1" applyFill="1" applyBorder="1" applyAlignment="1">
      <alignment horizontal="left" vertical="center" wrapText="1" indent="2"/>
    </xf>
    <xf numFmtId="3" fontId="28" fillId="0" borderId="30" xfId="54" applyNumberFormat="1" applyFont="1" applyFill="1" applyBorder="1" applyAlignment="1">
      <alignment horizontal="right" vertical="center"/>
    </xf>
    <xf numFmtId="3" fontId="28" fillId="0" borderId="30" xfId="0" applyNumberFormat="1" applyFont="1" applyFill="1" applyBorder="1" applyAlignment="1">
      <alignment vertical="center" wrapText="1"/>
    </xf>
    <xf numFmtId="3" fontId="28" fillId="0" borderId="107" xfId="0" applyNumberFormat="1" applyFont="1" applyFill="1" applyBorder="1" applyAlignment="1">
      <alignment vertical="center" wrapText="1"/>
    </xf>
    <xf numFmtId="10" fontId="21" fillId="0" borderId="207" xfId="0" applyNumberFormat="1" applyFont="1" applyFill="1" applyBorder="1" applyAlignment="1">
      <alignment vertical="center" wrapText="1"/>
    </xf>
    <xf numFmtId="10" fontId="28" fillId="0" borderId="207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72" xfId="0" applyFont="1" applyFill="1" applyBorder="1" applyAlignment="1">
      <alignment vertical="center" wrapText="1"/>
    </xf>
    <xf numFmtId="0" fontId="35" fillId="0" borderId="81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119" xfId="54" applyNumberFormat="1" applyFont="1" applyFill="1" applyBorder="1"/>
    <xf numFmtId="10" fontId="28" fillId="0" borderId="48" xfId="90" applyNumberFormat="1" applyFont="1" applyFill="1" applyBorder="1"/>
    <xf numFmtId="0" fontId="21" fillId="0" borderId="13" xfId="92" applyFont="1" applyBorder="1" applyAlignment="1">
      <alignment horizontal="left" vertical="center" wrapText="1"/>
    </xf>
    <xf numFmtId="0" fontId="51" fillId="0" borderId="0" xfId="77" applyFont="1" applyFill="1" applyAlignment="1">
      <alignment vertical="center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8" fillId="0" borderId="63" xfId="54" applyNumberFormat="1" applyFont="1" applyFill="1" applyBorder="1" applyAlignment="1">
      <alignment horizontal="center" vertical="center" wrapText="1"/>
    </xf>
    <xf numFmtId="3" fontId="28" fillId="0" borderId="170" xfId="0" applyNumberFormat="1" applyFont="1" applyFill="1" applyBorder="1" applyAlignment="1">
      <alignment vertical="center" wrapText="1"/>
    </xf>
    <xf numFmtId="3" fontId="28" fillId="0" borderId="210" xfId="54" applyNumberFormat="1" applyFont="1" applyFill="1" applyBorder="1" applyAlignment="1">
      <alignment horizontal="center" vertical="center" wrapText="1"/>
    </xf>
    <xf numFmtId="3" fontId="28" fillId="0" borderId="205" xfId="54" applyNumberFormat="1" applyFont="1" applyFill="1" applyBorder="1" applyAlignment="1">
      <alignment horizontal="center" vertical="center" wrapText="1"/>
    </xf>
    <xf numFmtId="3" fontId="21" fillId="0" borderId="189" xfId="0" applyNumberFormat="1" applyFont="1" applyFill="1" applyBorder="1" applyAlignment="1">
      <alignment vertical="center" wrapText="1"/>
    </xf>
    <xf numFmtId="3" fontId="21" fillId="0" borderId="190" xfId="0" applyNumberFormat="1" applyFont="1" applyFill="1" applyBorder="1" applyAlignment="1">
      <alignment vertical="center" wrapText="1"/>
    </xf>
    <xf numFmtId="3" fontId="28" fillId="0" borderId="210" xfId="0" applyNumberFormat="1" applyFont="1" applyFill="1" applyBorder="1" applyAlignment="1">
      <alignment vertical="center" wrapText="1"/>
    </xf>
    <xf numFmtId="3" fontId="21" fillId="0" borderId="218" xfId="0" applyNumberFormat="1" applyFont="1" applyFill="1" applyBorder="1" applyAlignment="1">
      <alignment vertical="center" wrapText="1"/>
    </xf>
    <xf numFmtId="3" fontId="28" fillId="0" borderId="218" xfId="0" applyNumberFormat="1" applyFont="1" applyFill="1" applyBorder="1" applyAlignment="1">
      <alignment vertical="center" wrapText="1"/>
    </xf>
    <xf numFmtId="3" fontId="28" fillId="0" borderId="219" xfId="0" applyNumberFormat="1" applyFont="1" applyFill="1" applyBorder="1" applyAlignment="1">
      <alignment vertical="center" wrapText="1"/>
    </xf>
    <xf numFmtId="3" fontId="28" fillId="0" borderId="173" xfId="0" applyNumberFormat="1" applyFont="1" applyFill="1" applyBorder="1" applyAlignment="1">
      <alignment vertical="center" wrapText="1"/>
    </xf>
    <xf numFmtId="3" fontId="21" fillId="0" borderId="28" xfId="0" applyNumberFormat="1" applyFont="1" applyFill="1" applyBorder="1" applyAlignment="1">
      <alignment vertical="center" wrapText="1"/>
    </xf>
    <xf numFmtId="165" fontId="21" fillId="0" borderId="218" xfId="0" applyNumberFormat="1" applyFont="1" applyFill="1" applyBorder="1" applyAlignment="1">
      <alignment vertical="center" wrapText="1"/>
    </xf>
    <xf numFmtId="0" fontId="21" fillId="0" borderId="218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 wrapText="1"/>
    </xf>
    <xf numFmtId="2" fontId="21" fillId="0" borderId="218" xfId="0" applyNumberFormat="1" applyFont="1" applyFill="1" applyBorder="1" applyAlignment="1">
      <alignment vertical="center" wrapText="1"/>
    </xf>
    <xf numFmtId="2" fontId="21" fillId="0" borderId="28" xfId="0" applyNumberFormat="1" applyFont="1" applyFill="1" applyBorder="1" applyAlignment="1">
      <alignment vertical="center" wrapText="1"/>
    </xf>
    <xf numFmtId="166" fontId="21" fillId="0" borderId="218" xfId="0" applyNumberFormat="1" applyFont="1" applyFill="1" applyBorder="1" applyAlignment="1">
      <alignment vertical="center" wrapText="1"/>
    </xf>
    <xf numFmtId="166" fontId="21" fillId="0" borderId="28" xfId="0" applyNumberFormat="1" applyFont="1" applyFill="1" applyBorder="1" applyAlignment="1">
      <alignment vertical="center" wrapText="1"/>
    </xf>
    <xf numFmtId="1" fontId="21" fillId="0" borderId="218" xfId="0" applyNumberFormat="1" applyFont="1" applyFill="1" applyBorder="1" applyAlignment="1">
      <alignment vertical="center" wrapText="1"/>
    </xf>
    <xf numFmtId="3" fontId="28" fillId="0" borderId="77" xfId="54" applyNumberFormat="1" applyFont="1" applyFill="1" applyBorder="1" applyAlignment="1">
      <alignment horizontal="center"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1" fillId="0" borderId="74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04" xfId="0" applyNumberFormat="1" applyFont="1" applyFill="1" applyBorder="1" applyAlignment="1">
      <alignment vertical="center" wrapText="1"/>
    </xf>
    <xf numFmtId="3" fontId="28" fillId="0" borderId="104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3" fontId="28" fillId="0" borderId="203" xfId="0" applyNumberFormat="1" applyFont="1" applyFill="1" applyBorder="1" applyAlignment="1">
      <alignment vertical="center" wrapText="1"/>
    </xf>
    <xf numFmtId="3" fontId="21" fillId="0" borderId="208" xfId="0" applyNumberFormat="1" applyFont="1" applyFill="1" applyBorder="1" applyAlignment="1">
      <alignment vertical="center" wrapText="1"/>
    </xf>
    <xf numFmtId="165" fontId="21" fillId="0" borderId="208" xfId="0" applyNumberFormat="1" applyFont="1" applyFill="1" applyBorder="1" applyAlignment="1">
      <alignment vertical="center" wrapText="1"/>
    </xf>
    <xf numFmtId="165" fontId="21" fillId="0" borderId="104" xfId="0" applyNumberFormat="1" applyFont="1" applyFill="1" applyBorder="1" applyAlignment="1">
      <alignment vertical="center" wrapText="1"/>
    </xf>
    <xf numFmtId="0" fontId="21" fillId="0" borderId="208" xfId="0" applyFont="1" applyFill="1" applyBorder="1" applyAlignment="1">
      <alignment vertical="center" wrapText="1"/>
    </xf>
    <xf numFmtId="0" fontId="21" fillId="0" borderId="104" xfId="0" applyFont="1" applyFill="1" applyBorder="1" applyAlignment="1">
      <alignment vertical="center" wrapText="1"/>
    </xf>
    <xf numFmtId="2" fontId="21" fillId="0" borderId="208" xfId="0" applyNumberFormat="1" applyFont="1" applyFill="1" applyBorder="1" applyAlignment="1">
      <alignment vertical="center" wrapText="1"/>
    </xf>
    <xf numFmtId="2" fontId="21" fillId="0" borderId="104" xfId="0" applyNumberFormat="1" applyFont="1" applyFill="1" applyBorder="1" applyAlignment="1">
      <alignment vertical="center" wrapText="1"/>
    </xf>
    <xf numFmtId="166" fontId="21" fillId="0" borderId="208" xfId="0" applyNumberFormat="1" applyFont="1" applyFill="1" applyBorder="1" applyAlignment="1">
      <alignment vertical="center" wrapText="1"/>
    </xf>
    <xf numFmtId="166" fontId="21" fillId="0" borderId="104" xfId="0" applyNumberFormat="1" applyFont="1" applyFill="1" applyBorder="1" applyAlignment="1">
      <alignment vertical="center" wrapText="1"/>
    </xf>
    <xf numFmtId="1" fontId="21" fillId="0" borderId="208" xfId="0" applyNumberFormat="1" applyFont="1" applyFill="1" applyBorder="1" applyAlignment="1">
      <alignment vertical="center" wrapText="1"/>
    </xf>
    <xf numFmtId="1" fontId="21" fillId="0" borderId="104" xfId="0" applyNumberFormat="1" applyFont="1" applyFill="1" applyBorder="1" applyAlignment="1">
      <alignment vertical="center" wrapText="1"/>
    </xf>
    <xf numFmtId="0" fontId="36" fillId="0" borderId="206" xfId="75" applyFont="1" applyFill="1" applyBorder="1" applyAlignment="1">
      <alignment horizontal="left" vertical="center"/>
    </xf>
    <xf numFmtId="3" fontId="28" fillId="0" borderId="205" xfId="54" applyNumberFormat="1" applyFont="1" applyFill="1" applyBorder="1" applyAlignment="1">
      <alignment horizontal="right" vertical="center"/>
    </xf>
    <xf numFmtId="3" fontId="28" fillId="0" borderId="201" xfId="54" applyNumberFormat="1" applyFont="1" applyFill="1" applyBorder="1" applyAlignment="1">
      <alignment horizontal="right" vertical="center"/>
    </xf>
    <xf numFmtId="3" fontId="28" fillId="0" borderId="202" xfId="54" applyNumberFormat="1" applyFont="1" applyFill="1" applyBorder="1" applyAlignment="1">
      <alignment horizontal="right" vertical="center"/>
    </xf>
    <xf numFmtId="0" fontId="21" fillId="0" borderId="13" xfId="92" applyFont="1" applyBorder="1" applyAlignment="1">
      <alignment horizontal="left" vertical="center"/>
    </xf>
    <xf numFmtId="3" fontId="21" fillId="0" borderId="60" xfId="92" applyNumberFormat="1" applyFont="1" applyFill="1" applyBorder="1" applyAlignment="1">
      <alignment horizontal="right" vertical="center"/>
    </xf>
    <xf numFmtId="3" fontId="21" fillId="0" borderId="48" xfId="90" applyNumberFormat="1" applyFont="1" applyFill="1" applyBorder="1" applyAlignment="1">
      <alignment horizontal="right" vertical="center"/>
    </xf>
    <xf numFmtId="0" fontId="21" fillId="0" borderId="198" xfId="92" applyFont="1" applyFill="1" applyBorder="1"/>
    <xf numFmtId="3" fontId="21" fillId="0" borderId="199" xfId="0" applyNumberFormat="1" applyFont="1" applyFill="1" applyBorder="1" applyAlignment="1">
      <alignment horizontal="right" vertical="center"/>
    </xf>
    <xf numFmtId="3" fontId="21" fillId="0" borderId="211" xfId="92" applyNumberFormat="1" applyFont="1" applyFill="1" applyBorder="1" applyAlignment="1">
      <alignment horizontal="right" vertical="center"/>
    </xf>
    <xf numFmtId="3" fontId="21" fillId="0" borderId="199" xfId="92" applyNumberFormat="1" applyFont="1" applyFill="1" applyBorder="1" applyAlignment="1">
      <alignment horizontal="right" vertical="center"/>
    </xf>
    <xf numFmtId="3" fontId="21" fillId="0" borderId="200" xfId="90" applyNumberFormat="1" applyFont="1" applyFill="1" applyBorder="1" applyAlignment="1">
      <alignment horizontal="right" vertical="center"/>
    </xf>
    <xf numFmtId="0" fontId="21" fillId="0" borderId="102" xfId="92" applyFont="1" applyFill="1" applyBorder="1"/>
    <xf numFmtId="3" fontId="21" fillId="0" borderId="50" xfId="90" applyNumberFormat="1" applyFont="1" applyFill="1" applyBorder="1" applyAlignment="1">
      <alignment horizontal="right" vertical="center"/>
    </xf>
    <xf numFmtId="3" fontId="21" fillId="0" borderId="79" xfId="92" applyNumberFormat="1" applyFont="1" applyFill="1" applyBorder="1" applyAlignment="1">
      <alignment horizontal="right" vertical="center"/>
    </xf>
    <xf numFmtId="3" fontId="28" fillId="0" borderId="148" xfId="92" applyNumberFormat="1" applyFont="1" applyFill="1" applyBorder="1" applyAlignment="1">
      <alignment horizontal="right" vertical="center"/>
    </xf>
    <xf numFmtId="3" fontId="28" fillId="0" borderId="85" xfId="90" applyNumberFormat="1" applyFont="1" applyFill="1" applyBorder="1" applyAlignment="1">
      <alignment horizontal="right" vertical="center"/>
    </xf>
    <xf numFmtId="0" fontId="28" fillId="0" borderId="0" xfId="92" applyFont="1" applyFill="1" applyBorder="1"/>
    <xf numFmtId="3" fontId="28" fillId="0" borderId="0" xfId="92" applyNumberFormat="1" applyFont="1" applyFill="1" applyBorder="1"/>
    <xf numFmtId="10" fontId="21" fillId="0" borderId="40" xfId="0" applyNumberFormat="1" applyFont="1" applyFill="1" applyBorder="1" applyAlignment="1">
      <alignment vertical="center" wrapText="1"/>
    </xf>
    <xf numFmtId="10" fontId="28" fillId="0" borderId="207" xfId="0" applyNumberFormat="1" applyFont="1" applyFill="1" applyBorder="1" applyAlignment="1">
      <alignment horizontal="right" vertical="center" wrapText="1"/>
    </xf>
    <xf numFmtId="0" fontId="29" fillId="0" borderId="13" xfId="92" applyFont="1" applyBorder="1" applyAlignment="1">
      <alignment vertical="center"/>
    </xf>
    <xf numFmtId="0" fontId="21" fillId="0" borderId="183" xfId="92" applyFont="1" applyBorder="1" applyAlignment="1">
      <alignment vertical="center"/>
    </xf>
    <xf numFmtId="0" fontId="21" fillId="0" borderId="45" xfId="92" applyFont="1" applyBorder="1" applyAlignment="1">
      <alignment vertical="center"/>
    </xf>
    <xf numFmtId="0" fontId="21" fillId="0" borderId="63" xfId="92" applyFont="1" applyBorder="1" applyAlignment="1">
      <alignment horizontal="left" vertical="center"/>
    </xf>
    <xf numFmtId="0" fontId="21" fillId="0" borderId="46" xfId="92" applyFont="1" applyBorder="1" applyAlignment="1">
      <alignment vertical="center" wrapText="1"/>
    </xf>
    <xf numFmtId="0" fontId="21" fillId="0" borderId="46" xfId="92" applyFont="1" applyBorder="1" applyAlignment="1">
      <alignment vertical="center"/>
    </xf>
    <xf numFmtId="0" fontId="29" fillId="0" borderId="46" xfId="92" applyFont="1" applyBorder="1" applyAlignment="1">
      <alignment vertical="center"/>
    </xf>
    <xf numFmtId="0" fontId="29" fillId="0" borderId="46" xfId="92" applyFont="1" applyBorder="1" applyAlignment="1">
      <alignment vertical="center" wrapText="1"/>
    </xf>
    <xf numFmtId="0" fontId="21" fillId="0" borderId="46" xfId="92" applyFont="1" applyBorder="1" applyAlignment="1">
      <alignment horizontal="left" vertical="center" wrapText="1"/>
    </xf>
    <xf numFmtId="0" fontId="21" fillId="0" borderId="46" xfId="92" applyFont="1" applyBorder="1" applyAlignment="1">
      <alignment horizontal="left" vertical="center"/>
    </xf>
    <xf numFmtId="0" fontId="28" fillId="0" borderId="132" xfId="92" applyFont="1" applyBorder="1" applyAlignment="1">
      <alignment vertical="center"/>
    </xf>
    <xf numFmtId="3" fontId="28" fillId="0" borderId="220" xfId="92" applyNumberFormat="1" applyFont="1" applyBorder="1" applyAlignment="1">
      <alignment horizontal="center" vertical="center" wrapText="1"/>
    </xf>
    <xf numFmtId="3" fontId="21" fillId="0" borderId="15" xfId="92" applyNumberFormat="1" applyFont="1" applyBorder="1"/>
    <xf numFmtId="3" fontId="29" fillId="0" borderId="13" xfId="92" applyNumberFormat="1" applyFont="1" applyBorder="1"/>
    <xf numFmtId="3" fontId="29" fillId="0" borderId="17" xfId="92" applyNumberFormat="1" applyFont="1" applyBorder="1"/>
    <xf numFmtId="3" fontId="21" fillId="0" borderId="21" xfId="92" applyNumberFormat="1" applyFont="1" applyBorder="1"/>
    <xf numFmtId="3" fontId="21" fillId="0" borderId="28" xfId="92" applyNumberFormat="1" applyFont="1" applyBorder="1"/>
    <xf numFmtId="3" fontId="28" fillId="0" borderId="21" xfId="92" applyNumberFormat="1" applyFont="1" applyBorder="1"/>
    <xf numFmtId="3" fontId="28" fillId="0" borderId="21" xfId="92" applyNumberFormat="1" applyFont="1" applyFill="1" applyBorder="1"/>
    <xf numFmtId="3" fontId="21" fillId="0" borderId="13" xfId="92" applyNumberFormat="1" applyFont="1" applyBorder="1"/>
    <xf numFmtId="3" fontId="28" fillId="0" borderId="25" xfId="92" applyNumberFormat="1" applyFont="1" applyBorder="1"/>
    <xf numFmtId="0" fontId="28" fillId="0" borderId="23" xfId="92" applyFont="1" applyBorder="1" applyAlignment="1">
      <alignment vertical="center"/>
    </xf>
    <xf numFmtId="0" fontId="28" fillId="0" borderId="71" xfId="92" applyFont="1" applyBorder="1" applyAlignment="1">
      <alignment vertical="center"/>
    </xf>
    <xf numFmtId="3" fontId="28" fillId="0" borderId="30" xfId="92" applyNumberFormat="1" applyFont="1" applyBorder="1" applyAlignment="1">
      <alignment horizontal="right"/>
    </xf>
    <xf numFmtId="0" fontId="31" fillId="0" borderId="100" xfId="92" applyFont="1" applyFill="1" applyBorder="1" applyAlignment="1">
      <alignment horizontal="left" vertical="center" wrapText="1"/>
    </xf>
    <xf numFmtId="0" fontId="31" fillId="0" borderId="116" xfId="92" applyFont="1" applyFill="1" applyBorder="1" applyAlignment="1">
      <alignment horizontal="center" vertical="center" wrapText="1"/>
    </xf>
    <xf numFmtId="0" fontId="31" fillId="0" borderId="113" xfId="92" applyFont="1" applyFill="1" applyBorder="1" applyAlignment="1">
      <alignment horizontal="center" vertical="center" wrapText="1"/>
    </xf>
    <xf numFmtId="0" fontId="31" fillId="0" borderId="115" xfId="92" applyFont="1" applyFill="1" applyBorder="1" applyAlignment="1">
      <alignment horizontal="center" vertical="center" wrapText="1"/>
    </xf>
    <xf numFmtId="0" fontId="31" fillId="0" borderId="153" xfId="92" applyFont="1" applyFill="1" applyBorder="1" applyAlignment="1">
      <alignment horizontal="center" vertical="center" wrapText="1" shrinkToFit="1"/>
    </xf>
    <xf numFmtId="0" fontId="31" fillId="0" borderId="95" xfId="92" applyFont="1" applyFill="1" applyBorder="1" applyAlignment="1">
      <alignment horizontal="center" vertical="center" wrapText="1"/>
    </xf>
    <xf numFmtId="0" fontId="26" fillId="0" borderId="80" xfId="92" applyFont="1" applyFill="1" applyBorder="1"/>
    <xf numFmtId="3" fontId="26" fillId="0" borderId="221" xfId="92" applyNumberFormat="1" applyFont="1" applyFill="1" applyBorder="1"/>
    <xf numFmtId="3" fontId="26" fillId="0" borderId="139" xfId="92" applyNumberFormat="1" applyFont="1" applyFill="1" applyBorder="1"/>
    <xf numFmtId="3" fontId="26" fillId="0" borderId="163" xfId="92" applyNumberFormat="1" applyFont="1" applyFill="1" applyBorder="1"/>
    <xf numFmtId="3" fontId="26" fillId="0" borderId="188" xfId="92" applyNumberFormat="1" applyFont="1" applyFill="1" applyBorder="1"/>
    <xf numFmtId="0" fontId="26" fillId="0" borderId="111" xfId="92" applyFont="1" applyFill="1" applyBorder="1" applyAlignment="1">
      <alignment vertical="center"/>
    </xf>
    <xf numFmtId="3" fontId="26" fillId="0" borderId="50" xfId="92" applyNumberFormat="1" applyFont="1" applyFill="1" applyBorder="1"/>
    <xf numFmtId="0" fontId="26" fillId="0" borderId="72" xfId="92" applyFont="1" applyFill="1" applyBorder="1"/>
    <xf numFmtId="3" fontId="26" fillId="0" borderId="64" xfId="92" applyNumberFormat="1" applyFont="1" applyFill="1" applyBorder="1"/>
    <xf numFmtId="3" fontId="26" fillId="0" borderId="30" xfId="92" applyNumberFormat="1" applyFont="1" applyFill="1" applyBorder="1"/>
    <xf numFmtId="3" fontId="26" fillId="0" borderId="105" xfId="92" applyNumberFormat="1" applyFont="1" applyFill="1" applyBorder="1"/>
    <xf numFmtId="3" fontId="26" fillId="0" borderId="64" xfId="92" applyNumberFormat="1" applyFont="1" applyFill="1" applyBorder="1" applyAlignment="1">
      <alignment vertical="center" wrapText="1"/>
    </xf>
    <xf numFmtId="3" fontId="26" fillId="0" borderId="30" xfId="92" applyNumberFormat="1" applyFont="1" applyFill="1" applyBorder="1" applyAlignment="1">
      <alignment vertical="center" wrapText="1"/>
    </xf>
    <xf numFmtId="3" fontId="52" fillId="0" borderId="50" xfId="92" applyNumberFormat="1" applyFont="1" applyFill="1" applyBorder="1"/>
    <xf numFmtId="0" fontId="26" fillId="0" borderId="81" xfId="92" applyFont="1" applyFill="1" applyBorder="1"/>
    <xf numFmtId="3" fontId="26" fillId="0" borderId="31" xfId="92" applyNumberFormat="1" applyFont="1" applyFill="1" applyBorder="1" applyAlignment="1">
      <alignment vertical="center" wrapText="1"/>
    </xf>
    <xf numFmtId="3" fontId="26" fillId="0" borderId="122" xfId="92" applyNumberFormat="1" applyFont="1" applyFill="1" applyBorder="1"/>
    <xf numFmtId="3" fontId="26" fillId="0" borderId="18" xfId="92" applyNumberFormat="1" applyFont="1" applyFill="1" applyBorder="1"/>
    <xf numFmtId="3" fontId="26" fillId="0" borderId="208" xfId="92" applyNumberFormat="1" applyFont="1" applyFill="1" applyBorder="1"/>
    <xf numFmtId="3" fontId="26" fillId="0" borderId="130" xfId="92" applyNumberFormat="1" applyFont="1" applyFill="1" applyBorder="1"/>
    <xf numFmtId="0" fontId="31" fillId="0" borderId="82" xfId="92" applyFont="1" applyFill="1" applyBorder="1"/>
    <xf numFmtId="3" fontId="31" fillId="0" borderId="148" xfId="92" applyNumberFormat="1" applyFont="1" applyFill="1" applyBorder="1"/>
    <xf numFmtId="3" fontId="31" fillId="0" borderId="222" xfId="92" applyNumberFormat="1" applyFont="1" applyFill="1" applyBorder="1"/>
    <xf numFmtId="3" fontId="31" fillId="0" borderId="83" xfId="92" applyNumberFormat="1" applyFont="1" applyFill="1" applyBorder="1"/>
    <xf numFmtId="3" fontId="31" fillId="0" borderId="85" xfId="92" applyNumberFormat="1" applyFont="1" applyFill="1" applyBorder="1"/>
    <xf numFmtId="0" fontId="21" fillId="0" borderId="0" xfId="92" applyFont="1" applyFill="1" applyBorder="1"/>
    <xf numFmtId="0" fontId="29" fillId="0" borderId="0" xfId="92" applyFont="1" applyFill="1" applyBorder="1"/>
    <xf numFmtId="0" fontId="28" fillId="0" borderId="0" xfId="92" applyFont="1" applyAlignment="1">
      <alignment horizontal="justify"/>
    </xf>
    <xf numFmtId="0" fontId="21" fillId="0" borderId="0" xfId="92" applyFont="1" applyAlignment="1">
      <alignment horizontal="justify"/>
    </xf>
    <xf numFmtId="0" fontId="21" fillId="0" borderId="0" xfId="92" applyFont="1" applyAlignment="1">
      <alignment horizontal="right"/>
    </xf>
    <xf numFmtId="0" fontId="21" fillId="0" borderId="0" xfId="92" applyFont="1" applyFill="1" applyBorder="1" applyAlignment="1">
      <alignment vertical="center"/>
    </xf>
    <xf numFmtId="0" fontId="21" fillId="0" borderId="0" xfId="92" applyFont="1" applyFill="1" applyBorder="1" applyAlignment="1">
      <alignment horizontal="right"/>
    </xf>
    <xf numFmtId="165" fontId="21" fillId="0" borderId="0" xfId="92" applyNumberFormat="1" applyFont="1" applyFill="1" applyBorder="1"/>
    <xf numFmtId="2" fontId="21" fillId="0" borderId="0" xfId="92" applyNumberFormat="1" applyFont="1" applyFill="1" applyBorder="1"/>
    <xf numFmtId="0" fontId="21" fillId="0" borderId="15" xfId="0" applyFont="1" applyFill="1" applyBorder="1"/>
    <xf numFmtId="3" fontId="21" fillId="0" borderId="49" xfId="0" applyNumberFormat="1" applyFont="1" applyFill="1" applyBorder="1"/>
    <xf numFmtId="3" fontId="21" fillId="0" borderId="108" xfId="0" applyNumberFormat="1" applyFont="1" applyFill="1" applyBorder="1"/>
    <xf numFmtId="0" fontId="28" fillId="0" borderId="175" xfId="0" applyFont="1" applyFill="1" applyBorder="1" applyAlignment="1">
      <alignment vertical="center"/>
    </xf>
    <xf numFmtId="3" fontId="28" fillId="0" borderId="42" xfId="0" applyNumberFormat="1" applyFont="1" applyFill="1" applyBorder="1"/>
    <xf numFmtId="3" fontId="28" fillId="0" borderId="176" xfId="0" applyNumberFormat="1" applyFont="1" applyFill="1" applyBorder="1"/>
    <xf numFmtId="3" fontId="28" fillId="0" borderId="177" xfId="0" applyNumberFormat="1" applyFont="1" applyFill="1" applyBorder="1"/>
    <xf numFmtId="3" fontId="28" fillId="0" borderId="178" xfId="0" applyNumberFormat="1" applyFont="1" applyFill="1" applyBorder="1"/>
    <xf numFmtId="3" fontId="28" fillId="0" borderId="43" xfId="0" applyNumberFormat="1" applyFont="1" applyFill="1" applyBorder="1"/>
    <xf numFmtId="0" fontId="28" fillId="0" borderId="0" xfId="0" applyFont="1" applyFill="1" applyAlignment="1">
      <alignment vertical="center"/>
    </xf>
    <xf numFmtId="0" fontId="28" fillId="0" borderId="175" xfId="0" applyFont="1" applyFill="1" applyBorder="1" applyAlignment="1">
      <alignment vertical="center" wrapText="1"/>
    </xf>
    <xf numFmtId="3" fontId="28" fillId="0" borderId="216" xfId="0" applyNumberFormat="1" applyFont="1" applyFill="1" applyBorder="1"/>
    <xf numFmtId="3" fontId="28" fillId="0" borderId="215" xfId="0" applyNumberFormat="1" applyFont="1" applyFill="1" applyBorder="1"/>
    <xf numFmtId="0" fontId="28" fillId="0" borderId="206" xfId="0" applyFont="1" applyFill="1" applyBorder="1" applyAlignment="1">
      <alignment horizontal="left" vertical="center"/>
    </xf>
    <xf numFmtId="0" fontId="21" fillId="0" borderId="13" xfId="92" applyFont="1" applyBorder="1" applyAlignment="1">
      <alignment horizontal="left" vertical="center"/>
    </xf>
    <xf numFmtId="0" fontId="21" fillId="0" borderId="46" xfId="92" applyFont="1" applyBorder="1" applyAlignment="1">
      <alignment horizontal="left" vertical="center"/>
    </xf>
    <xf numFmtId="10" fontId="21" fillId="0" borderId="159" xfId="54" applyNumberFormat="1" applyFont="1" applyFill="1" applyBorder="1" applyAlignment="1">
      <alignment horizontal="right" vertical="center"/>
    </xf>
    <xf numFmtId="3" fontId="21" fillId="0" borderId="182" xfId="92" applyNumberFormat="1" applyFont="1" applyFill="1" applyBorder="1" applyAlignment="1">
      <alignment horizontal="right" vertical="center"/>
    </xf>
    <xf numFmtId="3" fontId="21" fillId="0" borderId="47" xfId="0" applyNumberFormat="1" applyFont="1" applyFill="1" applyBorder="1"/>
    <xf numFmtId="0" fontId="21" fillId="0" borderId="28" xfId="92" applyFont="1" applyFill="1" applyBorder="1"/>
    <xf numFmtId="0" fontId="21" fillId="0" borderId="223" xfId="92" applyFont="1" applyBorder="1"/>
    <xf numFmtId="0" fontId="21" fillId="0" borderId="224" xfId="92" applyFont="1" applyBorder="1"/>
    <xf numFmtId="0" fontId="28" fillId="0" borderId="28" xfId="92" applyFont="1" applyBorder="1"/>
    <xf numFmtId="3" fontId="28" fillId="0" borderId="23" xfId="92" applyNumberFormat="1" applyFont="1" applyBorder="1"/>
    <xf numFmtId="170" fontId="28" fillId="0" borderId="93" xfId="95" applyNumberFormat="1" applyFont="1" applyFill="1" applyBorder="1" applyAlignment="1" applyProtection="1">
      <alignment horizontal="right" vertical="center" wrapText="1"/>
      <protection locked="0"/>
    </xf>
    <xf numFmtId="3" fontId="29" fillId="0" borderId="30" xfId="92" applyNumberFormat="1" applyFont="1" applyFill="1" applyBorder="1"/>
    <xf numFmtId="3" fontId="26" fillId="0" borderId="52" xfId="92" applyNumberFormat="1" applyFont="1" applyFill="1" applyBorder="1"/>
    <xf numFmtId="3" fontId="21" fillId="0" borderId="13" xfId="92" applyNumberFormat="1" applyFont="1" applyFill="1" applyBorder="1"/>
    <xf numFmtId="3" fontId="19" fillId="0" borderId="0" xfId="77" applyNumberFormat="1" applyFont="1" applyFill="1" applyBorder="1" applyAlignment="1">
      <alignment vertical="center"/>
    </xf>
    <xf numFmtId="10" fontId="21" fillId="0" borderId="0" xfId="54" applyNumberFormat="1" applyFont="1" applyFill="1" applyBorder="1" applyAlignment="1">
      <alignment horizontal="right" vertical="center"/>
    </xf>
    <xf numFmtId="3" fontId="21" fillId="0" borderId="182" xfId="0" applyNumberFormat="1" applyFont="1" applyFill="1" applyBorder="1" applyAlignment="1">
      <alignment horizontal="right" vertical="center"/>
    </xf>
    <xf numFmtId="0" fontId="31" fillId="0" borderId="39" xfId="0" applyFont="1" applyFill="1" applyBorder="1" applyAlignment="1">
      <alignment horizontal="center" vertical="center"/>
    </xf>
    <xf numFmtId="3" fontId="31" fillId="0" borderId="39" xfId="0" applyNumberFormat="1" applyFont="1" applyFill="1" applyBorder="1" applyAlignment="1">
      <alignment horizontal="right" vertical="center"/>
    </xf>
    <xf numFmtId="3" fontId="31" fillId="0" borderId="87" xfId="0" applyNumberFormat="1" applyFont="1" applyFill="1" applyBorder="1" applyAlignment="1">
      <alignment horizontal="right" vertical="center"/>
    </xf>
    <xf numFmtId="3" fontId="31" fillId="0" borderId="78" xfId="0" applyNumberFormat="1" applyFont="1" applyFill="1" applyBorder="1" applyAlignment="1">
      <alignment horizontal="right" vertical="center"/>
    </xf>
    <xf numFmtId="165" fontId="31" fillId="0" borderId="40" xfId="0" applyNumberFormat="1" applyFont="1" applyFill="1" applyBorder="1" applyAlignment="1">
      <alignment horizontal="right" vertical="center"/>
    </xf>
    <xf numFmtId="0" fontId="31" fillId="0" borderId="199" xfId="0" applyFont="1" applyFill="1" applyBorder="1" applyAlignment="1">
      <alignment horizontal="center" vertical="center"/>
    </xf>
    <xf numFmtId="3" fontId="26" fillId="0" borderId="199" xfId="0" applyNumberFormat="1" applyFont="1" applyFill="1" applyBorder="1" applyAlignment="1">
      <alignment horizontal="right" vertical="center"/>
    </xf>
    <xf numFmtId="165" fontId="26" fillId="0" borderId="200" xfId="0" applyNumberFormat="1" applyFont="1" applyFill="1" applyBorder="1" applyAlignment="1">
      <alignment horizontal="right" vertical="center"/>
    </xf>
    <xf numFmtId="0" fontId="37" fillId="0" borderId="75" xfId="75" applyFont="1" applyFill="1" applyBorder="1" applyAlignment="1">
      <alignment vertical="center" wrapText="1"/>
    </xf>
    <xf numFmtId="3" fontId="21" fillId="0" borderId="108" xfId="0" applyNumberFormat="1" applyFont="1" applyFill="1" applyBorder="1" applyAlignment="1">
      <alignment vertical="center" wrapText="1"/>
    </xf>
    <xf numFmtId="3" fontId="21" fillId="0" borderId="108" xfId="54" applyNumberFormat="1" applyFont="1" applyFill="1" applyBorder="1" applyAlignment="1">
      <alignment horizontal="right"/>
    </xf>
    <xf numFmtId="3" fontId="21" fillId="0" borderId="140" xfId="54" applyNumberFormat="1" applyFont="1" applyFill="1" applyBorder="1" applyAlignment="1">
      <alignment horizontal="right"/>
    </xf>
    <xf numFmtId="3" fontId="21" fillId="0" borderId="139" xfId="54" applyNumberFormat="1" applyFont="1" applyFill="1" applyBorder="1" applyAlignment="1">
      <alignment horizontal="right"/>
    </xf>
    <xf numFmtId="3" fontId="28" fillId="0" borderId="13" xfId="92" applyNumberFormat="1" applyFont="1" applyBorder="1"/>
    <xf numFmtId="3" fontId="21" fillId="0" borderId="71" xfId="92" applyNumberFormat="1" applyFont="1" applyBorder="1"/>
    <xf numFmtId="3" fontId="21" fillId="0" borderId="23" xfId="92" applyNumberFormat="1" applyFont="1" applyBorder="1"/>
    <xf numFmtId="3" fontId="28" fillId="0" borderId="30" xfId="92" applyNumberFormat="1" applyFont="1" applyBorder="1"/>
    <xf numFmtId="3" fontId="28" fillId="0" borderId="16" xfId="92" applyNumberFormat="1" applyFont="1" applyBorder="1"/>
    <xf numFmtId="0" fontId="21" fillId="0" borderId="190" xfId="92" applyFont="1" applyBorder="1" applyAlignment="1">
      <alignment vertical="center" wrapText="1"/>
    </xf>
    <xf numFmtId="0" fontId="21" fillId="0" borderId="218" xfId="92" applyFont="1" applyBorder="1" applyAlignment="1">
      <alignment vertical="center"/>
    </xf>
    <xf numFmtId="0" fontId="21" fillId="0" borderId="26" xfId="92" applyFont="1" applyBorder="1"/>
    <xf numFmtId="0" fontId="21" fillId="0" borderId="190" xfId="92" applyFont="1" applyBorder="1" applyAlignment="1">
      <alignment horizontal="left" vertical="center" wrapText="1"/>
    </xf>
    <xf numFmtId="0" fontId="21" fillId="0" borderId="23" xfId="92" applyFont="1" applyBorder="1" applyAlignment="1">
      <alignment horizontal="left" vertical="center" wrapText="1"/>
    </xf>
    <xf numFmtId="3" fontId="21" fillId="0" borderId="78" xfId="92" applyNumberFormat="1" applyFont="1" applyFill="1" applyBorder="1" applyAlignment="1">
      <alignment horizontal="center" vertical="center" wrapText="1"/>
    </xf>
    <xf numFmtId="3" fontId="21" fillId="0" borderId="87" xfId="92" applyNumberFormat="1" applyFont="1" applyFill="1" applyBorder="1" applyAlignment="1">
      <alignment horizontal="center" vertical="center" wrapText="1"/>
    </xf>
    <xf numFmtId="3" fontId="21" fillId="0" borderId="187" xfId="92" applyNumberFormat="1" applyFont="1" applyFill="1" applyBorder="1" applyAlignment="1">
      <alignment horizontal="center" vertical="center" wrapText="1"/>
    </xf>
    <xf numFmtId="166" fontId="28" fillId="0" borderId="172" xfId="92" applyNumberFormat="1" applyFont="1" applyFill="1" applyBorder="1" applyAlignment="1">
      <alignment horizontal="center" vertical="center" wrapText="1"/>
    </xf>
    <xf numFmtId="166" fontId="28" fillId="0" borderId="183" xfId="92" applyNumberFormat="1" applyFont="1" applyFill="1" applyBorder="1" applyAlignment="1">
      <alignment horizontal="center" vertical="center" wrapText="1"/>
    </xf>
    <xf numFmtId="166" fontId="28" fillId="0" borderId="184" xfId="92" applyNumberFormat="1" applyFont="1" applyFill="1" applyBorder="1" applyAlignment="1">
      <alignment horizontal="center" vertical="center" wrapText="1"/>
    </xf>
    <xf numFmtId="0" fontId="28" fillId="0" borderId="76" xfId="92" applyNumberFormat="1" applyFont="1" applyFill="1" applyBorder="1" applyAlignment="1">
      <alignment horizontal="center" vertical="center" wrapText="1"/>
    </xf>
    <xf numFmtId="0" fontId="28" fillId="0" borderId="47" xfId="92" applyNumberFormat="1" applyFont="1" applyFill="1" applyBorder="1" applyAlignment="1">
      <alignment horizontal="center" vertical="center" wrapText="1"/>
    </xf>
    <xf numFmtId="0" fontId="28" fillId="0" borderId="52" xfId="92" applyNumberFormat="1" applyFont="1" applyFill="1" applyBorder="1" applyAlignment="1">
      <alignment horizontal="center" vertical="center" wrapText="1"/>
    </xf>
    <xf numFmtId="0" fontId="28" fillId="0" borderId="74" xfId="92" applyNumberFormat="1" applyFont="1" applyFill="1" applyBorder="1" applyAlignment="1">
      <alignment horizontal="center" vertical="center" wrapText="1"/>
    </xf>
    <xf numFmtId="0" fontId="28" fillId="0" borderId="46" xfId="92" applyNumberFormat="1" applyFont="1" applyFill="1" applyBorder="1" applyAlignment="1">
      <alignment horizontal="center" vertical="center" wrapText="1"/>
    </xf>
    <xf numFmtId="0" fontId="28" fillId="0" borderId="18" xfId="92" applyNumberFormat="1" applyFont="1" applyFill="1" applyBorder="1" applyAlignment="1">
      <alignment horizontal="center" vertical="center" wrapText="1"/>
    </xf>
    <xf numFmtId="166" fontId="28" fillId="0" borderId="52" xfId="92" applyNumberFormat="1" applyFont="1" applyFill="1" applyBorder="1" applyAlignment="1">
      <alignment horizontal="center" vertical="center" wrapText="1"/>
    </xf>
    <xf numFmtId="166" fontId="28" fillId="0" borderId="185" xfId="92" applyNumberFormat="1" applyFont="1" applyFill="1" applyBorder="1" applyAlignment="1">
      <alignment horizontal="center" vertical="center" wrapText="1"/>
    </xf>
    <xf numFmtId="166" fontId="28" fillId="0" borderId="174" xfId="92" applyNumberFormat="1" applyFont="1" applyFill="1" applyBorder="1" applyAlignment="1">
      <alignment horizontal="center" vertical="center" wrapText="1"/>
    </xf>
    <xf numFmtId="166" fontId="28" fillId="0" borderId="186" xfId="92" applyNumberFormat="1" applyFont="1" applyFill="1" applyBorder="1" applyAlignment="1">
      <alignment horizontal="center" vertical="center" wrapText="1"/>
    </xf>
    <xf numFmtId="166" fontId="28" fillId="0" borderId="164" xfId="92" applyNumberFormat="1" applyFont="1" applyBorder="1" applyAlignment="1">
      <alignment horizontal="center" vertical="center"/>
    </xf>
    <xf numFmtId="166" fontId="28" fillId="0" borderId="102" xfId="92" applyNumberFormat="1" applyFont="1" applyBorder="1" applyAlignment="1">
      <alignment horizontal="center" vertical="center"/>
    </xf>
    <xf numFmtId="0" fontId="1" fillId="0" borderId="162" xfId="92" applyBorder="1" applyAlignment="1">
      <alignment vertical="center"/>
    </xf>
    <xf numFmtId="166" fontId="28" fillId="0" borderId="212" xfId="92" applyNumberFormat="1" applyFont="1" applyFill="1" applyBorder="1" applyAlignment="1">
      <alignment horizontal="center" vertical="center" wrapText="1"/>
    </xf>
    <xf numFmtId="166" fontId="28" fillId="0" borderId="86" xfId="92" applyNumberFormat="1" applyFont="1" applyFill="1" applyBorder="1" applyAlignment="1">
      <alignment horizontal="center" vertical="center" wrapText="1"/>
    </xf>
    <xf numFmtId="166" fontId="28" fillId="0" borderId="70" xfId="92" applyNumberFormat="1" applyFont="1" applyFill="1" applyBorder="1" applyAlignment="1">
      <alignment horizontal="center" vertical="center" wrapText="1"/>
    </xf>
    <xf numFmtId="166" fontId="28" fillId="0" borderId="180" xfId="92" applyNumberFormat="1" applyFont="1" applyFill="1" applyBorder="1" applyAlignment="1">
      <alignment horizontal="center" vertical="center" wrapText="1"/>
    </xf>
    <xf numFmtId="166" fontId="28" fillId="0" borderId="181" xfId="92" applyNumberFormat="1" applyFont="1" applyFill="1" applyBorder="1" applyAlignment="1">
      <alignment horizontal="center" vertical="center" wrapText="1"/>
    </xf>
    <xf numFmtId="166" fontId="28" fillId="0" borderId="182" xfId="92" applyNumberFormat="1" applyFont="1" applyBorder="1" applyAlignment="1">
      <alignment horizontal="center" vertical="center"/>
    </xf>
    <xf numFmtId="166" fontId="28" fillId="0" borderId="79" xfId="92" applyNumberFormat="1" applyFont="1" applyBorder="1" applyAlignment="1">
      <alignment horizontal="center" vertical="center"/>
    </xf>
    <xf numFmtId="166" fontId="28" fillId="0" borderId="41" xfId="92" applyNumberFormat="1" applyFont="1" applyBorder="1" applyAlignment="1">
      <alignment horizontal="center" vertical="center"/>
    </xf>
    <xf numFmtId="3" fontId="28" fillId="0" borderId="92" xfId="54" applyNumberFormat="1" applyFont="1" applyFill="1" applyBorder="1" applyAlignment="1">
      <alignment horizontal="center" vertical="center" wrapText="1"/>
    </xf>
    <xf numFmtId="3" fontId="28" fillId="0" borderId="94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92" xfId="0" applyNumberFormat="1" applyFont="1" applyFill="1" applyBorder="1" applyAlignment="1">
      <alignment horizontal="center" vertical="center" wrapText="1"/>
    </xf>
    <xf numFmtId="3" fontId="28" fillId="0" borderId="94" xfId="0" applyNumberFormat="1" applyFont="1" applyFill="1" applyBorder="1" applyAlignment="1">
      <alignment horizontal="center" vertical="center" wrapText="1"/>
    </xf>
    <xf numFmtId="3" fontId="28" fillId="0" borderId="96" xfId="0" applyNumberFormat="1" applyFont="1" applyFill="1" applyBorder="1" applyAlignment="1">
      <alignment horizontal="center" vertical="center" wrapText="1"/>
    </xf>
    <xf numFmtId="3" fontId="28" fillId="0" borderId="160" xfId="0" applyNumberFormat="1" applyFont="1" applyFill="1" applyBorder="1" applyAlignment="1">
      <alignment horizontal="center" vertical="center" wrapText="1"/>
    </xf>
    <xf numFmtId="3" fontId="28" fillId="0" borderId="69" xfId="0" applyNumberFormat="1" applyFont="1" applyFill="1" applyBorder="1" applyAlignment="1">
      <alignment horizontal="center" vertical="center" wrapText="1"/>
    </xf>
    <xf numFmtId="3" fontId="28" fillId="0" borderId="161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100" xfId="75" applyFont="1" applyFill="1" applyBorder="1" applyAlignment="1">
      <alignment horizontal="center" vertical="center" wrapText="1"/>
    </xf>
    <xf numFmtId="0" fontId="28" fillId="0" borderId="36" xfId="75" applyFont="1" applyFill="1" applyBorder="1" applyAlignment="1">
      <alignment horizontal="center" vertical="center" wrapText="1"/>
    </xf>
    <xf numFmtId="0" fontId="28" fillId="0" borderId="103" xfId="0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center" vertical="center"/>
    </xf>
    <xf numFmtId="0" fontId="44" fillId="0" borderId="81" xfId="0" applyFont="1" applyFill="1" applyBorder="1" applyAlignment="1">
      <alignment horizontal="center" vertical="center"/>
    </xf>
    <xf numFmtId="0" fontId="44" fillId="0" borderId="182" xfId="0" applyFont="1" applyFill="1" applyBorder="1" applyAlignment="1">
      <alignment horizontal="center" vertical="center" wrapText="1"/>
    </xf>
    <xf numFmtId="0" fontId="44" fillId="0" borderId="59" xfId="0" applyFont="1" applyFill="1" applyBorder="1" applyAlignment="1">
      <alignment horizontal="center" vertical="center" wrapText="1"/>
    </xf>
    <xf numFmtId="0" fontId="44" fillId="0" borderId="112" xfId="0" applyFont="1" applyFill="1" applyBorder="1" applyAlignment="1">
      <alignment horizontal="center" vertical="center"/>
    </xf>
    <xf numFmtId="0" fontId="44" fillId="0" borderId="113" xfId="0" applyFont="1" applyFill="1" applyBorder="1" applyAlignment="1">
      <alignment horizontal="center" vertical="center"/>
    </xf>
    <xf numFmtId="0" fontId="44" fillId="0" borderId="91" xfId="0" applyFont="1" applyFill="1" applyBorder="1" applyAlignment="1">
      <alignment horizontal="center" vertical="center"/>
    </xf>
    <xf numFmtId="0" fontId="44" fillId="0" borderId="94" xfId="0" applyFont="1" applyFill="1" applyBorder="1" applyAlignment="1">
      <alignment horizontal="center" vertical="center" wrapText="1"/>
    </xf>
    <xf numFmtId="0" fontId="44" fillId="0" borderId="153" xfId="0" applyFont="1" applyFill="1" applyBorder="1" applyAlignment="1">
      <alignment horizontal="center" vertical="center" wrapText="1"/>
    </xf>
    <xf numFmtId="0" fontId="44" fillId="0" borderId="55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 wrapText="1"/>
    </xf>
    <xf numFmtId="0" fontId="44" fillId="0" borderId="115" xfId="0" applyFont="1" applyFill="1" applyBorder="1" applyAlignment="1">
      <alignment horizontal="center" vertical="center"/>
    </xf>
    <xf numFmtId="3" fontId="28" fillId="0" borderId="70" xfId="54" applyNumberFormat="1" applyFont="1" applyFill="1" applyBorder="1" applyAlignment="1">
      <alignment horizontal="center"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3" fontId="28" fillId="0" borderId="86" xfId="54" applyNumberFormat="1" applyFont="1" applyFill="1" applyBorder="1" applyAlignment="1">
      <alignment horizontal="center"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9" fontId="28" fillId="0" borderId="168" xfId="90" applyFont="1" applyFill="1" applyBorder="1" applyAlignment="1">
      <alignment horizontal="center" vertical="center" wrapText="1"/>
    </xf>
    <xf numFmtId="9" fontId="28" fillId="0" borderId="171" xfId="90" applyFont="1" applyFill="1" applyBorder="1" applyAlignment="1">
      <alignment horizontal="center" vertical="center" wrapText="1"/>
    </xf>
    <xf numFmtId="3" fontId="28" fillId="0" borderId="167" xfId="54" applyNumberFormat="1" applyFont="1" applyFill="1" applyBorder="1" applyAlignment="1">
      <alignment horizontal="center" vertical="center" wrapText="1"/>
    </xf>
    <xf numFmtId="3" fontId="28" fillId="0" borderId="169" xfId="54" applyNumberFormat="1" applyFont="1" applyFill="1" applyBorder="1" applyAlignment="1">
      <alignment horizontal="center" vertical="center" wrapText="1"/>
    </xf>
    <xf numFmtId="0" fontId="28" fillId="0" borderId="54" xfId="75" applyFont="1" applyFill="1" applyBorder="1" applyAlignment="1">
      <alignment horizontal="center" vertical="center" wrapText="1"/>
    </xf>
    <xf numFmtId="0" fontId="28" fillId="0" borderId="55" xfId="75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/>
    </xf>
    <xf numFmtId="0" fontId="28" fillId="0" borderId="147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13" xfId="0" applyFont="1" applyFill="1" applyBorder="1" applyAlignment="1">
      <alignment horizontal="center" vertical="center" wrapText="1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90" xfId="0" applyFont="1" applyFill="1" applyBorder="1" applyAlignment="1">
      <alignment horizontal="center" vertical="center" wrapText="1"/>
    </xf>
    <xf numFmtId="0" fontId="28" fillId="0" borderId="91" xfId="0" applyFont="1" applyFill="1" applyBorder="1" applyAlignment="1">
      <alignment horizontal="center" vertical="center" wrapText="1"/>
    </xf>
    <xf numFmtId="165" fontId="28" fillId="0" borderId="116" xfId="0" applyNumberFormat="1" applyFont="1" applyFill="1" applyBorder="1" applyAlignment="1">
      <alignment horizontal="center" vertical="center" wrapText="1"/>
    </xf>
    <xf numFmtId="165" fontId="28" fillId="0" borderId="113" xfId="0" applyNumberFormat="1" applyFont="1" applyFill="1" applyBorder="1" applyAlignment="1">
      <alignment horizontal="center" vertical="center" wrapText="1"/>
    </xf>
    <xf numFmtId="165" fontId="28" fillId="0" borderId="114" xfId="0" applyNumberFormat="1" applyFont="1" applyFill="1" applyBorder="1" applyAlignment="1">
      <alignment horizontal="center" vertical="center" wrapText="1"/>
    </xf>
    <xf numFmtId="165" fontId="28" fillId="0" borderId="112" xfId="0" applyNumberFormat="1" applyFont="1" applyFill="1" applyBorder="1" applyAlignment="1">
      <alignment horizontal="center" vertical="center" wrapText="1"/>
    </xf>
    <xf numFmtId="0" fontId="28" fillId="0" borderId="172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132" xfId="0" applyFont="1" applyFill="1" applyBorder="1" applyAlignment="1">
      <alignment horizontal="center" vertical="center" wrapText="1"/>
    </xf>
    <xf numFmtId="3" fontId="28" fillId="0" borderId="112" xfId="0" applyNumberFormat="1" applyFont="1" applyFill="1" applyBorder="1" applyAlignment="1">
      <alignment horizontal="center" vertical="center" wrapText="1"/>
    </xf>
    <xf numFmtId="3" fontId="28" fillId="0" borderId="113" xfId="0" applyNumberFormat="1" applyFont="1" applyFill="1" applyBorder="1" applyAlignment="1">
      <alignment horizontal="center" vertical="center" wrapText="1"/>
    </xf>
    <xf numFmtId="3" fontId="28" fillId="0" borderId="115" xfId="0" applyNumberFormat="1" applyFont="1" applyFill="1" applyBorder="1" applyAlignment="1">
      <alignment horizontal="center" vertical="center" wrapText="1"/>
    </xf>
    <xf numFmtId="165" fontId="28" fillId="0" borderId="91" xfId="0" applyNumberFormat="1" applyFont="1" applyFill="1" applyBorder="1" applyAlignment="1">
      <alignment horizontal="center" vertical="center" wrapText="1"/>
    </xf>
    <xf numFmtId="165" fontId="28" fillId="0" borderId="92" xfId="0" applyNumberFormat="1" applyFont="1" applyFill="1" applyBorder="1" applyAlignment="1">
      <alignment horizontal="center" vertical="center" wrapText="1"/>
    </xf>
    <xf numFmtId="165" fontId="28" fillId="0" borderId="94" xfId="0" applyNumberFormat="1" applyFont="1" applyFill="1" applyBorder="1" applyAlignment="1">
      <alignment horizontal="center" vertical="center" wrapText="1"/>
    </xf>
    <xf numFmtId="165" fontId="28" fillId="0" borderId="96" xfId="0" applyNumberFormat="1" applyFont="1" applyFill="1" applyBorder="1" applyAlignment="1">
      <alignment horizontal="center" vertical="center" wrapText="1"/>
    </xf>
    <xf numFmtId="0" fontId="21" fillId="0" borderId="13" xfId="92" applyFont="1" applyBorder="1" applyAlignment="1">
      <alignment horizontal="left" vertical="center" wrapText="1"/>
    </xf>
    <xf numFmtId="0" fontId="21" fillId="0" borderId="46" xfId="92" applyFont="1" applyBorder="1" applyAlignment="1">
      <alignment horizontal="left" vertical="center" wrapText="1"/>
    </xf>
    <xf numFmtId="0" fontId="29" fillId="0" borderId="13" xfId="92" applyFont="1" applyBorder="1" applyAlignment="1">
      <alignment horizontal="left" vertical="center"/>
    </xf>
    <xf numFmtId="0" fontId="29" fillId="0" borderId="46" xfId="92" applyFont="1" applyBorder="1" applyAlignment="1">
      <alignment horizontal="left" vertical="center"/>
    </xf>
    <xf numFmtId="3" fontId="28" fillId="0" borderId="195" xfId="92" applyNumberFormat="1" applyFont="1" applyBorder="1" applyAlignment="1">
      <alignment horizontal="center" vertical="center"/>
    </xf>
    <xf numFmtId="3" fontId="28" fillId="0" borderId="183" xfId="92" applyNumberFormat="1" applyFont="1" applyBorder="1" applyAlignment="1">
      <alignment horizontal="center" vertical="center"/>
    </xf>
    <xf numFmtId="3" fontId="28" fillId="0" borderId="184" xfId="92" applyNumberFormat="1" applyFont="1" applyBorder="1" applyAlignment="1">
      <alignment horizontal="center" vertical="center"/>
    </xf>
    <xf numFmtId="0" fontId="21" fillId="0" borderId="21" xfId="92" applyFont="1" applyBorder="1" applyAlignment="1">
      <alignment horizontal="left" vertical="center"/>
    </xf>
    <xf numFmtId="0" fontId="21" fillId="0" borderId="63" xfId="92" applyFont="1" applyBorder="1" applyAlignment="1">
      <alignment horizontal="left" vertical="center"/>
    </xf>
    <xf numFmtId="0" fontId="21" fillId="0" borderId="13" xfId="92" applyFont="1" applyBorder="1" applyAlignment="1">
      <alignment horizontal="left" vertical="center"/>
    </xf>
    <xf numFmtId="0" fontId="21" fillId="0" borderId="46" xfId="92" applyFont="1" applyBorder="1" applyAlignment="1">
      <alignment horizontal="left" vertical="center"/>
    </xf>
    <xf numFmtId="0" fontId="28" fillId="0" borderId="21" xfId="92" applyFont="1" applyBorder="1" applyAlignment="1">
      <alignment horizontal="left" vertical="center"/>
    </xf>
    <xf numFmtId="0" fontId="28" fillId="0" borderId="63" xfId="92" applyFont="1" applyBorder="1" applyAlignment="1">
      <alignment horizontal="left" vertical="center"/>
    </xf>
    <xf numFmtId="0" fontId="21" fillId="0" borderId="23" xfId="92" applyFont="1" applyBorder="1" applyAlignment="1">
      <alignment horizontal="left" vertical="center" wrapText="1"/>
    </xf>
    <xf numFmtId="0" fontId="21" fillId="0" borderId="30" xfId="92" applyFont="1" applyBorder="1" applyAlignment="1">
      <alignment horizontal="left" vertical="center" wrapText="1"/>
    </xf>
    <xf numFmtId="0" fontId="28" fillId="0" borderId="13" xfId="92" applyFont="1" applyBorder="1" applyAlignment="1">
      <alignment horizontal="left" vertical="top" wrapText="1"/>
    </xf>
    <xf numFmtId="0" fontId="28" fillId="0" borderId="46" xfId="92" applyFont="1" applyBorder="1" applyAlignment="1">
      <alignment horizontal="left" vertical="top" wrapText="1"/>
    </xf>
    <xf numFmtId="0" fontId="31" fillId="0" borderId="97" xfId="92" applyFont="1" applyFill="1" applyBorder="1" applyAlignment="1">
      <alignment horizontal="center" vertical="center" wrapText="1"/>
    </xf>
    <xf numFmtId="0" fontId="31" fillId="0" borderId="94" xfId="92" applyFont="1" applyFill="1" applyBorder="1" applyAlignment="1">
      <alignment horizontal="center" vertical="center" wrapText="1"/>
    </xf>
    <xf numFmtId="0" fontId="31" fillId="0" borderId="96" xfId="92" applyFont="1" applyFill="1" applyBorder="1" applyAlignment="1">
      <alignment horizontal="center" vertical="center" wrapText="1"/>
    </xf>
    <xf numFmtId="0" fontId="28" fillId="0" borderId="164" xfId="95" applyFont="1" applyFill="1" applyBorder="1" applyAlignment="1" applyProtection="1">
      <alignment horizontal="center" vertical="center" wrapText="1"/>
    </xf>
    <xf numFmtId="0" fontId="28" fillId="0" borderId="102" xfId="95" applyFont="1" applyFill="1" applyBorder="1" applyAlignment="1" applyProtection="1">
      <alignment horizontal="center" vertical="center" wrapText="1"/>
    </xf>
    <xf numFmtId="0" fontId="28" fillId="0" borderId="162" xfId="95" applyFont="1" applyFill="1" applyBorder="1" applyAlignment="1" applyProtection="1">
      <alignment horizontal="center" vertical="center" wrapText="1"/>
    </xf>
    <xf numFmtId="0" fontId="38" fillId="0" borderId="165" xfId="94" applyFont="1" applyFill="1" applyBorder="1" applyAlignment="1" applyProtection="1">
      <alignment horizontal="center" vertical="center" textRotation="90"/>
    </xf>
    <xf numFmtId="0" fontId="38" fillId="0" borderId="79" xfId="94" applyFont="1" applyFill="1" applyBorder="1" applyAlignment="1" applyProtection="1">
      <alignment horizontal="center" vertical="center" textRotation="90"/>
    </xf>
    <xf numFmtId="0" fontId="38" fillId="0" borderId="179" xfId="94" applyFont="1" applyFill="1" applyBorder="1" applyAlignment="1" applyProtection="1">
      <alignment horizontal="center" vertical="center" textRotation="90"/>
    </xf>
    <xf numFmtId="0" fontId="38" fillId="0" borderId="93" xfId="95" applyFont="1" applyFill="1" applyBorder="1" applyAlignment="1" applyProtection="1">
      <alignment horizontal="center" vertical="center" wrapText="1"/>
    </xf>
    <xf numFmtId="0" fontId="38" fillId="0" borderId="203" xfId="95" applyFont="1" applyFill="1" applyBorder="1" applyAlignment="1" applyProtection="1">
      <alignment horizontal="center" vertical="center" wrapText="1"/>
    </xf>
    <xf numFmtId="0" fontId="38" fillId="0" borderId="168" xfId="95" applyFont="1" applyFill="1" applyBorder="1" applyAlignment="1" applyProtection="1">
      <alignment horizontal="center" vertical="center" wrapText="1"/>
    </xf>
    <xf numFmtId="0" fontId="38" fillId="0" borderId="171" xfId="95" applyFont="1" applyFill="1" applyBorder="1" applyAlignment="1" applyProtection="1">
      <alignment horizontal="center" vertical="center" wrapText="1"/>
    </xf>
    <xf numFmtId="0" fontId="38" fillId="0" borderId="203" xfId="95" applyFont="1" applyFill="1" applyBorder="1" applyAlignment="1" applyProtection="1">
      <alignment horizontal="center" wrapText="1"/>
    </xf>
    <xf numFmtId="0" fontId="38" fillId="0" borderId="207" xfId="95" applyFont="1" applyFill="1" applyBorder="1" applyAlignment="1" applyProtection="1">
      <alignment horizontal="center" wrapText="1"/>
    </xf>
    <xf numFmtId="0" fontId="46" fillId="0" borderId="100" xfId="94" applyFont="1" applyFill="1" applyBorder="1" applyAlignment="1" applyProtection="1">
      <alignment horizontal="center" vertical="center" wrapText="1"/>
    </xf>
    <xf numFmtId="0" fontId="46" fillId="0" borderId="206" xfId="94" applyFont="1" applyFill="1" applyBorder="1" applyAlignment="1" applyProtection="1">
      <alignment horizontal="center" vertical="center" wrapText="1"/>
    </xf>
    <xf numFmtId="0" fontId="47" fillId="0" borderId="93" xfId="94" applyFont="1" applyFill="1" applyBorder="1" applyAlignment="1" applyProtection="1">
      <alignment horizontal="center" vertical="center" textRotation="90"/>
    </xf>
    <xf numFmtId="0" fontId="47" fillId="0" borderId="203" xfId="94" applyFont="1" applyFill="1" applyBorder="1" applyAlignment="1" applyProtection="1">
      <alignment horizontal="center" vertical="center" textRotation="90"/>
    </xf>
    <xf numFmtId="0" fontId="47" fillId="0" borderId="95" xfId="94" applyFont="1" applyFill="1" applyBorder="1" applyAlignment="1" applyProtection="1">
      <alignment horizontal="center" vertical="center" wrapText="1"/>
    </xf>
    <xf numFmtId="0" fontId="47" fillId="0" borderId="207" xfId="94" applyFont="1" applyFill="1" applyBorder="1" applyAlignment="1" applyProtection="1">
      <alignment horizontal="center" vertical="center"/>
    </xf>
    <xf numFmtId="0" fontId="28" fillId="0" borderId="24" xfId="95" applyFont="1" applyFill="1" applyBorder="1" applyAlignment="1">
      <alignment horizontal="left"/>
    </xf>
    <xf numFmtId="0" fontId="28" fillId="0" borderId="106" xfId="95" applyFont="1" applyFill="1" applyBorder="1" applyAlignment="1">
      <alignment horizontal="left"/>
    </xf>
    <xf numFmtId="0" fontId="28" fillId="0" borderId="54" xfId="92" applyFont="1" applyFill="1" applyBorder="1" applyAlignment="1">
      <alignment horizontal="center" vertical="center" wrapText="1"/>
    </xf>
    <xf numFmtId="0" fontId="28" fillId="0" borderId="81" xfId="92" applyFont="1" applyFill="1" applyBorder="1" applyAlignment="1">
      <alignment horizontal="center" vertical="center" wrapText="1"/>
    </xf>
    <xf numFmtId="0" fontId="28" fillId="0" borderId="93" xfId="92" applyFont="1" applyFill="1" applyBorder="1" applyAlignment="1">
      <alignment horizontal="center" vertical="center"/>
    </xf>
    <xf numFmtId="0" fontId="28" fillId="0" borderId="95" xfId="92" applyFont="1" applyFill="1" applyBorder="1" applyAlignment="1">
      <alignment horizontal="center" vertical="center"/>
    </xf>
  </cellXfs>
  <cellStyles count="97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 5" xfId="93"/>
    <cellStyle name="Normál_CSP2005-KTG-1" xfId="78"/>
    <cellStyle name="Normal_KARSZJ3" xfId="79"/>
    <cellStyle name="Normál_SEGEDLETEK" xfId="91"/>
    <cellStyle name="Normál_VAGYONK" xfId="94"/>
    <cellStyle name="Normál_VAGYONKIM" xfId="95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Százalék 2 2" xfId="9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1600200</xdr:colOff>
      <xdr:row>32</xdr:row>
      <xdr:rowOff>9525</xdr:rowOff>
    </xdr:from>
    <xdr:to>
      <xdr:col>9</xdr:col>
      <xdr:colOff>5080</xdr:colOff>
      <xdr:row>33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1600200</xdr:colOff>
      <xdr:row>32</xdr:row>
      <xdr:rowOff>9525</xdr:rowOff>
    </xdr:from>
    <xdr:to>
      <xdr:col>9</xdr:col>
      <xdr:colOff>5080</xdr:colOff>
      <xdr:row>33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32</xdr:row>
      <xdr:rowOff>9525</xdr:rowOff>
    </xdr:from>
    <xdr:to>
      <xdr:col>10</xdr:col>
      <xdr:colOff>1600200</xdr:colOff>
      <xdr:row>33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32</xdr:row>
      <xdr:rowOff>9525</xdr:rowOff>
    </xdr:from>
    <xdr:to>
      <xdr:col>10</xdr:col>
      <xdr:colOff>1600200</xdr:colOff>
      <xdr:row>33</xdr:row>
      <xdr:rowOff>47625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1600200</xdr:colOff>
      <xdr:row>1</xdr:row>
      <xdr:rowOff>0</xdr:rowOff>
    </xdr:from>
    <xdr:to>
      <xdr:col>6</xdr:col>
      <xdr:colOff>12700</xdr:colOff>
      <xdr:row>1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107186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6350</xdr:colOff>
      <xdr:row>1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1107186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12700</xdr:colOff>
      <xdr:row>1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6350</xdr:colOff>
      <xdr:row>1</xdr:row>
      <xdr:rowOff>190500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1600200</xdr:colOff>
      <xdr:row>0</xdr:row>
      <xdr:rowOff>0</xdr:rowOff>
    </xdr:from>
    <xdr:to>
      <xdr:col>10</xdr:col>
      <xdr:colOff>12700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6350</xdr:colOff>
      <xdr:row>0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12700</xdr:colOff>
      <xdr:row>0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6350</xdr:colOff>
      <xdr:row>0</xdr:row>
      <xdr:rowOff>190500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ni\MSN_irodavezeto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Szent%20L&#225;szl&#243;%20V&#246;lgye%20TKT%202018%20&#233;vi%20IV%20%20kv%20m&#243;dos&#237;t&#225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k&#246;lts&#233;gvet&#233;s\IV.m&#243;dos&#237;t&#225;s%202020.12.31-ig\Szent%20L&#225;szl&#243;%20V&#246;lgye%20TKT%202020%20&#233;vi%20IV%20kv%20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19.k&#246;lts&#233;gvet&#233;s\IV.m&#243;dos&#237;t&#225;s%2012.31-ig\Szent%20L&#225;szl&#243;%20V&#246;lgye%20TKT%202019%20&#233;vi%20IV%20kv%20m&#243;dos&#237;t&#225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IV.m&#243;dos&#237;t&#225;s%202021.12.31-ig\Szent%20L&#225;szl&#243;%20V&#246;lgye%20TKT%202021%20&#233;vi%20IV%20kv%20m&#243;dos&#237;t&#225;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8.&#233;vi%20k&#246;lts&#233;gvet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k&#246;lts&#233;gvet&#233;s\2020%20&#233;vi%20k&#246;lts&#233;gvet&#233;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lsz&#225;mol&#225;s%20&#246;nkorm&#225;nyzatokkal\Havi%20utal&#225;sok\Havi%20utal&#225;sok%202023\&#214;NK%20havi%20utal&#225;sok_r&#233;szletes%202023%20b&#246;lcs&#337;de%20n&#233;lk&#252;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2021.%20&#233;vi%20koncepci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19">
          <cell r="H19">
            <v>0</v>
          </cell>
        </row>
      </sheetData>
      <sheetData sheetId="2">
        <row r="4">
          <cell r="E4">
            <v>0</v>
          </cell>
        </row>
      </sheetData>
      <sheetData sheetId="3">
        <row r="13">
          <cell r="E13">
            <v>0</v>
          </cell>
        </row>
        <row r="57">
          <cell r="H57">
            <v>0</v>
          </cell>
          <cell r="K57">
            <v>0</v>
          </cell>
          <cell r="N57">
            <v>0</v>
          </cell>
        </row>
        <row r="70">
          <cell r="N70">
            <v>0</v>
          </cell>
        </row>
        <row r="97">
          <cell r="H97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>
        <row r="27">
          <cell r="N27"/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>
        <row r="27">
          <cell r="Q2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>
        <row r="65">
          <cell r="Q65">
            <v>0</v>
          </cell>
        </row>
        <row r="66">
          <cell r="Q66"/>
        </row>
      </sheetData>
      <sheetData sheetId="4">
        <row r="9">
          <cell r="D9"/>
        </row>
        <row r="24">
          <cell r="D24"/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19554</v>
          </cell>
        </row>
      </sheetData>
      <sheetData sheetId="2">
        <row r="7">
          <cell r="D7">
            <v>1713</v>
          </cell>
        </row>
      </sheetData>
      <sheetData sheetId="3">
        <row r="13">
          <cell r="S13">
            <v>500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>
        <row r="72">
          <cell r="Y7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ÉNZESZKÖZ ÁTVÉTEL ÖSSZESEN"/>
      <sheetName val="BARACSKA"/>
      <sheetName val="ERCSI"/>
      <sheetName val="GYÚRÓ"/>
      <sheetName val="KAJÁSZÓ"/>
      <sheetName val="MARTONVÁSÁR"/>
      <sheetName val="RÁCKERESZTÚR"/>
      <sheetName val="TORDAS"/>
      <sheetName val="VÁL"/>
    </sheetNames>
    <sheetDataSet>
      <sheetData sheetId="0">
        <row r="2">
          <cell r="B2">
            <v>21954000</v>
          </cell>
          <cell r="C2">
            <v>15830000</v>
          </cell>
        </row>
        <row r="3">
          <cell r="B3">
            <v>3225000</v>
          </cell>
          <cell r="C3">
            <v>0</v>
          </cell>
        </row>
        <row r="4">
          <cell r="B4">
            <v>2824000</v>
          </cell>
          <cell r="C4">
            <v>0</v>
          </cell>
        </row>
        <row r="5">
          <cell r="B5">
            <v>7000000</v>
          </cell>
          <cell r="C5">
            <v>0</v>
          </cell>
        </row>
        <row r="6">
          <cell r="B6">
            <v>2880000</v>
          </cell>
          <cell r="C6">
            <v>0</v>
          </cell>
        </row>
        <row r="7">
          <cell r="B7">
            <v>535000</v>
          </cell>
          <cell r="C7">
            <v>0</v>
          </cell>
        </row>
        <row r="8">
          <cell r="B8">
            <v>4000000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7245000</v>
          </cell>
          <cell r="C10">
            <v>-3995000</v>
          </cell>
        </row>
        <row r="11">
          <cell r="B11">
            <v>8411000</v>
          </cell>
          <cell r="C11">
            <v>-5092000</v>
          </cell>
        </row>
        <row r="12">
          <cell r="B12">
            <v>15980000</v>
          </cell>
          <cell r="C12">
            <v>-5763000</v>
          </cell>
        </row>
        <row r="13">
          <cell r="B13">
            <v>12037000</v>
          </cell>
          <cell r="C13">
            <v>-1353000</v>
          </cell>
        </row>
        <row r="14">
          <cell r="B14">
            <v>9039000</v>
          </cell>
          <cell r="C14">
            <v>-470000</v>
          </cell>
        </row>
        <row r="15">
          <cell r="B15">
            <v>0</v>
          </cell>
          <cell r="C15">
            <v>0</v>
          </cell>
        </row>
        <row r="16">
          <cell r="B16">
            <v>3195000</v>
          </cell>
          <cell r="C16">
            <v>-147000</v>
          </cell>
        </row>
        <row r="17">
          <cell r="B17">
            <v>1825000</v>
          </cell>
          <cell r="C17">
            <v>0</v>
          </cell>
        </row>
        <row r="18">
          <cell r="B18">
            <v>803000</v>
          </cell>
          <cell r="C18">
            <v>0</v>
          </cell>
        </row>
        <row r="19">
          <cell r="C19">
            <v>19949092</v>
          </cell>
        </row>
        <row r="20">
          <cell r="C20">
            <v>1808400</v>
          </cell>
        </row>
        <row r="21">
          <cell r="C21">
            <v>32674814</v>
          </cell>
        </row>
        <row r="22">
          <cell r="B22">
            <v>139330982</v>
          </cell>
          <cell r="C22">
            <v>-1585510</v>
          </cell>
        </row>
        <row r="27">
          <cell r="B27">
            <v>22760000</v>
          </cell>
          <cell r="C27">
            <v>-1142000</v>
          </cell>
        </row>
        <row r="28">
          <cell r="B28">
            <v>10940000</v>
          </cell>
          <cell r="C28">
            <v>5252000</v>
          </cell>
        </row>
        <row r="29">
          <cell r="B29">
            <v>6010000</v>
          </cell>
          <cell r="C29">
            <v>-283000</v>
          </cell>
        </row>
        <row r="30">
          <cell r="B30">
            <v>5287000</v>
          </cell>
          <cell r="C30">
            <v>-254000</v>
          </cell>
        </row>
        <row r="31">
          <cell r="B31">
            <v>163295982</v>
          </cell>
          <cell r="C31">
            <v>51529796</v>
          </cell>
        </row>
        <row r="32">
          <cell r="B32">
            <v>14622000</v>
          </cell>
          <cell r="C32">
            <v>-756000</v>
          </cell>
        </row>
        <row r="33">
          <cell r="B33">
            <v>9901000</v>
          </cell>
          <cell r="C33">
            <v>-470000</v>
          </cell>
        </row>
        <row r="34">
          <cell r="B34">
            <v>7468000</v>
          </cell>
          <cell r="C34">
            <v>-2020000</v>
          </cell>
        </row>
      </sheetData>
      <sheetData sheetId="1">
        <row r="2">
          <cell r="D2">
            <v>335000</v>
          </cell>
          <cell r="E2">
            <v>359000</v>
          </cell>
          <cell r="F2">
            <v>335000</v>
          </cell>
          <cell r="G2">
            <v>359000</v>
          </cell>
          <cell r="H2">
            <v>359000</v>
          </cell>
          <cell r="I2">
            <v>359000</v>
          </cell>
          <cell r="J2">
            <v>372633</v>
          </cell>
          <cell r="K2">
            <v>745266</v>
          </cell>
          <cell r="L2"/>
          <cell r="M2">
            <v>372633</v>
          </cell>
          <cell r="N2">
            <v>456310</v>
          </cell>
          <cell r="O2">
            <v>231158</v>
          </cell>
        </row>
        <row r="3">
          <cell r="D3">
            <v>43597</v>
          </cell>
          <cell r="E3">
            <v>42913</v>
          </cell>
          <cell r="F3">
            <v>43597</v>
          </cell>
          <cell r="G3">
            <v>40755</v>
          </cell>
          <cell r="H3">
            <v>40755</v>
          </cell>
          <cell r="I3">
            <v>40755</v>
          </cell>
          <cell r="J3">
            <v>50276</v>
          </cell>
          <cell r="K3">
            <v>100552</v>
          </cell>
          <cell r="L3"/>
          <cell r="M3">
            <v>50276</v>
          </cell>
          <cell r="N3">
            <v>50276</v>
          </cell>
          <cell r="O3">
            <v>74248</v>
          </cell>
        </row>
        <row r="4">
          <cell r="D4">
            <v>21874</v>
          </cell>
          <cell r="E4">
            <v>21531</v>
          </cell>
          <cell r="F4">
            <v>21874</v>
          </cell>
          <cell r="G4">
            <v>20448</v>
          </cell>
          <cell r="H4">
            <v>20448</v>
          </cell>
          <cell r="I4">
            <v>20448</v>
          </cell>
          <cell r="J4">
            <v>25225</v>
          </cell>
          <cell r="K4">
            <v>50450</v>
          </cell>
          <cell r="L4"/>
          <cell r="M4">
            <v>25225</v>
          </cell>
          <cell r="N4">
            <v>25225</v>
          </cell>
          <cell r="O4">
            <v>37252</v>
          </cell>
        </row>
        <row r="5">
          <cell r="D5">
            <v>68262</v>
          </cell>
          <cell r="E5">
            <v>67191</v>
          </cell>
          <cell r="F5">
            <v>68262</v>
          </cell>
          <cell r="G5">
            <v>63812</v>
          </cell>
          <cell r="H5">
            <v>63812</v>
          </cell>
          <cell r="I5">
            <v>63812</v>
          </cell>
          <cell r="J5">
            <v>78719</v>
          </cell>
          <cell r="K5">
            <v>157438</v>
          </cell>
          <cell r="L5"/>
          <cell r="M5">
            <v>78719</v>
          </cell>
          <cell r="N5">
            <v>78719</v>
          </cell>
          <cell r="O5">
            <v>116254</v>
          </cell>
        </row>
        <row r="6">
          <cell r="D6">
            <v>17197</v>
          </cell>
          <cell r="E6">
            <v>16928</v>
          </cell>
          <cell r="F6">
            <v>17197</v>
          </cell>
          <cell r="G6">
            <v>16076</v>
          </cell>
          <cell r="H6">
            <v>16076</v>
          </cell>
          <cell r="I6">
            <v>16076</v>
          </cell>
          <cell r="J6">
            <v>19832</v>
          </cell>
          <cell r="K6">
            <v>39664</v>
          </cell>
          <cell r="L6"/>
          <cell r="M6">
            <v>19832</v>
          </cell>
          <cell r="N6">
            <v>19832</v>
          </cell>
          <cell r="O6">
            <v>29290</v>
          </cell>
        </row>
        <row r="7">
          <cell r="D7">
            <v>4148</v>
          </cell>
          <cell r="E7">
            <v>4083</v>
          </cell>
          <cell r="F7">
            <v>4148</v>
          </cell>
          <cell r="G7">
            <v>3878</v>
          </cell>
          <cell r="H7">
            <v>3878</v>
          </cell>
          <cell r="I7">
            <v>3878</v>
          </cell>
          <cell r="J7">
            <v>4784</v>
          </cell>
          <cell r="K7">
            <v>9568</v>
          </cell>
          <cell r="L7"/>
          <cell r="M7">
            <v>4784</v>
          </cell>
          <cell r="N7">
            <v>4784</v>
          </cell>
          <cell r="O7">
            <v>7067</v>
          </cell>
        </row>
        <row r="8">
          <cell r="D8">
            <v>62756</v>
          </cell>
          <cell r="E8">
            <v>61771</v>
          </cell>
          <cell r="F8">
            <v>62756</v>
          </cell>
          <cell r="G8">
            <v>58664</v>
          </cell>
          <cell r="H8">
            <v>58664</v>
          </cell>
          <cell r="I8">
            <v>58664</v>
          </cell>
          <cell r="J8">
            <v>72369</v>
          </cell>
          <cell r="K8">
            <v>144738</v>
          </cell>
          <cell r="L8"/>
          <cell r="M8">
            <v>72369</v>
          </cell>
          <cell r="N8">
            <v>72369</v>
          </cell>
          <cell r="O8">
            <v>106880</v>
          </cell>
        </row>
        <row r="9"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D10">
            <v>80104</v>
          </cell>
          <cell r="E10">
            <v>78847</v>
          </cell>
          <cell r="F10">
            <v>80104</v>
          </cell>
          <cell r="G10">
            <v>33563</v>
          </cell>
          <cell r="H10">
            <v>33563</v>
          </cell>
          <cell r="I10">
            <v>33563</v>
          </cell>
          <cell r="J10">
            <v>41404</v>
          </cell>
          <cell r="K10">
            <v>82808</v>
          </cell>
          <cell r="L10"/>
          <cell r="M10">
            <v>41404</v>
          </cell>
          <cell r="N10"/>
          <cell r="O10">
            <v>-29360</v>
          </cell>
        </row>
        <row r="11">
          <cell r="D11">
            <v>93003</v>
          </cell>
          <cell r="E11">
            <v>91543</v>
          </cell>
          <cell r="F11">
            <v>93003</v>
          </cell>
          <cell r="G11">
            <v>34268</v>
          </cell>
          <cell r="H11">
            <v>34268</v>
          </cell>
          <cell r="I11">
            <v>34268</v>
          </cell>
          <cell r="J11">
            <v>42273</v>
          </cell>
          <cell r="K11">
            <v>84546</v>
          </cell>
          <cell r="L11"/>
          <cell r="M11">
            <v>42273</v>
          </cell>
          <cell r="N11"/>
          <cell r="O11">
            <v>-63445</v>
          </cell>
        </row>
        <row r="12">
          <cell r="D12">
            <v>176728</v>
          </cell>
          <cell r="E12">
            <v>173954</v>
          </cell>
          <cell r="F12">
            <v>176728</v>
          </cell>
          <cell r="G12">
            <v>105624</v>
          </cell>
          <cell r="H12">
            <v>105624</v>
          </cell>
          <cell r="I12">
            <v>105624</v>
          </cell>
          <cell r="J12">
            <v>130300</v>
          </cell>
          <cell r="K12">
            <v>260600</v>
          </cell>
          <cell r="L12"/>
          <cell r="M12">
            <v>130300</v>
          </cell>
          <cell r="N12">
            <v>130300</v>
          </cell>
          <cell r="O12">
            <v>2218</v>
          </cell>
        </row>
        <row r="13">
          <cell r="D13">
            <v>154100</v>
          </cell>
          <cell r="E13">
            <v>151680</v>
          </cell>
          <cell r="F13">
            <v>154100</v>
          </cell>
          <cell r="G13">
            <v>127835</v>
          </cell>
          <cell r="H13">
            <v>127835</v>
          </cell>
          <cell r="I13">
            <v>127835</v>
          </cell>
          <cell r="J13">
            <v>157699</v>
          </cell>
          <cell r="K13">
            <v>315398</v>
          </cell>
          <cell r="L13"/>
          <cell r="M13">
            <v>157699</v>
          </cell>
          <cell r="N13">
            <v>157699</v>
          </cell>
          <cell r="O13">
            <v>181120</v>
          </cell>
        </row>
        <row r="14">
          <cell r="D14">
            <v>681794</v>
          </cell>
          <cell r="E14">
            <v>671091</v>
          </cell>
          <cell r="F14">
            <v>681794</v>
          </cell>
          <cell r="G14">
            <v>604201</v>
          </cell>
          <cell r="H14">
            <v>604201</v>
          </cell>
          <cell r="I14">
            <v>604201</v>
          </cell>
          <cell r="J14">
            <v>745354</v>
          </cell>
          <cell r="K14">
            <v>1490708</v>
          </cell>
          <cell r="L14"/>
          <cell r="M14">
            <v>745354</v>
          </cell>
          <cell r="N14">
            <v>745354</v>
          </cell>
          <cell r="O14">
            <v>994948</v>
          </cell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D16">
            <v>96397</v>
          </cell>
          <cell r="E16">
            <v>94884</v>
          </cell>
          <cell r="F16">
            <v>96397</v>
          </cell>
          <cell r="G16">
            <v>85952</v>
          </cell>
          <cell r="H16">
            <v>85952</v>
          </cell>
          <cell r="I16">
            <v>85952</v>
          </cell>
          <cell r="J16">
            <v>106032</v>
          </cell>
          <cell r="K16">
            <v>212064</v>
          </cell>
          <cell r="L16"/>
          <cell r="M16">
            <v>106032</v>
          </cell>
          <cell r="N16">
            <v>106032</v>
          </cell>
          <cell r="O16">
            <v>143306</v>
          </cell>
        </row>
        <row r="17">
          <cell r="D17">
            <v>19385</v>
          </cell>
          <cell r="E17">
            <v>19081</v>
          </cell>
          <cell r="F17">
            <v>19385</v>
          </cell>
          <cell r="G17">
            <v>18121</v>
          </cell>
          <cell r="H17">
            <v>18121</v>
          </cell>
          <cell r="I17">
            <v>18121</v>
          </cell>
          <cell r="J17">
            <v>22355</v>
          </cell>
          <cell r="K17">
            <v>44710</v>
          </cell>
          <cell r="L17"/>
          <cell r="M17">
            <v>22355</v>
          </cell>
          <cell r="N17">
            <v>22355</v>
          </cell>
          <cell r="O17">
            <v>33011</v>
          </cell>
        </row>
        <row r="18">
          <cell r="D18">
            <v>9655</v>
          </cell>
          <cell r="E18">
            <v>9503</v>
          </cell>
          <cell r="F18">
            <v>9655</v>
          </cell>
          <cell r="G18">
            <v>9025</v>
          </cell>
          <cell r="H18">
            <v>9025</v>
          </cell>
          <cell r="I18">
            <v>9025</v>
          </cell>
          <cell r="J18">
            <v>11134</v>
          </cell>
          <cell r="K18">
            <v>22268</v>
          </cell>
          <cell r="L18"/>
          <cell r="M18">
            <v>11134</v>
          </cell>
          <cell r="N18">
            <v>11134</v>
          </cell>
          <cell r="O18">
            <v>16442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D23">
            <v>1864000</v>
          </cell>
          <cell r="E23">
            <v>1864000</v>
          </cell>
          <cell r="F23">
            <v>1864000</v>
          </cell>
          <cell r="G23">
            <v>1581222</v>
          </cell>
          <cell r="H23">
            <v>1581222</v>
          </cell>
          <cell r="I23">
            <v>1581222</v>
          </cell>
          <cell r="J23">
            <v>1880389</v>
          </cell>
          <cell r="K23">
            <v>3760778</v>
          </cell>
          <cell r="L23">
            <v>0</v>
          </cell>
          <cell r="M23">
            <v>1880389</v>
          </cell>
          <cell r="N23">
            <v>1880389</v>
          </cell>
          <cell r="O23">
            <v>1880389</v>
          </cell>
        </row>
      </sheetData>
      <sheetData sheetId="2">
        <row r="2">
          <cell r="D2"/>
          <cell r="E2"/>
          <cell r="F2"/>
          <cell r="G2"/>
          <cell r="H2"/>
          <cell r="I2">
            <v>3642000</v>
          </cell>
          <cell r="J2"/>
          <cell r="K2">
            <v>1411527</v>
          </cell>
          <cell r="L2">
            <v>3755375</v>
          </cell>
          <cell r="M2">
            <v>1044655</v>
          </cell>
          <cell r="N2">
            <v>1044655</v>
          </cell>
          <cell r="O2">
            <v>1637789</v>
          </cell>
        </row>
        <row r="3"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</row>
        <row r="4">
          <cell r="D4"/>
          <cell r="E4"/>
          <cell r="F4"/>
          <cell r="G4"/>
          <cell r="H4"/>
          <cell r="I4">
            <v>424000</v>
          </cell>
          <cell r="J4"/>
          <cell r="K4">
            <v>95510</v>
          </cell>
          <cell r="L4">
            <v>254047</v>
          </cell>
          <cell r="M4">
            <v>70666</v>
          </cell>
          <cell r="N4">
            <v>70666</v>
          </cell>
          <cell r="O4">
            <v>-66889</v>
          </cell>
        </row>
        <row r="5">
          <cell r="D5"/>
          <cell r="E5"/>
          <cell r="F5"/>
          <cell r="G5"/>
          <cell r="H5"/>
          <cell r="I5">
            <v>1323500</v>
          </cell>
          <cell r="J5"/>
          <cell r="K5">
            <v>298132</v>
          </cell>
          <cell r="L5">
            <v>792997</v>
          </cell>
          <cell r="M5">
            <v>220581</v>
          </cell>
          <cell r="N5">
            <v>220581</v>
          </cell>
          <cell r="O5">
            <v>-208791</v>
          </cell>
        </row>
        <row r="6"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D7"/>
          <cell r="E7"/>
          <cell r="F7"/>
          <cell r="G7"/>
          <cell r="H7"/>
          <cell r="I7">
            <v>80594</v>
          </cell>
          <cell r="J7"/>
          <cell r="K7">
            <v>18133</v>
          </cell>
          <cell r="L7">
            <v>48232</v>
          </cell>
          <cell r="M7">
            <v>13416</v>
          </cell>
          <cell r="N7">
            <v>13416</v>
          </cell>
          <cell r="O7">
            <v>-12791</v>
          </cell>
        </row>
        <row r="8"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</row>
        <row r="9"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</row>
        <row r="11"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</row>
        <row r="12"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5470094</v>
          </cell>
          <cell r="J23">
            <v>0</v>
          </cell>
          <cell r="K23">
            <v>1823302</v>
          </cell>
          <cell r="L23">
            <v>4850651</v>
          </cell>
          <cell r="M23">
            <v>1349318</v>
          </cell>
          <cell r="N23">
            <v>1349318</v>
          </cell>
          <cell r="O23">
            <v>1349318</v>
          </cell>
        </row>
      </sheetData>
      <sheetData sheetId="3">
        <row r="2">
          <cell r="D2">
            <v>203000</v>
          </cell>
          <cell r="E2"/>
          <cell r="F2">
            <v>96250</v>
          </cell>
          <cell r="G2">
            <v>192500</v>
          </cell>
          <cell r="H2">
            <v>288750</v>
          </cell>
          <cell r="I2">
            <v>288750</v>
          </cell>
          <cell r="J2">
            <v>195353</v>
          </cell>
          <cell r="K2">
            <v>195353</v>
          </cell>
          <cell r="L2">
            <v>195353</v>
          </cell>
          <cell r="M2">
            <v>195353</v>
          </cell>
          <cell r="N2">
            <v>195353</v>
          </cell>
          <cell r="O2">
            <v>144985</v>
          </cell>
        </row>
        <row r="3">
          <cell r="D3"/>
          <cell r="E3"/>
          <cell r="F3">
            <v>22333</v>
          </cell>
          <cell r="G3">
            <v>44666</v>
          </cell>
          <cell r="H3">
            <v>9690</v>
          </cell>
          <cell r="I3">
            <v>9690</v>
          </cell>
          <cell r="J3">
            <v>26335</v>
          </cell>
          <cell r="K3">
            <v>26335</v>
          </cell>
          <cell r="L3">
            <v>26335</v>
          </cell>
          <cell r="M3">
            <v>26335</v>
          </cell>
          <cell r="N3">
            <v>26335</v>
          </cell>
          <cell r="O3">
            <v>49946</v>
          </cell>
        </row>
        <row r="4">
          <cell r="D4"/>
          <cell r="E4"/>
          <cell r="F4">
            <v>11167</v>
          </cell>
          <cell r="G4">
            <v>22334</v>
          </cell>
          <cell r="H4">
            <v>4845</v>
          </cell>
          <cell r="I4">
            <v>4845</v>
          </cell>
          <cell r="J4">
            <v>13168</v>
          </cell>
          <cell r="K4">
            <v>13168</v>
          </cell>
          <cell r="L4">
            <v>13168</v>
          </cell>
          <cell r="M4">
            <v>13168</v>
          </cell>
          <cell r="N4">
            <v>13168</v>
          </cell>
          <cell r="O4">
            <v>24969</v>
          </cell>
        </row>
        <row r="5">
          <cell r="D5"/>
          <cell r="E5"/>
          <cell r="F5">
            <v>35000</v>
          </cell>
          <cell r="G5">
            <v>70000</v>
          </cell>
          <cell r="H5">
            <v>15185</v>
          </cell>
          <cell r="I5">
            <v>15185</v>
          </cell>
          <cell r="J5">
            <v>41272</v>
          </cell>
          <cell r="K5">
            <v>41272</v>
          </cell>
          <cell r="L5">
            <v>41272</v>
          </cell>
          <cell r="M5">
            <v>41272</v>
          </cell>
          <cell r="N5">
            <v>41272</v>
          </cell>
          <cell r="O5">
            <v>78270</v>
          </cell>
        </row>
        <row r="6">
          <cell r="D6"/>
          <cell r="E6"/>
          <cell r="F6">
            <v>28583</v>
          </cell>
          <cell r="G6">
            <v>57166</v>
          </cell>
          <cell r="H6">
            <v>12402</v>
          </cell>
          <cell r="I6">
            <v>12402</v>
          </cell>
          <cell r="J6">
            <v>33705</v>
          </cell>
          <cell r="K6">
            <v>33705</v>
          </cell>
          <cell r="L6">
            <v>33705</v>
          </cell>
          <cell r="M6">
            <v>33705</v>
          </cell>
          <cell r="N6">
            <v>33705</v>
          </cell>
          <cell r="O6">
            <v>63922</v>
          </cell>
        </row>
        <row r="7">
          <cell r="D7"/>
          <cell r="E7"/>
          <cell r="F7">
            <v>2083</v>
          </cell>
          <cell r="G7">
            <v>4166</v>
          </cell>
          <cell r="H7">
            <v>904</v>
          </cell>
          <cell r="I7">
            <v>904</v>
          </cell>
          <cell r="J7">
            <v>2456</v>
          </cell>
          <cell r="K7">
            <v>2457</v>
          </cell>
          <cell r="L7">
            <v>2457</v>
          </cell>
          <cell r="M7">
            <v>2457</v>
          </cell>
          <cell r="N7">
            <v>2457</v>
          </cell>
          <cell r="O7">
            <v>4659</v>
          </cell>
        </row>
        <row r="8">
          <cell r="D8"/>
          <cell r="E8"/>
          <cell r="F8">
            <v>32167</v>
          </cell>
          <cell r="G8">
            <v>64334</v>
          </cell>
          <cell r="H8">
            <v>13955</v>
          </cell>
          <cell r="I8">
            <v>13955</v>
          </cell>
          <cell r="J8">
            <v>37931</v>
          </cell>
          <cell r="K8">
            <v>37931</v>
          </cell>
          <cell r="L8">
            <v>37931</v>
          </cell>
          <cell r="M8">
            <v>37931</v>
          </cell>
          <cell r="N8">
            <v>37931</v>
          </cell>
          <cell r="O8">
            <v>71934</v>
          </cell>
        </row>
        <row r="9"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D10"/>
          <cell r="E10"/>
          <cell r="F10">
            <v>41083</v>
          </cell>
          <cell r="G10">
            <v>82166</v>
          </cell>
          <cell r="H10">
            <v>7991</v>
          </cell>
          <cell r="I10">
            <v>7991</v>
          </cell>
          <cell r="J10">
            <v>21717</v>
          </cell>
          <cell r="K10">
            <v>21717</v>
          </cell>
          <cell r="L10">
            <v>21717</v>
          </cell>
          <cell r="M10">
            <v>21717</v>
          </cell>
          <cell r="N10">
            <v>21717</v>
          </cell>
          <cell r="O10">
            <v>-26816</v>
          </cell>
        </row>
        <row r="11">
          <cell r="D11"/>
          <cell r="E11"/>
          <cell r="F11">
            <v>47667</v>
          </cell>
          <cell r="G11">
            <v>95334</v>
          </cell>
          <cell r="H11">
            <v>8171</v>
          </cell>
          <cell r="I11">
            <v>8171</v>
          </cell>
          <cell r="J11">
            <v>22208</v>
          </cell>
          <cell r="K11">
            <v>22208</v>
          </cell>
          <cell r="L11">
            <v>22208</v>
          </cell>
          <cell r="M11">
            <v>22208</v>
          </cell>
          <cell r="N11">
            <v>22208</v>
          </cell>
          <cell r="O11">
            <v>-44383</v>
          </cell>
        </row>
        <row r="12">
          <cell r="D12"/>
          <cell r="E12"/>
          <cell r="F12">
            <v>90583</v>
          </cell>
          <cell r="G12">
            <v>181166</v>
          </cell>
          <cell r="H12">
            <v>25129</v>
          </cell>
          <cell r="I12">
            <v>25129</v>
          </cell>
          <cell r="J12">
            <v>68295</v>
          </cell>
          <cell r="K12">
            <v>68295</v>
          </cell>
          <cell r="L12">
            <v>68295</v>
          </cell>
          <cell r="M12">
            <v>68295</v>
          </cell>
          <cell r="N12">
            <v>68295</v>
          </cell>
          <cell r="O12">
            <v>31518</v>
          </cell>
        </row>
        <row r="13">
          <cell r="D13"/>
          <cell r="E13"/>
          <cell r="F13">
            <v>79000</v>
          </cell>
          <cell r="G13">
            <v>158000</v>
          </cell>
          <cell r="H13">
            <v>30444</v>
          </cell>
          <cell r="I13">
            <v>30444</v>
          </cell>
          <cell r="J13">
            <v>82740</v>
          </cell>
          <cell r="K13">
            <v>82740</v>
          </cell>
          <cell r="L13">
            <v>82740</v>
          </cell>
          <cell r="M13">
            <v>82740</v>
          </cell>
          <cell r="N13">
            <v>82740</v>
          </cell>
          <cell r="O13">
            <v>130412</v>
          </cell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D17"/>
          <cell r="E17"/>
          <cell r="F17">
            <v>9917</v>
          </cell>
          <cell r="G17">
            <v>19834</v>
          </cell>
          <cell r="H17">
            <v>4303</v>
          </cell>
          <cell r="I17">
            <v>4303</v>
          </cell>
          <cell r="J17">
            <v>11694</v>
          </cell>
          <cell r="K17">
            <v>11694</v>
          </cell>
          <cell r="L17">
            <v>11694</v>
          </cell>
          <cell r="M17">
            <v>11694</v>
          </cell>
          <cell r="N17">
            <v>11694</v>
          </cell>
          <cell r="O17">
            <v>22173</v>
          </cell>
        </row>
        <row r="18">
          <cell r="D18"/>
          <cell r="E18"/>
          <cell r="F18">
            <v>5000</v>
          </cell>
          <cell r="G18">
            <v>10000</v>
          </cell>
          <cell r="H18">
            <v>2169</v>
          </cell>
          <cell r="I18">
            <v>2169</v>
          </cell>
          <cell r="J18">
            <v>5896</v>
          </cell>
          <cell r="K18">
            <v>5896</v>
          </cell>
          <cell r="L18">
            <v>5896</v>
          </cell>
          <cell r="M18">
            <v>5896</v>
          </cell>
          <cell r="N18">
            <v>5896</v>
          </cell>
          <cell r="O18">
            <v>11182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D23">
            <v>203000</v>
          </cell>
          <cell r="E23">
            <v>0</v>
          </cell>
          <cell r="F23">
            <v>500833</v>
          </cell>
          <cell r="G23">
            <v>1001666</v>
          </cell>
          <cell r="H23">
            <v>423938</v>
          </cell>
          <cell r="I23">
            <v>423938</v>
          </cell>
          <cell r="J23">
            <v>562770</v>
          </cell>
          <cell r="K23">
            <v>562771</v>
          </cell>
          <cell r="L23">
            <v>562771</v>
          </cell>
          <cell r="M23">
            <v>562771</v>
          </cell>
          <cell r="N23">
            <v>562771</v>
          </cell>
          <cell r="O23">
            <v>562771</v>
          </cell>
        </row>
      </sheetData>
      <sheetData sheetId="4">
        <row r="2">
          <cell r="D2"/>
          <cell r="E2">
            <v>168388</v>
          </cell>
          <cell r="F2"/>
          <cell r="G2"/>
          <cell r="H2"/>
          <cell r="I2">
            <v>714162</v>
          </cell>
          <cell r="J2"/>
          <cell r="K2"/>
          <cell r="L2"/>
          <cell r="M2"/>
          <cell r="N2">
            <v>848404</v>
          </cell>
          <cell r="O2">
            <v>43046</v>
          </cell>
        </row>
        <row r="3">
          <cell r="D3"/>
          <cell r="E3">
            <v>39035</v>
          </cell>
          <cell r="F3"/>
          <cell r="G3"/>
          <cell r="H3"/>
          <cell r="I3">
            <v>41606</v>
          </cell>
          <cell r="J3"/>
          <cell r="K3"/>
          <cell r="L3"/>
          <cell r="M3"/>
          <cell r="N3">
            <v>114300</v>
          </cell>
          <cell r="O3">
            <v>44059</v>
          </cell>
        </row>
        <row r="4">
          <cell r="D4"/>
          <cell r="E4">
            <v>19599</v>
          </cell>
          <cell r="F4"/>
          <cell r="G4"/>
          <cell r="H4"/>
          <cell r="I4">
            <v>20890</v>
          </cell>
          <cell r="J4"/>
          <cell r="K4"/>
          <cell r="L4"/>
          <cell r="M4"/>
          <cell r="N4">
            <v>57389</v>
          </cell>
          <cell r="O4">
            <v>22122</v>
          </cell>
        </row>
        <row r="5">
          <cell r="D5"/>
          <cell r="E5">
            <v>61247</v>
          </cell>
          <cell r="F5"/>
          <cell r="G5"/>
          <cell r="H5"/>
          <cell r="I5">
            <v>65281</v>
          </cell>
          <cell r="J5"/>
          <cell r="K5"/>
          <cell r="L5"/>
          <cell r="M5"/>
          <cell r="N5">
            <v>179341</v>
          </cell>
          <cell r="O5">
            <v>69131</v>
          </cell>
        </row>
        <row r="6">
          <cell r="D6"/>
          <cell r="E6">
            <v>37238</v>
          </cell>
          <cell r="F6"/>
          <cell r="G6"/>
          <cell r="H6"/>
          <cell r="I6">
            <v>39691</v>
          </cell>
          <cell r="J6"/>
          <cell r="K6"/>
          <cell r="L6"/>
          <cell r="M6"/>
          <cell r="N6">
            <v>109040</v>
          </cell>
          <cell r="O6">
            <v>42031</v>
          </cell>
        </row>
        <row r="7">
          <cell r="D7"/>
          <cell r="E7">
            <v>3756</v>
          </cell>
          <cell r="F7"/>
          <cell r="G7"/>
          <cell r="H7"/>
          <cell r="I7">
            <v>4004</v>
          </cell>
          <cell r="J7"/>
          <cell r="K7"/>
          <cell r="L7"/>
          <cell r="M7"/>
          <cell r="N7">
            <v>11000</v>
          </cell>
          <cell r="O7">
            <v>4240</v>
          </cell>
        </row>
        <row r="8">
          <cell r="D8"/>
          <cell r="E8">
            <v>56184</v>
          </cell>
          <cell r="F8"/>
          <cell r="G8"/>
          <cell r="H8"/>
          <cell r="I8">
            <v>59885</v>
          </cell>
          <cell r="J8"/>
          <cell r="K8"/>
          <cell r="L8"/>
          <cell r="M8"/>
          <cell r="N8">
            <v>164516</v>
          </cell>
          <cell r="O8">
            <v>63415</v>
          </cell>
        </row>
        <row r="9"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D10"/>
          <cell r="E10">
            <v>71863</v>
          </cell>
          <cell r="F10"/>
          <cell r="G10"/>
          <cell r="H10"/>
          <cell r="I10">
            <v>34294</v>
          </cell>
          <cell r="J10"/>
          <cell r="K10"/>
          <cell r="L10"/>
          <cell r="M10"/>
          <cell r="N10">
            <v>94214</v>
          </cell>
          <cell r="O10">
            <v>-3371</v>
          </cell>
        </row>
        <row r="11">
          <cell r="D11"/>
          <cell r="E11">
            <v>83459</v>
          </cell>
          <cell r="F11"/>
          <cell r="G11"/>
          <cell r="H11"/>
          <cell r="I11">
            <v>35165</v>
          </cell>
          <cell r="J11"/>
          <cell r="K11"/>
          <cell r="L11"/>
          <cell r="M11"/>
          <cell r="N11">
            <v>96605</v>
          </cell>
          <cell r="O11">
            <v>-13229</v>
          </cell>
        </row>
        <row r="12">
          <cell r="D12"/>
          <cell r="E12">
            <v>158425</v>
          </cell>
          <cell r="F12"/>
          <cell r="G12"/>
          <cell r="H12"/>
          <cell r="I12">
            <v>107932</v>
          </cell>
          <cell r="J12"/>
          <cell r="K12"/>
          <cell r="L12"/>
          <cell r="M12"/>
          <cell r="N12">
            <v>296511</v>
          </cell>
          <cell r="O12">
            <v>57132</v>
          </cell>
        </row>
        <row r="13">
          <cell r="D13"/>
          <cell r="E13">
            <v>138174</v>
          </cell>
          <cell r="F13"/>
          <cell r="G13"/>
          <cell r="H13"/>
          <cell r="I13">
            <v>130737</v>
          </cell>
          <cell r="J13"/>
          <cell r="K13"/>
          <cell r="L13"/>
          <cell r="M13"/>
          <cell r="N13">
            <v>359161</v>
          </cell>
          <cell r="O13">
            <v>122928</v>
          </cell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>
            <v>76519</v>
          </cell>
          <cell r="O17">
            <v>-76519</v>
          </cell>
        </row>
        <row r="18">
          <cell r="D18"/>
          <cell r="E18">
            <v>26132</v>
          </cell>
          <cell r="F18"/>
          <cell r="G18"/>
          <cell r="H18"/>
          <cell r="I18">
            <v>27853</v>
          </cell>
          <cell r="J18"/>
          <cell r="K18"/>
          <cell r="L18"/>
          <cell r="M18"/>
          <cell r="N18"/>
          <cell r="O18">
            <v>106015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D23">
            <v>0</v>
          </cell>
          <cell r="E23">
            <v>863500</v>
          </cell>
          <cell r="F23">
            <v>0</v>
          </cell>
          <cell r="G23">
            <v>0</v>
          </cell>
          <cell r="H23">
            <v>0</v>
          </cell>
          <cell r="I23">
            <v>1281500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2407000</v>
          </cell>
          <cell r="O23">
            <v>481000</v>
          </cell>
        </row>
      </sheetData>
      <sheetData sheetId="5">
        <row r="2">
          <cell r="D2"/>
          <cell r="E2"/>
          <cell r="F2">
            <v>2502500</v>
          </cell>
          <cell r="G2">
            <v>625625</v>
          </cell>
          <cell r="H2">
            <v>625625</v>
          </cell>
          <cell r="I2">
            <v>626625</v>
          </cell>
          <cell r="J2">
            <v>623763</v>
          </cell>
          <cell r="K2">
            <v>624143</v>
          </cell>
          <cell r="L2">
            <v>623763</v>
          </cell>
          <cell r="M2">
            <v>624143</v>
          </cell>
          <cell r="N2">
            <v>623763</v>
          </cell>
          <cell r="O2">
            <v>1114050</v>
          </cell>
        </row>
        <row r="3">
          <cell r="D3"/>
          <cell r="E3"/>
          <cell r="F3">
            <v>290250</v>
          </cell>
          <cell r="G3">
            <v>103193</v>
          </cell>
          <cell r="H3">
            <v>103193</v>
          </cell>
          <cell r="I3">
            <v>103193</v>
          </cell>
          <cell r="J3">
            <v>84071</v>
          </cell>
          <cell r="K3">
            <v>84122</v>
          </cell>
          <cell r="L3">
            <v>84071</v>
          </cell>
          <cell r="M3">
            <v>84122</v>
          </cell>
          <cell r="N3">
            <v>84071</v>
          </cell>
          <cell r="O3">
            <v>140714</v>
          </cell>
        </row>
        <row r="4">
          <cell r="D4"/>
          <cell r="E4"/>
          <cell r="F4">
            <v>145750</v>
          </cell>
          <cell r="G4">
            <v>51818</v>
          </cell>
          <cell r="H4">
            <v>51818</v>
          </cell>
          <cell r="I4">
            <v>51818</v>
          </cell>
          <cell r="J4">
            <v>42216</v>
          </cell>
          <cell r="K4">
            <v>42242</v>
          </cell>
          <cell r="L4">
            <v>42216</v>
          </cell>
          <cell r="M4">
            <v>42242</v>
          </cell>
          <cell r="N4">
            <v>42216</v>
          </cell>
          <cell r="O4">
            <v>70664</v>
          </cell>
        </row>
        <row r="5"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</row>
        <row r="6">
          <cell r="D6"/>
          <cell r="E6"/>
          <cell r="F6">
            <v>245750</v>
          </cell>
          <cell r="G6">
            <v>87371</v>
          </cell>
          <cell r="H6">
            <v>87371</v>
          </cell>
          <cell r="I6">
            <v>87371</v>
          </cell>
          <cell r="J6">
            <v>71182</v>
          </cell>
          <cell r="K6">
            <v>71225</v>
          </cell>
          <cell r="L6">
            <v>71182</v>
          </cell>
          <cell r="M6">
            <v>71225</v>
          </cell>
          <cell r="N6">
            <v>71182</v>
          </cell>
          <cell r="O6">
            <v>119141</v>
          </cell>
        </row>
        <row r="7">
          <cell r="D7"/>
          <cell r="E7"/>
          <cell r="F7">
            <v>27000</v>
          </cell>
          <cell r="G7">
            <v>9777</v>
          </cell>
          <cell r="H7">
            <v>9777</v>
          </cell>
          <cell r="I7">
            <v>9777</v>
          </cell>
          <cell r="J7">
            <v>7965</v>
          </cell>
          <cell r="K7">
            <v>7970</v>
          </cell>
          <cell r="L7">
            <v>7965</v>
          </cell>
          <cell r="M7">
            <v>7970</v>
          </cell>
          <cell r="N7">
            <v>7965</v>
          </cell>
          <cell r="O7">
            <v>13834</v>
          </cell>
        </row>
        <row r="8"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</row>
        <row r="9"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D10"/>
          <cell r="E10"/>
          <cell r="F10">
            <v>534000</v>
          </cell>
          <cell r="G10">
            <v>85238</v>
          </cell>
          <cell r="H10">
            <v>85238</v>
          </cell>
          <cell r="I10">
            <v>85238</v>
          </cell>
          <cell r="J10">
            <v>69444</v>
          </cell>
          <cell r="K10">
            <v>69486</v>
          </cell>
          <cell r="L10">
            <v>69444</v>
          </cell>
          <cell r="M10">
            <v>69486</v>
          </cell>
          <cell r="N10">
            <v>69444</v>
          </cell>
          <cell r="O10">
            <v>-178018</v>
          </cell>
        </row>
        <row r="11">
          <cell r="D11"/>
          <cell r="E11"/>
          <cell r="F11">
            <v>621000</v>
          </cell>
          <cell r="G11">
            <v>86927</v>
          </cell>
          <cell r="H11">
            <v>86927</v>
          </cell>
          <cell r="I11">
            <v>86927</v>
          </cell>
          <cell r="J11">
            <v>70819</v>
          </cell>
          <cell r="K11">
            <v>70863</v>
          </cell>
          <cell r="L11">
            <v>70819</v>
          </cell>
          <cell r="M11">
            <v>70863</v>
          </cell>
          <cell r="N11">
            <v>70819</v>
          </cell>
          <cell r="O11">
            <v>-257964</v>
          </cell>
        </row>
        <row r="12">
          <cell r="D12"/>
          <cell r="E12"/>
          <cell r="F12">
            <v>1119000</v>
          </cell>
          <cell r="G12">
            <v>267714</v>
          </cell>
          <cell r="H12">
            <v>267714</v>
          </cell>
          <cell r="I12">
            <v>267714</v>
          </cell>
          <cell r="J12">
            <v>218107</v>
          </cell>
          <cell r="K12">
            <v>218240</v>
          </cell>
          <cell r="L12">
            <v>218107</v>
          </cell>
          <cell r="M12">
            <v>218240</v>
          </cell>
          <cell r="N12">
            <v>218107</v>
          </cell>
          <cell r="O12">
            <v>-943</v>
          </cell>
        </row>
        <row r="13">
          <cell r="D13"/>
          <cell r="E13"/>
          <cell r="F13">
            <v>1026000</v>
          </cell>
          <cell r="G13">
            <v>323887</v>
          </cell>
          <cell r="H13">
            <v>323887</v>
          </cell>
          <cell r="I13">
            <v>323887</v>
          </cell>
          <cell r="J13">
            <v>263871</v>
          </cell>
          <cell r="K13">
            <v>264032</v>
          </cell>
          <cell r="L13">
            <v>263871</v>
          </cell>
          <cell r="M13">
            <v>264032</v>
          </cell>
          <cell r="N13">
            <v>263871</v>
          </cell>
          <cell r="O13">
            <v>326662</v>
          </cell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D16"/>
          <cell r="E16"/>
          <cell r="F16">
            <v>480000</v>
          </cell>
          <cell r="G16">
            <v>162566</v>
          </cell>
          <cell r="H16">
            <v>162566</v>
          </cell>
          <cell r="I16">
            <v>162566</v>
          </cell>
          <cell r="J16">
            <v>132442</v>
          </cell>
          <cell r="K16">
            <v>132523</v>
          </cell>
          <cell r="L16">
            <v>132442</v>
          </cell>
          <cell r="M16">
            <v>132523</v>
          </cell>
          <cell r="N16">
            <v>132442</v>
          </cell>
          <cell r="O16">
            <v>198930</v>
          </cell>
        </row>
        <row r="17">
          <cell r="D17"/>
          <cell r="E17"/>
          <cell r="F17">
            <v>193750</v>
          </cell>
          <cell r="G17">
            <v>68884</v>
          </cell>
          <cell r="H17">
            <v>68884</v>
          </cell>
          <cell r="I17">
            <v>68884</v>
          </cell>
          <cell r="J17">
            <v>56120</v>
          </cell>
          <cell r="K17">
            <v>56154</v>
          </cell>
          <cell r="L17">
            <v>56120</v>
          </cell>
          <cell r="M17">
            <v>56154</v>
          </cell>
          <cell r="N17">
            <v>56120</v>
          </cell>
          <cell r="O17">
            <v>93930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</row>
        <row r="19">
          <cell r="D19"/>
          <cell r="E19"/>
          <cell r="F19">
            <v>5677289</v>
          </cell>
          <cell r="G19">
            <v>1622082</v>
          </cell>
          <cell r="H19">
            <v>1622082</v>
          </cell>
          <cell r="I19">
            <v>1622083</v>
          </cell>
          <cell r="J19">
            <v>1614570</v>
          </cell>
          <cell r="K19">
            <v>1614569</v>
          </cell>
          <cell r="L19">
            <v>1614569</v>
          </cell>
          <cell r="M19">
            <v>1614569</v>
          </cell>
          <cell r="N19">
            <v>1355258</v>
          </cell>
          <cell r="O19">
            <v>1592021</v>
          </cell>
        </row>
        <row r="20">
          <cell r="D20"/>
          <cell r="E20"/>
          <cell r="F20"/>
          <cell r="G20"/>
          <cell r="H20"/>
          <cell r="I20">
            <v>1808400</v>
          </cell>
          <cell r="J20"/>
          <cell r="K20"/>
          <cell r="L20"/>
          <cell r="M20"/>
          <cell r="N20"/>
          <cell r="O20"/>
        </row>
        <row r="21">
          <cell r="D21">
            <v>2754911</v>
          </cell>
          <cell r="E21">
            <v>2796678</v>
          </cell>
          <cell r="F21">
            <v>2745339</v>
          </cell>
          <cell r="G21">
            <v>2486845</v>
          </cell>
          <cell r="H21">
            <v>2680077</v>
          </cell>
          <cell r="I21">
            <v>2780117</v>
          </cell>
          <cell r="J21">
            <v>2743007</v>
          </cell>
          <cell r="K21">
            <v>2659687</v>
          </cell>
          <cell r="L21">
            <v>2743345</v>
          </cell>
          <cell r="M21">
            <v>2743502</v>
          </cell>
          <cell r="N21">
            <v>2697940</v>
          </cell>
          <cell r="O21">
            <v>2843366</v>
          </cell>
        </row>
        <row r="22">
          <cell r="D22">
            <v>12039717</v>
          </cell>
          <cell r="E22">
            <v>5771478</v>
          </cell>
          <cell r="F22">
            <v>21201478</v>
          </cell>
          <cell r="G22">
            <v>11146478</v>
          </cell>
          <cell r="H22">
            <v>11146478</v>
          </cell>
          <cell r="I22">
            <v>11146478</v>
          </cell>
          <cell r="J22">
            <v>11169735</v>
          </cell>
          <cell r="K22">
            <v>11169735</v>
          </cell>
          <cell r="L22">
            <v>11169735</v>
          </cell>
          <cell r="M22">
            <v>11169735</v>
          </cell>
          <cell r="N22">
            <v>11169735</v>
          </cell>
          <cell r="O22">
            <v>9444690</v>
          </cell>
        </row>
        <row r="23">
          <cell r="D23">
            <v>14794628</v>
          </cell>
          <cell r="E23">
            <v>8568156</v>
          </cell>
          <cell r="F23">
            <v>36809106</v>
          </cell>
          <cell r="G23">
            <v>17128405</v>
          </cell>
          <cell r="H23">
            <v>17321637</v>
          </cell>
          <cell r="I23">
            <v>19231078</v>
          </cell>
          <cell r="J23">
            <v>17167312</v>
          </cell>
          <cell r="K23">
            <v>17084991</v>
          </cell>
          <cell r="L23">
            <v>17167649</v>
          </cell>
          <cell r="M23">
            <v>17168806</v>
          </cell>
          <cell r="N23">
            <v>16862933</v>
          </cell>
          <cell r="O23">
            <v>15521077</v>
          </cell>
        </row>
      </sheetData>
      <sheetData sheetId="6">
        <row r="2">
          <cell r="D2"/>
          <cell r="E2"/>
          <cell r="F2">
            <v>966054</v>
          </cell>
          <cell r="G2"/>
          <cell r="H2"/>
          <cell r="I2">
            <v>966054</v>
          </cell>
          <cell r="J2"/>
          <cell r="K2"/>
          <cell r="L2">
            <v>1282904</v>
          </cell>
          <cell r="M2"/>
          <cell r="N2"/>
          <cell r="O2">
            <v>2083988</v>
          </cell>
        </row>
        <row r="3"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</row>
        <row r="4">
          <cell r="D4"/>
          <cell r="E4"/>
          <cell r="F4">
            <v>112325</v>
          </cell>
          <cell r="G4"/>
          <cell r="H4"/>
          <cell r="I4">
            <v>112325</v>
          </cell>
          <cell r="J4"/>
          <cell r="K4"/>
          <cell r="L4">
            <v>86673</v>
          </cell>
          <cell r="M4"/>
          <cell r="N4"/>
          <cell r="O4">
            <v>46677</v>
          </cell>
        </row>
        <row r="5">
          <cell r="D5"/>
          <cell r="E5"/>
          <cell r="F5">
            <v>351093</v>
          </cell>
          <cell r="G5"/>
          <cell r="H5"/>
          <cell r="I5">
            <v>351093</v>
          </cell>
          <cell r="J5"/>
          <cell r="K5"/>
          <cell r="L5">
            <v>270913</v>
          </cell>
          <cell r="M5"/>
          <cell r="N5"/>
          <cell r="O5">
            <v>145901</v>
          </cell>
        </row>
        <row r="6">
          <cell r="D6"/>
          <cell r="E6"/>
          <cell r="F6">
            <v>71850</v>
          </cell>
          <cell r="G6"/>
          <cell r="H6"/>
          <cell r="I6">
            <v>71850</v>
          </cell>
          <cell r="J6"/>
          <cell r="K6"/>
          <cell r="L6">
            <v>55442</v>
          </cell>
          <cell r="M6"/>
          <cell r="N6"/>
          <cell r="O6">
            <v>29858</v>
          </cell>
        </row>
        <row r="7">
          <cell r="D7"/>
          <cell r="E7"/>
          <cell r="F7">
            <v>21335</v>
          </cell>
          <cell r="G7"/>
          <cell r="H7"/>
          <cell r="I7">
            <v>21335</v>
          </cell>
          <cell r="J7"/>
          <cell r="K7"/>
          <cell r="L7">
            <v>16462</v>
          </cell>
          <cell r="M7"/>
          <cell r="N7"/>
          <cell r="O7">
            <v>8868</v>
          </cell>
        </row>
        <row r="8">
          <cell r="D8"/>
          <cell r="E8"/>
          <cell r="F8">
            <v>322855</v>
          </cell>
          <cell r="G8"/>
          <cell r="H8"/>
          <cell r="I8">
            <v>322855</v>
          </cell>
          <cell r="J8"/>
          <cell r="K8"/>
          <cell r="L8">
            <v>249124</v>
          </cell>
          <cell r="M8"/>
          <cell r="N8"/>
          <cell r="O8">
            <v>134166</v>
          </cell>
        </row>
        <row r="9"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D10"/>
          <cell r="E10"/>
          <cell r="F10">
            <v>185116</v>
          </cell>
          <cell r="G10"/>
          <cell r="H10"/>
          <cell r="I10">
            <v>185116</v>
          </cell>
          <cell r="J10"/>
          <cell r="K10"/>
          <cell r="L10">
            <v>142841</v>
          </cell>
          <cell r="M10"/>
          <cell r="N10"/>
          <cell r="O10">
            <v>76927</v>
          </cell>
        </row>
        <row r="11">
          <cell r="D11"/>
          <cell r="E11"/>
          <cell r="F11">
            <v>188881</v>
          </cell>
          <cell r="G11"/>
          <cell r="H11"/>
          <cell r="I11">
            <v>188881</v>
          </cell>
          <cell r="J11"/>
          <cell r="K11"/>
          <cell r="L11">
            <v>145746</v>
          </cell>
          <cell r="M11"/>
          <cell r="N11"/>
          <cell r="O11">
            <v>78492</v>
          </cell>
        </row>
        <row r="12">
          <cell r="D12"/>
          <cell r="E12"/>
          <cell r="F12">
            <v>581389</v>
          </cell>
          <cell r="G12"/>
          <cell r="H12"/>
          <cell r="I12">
            <v>581389</v>
          </cell>
          <cell r="J12"/>
          <cell r="K12"/>
          <cell r="L12">
            <v>448617</v>
          </cell>
          <cell r="M12"/>
          <cell r="N12"/>
          <cell r="O12">
            <v>241605</v>
          </cell>
        </row>
        <row r="13">
          <cell r="D13"/>
          <cell r="E13"/>
          <cell r="F13">
            <v>703440</v>
          </cell>
          <cell r="G13"/>
          <cell r="H13"/>
          <cell r="I13">
            <v>703440</v>
          </cell>
          <cell r="J13"/>
          <cell r="K13"/>
          <cell r="L13">
            <v>542795</v>
          </cell>
          <cell r="M13"/>
          <cell r="N13"/>
          <cell r="O13">
            <v>292325</v>
          </cell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D17"/>
          <cell r="E17"/>
          <cell r="F17">
            <v>149662</v>
          </cell>
          <cell r="G17"/>
          <cell r="H17"/>
          <cell r="I17">
            <v>149662</v>
          </cell>
          <cell r="J17"/>
          <cell r="K17"/>
          <cell r="L17">
            <v>115483</v>
          </cell>
          <cell r="M17"/>
          <cell r="N17"/>
          <cell r="O17">
            <v>62193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D23">
            <v>0</v>
          </cell>
          <cell r="E23">
            <v>0</v>
          </cell>
          <cell r="F23">
            <v>3654000</v>
          </cell>
          <cell r="G23">
            <v>0</v>
          </cell>
          <cell r="H23">
            <v>0</v>
          </cell>
          <cell r="I23">
            <v>3654000</v>
          </cell>
          <cell r="J23">
            <v>0</v>
          </cell>
          <cell r="K23">
            <v>0</v>
          </cell>
          <cell r="L23">
            <v>3357000</v>
          </cell>
          <cell r="M23">
            <v>0</v>
          </cell>
          <cell r="N23">
            <v>0</v>
          </cell>
          <cell r="O23">
            <v>3201000</v>
          </cell>
        </row>
      </sheetData>
      <sheetData sheetId="7">
        <row r="2">
          <cell r="D2"/>
          <cell r="E2"/>
          <cell r="F2"/>
          <cell r="G2"/>
          <cell r="H2"/>
          <cell r="I2">
            <v>822255</v>
          </cell>
          <cell r="J2"/>
          <cell r="K2">
            <v>822247</v>
          </cell>
          <cell r="L2">
            <v>822247</v>
          </cell>
          <cell r="M2">
            <v>274082</v>
          </cell>
          <cell r="N2">
            <v>274082</v>
          </cell>
          <cell r="O2">
            <v>274087</v>
          </cell>
        </row>
        <row r="3">
          <cell r="D3"/>
          <cell r="E3"/>
          <cell r="F3"/>
          <cell r="G3"/>
          <cell r="H3"/>
          <cell r="I3">
            <v>110750</v>
          </cell>
          <cell r="J3"/>
          <cell r="K3">
            <v>110750</v>
          </cell>
          <cell r="L3">
            <v>110750</v>
          </cell>
          <cell r="M3">
            <v>36917</v>
          </cell>
          <cell r="N3">
            <v>36917</v>
          </cell>
          <cell r="O3">
            <v>36916</v>
          </cell>
        </row>
        <row r="4">
          <cell r="D4"/>
          <cell r="E4"/>
          <cell r="F4"/>
          <cell r="G4"/>
          <cell r="H4"/>
          <cell r="I4">
            <v>55500</v>
          </cell>
          <cell r="J4"/>
          <cell r="K4">
            <v>55500</v>
          </cell>
          <cell r="L4">
            <v>55500</v>
          </cell>
          <cell r="M4">
            <v>18500</v>
          </cell>
          <cell r="N4">
            <v>18500</v>
          </cell>
          <cell r="O4">
            <v>18500</v>
          </cell>
        </row>
        <row r="5">
          <cell r="D5"/>
          <cell r="E5"/>
          <cell r="F5"/>
          <cell r="G5"/>
          <cell r="H5"/>
          <cell r="I5">
            <v>173750</v>
          </cell>
          <cell r="J5"/>
          <cell r="K5">
            <v>173750</v>
          </cell>
          <cell r="L5">
            <v>173750</v>
          </cell>
          <cell r="M5">
            <v>57916</v>
          </cell>
          <cell r="N5">
            <v>57916</v>
          </cell>
          <cell r="O5">
            <v>57918</v>
          </cell>
        </row>
        <row r="6">
          <cell r="D6"/>
          <cell r="E6"/>
          <cell r="F6"/>
          <cell r="G6"/>
          <cell r="H6"/>
          <cell r="I6">
            <v>131500</v>
          </cell>
          <cell r="J6"/>
          <cell r="K6">
            <v>131500</v>
          </cell>
          <cell r="L6">
            <v>131500</v>
          </cell>
          <cell r="M6">
            <v>43832</v>
          </cell>
          <cell r="N6">
            <v>43832</v>
          </cell>
          <cell r="O6">
            <v>43836</v>
          </cell>
        </row>
        <row r="7">
          <cell r="D7"/>
          <cell r="E7"/>
          <cell r="F7"/>
          <cell r="G7"/>
          <cell r="H7"/>
          <cell r="I7">
            <v>10500</v>
          </cell>
          <cell r="J7"/>
          <cell r="K7">
            <v>10500</v>
          </cell>
          <cell r="L7">
            <v>10500</v>
          </cell>
          <cell r="M7">
            <v>3500</v>
          </cell>
          <cell r="N7">
            <v>3500</v>
          </cell>
          <cell r="O7">
            <v>3500</v>
          </cell>
        </row>
        <row r="8">
          <cell r="D8"/>
          <cell r="E8"/>
          <cell r="F8"/>
          <cell r="G8"/>
          <cell r="H8"/>
          <cell r="I8">
            <v>159500</v>
          </cell>
          <cell r="J8"/>
          <cell r="K8">
            <v>159500</v>
          </cell>
          <cell r="L8">
            <v>159500</v>
          </cell>
          <cell r="M8">
            <v>53167</v>
          </cell>
          <cell r="N8">
            <v>53167</v>
          </cell>
          <cell r="O8">
            <v>53166</v>
          </cell>
        </row>
        <row r="9"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D10"/>
          <cell r="E10"/>
          <cell r="F10"/>
          <cell r="G10"/>
          <cell r="H10"/>
          <cell r="I10">
            <v>91250</v>
          </cell>
          <cell r="J10"/>
          <cell r="K10">
            <v>91250</v>
          </cell>
          <cell r="L10">
            <v>91250</v>
          </cell>
          <cell r="M10">
            <v>30417</v>
          </cell>
          <cell r="N10">
            <v>30417</v>
          </cell>
          <cell r="O10">
            <v>30416</v>
          </cell>
        </row>
        <row r="11">
          <cell r="D11"/>
          <cell r="E11"/>
          <cell r="F11"/>
          <cell r="G11"/>
          <cell r="H11"/>
          <cell r="I11">
            <v>93500</v>
          </cell>
          <cell r="J11"/>
          <cell r="K11">
            <v>93500</v>
          </cell>
          <cell r="L11">
            <v>93500</v>
          </cell>
          <cell r="M11">
            <v>31167</v>
          </cell>
          <cell r="N11">
            <v>31167</v>
          </cell>
          <cell r="O11">
            <v>31166</v>
          </cell>
        </row>
        <row r="12">
          <cell r="D12"/>
          <cell r="E12"/>
          <cell r="F12"/>
          <cell r="G12"/>
          <cell r="H12"/>
          <cell r="I12">
            <v>287501</v>
          </cell>
          <cell r="J12"/>
          <cell r="K12">
            <v>287501</v>
          </cell>
          <cell r="L12">
            <v>287501</v>
          </cell>
          <cell r="M12">
            <v>95834</v>
          </cell>
          <cell r="N12">
            <v>95834</v>
          </cell>
          <cell r="O12">
            <v>95829</v>
          </cell>
        </row>
        <row r="13">
          <cell r="D13"/>
          <cell r="E13"/>
          <cell r="F13"/>
          <cell r="G13"/>
          <cell r="H13"/>
          <cell r="I13">
            <v>348000</v>
          </cell>
          <cell r="J13"/>
          <cell r="K13">
            <v>348000</v>
          </cell>
          <cell r="L13">
            <v>348000</v>
          </cell>
          <cell r="M13">
            <v>116000</v>
          </cell>
          <cell r="N13">
            <v>116000</v>
          </cell>
          <cell r="O13">
            <v>116000</v>
          </cell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D17"/>
          <cell r="E17"/>
          <cell r="F17"/>
          <cell r="G17"/>
          <cell r="H17"/>
          <cell r="I17">
            <v>49250</v>
          </cell>
          <cell r="J17"/>
          <cell r="K17">
            <v>49250</v>
          </cell>
          <cell r="L17">
            <v>49250</v>
          </cell>
          <cell r="M17">
            <v>16417</v>
          </cell>
          <cell r="N17">
            <v>16417</v>
          </cell>
          <cell r="O17">
            <v>16416</v>
          </cell>
        </row>
        <row r="18">
          <cell r="D18"/>
          <cell r="E18"/>
          <cell r="F18"/>
          <cell r="G18"/>
          <cell r="H18"/>
          <cell r="I18">
            <v>24500</v>
          </cell>
          <cell r="J18"/>
          <cell r="K18">
            <v>24500</v>
          </cell>
          <cell r="L18">
            <v>24500</v>
          </cell>
          <cell r="M18">
            <v>8167</v>
          </cell>
          <cell r="N18">
            <v>8167</v>
          </cell>
          <cell r="O18">
            <v>8166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2357756</v>
          </cell>
          <cell r="J23">
            <v>0</v>
          </cell>
          <cell r="K23">
            <v>2357748</v>
          </cell>
          <cell r="L23">
            <v>2357748</v>
          </cell>
          <cell r="M23">
            <v>785916</v>
          </cell>
          <cell r="N23">
            <v>785916</v>
          </cell>
          <cell r="O23">
            <v>785916</v>
          </cell>
        </row>
      </sheetData>
      <sheetData sheetId="8">
        <row r="2"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</row>
        <row r="3">
          <cell r="D3"/>
          <cell r="E3"/>
          <cell r="F3">
            <v>129622</v>
          </cell>
          <cell r="G3">
            <v>10000</v>
          </cell>
          <cell r="H3">
            <v>34906</v>
          </cell>
          <cell r="I3">
            <v>34906</v>
          </cell>
          <cell r="J3">
            <v>34906</v>
          </cell>
          <cell r="K3">
            <v>34906</v>
          </cell>
          <cell r="L3">
            <v>34906</v>
          </cell>
          <cell r="M3">
            <v>34906</v>
          </cell>
          <cell r="N3">
            <v>34906</v>
          </cell>
          <cell r="O3">
            <v>152036</v>
          </cell>
        </row>
        <row r="4">
          <cell r="D4"/>
          <cell r="E4"/>
          <cell r="F4">
            <v>65053</v>
          </cell>
          <cell r="G4"/>
          <cell r="H4">
            <v>16263</v>
          </cell>
          <cell r="I4">
            <v>16263</v>
          </cell>
          <cell r="J4">
            <v>16263</v>
          </cell>
          <cell r="K4">
            <v>16263</v>
          </cell>
          <cell r="L4">
            <v>16263</v>
          </cell>
          <cell r="M4">
            <v>16263</v>
          </cell>
          <cell r="N4">
            <v>16263</v>
          </cell>
          <cell r="O4">
            <v>90106</v>
          </cell>
        </row>
        <row r="5">
          <cell r="D5"/>
          <cell r="E5"/>
          <cell r="F5">
            <v>202897</v>
          </cell>
          <cell r="G5"/>
          <cell r="H5">
            <v>50724</v>
          </cell>
          <cell r="I5">
            <v>50724</v>
          </cell>
          <cell r="J5">
            <v>50724</v>
          </cell>
          <cell r="K5">
            <v>50724</v>
          </cell>
          <cell r="L5">
            <v>50724</v>
          </cell>
          <cell r="M5">
            <v>50724</v>
          </cell>
          <cell r="N5">
            <v>50724</v>
          </cell>
          <cell r="O5">
            <v>281035</v>
          </cell>
        </row>
        <row r="6">
          <cell r="D6"/>
          <cell r="E6"/>
          <cell r="F6">
            <v>82948</v>
          </cell>
          <cell r="G6"/>
          <cell r="H6">
            <v>20737</v>
          </cell>
          <cell r="I6">
            <v>20737</v>
          </cell>
          <cell r="J6">
            <v>20737</v>
          </cell>
          <cell r="K6">
            <v>20737</v>
          </cell>
          <cell r="L6">
            <v>20737</v>
          </cell>
          <cell r="M6">
            <v>20737</v>
          </cell>
          <cell r="N6">
            <v>20737</v>
          </cell>
          <cell r="O6">
            <v>114893</v>
          </cell>
        </row>
        <row r="7">
          <cell r="D7"/>
          <cell r="E7"/>
          <cell r="F7">
            <v>12333</v>
          </cell>
          <cell r="G7"/>
          <cell r="H7">
            <v>3083</v>
          </cell>
          <cell r="I7">
            <v>3083</v>
          </cell>
          <cell r="J7">
            <v>3083</v>
          </cell>
          <cell r="K7">
            <v>3083</v>
          </cell>
          <cell r="L7">
            <v>3083</v>
          </cell>
          <cell r="M7">
            <v>3083</v>
          </cell>
          <cell r="N7">
            <v>3083</v>
          </cell>
          <cell r="O7">
            <v>17086</v>
          </cell>
        </row>
        <row r="8">
          <cell r="D8"/>
          <cell r="E8"/>
          <cell r="F8">
            <v>186452</v>
          </cell>
          <cell r="G8"/>
          <cell r="H8">
            <v>46613</v>
          </cell>
          <cell r="I8">
            <v>46613</v>
          </cell>
          <cell r="J8">
            <v>46613</v>
          </cell>
          <cell r="K8">
            <v>46613</v>
          </cell>
          <cell r="L8">
            <v>46613</v>
          </cell>
          <cell r="M8">
            <v>46613</v>
          </cell>
          <cell r="N8">
            <v>46613</v>
          </cell>
          <cell r="O8">
            <v>258257</v>
          </cell>
        </row>
        <row r="9"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D10"/>
          <cell r="E10"/>
          <cell r="F10">
            <v>238204</v>
          </cell>
          <cell r="G10"/>
          <cell r="H10">
            <v>59551</v>
          </cell>
          <cell r="I10">
            <v>59551</v>
          </cell>
          <cell r="J10">
            <v>59551</v>
          </cell>
          <cell r="K10">
            <v>59551</v>
          </cell>
          <cell r="L10">
            <v>59551</v>
          </cell>
          <cell r="M10">
            <v>59551</v>
          </cell>
          <cell r="N10">
            <v>59551</v>
          </cell>
          <cell r="O10">
            <v>-213061</v>
          </cell>
        </row>
        <row r="11">
          <cell r="D11"/>
          <cell r="E11"/>
          <cell r="F11">
            <v>276656</v>
          </cell>
          <cell r="G11"/>
          <cell r="H11">
            <v>69164</v>
          </cell>
          <cell r="I11">
            <v>69164</v>
          </cell>
          <cell r="J11">
            <v>69164</v>
          </cell>
          <cell r="K11">
            <v>69164</v>
          </cell>
          <cell r="L11">
            <v>69164</v>
          </cell>
          <cell r="M11">
            <v>69164</v>
          </cell>
          <cell r="N11">
            <v>69164</v>
          </cell>
          <cell r="O11">
            <v>-309804</v>
          </cell>
        </row>
        <row r="12">
          <cell r="D12"/>
          <cell r="E12"/>
          <cell r="F12">
            <v>525501</v>
          </cell>
          <cell r="G12"/>
          <cell r="H12">
            <v>131375</v>
          </cell>
          <cell r="I12">
            <v>131375</v>
          </cell>
          <cell r="J12">
            <v>131375</v>
          </cell>
          <cell r="K12">
            <v>131375</v>
          </cell>
          <cell r="L12">
            <v>131375</v>
          </cell>
          <cell r="M12">
            <v>131375</v>
          </cell>
          <cell r="N12">
            <v>131375</v>
          </cell>
          <cell r="O12">
            <v>-56126</v>
          </cell>
        </row>
        <row r="13"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</row>
        <row r="18">
          <cell r="D18"/>
          <cell r="E18"/>
          <cell r="F18">
            <v>86334</v>
          </cell>
          <cell r="G18"/>
          <cell r="H18">
            <v>21584</v>
          </cell>
          <cell r="I18">
            <v>21584</v>
          </cell>
          <cell r="J18">
            <v>21584</v>
          </cell>
          <cell r="K18">
            <v>21584</v>
          </cell>
          <cell r="L18">
            <v>21584</v>
          </cell>
          <cell r="M18">
            <v>21584</v>
          </cell>
          <cell r="N18">
            <v>21584</v>
          </cell>
          <cell r="O18">
            <v>119578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D23">
            <v>0</v>
          </cell>
          <cell r="E23">
            <v>0</v>
          </cell>
          <cell r="F23">
            <v>1806000</v>
          </cell>
          <cell r="G23">
            <v>10000</v>
          </cell>
          <cell r="H23">
            <v>454000</v>
          </cell>
          <cell r="I23">
            <v>454000</v>
          </cell>
          <cell r="J23">
            <v>454000</v>
          </cell>
          <cell r="K23">
            <v>454000</v>
          </cell>
          <cell r="L23">
            <v>454000</v>
          </cell>
          <cell r="M23">
            <v>454000</v>
          </cell>
          <cell r="N23">
            <v>454000</v>
          </cell>
          <cell r="O23">
            <v>454000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/>
      <sheetData sheetId="4">
        <row r="9">
          <cell r="E9">
            <v>0</v>
          </cell>
        </row>
      </sheetData>
      <sheetData sheetId="5"/>
      <sheetData sheetId="6"/>
      <sheetData sheetId="7">
        <row r="4">
          <cell r="C4">
            <v>0</v>
          </cell>
        </row>
        <row r="5">
          <cell r="C5">
            <v>7</v>
          </cell>
        </row>
        <row r="7">
          <cell r="C7">
            <v>6</v>
          </cell>
        </row>
        <row r="8">
          <cell r="C8">
            <v>3.5</v>
          </cell>
        </row>
        <row r="9">
          <cell r="C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view="pageLayout" zoomScaleNormal="100" workbookViewId="0">
      <selection activeCell="A21" sqref="A21"/>
    </sheetView>
  </sheetViews>
  <sheetFormatPr defaultColWidth="8.85546875" defaultRowHeight="12.75" x14ac:dyDescent="0.2"/>
  <cols>
    <col min="1" max="1" width="14.85546875" style="502" customWidth="1"/>
    <col min="2" max="2" width="67.5703125" style="502" customWidth="1"/>
    <col min="3" max="8" width="8.85546875" style="502"/>
    <col min="9" max="9" width="8.85546875" style="502" customWidth="1"/>
    <col min="10" max="16384" width="8.85546875" style="502"/>
  </cols>
  <sheetData>
    <row r="1" spans="1:2" ht="21.6" customHeight="1" x14ac:dyDescent="0.3">
      <c r="B1" s="503" t="s">
        <v>328</v>
      </c>
    </row>
    <row r="2" spans="1:2" ht="21.6" customHeight="1" x14ac:dyDescent="0.3">
      <c r="B2" s="503"/>
    </row>
    <row r="3" spans="1:2" s="504" customFormat="1" ht="39" customHeight="1" x14ac:dyDescent="0.25">
      <c r="A3" s="504" t="s">
        <v>329</v>
      </c>
      <c r="B3" s="504" t="s">
        <v>330</v>
      </c>
    </row>
    <row r="4" spans="1:2" s="504" customFormat="1" ht="39" customHeight="1" x14ac:dyDescent="0.25">
      <c r="A4" s="504" t="s">
        <v>331</v>
      </c>
      <c r="B4" s="504" t="s">
        <v>332</v>
      </c>
    </row>
    <row r="5" spans="1:2" s="504" customFormat="1" ht="39" customHeight="1" x14ac:dyDescent="0.25">
      <c r="A5" s="504" t="s">
        <v>333</v>
      </c>
      <c r="B5" s="504" t="s">
        <v>334</v>
      </c>
    </row>
    <row r="6" spans="1:2" s="504" customFormat="1" ht="39" customHeight="1" x14ac:dyDescent="0.25">
      <c r="A6" s="504" t="s">
        <v>335</v>
      </c>
      <c r="B6" s="504" t="s">
        <v>336</v>
      </c>
    </row>
    <row r="7" spans="1:2" s="504" customFormat="1" ht="39" customHeight="1" x14ac:dyDescent="0.25">
      <c r="A7" s="504" t="s">
        <v>337</v>
      </c>
      <c r="B7" s="504" t="s">
        <v>338</v>
      </c>
    </row>
    <row r="8" spans="1:2" s="504" customFormat="1" ht="39" customHeight="1" x14ac:dyDescent="0.25">
      <c r="A8" s="504" t="s">
        <v>339</v>
      </c>
      <c r="B8" s="504" t="s">
        <v>20</v>
      </c>
    </row>
    <row r="9" spans="1:2" s="504" customFormat="1" ht="39" customHeight="1" x14ac:dyDescent="0.25">
      <c r="A9" s="504" t="s">
        <v>340</v>
      </c>
      <c r="B9" s="504" t="s">
        <v>282</v>
      </c>
    </row>
    <row r="10" spans="1:2" s="504" customFormat="1" ht="39" customHeight="1" x14ac:dyDescent="0.25">
      <c r="A10" s="504" t="s">
        <v>341</v>
      </c>
      <c r="B10" s="504" t="s">
        <v>344</v>
      </c>
    </row>
    <row r="11" spans="1:2" s="504" customFormat="1" ht="39" customHeight="1" x14ac:dyDescent="0.25">
      <c r="A11" s="504" t="s">
        <v>342</v>
      </c>
      <c r="B11" s="504" t="s">
        <v>346</v>
      </c>
    </row>
    <row r="12" spans="1:2" s="504" customFormat="1" ht="39" customHeight="1" x14ac:dyDescent="0.25">
      <c r="A12" s="504" t="s">
        <v>343</v>
      </c>
      <c r="B12" s="504" t="s">
        <v>348</v>
      </c>
    </row>
    <row r="13" spans="1:2" ht="39" customHeight="1" x14ac:dyDescent="0.25">
      <c r="A13" s="504" t="s">
        <v>345</v>
      </c>
      <c r="B13" s="504" t="s">
        <v>350</v>
      </c>
    </row>
    <row r="14" spans="1:2" ht="39" customHeight="1" x14ac:dyDescent="0.25">
      <c r="A14" s="504" t="s">
        <v>347</v>
      </c>
      <c r="B14" s="504" t="s">
        <v>352</v>
      </c>
    </row>
    <row r="15" spans="1:2" ht="39" customHeight="1" x14ac:dyDescent="0.25">
      <c r="A15" s="504" t="s">
        <v>349</v>
      </c>
      <c r="B15" s="504" t="s">
        <v>354</v>
      </c>
    </row>
    <row r="16" spans="1:2" ht="39" customHeight="1" x14ac:dyDescent="0.25">
      <c r="A16" s="504" t="s">
        <v>1069</v>
      </c>
      <c r="B16" s="504" t="s">
        <v>355</v>
      </c>
    </row>
    <row r="17" spans="1:2" ht="39" customHeight="1" x14ac:dyDescent="0.25">
      <c r="A17" s="504" t="s">
        <v>1070</v>
      </c>
      <c r="B17" s="504" t="s">
        <v>356</v>
      </c>
    </row>
    <row r="18" spans="1:2" ht="39" customHeight="1" x14ac:dyDescent="0.25">
      <c r="A18" s="504" t="s">
        <v>1071</v>
      </c>
      <c r="B18" s="504" t="s">
        <v>357</v>
      </c>
    </row>
    <row r="19" spans="1:2" ht="39" customHeight="1" x14ac:dyDescent="0.25">
      <c r="A19" s="504" t="s">
        <v>351</v>
      </c>
      <c r="B19" s="504" t="s">
        <v>358</v>
      </c>
    </row>
    <row r="20" spans="1:2" ht="39" customHeight="1" x14ac:dyDescent="0.25">
      <c r="A20" s="504" t="s">
        <v>353</v>
      </c>
      <c r="B20" s="504" t="s">
        <v>359</v>
      </c>
    </row>
  </sheetData>
  <pageMargins left="0.70866141732283472" right="0.70866141732283472" top="1.5354330708661419" bottom="0.74803149606299213" header="0.6692913385826772" footer="0.31496062992125984"/>
  <pageSetup paperSize="9" scale="91" orientation="portrait" r:id="rId1"/>
  <headerFooter>
    <oddHeader>&amp;C&amp;"Times New Roman,Félkövér"&amp;14 2023. ÉVI ZÁRSZÁMADÁSI BESZÁMOLÓ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32"/>
  <sheetViews>
    <sheetView topLeftCell="B7" zoomScaleNormal="100" workbookViewId="0">
      <selection activeCell="J29" sqref="J29"/>
    </sheetView>
  </sheetViews>
  <sheetFormatPr defaultColWidth="8.85546875" defaultRowHeight="12.75" x14ac:dyDescent="0.2"/>
  <cols>
    <col min="1" max="1" width="40.7109375" style="553" customWidth="1"/>
    <col min="2" max="9" width="8.5703125" style="552" customWidth="1"/>
    <col min="10" max="10" width="9" style="505" customWidth="1"/>
    <col min="11" max="11" width="40.7109375" style="553" customWidth="1"/>
    <col min="12" max="16" width="8.5703125" style="552" customWidth="1"/>
    <col min="17" max="17" width="8.5703125" style="554" customWidth="1"/>
    <col min="18" max="19" width="8.5703125" style="505" customWidth="1"/>
    <col min="20" max="20" width="10.28515625" style="505" customWidth="1"/>
    <col min="21" max="265" width="8.85546875" style="505"/>
    <col min="266" max="266" width="40.7109375" style="505" customWidth="1"/>
    <col min="267" max="268" width="9.7109375" style="505" customWidth="1"/>
    <col min="269" max="269" width="8.42578125" style="505" customWidth="1"/>
    <col min="270" max="270" width="40.7109375" style="505" customWidth="1"/>
    <col min="271" max="272" width="9.7109375" style="505" customWidth="1"/>
    <col min="273" max="273" width="8.42578125" style="505" customWidth="1"/>
    <col min="274" max="275" width="10.85546875" style="505" bestFit="1" customWidth="1"/>
    <col min="276" max="521" width="8.85546875" style="505"/>
    <col min="522" max="522" width="40.7109375" style="505" customWidth="1"/>
    <col min="523" max="524" width="9.7109375" style="505" customWidth="1"/>
    <col min="525" max="525" width="8.42578125" style="505" customWidth="1"/>
    <col min="526" max="526" width="40.7109375" style="505" customWidth="1"/>
    <col min="527" max="528" width="9.7109375" style="505" customWidth="1"/>
    <col min="529" max="529" width="8.42578125" style="505" customWidth="1"/>
    <col min="530" max="531" width="10.85546875" style="505" bestFit="1" customWidth="1"/>
    <col min="532" max="777" width="8.85546875" style="505"/>
    <col min="778" max="778" width="40.7109375" style="505" customWidth="1"/>
    <col min="779" max="780" width="9.7109375" style="505" customWidth="1"/>
    <col min="781" max="781" width="8.42578125" style="505" customWidth="1"/>
    <col min="782" max="782" width="40.7109375" style="505" customWidth="1"/>
    <col min="783" max="784" width="9.7109375" style="505" customWidth="1"/>
    <col min="785" max="785" width="8.42578125" style="505" customWidth="1"/>
    <col min="786" max="787" width="10.85546875" style="505" bestFit="1" customWidth="1"/>
    <col min="788" max="1033" width="8.85546875" style="505"/>
    <col min="1034" max="1034" width="40.7109375" style="505" customWidth="1"/>
    <col min="1035" max="1036" width="9.7109375" style="505" customWidth="1"/>
    <col min="1037" max="1037" width="8.42578125" style="505" customWidth="1"/>
    <col min="1038" max="1038" width="40.7109375" style="505" customWidth="1"/>
    <col min="1039" max="1040" width="9.7109375" style="505" customWidth="1"/>
    <col min="1041" max="1041" width="8.42578125" style="505" customWidth="1"/>
    <col min="1042" max="1043" width="10.85546875" style="505" bestFit="1" customWidth="1"/>
    <col min="1044" max="1289" width="8.85546875" style="505"/>
    <col min="1290" max="1290" width="40.7109375" style="505" customWidth="1"/>
    <col min="1291" max="1292" width="9.7109375" style="505" customWidth="1"/>
    <col min="1293" max="1293" width="8.42578125" style="505" customWidth="1"/>
    <col min="1294" max="1294" width="40.7109375" style="505" customWidth="1"/>
    <col min="1295" max="1296" width="9.7109375" style="505" customWidth="1"/>
    <col min="1297" max="1297" width="8.42578125" style="505" customWidth="1"/>
    <col min="1298" max="1299" width="10.85546875" style="505" bestFit="1" customWidth="1"/>
    <col min="1300" max="1545" width="8.85546875" style="505"/>
    <col min="1546" max="1546" width="40.7109375" style="505" customWidth="1"/>
    <col min="1547" max="1548" width="9.7109375" style="505" customWidth="1"/>
    <col min="1549" max="1549" width="8.42578125" style="505" customWidth="1"/>
    <col min="1550" max="1550" width="40.7109375" style="505" customWidth="1"/>
    <col min="1551" max="1552" width="9.7109375" style="505" customWidth="1"/>
    <col min="1553" max="1553" width="8.42578125" style="505" customWidth="1"/>
    <col min="1554" max="1555" width="10.85546875" style="505" bestFit="1" customWidth="1"/>
    <col min="1556" max="1801" width="8.85546875" style="505"/>
    <col min="1802" max="1802" width="40.7109375" style="505" customWidth="1"/>
    <col min="1803" max="1804" width="9.7109375" style="505" customWidth="1"/>
    <col min="1805" max="1805" width="8.42578125" style="505" customWidth="1"/>
    <col min="1806" max="1806" width="40.7109375" style="505" customWidth="1"/>
    <col min="1807" max="1808" width="9.7109375" style="505" customWidth="1"/>
    <col min="1809" max="1809" width="8.42578125" style="505" customWidth="1"/>
    <col min="1810" max="1811" width="10.85546875" style="505" bestFit="1" customWidth="1"/>
    <col min="1812" max="2057" width="8.85546875" style="505"/>
    <col min="2058" max="2058" width="40.7109375" style="505" customWidth="1"/>
    <col min="2059" max="2060" width="9.7109375" style="505" customWidth="1"/>
    <col min="2061" max="2061" width="8.42578125" style="505" customWidth="1"/>
    <col min="2062" max="2062" width="40.7109375" style="505" customWidth="1"/>
    <col min="2063" max="2064" width="9.7109375" style="505" customWidth="1"/>
    <col min="2065" max="2065" width="8.42578125" style="505" customWidth="1"/>
    <col min="2066" max="2067" width="10.85546875" style="505" bestFit="1" customWidth="1"/>
    <col min="2068" max="2313" width="8.85546875" style="505"/>
    <col min="2314" max="2314" width="40.7109375" style="505" customWidth="1"/>
    <col min="2315" max="2316" width="9.7109375" style="505" customWidth="1"/>
    <col min="2317" max="2317" width="8.42578125" style="505" customWidth="1"/>
    <col min="2318" max="2318" width="40.7109375" style="505" customWidth="1"/>
    <col min="2319" max="2320" width="9.7109375" style="505" customWidth="1"/>
    <col min="2321" max="2321" width="8.42578125" style="505" customWidth="1"/>
    <col min="2322" max="2323" width="10.85546875" style="505" bestFit="1" customWidth="1"/>
    <col min="2324" max="2569" width="8.85546875" style="505"/>
    <col min="2570" max="2570" width="40.7109375" style="505" customWidth="1"/>
    <col min="2571" max="2572" width="9.7109375" style="505" customWidth="1"/>
    <col min="2573" max="2573" width="8.42578125" style="505" customWidth="1"/>
    <col min="2574" max="2574" width="40.7109375" style="505" customWidth="1"/>
    <col min="2575" max="2576" width="9.7109375" style="505" customWidth="1"/>
    <col min="2577" max="2577" width="8.42578125" style="505" customWidth="1"/>
    <col min="2578" max="2579" width="10.85546875" style="505" bestFit="1" customWidth="1"/>
    <col min="2580" max="2825" width="8.85546875" style="505"/>
    <col min="2826" max="2826" width="40.7109375" style="505" customWidth="1"/>
    <col min="2827" max="2828" width="9.7109375" style="505" customWidth="1"/>
    <col min="2829" max="2829" width="8.42578125" style="505" customWidth="1"/>
    <col min="2830" max="2830" width="40.7109375" style="505" customWidth="1"/>
    <col min="2831" max="2832" width="9.7109375" style="505" customWidth="1"/>
    <col min="2833" max="2833" width="8.42578125" style="505" customWidth="1"/>
    <col min="2834" max="2835" width="10.85546875" style="505" bestFit="1" customWidth="1"/>
    <col min="2836" max="3081" width="8.85546875" style="505"/>
    <col min="3082" max="3082" width="40.7109375" style="505" customWidth="1"/>
    <col min="3083" max="3084" width="9.7109375" style="505" customWidth="1"/>
    <col min="3085" max="3085" width="8.42578125" style="505" customWidth="1"/>
    <col min="3086" max="3086" width="40.7109375" style="505" customWidth="1"/>
    <col min="3087" max="3088" width="9.7109375" style="505" customWidth="1"/>
    <col min="3089" max="3089" width="8.42578125" style="505" customWidth="1"/>
    <col min="3090" max="3091" width="10.85546875" style="505" bestFit="1" customWidth="1"/>
    <col min="3092" max="3337" width="8.85546875" style="505"/>
    <col min="3338" max="3338" width="40.7109375" style="505" customWidth="1"/>
    <col min="3339" max="3340" width="9.7109375" style="505" customWidth="1"/>
    <col min="3341" max="3341" width="8.42578125" style="505" customWidth="1"/>
    <col min="3342" max="3342" width="40.7109375" style="505" customWidth="1"/>
    <col min="3343" max="3344" width="9.7109375" style="505" customWidth="1"/>
    <col min="3345" max="3345" width="8.42578125" style="505" customWidth="1"/>
    <col min="3346" max="3347" width="10.85546875" style="505" bestFit="1" customWidth="1"/>
    <col min="3348" max="3593" width="8.85546875" style="505"/>
    <col min="3594" max="3594" width="40.7109375" style="505" customWidth="1"/>
    <col min="3595" max="3596" width="9.7109375" style="505" customWidth="1"/>
    <col min="3597" max="3597" width="8.42578125" style="505" customWidth="1"/>
    <col min="3598" max="3598" width="40.7109375" style="505" customWidth="1"/>
    <col min="3599" max="3600" width="9.7109375" style="505" customWidth="1"/>
    <col min="3601" max="3601" width="8.42578125" style="505" customWidth="1"/>
    <col min="3602" max="3603" width="10.85546875" style="505" bestFit="1" customWidth="1"/>
    <col min="3604" max="3849" width="8.85546875" style="505"/>
    <col min="3850" max="3850" width="40.7109375" style="505" customWidth="1"/>
    <col min="3851" max="3852" width="9.7109375" style="505" customWidth="1"/>
    <col min="3853" max="3853" width="8.42578125" style="505" customWidth="1"/>
    <col min="3854" max="3854" width="40.7109375" style="505" customWidth="1"/>
    <col min="3855" max="3856" width="9.7109375" style="505" customWidth="1"/>
    <col min="3857" max="3857" width="8.42578125" style="505" customWidth="1"/>
    <col min="3858" max="3859" width="10.85546875" style="505" bestFit="1" customWidth="1"/>
    <col min="3860" max="4105" width="8.85546875" style="505"/>
    <col min="4106" max="4106" width="40.7109375" style="505" customWidth="1"/>
    <col min="4107" max="4108" width="9.7109375" style="505" customWidth="1"/>
    <col min="4109" max="4109" width="8.42578125" style="505" customWidth="1"/>
    <col min="4110" max="4110" width="40.7109375" style="505" customWidth="1"/>
    <col min="4111" max="4112" width="9.7109375" style="505" customWidth="1"/>
    <col min="4113" max="4113" width="8.42578125" style="505" customWidth="1"/>
    <col min="4114" max="4115" width="10.85546875" style="505" bestFit="1" customWidth="1"/>
    <col min="4116" max="4361" width="8.85546875" style="505"/>
    <col min="4362" max="4362" width="40.7109375" style="505" customWidth="1"/>
    <col min="4363" max="4364" width="9.7109375" style="505" customWidth="1"/>
    <col min="4365" max="4365" width="8.42578125" style="505" customWidth="1"/>
    <col min="4366" max="4366" width="40.7109375" style="505" customWidth="1"/>
    <col min="4367" max="4368" width="9.7109375" style="505" customWidth="1"/>
    <col min="4369" max="4369" width="8.42578125" style="505" customWidth="1"/>
    <col min="4370" max="4371" width="10.85546875" style="505" bestFit="1" customWidth="1"/>
    <col min="4372" max="4617" width="8.85546875" style="505"/>
    <col min="4618" max="4618" width="40.7109375" style="505" customWidth="1"/>
    <col min="4619" max="4620" width="9.7109375" style="505" customWidth="1"/>
    <col min="4621" max="4621" width="8.42578125" style="505" customWidth="1"/>
    <col min="4622" max="4622" width="40.7109375" style="505" customWidth="1"/>
    <col min="4623" max="4624" width="9.7109375" style="505" customWidth="1"/>
    <col min="4625" max="4625" width="8.42578125" style="505" customWidth="1"/>
    <col min="4626" max="4627" width="10.85546875" style="505" bestFit="1" customWidth="1"/>
    <col min="4628" max="4873" width="8.85546875" style="505"/>
    <col min="4874" max="4874" width="40.7109375" style="505" customWidth="1"/>
    <col min="4875" max="4876" width="9.7109375" style="505" customWidth="1"/>
    <col min="4877" max="4877" width="8.42578125" style="505" customWidth="1"/>
    <col min="4878" max="4878" width="40.7109375" style="505" customWidth="1"/>
    <col min="4879" max="4880" width="9.7109375" style="505" customWidth="1"/>
    <col min="4881" max="4881" width="8.42578125" style="505" customWidth="1"/>
    <col min="4882" max="4883" width="10.85546875" style="505" bestFit="1" customWidth="1"/>
    <col min="4884" max="5129" width="8.85546875" style="505"/>
    <col min="5130" max="5130" width="40.7109375" style="505" customWidth="1"/>
    <col min="5131" max="5132" width="9.7109375" style="505" customWidth="1"/>
    <col min="5133" max="5133" width="8.42578125" style="505" customWidth="1"/>
    <col min="5134" max="5134" width="40.7109375" style="505" customWidth="1"/>
    <col min="5135" max="5136" width="9.7109375" style="505" customWidth="1"/>
    <col min="5137" max="5137" width="8.42578125" style="505" customWidth="1"/>
    <col min="5138" max="5139" width="10.85546875" style="505" bestFit="1" customWidth="1"/>
    <col min="5140" max="5385" width="8.85546875" style="505"/>
    <col min="5386" max="5386" width="40.7109375" style="505" customWidth="1"/>
    <col min="5387" max="5388" width="9.7109375" style="505" customWidth="1"/>
    <col min="5389" max="5389" width="8.42578125" style="505" customWidth="1"/>
    <col min="5390" max="5390" width="40.7109375" style="505" customWidth="1"/>
    <col min="5391" max="5392" width="9.7109375" style="505" customWidth="1"/>
    <col min="5393" max="5393" width="8.42578125" style="505" customWidth="1"/>
    <col min="5394" max="5395" width="10.85546875" style="505" bestFit="1" customWidth="1"/>
    <col min="5396" max="5641" width="8.85546875" style="505"/>
    <col min="5642" max="5642" width="40.7109375" style="505" customWidth="1"/>
    <col min="5643" max="5644" width="9.7109375" style="505" customWidth="1"/>
    <col min="5645" max="5645" width="8.42578125" style="505" customWidth="1"/>
    <col min="5646" max="5646" width="40.7109375" style="505" customWidth="1"/>
    <col min="5647" max="5648" width="9.7109375" style="505" customWidth="1"/>
    <col min="5649" max="5649" width="8.42578125" style="505" customWidth="1"/>
    <col min="5650" max="5651" width="10.85546875" style="505" bestFit="1" customWidth="1"/>
    <col min="5652" max="5897" width="8.85546875" style="505"/>
    <col min="5898" max="5898" width="40.7109375" style="505" customWidth="1"/>
    <col min="5899" max="5900" width="9.7109375" style="505" customWidth="1"/>
    <col min="5901" max="5901" width="8.42578125" style="505" customWidth="1"/>
    <col min="5902" max="5902" width="40.7109375" style="505" customWidth="1"/>
    <col min="5903" max="5904" width="9.7109375" style="505" customWidth="1"/>
    <col min="5905" max="5905" width="8.42578125" style="505" customWidth="1"/>
    <col min="5906" max="5907" width="10.85546875" style="505" bestFit="1" customWidth="1"/>
    <col min="5908" max="6153" width="8.85546875" style="505"/>
    <col min="6154" max="6154" width="40.7109375" style="505" customWidth="1"/>
    <col min="6155" max="6156" width="9.7109375" style="505" customWidth="1"/>
    <col min="6157" max="6157" width="8.42578125" style="505" customWidth="1"/>
    <col min="6158" max="6158" width="40.7109375" style="505" customWidth="1"/>
    <col min="6159" max="6160" width="9.7109375" style="505" customWidth="1"/>
    <col min="6161" max="6161" width="8.42578125" style="505" customWidth="1"/>
    <col min="6162" max="6163" width="10.85546875" style="505" bestFit="1" customWidth="1"/>
    <col min="6164" max="6409" width="8.85546875" style="505"/>
    <col min="6410" max="6410" width="40.7109375" style="505" customWidth="1"/>
    <col min="6411" max="6412" width="9.7109375" style="505" customWidth="1"/>
    <col min="6413" max="6413" width="8.42578125" style="505" customWidth="1"/>
    <col min="6414" max="6414" width="40.7109375" style="505" customWidth="1"/>
    <col min="6415" max="6416" width="9.7109375" style="505" customWidth="1"/>
    <col min="6417" max="6417" width="8.42578125" style="505" customWidth="1"/>
    <col min="6418" max="6419" width="10.85546875" style="505" bestFit="1" customWidth="1"/>
    <col min="6420" max="6665" width="8.85546875" style="505"/>
    <col min="6666" max="6666" width="40.7109375" style="505" customWidth="1"/>
    <col min="6667" max="6668" width="9.7109375" style="505" customWidth="1"/>
    <col min="6669" max="6669" width="8.42578125" style="505" customWidth="1"/>
    <col min="6670" max="6670" width="40.7109375" style="505" customWidth="1"/>
    <col min="6671" max="6672" width="9.7109375" style="505" customWidth="1"/>
    <col min="6673" max="6673" width="8.42578125" style="505" customWidth="1"/>
    <col min="6674" max="6675" width="10.85546875" style="505" bestFit="1" customWidth="1"/>
    <col min="6676" max="6921" width="8.85546875" style="505"/>
    <col min="6922" max="6922" width="40.7109375" style="505" customWidth="1"/>
    <col min="6923" max="6924" width="9.7109375" style="505" customWidth="1"/>
    <col min="6925" max="6925" width="8.42578125" style="505" customWidth="1"/>
    <col min="6926" max="6926" width="40.7109375" style="505" customWidth="1"/>
    <col min="6927" max="6928" width="9.7109375" style="505" customWidth="1"/>
    <col min="6929" max="6929" width="8.42578125" style="505" customWidth="1"/>
    <col min="6930" max="6931" width="10.85546875" style="505" bestFit="1" customWidth="1"/>
    <col min="6932" max="7177" width="8.85546875" style="505"/>
    <col min="7178" max="7178" width="40.7109375" style="505" customWidth="1"/>
    <col min="7179" max="7180" width="9.7109375" style="505" customWidth="1"/>
    <col min="7181" max="7181" width="8.42578125" style="505" customWidth="1"/>
    <col min="7182" max="7182" width="40.7109375" style="505" customWidth="1"/>
    <col min="7183" max="7184" width="9.7109375" style="505" customWidth="1"/>
    <col min="7185" max="7185" width="8.42578125" style="505" customWidth="1"/>
    <col min="7186" max="7187" width="10.85546875" style="505" bestFit="1" customWidth="1"/>
    <col min="7188" max="7433" width="8.85546875" style="505"/>
    <col min="7434" max="7434" width="40.7109375" style="505" customWidth="1"/>
    <col min="7435" max="7436" width="9.7109375" style="505" customWidth="1"/>
    <col min="7437" max="7437" width="8.42578125" style="505" customWidth="1"/>
    <col min="7438" max="7438" width="40.7109375" style="505" customWidth="1"/>
    <col min="7439" max="7440" width="9.7109375" style="505" customWidth="1"/>
    <col min="7441" max="7441" width="8.42578125" style="505" customWidth="1"/>
    <col min="7442" max="7443" width="10.85546875" style="505" bestFit="1" customWidth="1"/>
    <col min="7444" max="7689" width="8.85546875" style="505"/>
    <col min="7690" max="7690" width="40.7109375" style="505" customWidth="1"/>
    <col min="7691" max="7692" width="9.7109375" style="505" customWidth="1"/>
    <col min="7693" max="7693" width="8.42578125" style="505" customWidth="1"/>
    <col min="7694" max="7694" width="40.7109375" style="505" customWidth="1"/>
    <col min="7695" max="7696" width="9.7109375" style="505" customWidth="1"/>
    <col min="7697" max="7697" width="8.42578125" style="505" customWidth="1"/>
    <col min="7698" max="7699" width="10.85546875" style="505" bestFit="1" customWidth="1"/>
    <col min="7700" max="7945" width="8.85546875" style="505"/>
    <col min="7946" max="7946" width="40.7109375" style="505" customWidth="1"/>
    <col min="7947" max="7948" width="9.7109375" style="505" customWidth="1"/>
    <col min="7949" max="7949" width="8.42578125" style="505" customWidth="1"/>
    <col min="7950" max="7950" width="40.7109375" style="505" customWidth="1"/>
    <col min="7951" max="7952" width="9.7109375" style="505" customWidth="1"/>
    <col min="7953" max="7953" width="8.42578125" style="505" customWidth="1"/>
    <col min="7954" max="7955" width="10.85546875" style="505" bestFit="1" customWidth="1"/>
    <col min="7956" max="8201" width="8.85546875" style="505"/>
    <col min="8202" max="8202" width="40.7109375" style="505" customWidth="1"/>
    <col min="8203" max="8204" width="9.7109375" style="505" customWidth="1"/>
    <col min="8205" max="8205" width="8.42578125" style="505" customWidth="1"/>
    <col min="8206" max="8206" width="40.7109375" style="505" customWidth="1"/>
    <col min="8207" max="8208" width="9.7109375" style="505" customWidth="1"/>
    <col min="8209" max="8209" width="8.42578125" style="505" customWidth="1"/>
    <col min="8210" max="8211" width="10.85546875" style="505" bestFit="1" customWidth="1"/>
    <col min="8212" max="8457" width="8.85546875" style="505"/>
    <col min="8458" max="8458" width="40.7109375" style="505" customWidth="1"/>
    <col min="8459" max="8460" width="9.7109375" style="505" customWidth="1"/>
    <col min="8461" max="8461" width="8.42578125" style="505" customWidth="1"/>
    <col min="8462" max="8462" width="40.7109375" style="505" customWidth="1"/>
    <col min="8463" max="8464" width="9.7109375" style="505" customWidth="1"/>
    <col min="8465" max="8465" width="8.42578125" style="505" customWidth="1"/>
    <col min="8466" max="8467" width="10.85546875" style="505" bestFit="1" customWidth="1"/>
    <col min="8468" max="8713" width="8.85546875" style="505"/>
    <col min="8714" max="8714" width="40.7109375" style="505" customWidth="1"/>
    <col min="8715" max="8716" width="9.7109375" style="505" customWidth="1"/>
    <col min="8717" max="8717" width="8.42578125" style="505" customWidth="1"/>
    <col min="8718" max="8718" width="40.7109375" style="505" customWidth="1"/>
    <col min="8719" max="8720" width="9.7109375" style="505" customWidth="1"/>
    <col min="8721" max="8721" width="8.42578125" style="505" customWidth="1"/>
    <col min="8722" max="8723" width="10.85546875" style="505" bestFit="1" customWidth="1"/>
    <col min="8724" max="8969" width="8.85546875" style="505"/>
    <col min="8970" max="8970" width="40.7109375" style="505" customWidth="1"/>
    <col min="8971" max="8972" width="9.7109375" style="505" customWidth="1"/>
    <col min="8973" max="8973" width="8.42578125" style="505" customWidth="1"/>
    <col min="8974" max="8974" width="40.7109375" style="505" customWidth="1"/>
    <col min="8975" max="8976" width="9.7109375" style="505" customWidth="1"/>
    <col min="8977" max="8977" width="8.42578125" style="505" customWidth="1"/>
    <col min="8978" max="8979" width="10.85546875" style="505" bestFit="1" customWidth="1"/>
    <col min="8980" max="9225" width="8.85546875" style="505"/>
    <col min="9226" max="9226" width="40.7109375" style="505" customWidth="1"/>
    <col min="9227" max="9228" width="9.7109375" style="505" customWidth="1"/>
    <col min="9229" max="9229" width="8.42578125" style="505" customWidth="1"/>
    <col min="9230" max="9230" width="40.7109375" style="505" customWidth="1"/>
    <col min="9231" max="9232" width="9.7109375" style="505" customWidth="1"/>
    <col min="9233" max="9233" width="8.42578125" style="505" customWidth="1"/>
    <col min="9234" max="9235" width="10.85546875" style="505" bestFit="1" customWidth="1"/>
    <col min="9236" max="9481" width="8.85546875" style="505"/>
    <col min="9482" max="9482" width="40.7109375" style="505" customWidth="1"/>
    <col min="9483" max="9484" width="9.7109375" style="505" customWidth="1"/>
    <col min="9485" max="9485" width="8.42578125" style="505" customWidth="1"/>
    <col min="9486" max="9486" width="40.7109375" style="505" customWidth="1"/>
    <col min="9487" max="9488" width="9.7109375" style="505" customWidth="1"/>
    <col min="9489" max="9489" width="8.42578125" style="505" customWidth="1"/>
    <col min="9490" max="9491" width="10.85546875" style="505" bestFit="1" customWidth="1"/>
    <col min="9492" max="9737" width="8.85546875" style="505"/>
    <col min="9738" max="9738" width="40.7109375" style="505" customWidth="1"/>
    <col min="9739" max="9740" width="9.7109375" style="505" customWidth="1"/>
    <col min="9741" max="9741" width="8.42578125" style="505" customWidth="1"/>
    <col min="9742" max="9742" width="40.7109375" style="505" customWidth="1"/>
    <col min="9743" max="9744" width="9.7109375" style="505" customWidth="1"/>
    <col min="9745" max="9745" width="8.42578125" style="505" customWidth="1"/>
    <col min="9746" max="9747" width="10.85546875" style="505" bestFit="1" customWidth="1"/>
    <col min="9748" max="9993" width="8.85546875" style="505"/>
    <col min="9994" max="9994" width="40.7109375" style="505" customWidth="1"/>
    <col min="9995" max="9996" width="9.7109375" style="505" customWidth="1"/>
    <col min="9997" max="9997" width="8.42578125" style="505" customWidth="1"/>
    <col min="9998" max="9998" width="40.7109375" style="505" customWidth="1"/>
    <col min="9999" max="10000" width="9.7109375" style="505" customWidth="1"/>
    <col min="10001" max="10001" width="8.42578125" style="505" customWidth="1"/>
    <col min="10002" max="10003" width="10.85546875" style="505" bestFit="1" customWidth="1"/>
    <col min="10004" max="10249" width="8.85546875" style="505"/>
    <col min="10250" max="10250" width="40.7109375" style="505" customWidth="1"/>
    <col min="10251" max="10252" width="9.7109375" style="505" customWidth="1"/>
    <col min="10253" max="10253" width="8.42578125" style="505" customWidth="1"/>
    <col min="10254" max="10254" width="40.7109375" style="505" customWidth="1"/>
    <col min="10255" max="10256" width="9.7109375" style="505" customWidth="1"/>
    <col min="10257" max="10257" width="8.42578125" style="505" customWidth="1"/>
    <col min="10258" max="10259" width="10.85546875" style="505" bestFit="1" customWidth="1"/>
    <col min="10260" max="10505" width="8.85546875" style="505"/>
    <col min="10506" max="10506" width="40.7109375" style="505" customWidth="1"/>
    <col min="10507" max="10508" width="9.7109375" style="505" customWidth="1"/>
    <col min="10509" max="10509" width="8.42578125" style="505" customWidth="1"/>
    <col min="10510" max="10510" width="40.7109375" style="505" customWidth="1"/>
    <col min="10511" max="10512" width="9.7109375" style="505" customWidth="1"/>
    <col min="10513" max="10513" width="8.42578125" style="505" customWidth="1"/>
    <col min="10514" max="10515" width="10.85546875" style="505" bestFit="1" customWidth="1"/>
    <col min="10516" max="10761" width="8.85546875" style="505"/>
    <col min="10762" max="10762" width="40.7109375" style="505" customWidth="1"/>
    <col min="10763" max="10764" width="9.7109375" style="505" customWidth="1"/>
    <col min="10765" max="10765" width="8.42578125" style="505" customWidth="1"/>
    <col min="10766" max="10766" width="40.7109375" style="505" customWidth="1"/>
    <col min="10767" max="10768" width="9.7109375" style="505" customWidth="1"/>
    <col min="10769" max="10769" width="8.42578125" style="505" customWidth="1"/>
    <col min="10770" max="10771" width="10.85546875" style="505" bestFit="1" customWidth="1"/>
    <col min="10772" max="11017" width="8.85546875" style="505"/>
    <col min="11018" max="11018" width="40.7109375" style="505" customWidth="1"/>
    <col min="11019" max="11020" width="9.7109375" style="505" customWidth="1"/>
    <col min="11021" max="11021" width="8.42578125" style="505" customWidth="1"/>
    <col min="11022" max="11022" width="40.7109375" style="505" customWidth="1"/>
    <col min="11023" max="11024" width="9.7109375" style="505" customWidth="1"/>
    <col min="11025" max="11025" width="8.42578125" style="505" customWidth="1"/>
    <col min="11026" max="11027" width="10.85546875" style="505" bestFit="1" customWidth="1"/>
    <col min="11028" max="11273" width="8.85546875" style="505"/>
    <col min="11274" max="11274" width="40.7109375" style="505" customWidth="1"/>
    <col min="11275" max="11276" width="9.7109375" style="505" customWidth="1"/>
    <col min="11277" max="11277" width="8.42578125" style="505" customWidth="1"/>
    <col min="11278" max="11278" width="40.7109375" style="505" customWidth="1"/>
    <col min="11279" max="11280" width="9.7109375" style="505" customWidth="1"/>
    <col min="11281" max="11281" width="8.42578125" style="505" customWidth="1"/>
    <col min="11282" max="11283" width="10.85546875" style="505" bestFit="1" customWidth="1"/>
    <col min="11284" max="11529" width="8.85546875" style="505"/>
    <col min="11530" max="11530" width="40.7109375" style="505" customWidth="1"/>
    <col min="11531" max="11532" width="9.7109375" style="505" customWidth="1"/>
    <col min="11533" max="11533" width="8.42578125" style="505" customWidth="1"/>
    <col min="11534" max="11534" width="40.7109375" style="505" customWidth="1"/>
    <col min="11535" max="11536" width="9.7109375" style="505" customWidth="1"/>
    <col min="11537" max="11537" width="8.42578125" style="505" customWidth="1"/>
    <col min="11538" max="11539" width="10.85546875" style="505" bestFit="1" customWidth="1"/>
    <col min="11540" max="11785" width="8.85546875" style="505"/>
    <col min="11786" max="11786" width="40.7109375" style="505" customWidth="1"/>
    <col min="11787" max="11788" width="9.7109375" style="505" customWidth="1"/>
    <col min="11789" max="11789" width="8.42578125" style="505" customWidth="1"/>
    <col min="11790" max="11790" width="40.7109375" style="505" customWidth="1"/>
    <col min="11791" max="11792" width="9.7109375" style="505" customWidth="1"/>
    <col min="11793" max="11793" width="8.42578125" style="505" customWidth="1"/>
    <col min="11794" max="11795" width="10.85546875" style="505" bestFit="1" customWidth="1"/>
    <col min="11796" max="12041" width="8.85546875" style="505"/>
    <col min="12042" max="12042" width="40.7109375" style="505" customWidth="1"/>
    <col min="12043" max="12044" width="9.7109375" style="505" customWidth="1"/>
    <col min="12045" max="12045" width="8.42578125" style="505" customWidth="1"/>
    <col min="12046" max="12046" width="40.7109375" style="505" customWidth="1"/>
    <col min="12047" max="12048" width="9.7109375" style="505" customWidth="1"/>
    <col min="12049" max="12049" width="8.42578125" style="505" customWidth="1"/>
    <col min="12050" max="12051" width="10.85546875" style="505" bestFit="1" customWidth="1"/>
    <col min="12052" max="12297" width="8.85546875" style="505"/>
    <col min="12298" max="12298" width="40.7109375" style="505" customWidth="1"/>
    <col min="12299" max="12300" width="9.7109375" style="505" customWidth="1"/>
    <col min="12301" max="12301" width="8.42578125" style="505" customWidth="1"/>
    <col min="12302" max="12302" width="40.7109375" style="505" customWidth="1"/>
    <col min="12303" max="12304" width="9.7109375" style="505" customWidth="1"/>
    <col min="12305" max="12305" width="8.42578125" style="505" customWidth="1"/>
    <col min="12306" max="12307" width="10.85546875" style="505" bestFit="1" customWidth="1"/>
    <col min="12308" max="12553" width="8.85546875" style="505"/>
    <col min="12554" max="12554" width="40.7109375" style="505" customWidth="1"/>
    <col min="12555" max="12556" width="9.7109375" style="505" customWidth="1"/>
    <col min="12557" max="12557" width="8.42578125" style="505" customWidth="1"/>
    <col min="12558" max="12558" width="40.7109375" style="505" customWidth="1"/>
    <col min="12559" max="12560" width="9.7109375" style="505" customWidth="1"/>
    <col min="12561" max="12561" width="8.42578125" style="505" customWidth="1"/>
    <col min="12562" max="12563" width="10.85546875" style="505" bestFit="1" customWidth="1"/>
    <col min="12564" max="12809" width="8.85546875" style="505"/>
    <col min="12810" max="12810" width="40.7109375" style="505" customWidth="1"/>
    <col min="12811" max="12812" width="9.7109375" style="505" customWidth="1"/>
    <col min="12813" max="12813" width="8.42578125" style="505" customWidth="1"/>
    <col min="12814" max="12814" width="40.7109375" style="505" customWidth="1"/>
    <col min="12815" max="12816" width="9.7109375" style="505" customWidth="1"/>
    <col min="12817" max="12817" width="8.42578125" style="505" customWidth="1"/>
    <col min="12818" max="12819" width="10.85546875" style="505" bestFit="1" customWidth="1"/>
    <col min="12820" max="13065" width="8.85546875" style="505"/>
    <col min="13066" max="13066" width="40.7109375" style="505" customWidth="1"/>
    <col min="13067" max="13068" width="9.7109375" style="505" customWidth="1"/>
    <col min="13069" max="13069" width="8.42578125" style="505" customWidth="1"/>
    <col min="13070" max="13070" width="40.7109375" style="505" customWidth="1"/>
    <col min="13071" max="13072" width="9.7109375" style="505" customWidth="1"/>
    <col min="13073" max="13073" width="8.42578125" style="505" customWidth="1"/>
    <col min="13074" max="13075" width="10.85546875" style="505" bestFit="1" customWidth="1"/>
    <col min="13076" max="13321" width="8.85546875" style="505"/>
    <col min="13322" max="13322" width="40.7109375" style="505" customWidth="1"/>
    <col min="13323" max="13324" width="9.7109375" style="505" customWidth="1"/>
    <col min="13325" max="13325" width="8.42578125" style="505" customWidth="1"/>
    <col min="13326" max="13326" width="40.7109375" style="505" customWidth="1"/>
    <col min="13327" max="13328" width="9.7109375" style="505" customWidth="1"/>
    <col min="13329" max="13329" width="8.42578125" style="505" customWidth="1"/>
    <col min="13330" max="13331" width="10.85546875" style="505" bestFit="1" customWidth="1"/>
    <col min="13332" max="13577" width="8.85546875" style="505"/>
    <col min="13578" max="13578" width="40.7109375" style="505" customWidth="1"/>
    <col min="13579" max="13580" width="9.7109375" style="505" customWidth="1"/>
    <col min="13581" max="13581" width="8.42578125" style="505" customWidth="1"/>
    <col min="13582" max="13582" width="40.7109375" style="505" customWidth="1"/>
    <col min="13583" max="13584" width="9.7109375" style="505" customWidth="1"/>
    <col min="13585" max="13585" width="8.42578125" style="505" customWidth="1"/>
    <col min="13586" max="13587" width="10.85546875" style="505" bestFit="1" customWidth="1"/>
    <col min="13588" max="13833" width="8.85546875" style="505"/>
    <col min="13834" max="13834" width="40.7109375" style="505" customWidth="1"/>
    <col min="13835" max="13836" width="9.7109375" style="505" customWidth="1"/>
    <col min="13837" max="13837" width="8.42578125" style="505" customWidth="1"/>
    <col min="13838" max="13838" width="40.7109375" style="505" customWidth="1"/>
    <col min="13839" max="13840" width="9.7109375" style="505" customWidth="1"/>
    <col min="13841" max="13841" width="8.42578125" style="505" customWidth="1"/>
    <col min="13842" max="13843" width="10.85546875" style="505" bestFit="1" customWidth="1"/>
    <col min="13844" max="14089" width="8.85546875" style="505"/>
    <col min="14090" max="14090" width="40.7109375" style="505" customWidth="1"/>
    <col min="14091" max="14092" width="9.7109375" style="505" customWidth="1"/>
    <col min="14093" max="14093" width="8.42578125" style="505" customWidth="1"/>
    <col min="14094" max="14094" width="40.7109375" style="505" customWidth="1"/>
    <col min="14095" max="14096" width="9.7109375" style="505" customWidth="1"/>
    <col min="14097" max="14097" width="8.42578125" style="505" customWidth="1"/>
    <col min="14098" max="14099" width="10.85546875" style="505" bestFit="1" customWidth="1"/>
    <col min="14100" max="14345" width="8.85546875" style="505"/>
    <col min="14346" max="14346" width="40.7109375" style="505" customWidth="1"/>
    <col min="14347" max="14348" width="9.7109375" style="505" customWidth="1"/>
    <col min="14349" max="14349" width="8.42578125" style="505" customWidth="1"/>
    <col min="14350" max="14350" width="40.7109375" style="505" customWidth="1"/>
    <col min="14351" max="14352" width="9.7109375" style="505" customWidth="1"/>
    <col min="14353" max="14353" width="8.42578125" style="505" customWidth="1"/>
    <col min="14354" max="14355" width="10.85546875" style="505" bestFit="1" customWidth="1"/>
    <col min="14356" max="14601" width="8.85546875" style="505"/>
    <col min="14602" max="14602" width="40.7109375" style="505" customWidth="1"/>
    <col min="14603" max="14604" width="9.7109375" style="505" customWidth="1"/>
    <col min="14605" max="14605" width="8.42578125" style="505" customWidth="1"/>
    <col min="14606" max="14606" width="40.7109375" style="505" customWidth="1"/>
    <col min="14607" max="14608" width="9.7109375" style="505" customWidth="1"/>
    <col min="14609" max="14609" width="8.42578125" style="505" customWidth="1"/>
    <col min="14610" max="14611" width="10.85546875" style="505" bestFit="1" customWidth="1"/>
    <col min="14612" max="14857" width="8.85546875" style="505"/>
    <col min="14858" max="14858" width="40.7109375" style="505" customWidth="1"/>
    <col min="14859" max="14860" width="9.7109375" style="505" customWidth="1"/>
    <col min="14861" max="14861" width="8.42578125" style="505" customWidth="1"/>
    <col min="14862" max="14862" width="40.7109375" style="505" customWidth="1"/>
    <col min="14863" max="14864" width="9.7109375" style="505" customWidth="1"/>
    <col min="14865" max="14865" width="8.42578125" style="505" customWidth="1"/>
    <col min="14866" max="14867" width="10.85546875" style="505" bestFit="1" customWidth="1"/>
    <col min="14868" max="15113" width="8.85546875" style="505"/>
    <col min="15114" max="15114" width="40.7109375" style="505" customWidth="1"/>
    <col min="15115" max="15116" width="9.7109375" style="505" customWidth="1"/>
    <col min="15117" max="15117" width="8.42578125" style="505" customWidth="1"/>
    <col min="15118" max="15118" width="40.7109375" style="505" customWidth="1"/>
    <col min="15119" max="15120" width="9.7109375" style="505" customWidth="1"/>
    <col min="15121" max="15121" width="8.42578125" style="505" customWidth="1"/>
    <col min="15122" max="15123" width="10.85546875" style="505" bestFit="1" customWidth="1"/>
    <col min="15124" max="15369" width="8.85546875" style="505"/>
    <col min="15370" max="15370" width="40.7109375" style="505" customWidth="1"/>
    <col min="15371" max="15372" width="9.7109375" style="505" customWidth="1"/>
    <col min="15373" max="15373" width="8.42578125" style="505" customWidth="1"/>
    <col min="15374" max="15374" width="40.7109375" style="505" customWidth="1"/>
    <col min="15375" max="15376" width="9.7109375" style="505" customWidth="1"/>
    <col min="15377" max="15377" width="8.42578125" style="505" customWidth="1"/>
    <col min="15378" max="15379" width="10.85546875" style="505" bestFit="1" customWidth="1"/>
    <col min="15380" max="15625" width="8.85546875" style="505"/>
    <col min="15626" max="15626" width="40.7109375" style="505" customWidth="1"/>
    <col min="15627" max="15628" width="9.7109375" style="505" customWidth="1"/>
    <col min="15629" max="15629" width="8.42578125" style="505" customWidth="1"/>
    <col min="15630" max="15630" width="40.7109375" style="505" customWidth="1"/>
    <col min="15631" max="15632" width="9.7109375" style="505" customWidth="1"/>
    <col min="15633" max="15633" width="8.42578125" style="505" customWidth="1"/>
    <col min="15634" max="15635" width="10.85546875" style="505" bestFit="1" customWidth="1"/>
    <col min="15636" max="15881" width="8.85546875" style="505"/>
    <col min="15882" max="15882" width="40.7109375" style="505" customWidth="1"/>
    <col min="15883" max="15884" width="9.7109375" style="505" customWidth="1"/>
    <col min="15885" max="15885" width="8.42578125" style="505" customWidth="1"/>
    <col min="15886" max="15886" width="40.7109375" style="505" customWidth="1"/>
    <col min="15887" max="15888" width="9.7109375" style="505" customWidth="1"/>
    <col min="15889" max="15889" width="8.42578125" style="505" customWidth="1"/>
    <col min="15890" max="15891" width="10.85546875" style="505" bestFit="1" customWidth="1"/>
    <col min="15892" max="16137" width="8.85546875" style="505"/>
    <col min="16138" max="16138" width="40.7109375" style="505" customWidth="1"/>
    <col min="16139" max="16140" width="9.7109375" style="505" customWidth="1"/>
    <col min="16141" max="16141" width="8.42578125" style="505" customWidth="1"/>
    <col min="16142" max="16142" width="40.7109375" style="505" customWidth="1"/>
    <col min="16143" max="16144" width="9.7109375" style="505" customWidth="1"/>
    <col min="16145" max="16145" width="8.42578125" style="505" customWidth="1"/>
    <col min="16146" max="16147" width="10.85546875" style="505" bestFit="1" customWidth="1"/>
    <col min="16148" max="16384" width="8.85546875" style="505"/>
  </cols>
  <sheetData>
    <row r="1" spans="1:20" ht="16.5" customHeight="1" x14ac:dyDescent="0.2">
      <c r="A1" s="1314" t="s">
        <v>360</v>
      </c>
      <c r="B1" s="1317" t="s">
        <v>1083</v>
      </c>
      <c r="C1" s="1318"/>
      <c r="D1" s="1318"/>
      <c r="E1" s="1318"/>
      <c r="F1" s="1319"/>
      <c r="G1" s="1320"/>
      <c r="H1" s="1320"/>
      <c r="I1" s="1320"/>
      <c r="J1" s="1321"/>
      <c r="K1" s="1322" t="s">
        <v>361</v>
      </c>
      <c r="L1" s="1301" t="s">
        <v>1083</v>
      </c>
      <c r="M1" s="1302"/>
      <c r="N1" s="1302"/>
      <c r="O1" s="1302"/>
      <c r="P1" s="1302"/>
      <c r="Q1" s="1302"/>
      <c r="R1" s="1302"/>
      <c r="S1" s="1302"/>
      <c r="T1" s="1303"/>
    </row>
    <row r="2" spans="1:20" ht="14.25" customHeight="1" x14ac:dyDescent="0.2">
      <c r="A2" s="1315"/>
      <c r="B2" s="1304">
        <v>2022</v>
      </c>
      <c r="C2" s="1305"/>
      <c r="D2" s="1305"/>
      <c r="E2" s="1306"/>
      <c r="F2" s="1307">
        <v>2023</v>
      </c>
      <c r="G2" s="1308"/>
      <c r="H2" s="1308"/>
      <c r="I2" s="1309"/>
      <c r="J2" s="1310" t="s">
        <v>273</v>
      </c>
      <c r="K2" s="1323"/>
      <c r="L2" s="1304">
        <v>2022</v>
      </c>
      <c r="M2" s="1305"/>
      <c r="N2" s="1305"/>
      <c r="O2" s="1306"/>
      <c r="P2" s="1307">
        <v>2023</v>
      </c>
      <c r="Q2" s="1308"/>
      <c r="R2" s="1308"/>
      <c r="S2" s="1309"/>
      <c r="T2" s="1312" t="s">
        <v>273</v>
      </c>
    </row>
    <row r="3" spans="1:20" ht="25.5" x14ac:dyDescent="0.2">
      <c r="A3" s="1316"/>
      <c r="B3" s="986" t="s">
        <v>1084</v>
      </c>
      <c r="C3" s="506" t="s">
        <v>15</v>
      </c>
      <c r="D3" s="506" t="s">
        <v>287</v>
      </c>
      <c r="E3" s="507" t="s">
        <v>14</v>
      </c>
      <c r="F3" s="986" t="s">
        <v>1084</v>
      </c>
      <c r="G3" s="506" t="s">
        <v>15</v>
      </c>
      <c r="H3" s="506" t="s">
        <v>287</v>
      </c>
      <c r="I3" s="507" t="s">
        <v>14</v>
      </c>
      <c r="J3" s="1311"/>
      <c r="K3" s="1324"/>
      <c r="L3" s="986" t="s">
        <v>1084</v>
      </c>
      <c r="M3" s="506" t="s">
        <v>15</v>
      </c>
      <c r="N3" s="506" t="s">
        <v>287</v>
      </c>
      <c r="O3" s="507" t="s">
        <v>14</v>
      </c>
      <c r="P3" s="986" t="s">
        <v>1084</v>
      </c>
      <c r="Q3" s="506" t="s">
        <v>15</v>
      </c>
      <c r="R3" s="506" t="s">
        <v>287</v>
      </c>
      <c r="S3" s="507" t="s">
        <v>14</v>
      </c>
      <c r="T3" s="1313"/>
    </row>
    <row r="4" spans="1:20" s="512" customFormat="1" x14ac:dyDescent="0.2">
      <c r="A4" s="508"/>
      <c r="B4" s="1298"/>
      <c r="C4" s="1299"/>
      <c r="D4" s="1299"/>
      <c r="E4" s="1300"/>
      <c r="F4" s="1298"/>
      <c r="G4" s="1299"/>
      <c r="H4" s="1299"/>
      <c r="I4" s="1300"/>
      <c r="J4" s="509"/>
      <c r="K4" s="510"/>
      <c r="L4" s="1298"/>
      <c r="M4" s="1299"/>
      <c r="N4" s="1299"/>
      <c r="O4" s="1300"/>
      <c r="P4" s="1298"/>
      <c r="Q4" s="1299"/>
      <c r="R4" s="1299"/>
      <c r="S4" s="1300"/>
      <c r="T4" s="511"/>
    </row>
    <row r="5" spans="1:20" x14ac:dyDescent="0.2">
      <c r="A5" s="513" t="s">
        <v>362</v>
      </c>
      <c r="B5" s="987">
        <v>0</v>
      </c>
      <c r="C5" s="514">
        <v>0</v>
      </c>
      <c r="D5" s="514">
        <v>0</v>
      </c>
      <c r="E5" s="515">
        <f>SUM(B5:D5)</f>
        <v>0</v>
      </c>
      <c r="F5" s="987">
        <v>0</v>
      </c>
      <c r="G5" s="514">
        <v>0</v>
      </c>
      <c r="H5" s="514">
        <v>0</v>
      </c>
      <c r="I5" s="515">
        <f>SUM(F5:H5)</f>
        <v>0</v>
      </c>
      <c r="J5" s="516">
        <v>0</v>
      </c>
      <c r="K5" s="517" t="s">
        <v>363</v>
      </c>
      <c r="L5" s="988">
        <v>0</v>
      </c>
      <c r="M5" s="521">
        <v>1295</v>
      </c>
      <c r="N5" s="521">
        <v>52110</v>
      </c>
      <c r="O5" s="520">
        <f>L5+M5+N5</f>
        <v>53405</v>
      </c>
      <c r="P5" s="988">
        <v>0</v>
      </c>
      <c r="Q5" s="521">
        <v>1295</v>
      </c>
      <c r="R5" s="521">
        <v>52110</v>
      </c>
      <c r="S5" s="520">
        <f>P5+Q5+R5</f>
        <v>53405</v>
      </c>
      <c r="T5" s="522">
        <f>+S5/O5</f>
        <v>1</v>
      </c>
    </row>
    <row r="6" spans="1:20" x14ac:dyDescent="0.2">
      <c r="A6" s="523" t="s">
        <v>364</v>
      </c>
      <c r="B6" s="989">
        <f>SUM(B5)</f>
        <v>0</v>
      </c>
      <c r="C6" s="518">
        <f t="shared" ref="C6:D6" si="0">SUM(C5)</f>
        <v>0</v>
      </c>
      <c r="D6" s="518">
        <f t="shared" si="0"/>
        <v>0</v>
      </c>
      <c r="E6" s="520">
        <f>SUM(E5)</f>
        <v>0</v>
      </c>
      <c r="F6" s="989">
        <f>SUM(F5)</f>
        <v>0</v>
      </c>
      <c r="G6" s="518">
        <f t="shared" ref="G6" si="1">SUM(G5)</f>
        <v>0</v>
      </c>
      <c r="H6" s="518">
        <f t="shared" ref="H6" si="2">SUM(H5)</f>
        <v>0</v>
      </c>
      <c r="I6" s="520">
        <f>F6+G6+H6</f>
        <v>0</v>
      </c>
      <c r="J6" s="516">
        <v>0</v>
      </c>
      <c r="K6" s="525" t="s">
        <v>365</v>
      </c>
      <c r="L6" s="990">
        <v>0</v>
      </c>
      <c r="M6" s="526">
        <v>0</v>
      </c>
      <c r="N6" s="526">
        <v>0</v>
      </c>
      <c r="O6" s="520">
        <v>0</v>
      </c>
      <c r="P6" s="990">
        <v>0</v>
      </c>
      <c r="Q6" s="526">
        <v>0</v>
      </c>
      <c r="R6" s="526">
        <v>0</v>
      </c>
      <c r="S6" s="520">
        <v>0</v>
      </c>
      <c r="T6" s="522">
        <v>0</v>
      </c>
    </row>
    <row r="7" spans="1:20" ht="25.5" x14ac:dyDescent="0.2">
      <c r="A7" s="513" t="s">
        <v>1204</v>
      </c>
      <c r="B7" s="987">
        <v>0</v>
      </c>
      <c r="C7" s="514">
        <v>427</v>
      </c>
      <c r="D7" s="514">
        <v>0</v>
      </c>
      <c r="E7" s="515">
        <f>B7+C7+D7</f>
        <v>427</v>
      </c>
      <c r="F7" s="987">
        <v>0</v>
      </c>
      <c r="G7" s="514">
        <v>411</v>
      </c>
      <c r="H7" s="514">
        <v>0</v>
      </c>
      <c r="I7" s="520">
        <f>F7+G7+H7</f>
        <v>411</v>
      </c>
      <c r="J7" s="516">
        <f>+I7/E7</f>
        <v>0.9625292740046838</v>
      </c>
      <c r="K7" s="525" t="s">
        <v>366</v>
      </c>
      <c r="L7" s="990">
        <v>0</v>
      </c>
      <c r="M7" s="526">
        <v>208</v>
      </c>
      <c r="N7" s="526">
        <v>8717</v>
      </c>
      <c r="O7" s="520">
        <f>L7+M7+N7</f>
        <v>8925</v>
      </c>
      <c r="P7" s="990">
        <v>0</v>
      </c>
      <c r="Q7" s="526">
        <v>208</v>
      </c>
      <c r="R7" s="526">
        <v>8717</v>
      </c>
      <c r="S7" s="520">
        <f>P7+Q7+R7</f>
        <v>8925</v>
      </c>
      <c r="T7" s="522">
        <f t="shared" ref="T7:T17" si="3">+S7/O7</f>
        <v>1</v>
      </c>
    </row>
    <row r="8" spans="1:20" x14ac:dyDescent="0.2">
      <c r="A8" s="513" t="s">
        <v>367</v>
      </c>
      <c r="B8" s="987">
        <v>0</v>
      </c>
      <c r="C8" s="514">
        <v>794</v>
      </c>
      <c r="D8" s="514">
        <v>0</v>
      </c>
      <c r="E8" s="515">
        <f>B8+C8+D8</f>
        <v>794</v>
      </c>
      <c r="F8" s="987">
        <v>0</v>
      </c>
      <c r="G8" s="514">
        <v>1685</v>
      </c>
      <c r="H8" s="514">
        <v>0</v>
      </c>
      <c r="I8" s="520">
        <f t="shared" ref="I8:I9" si="4">F8+G8+H8</f>
        <v>1685</v>
      </c>
      <c r="J8" s="516">
        <f t="shared" ref="J8:J27" si="5">+I8/E8</f>
        <v>2.1221662468513856</v>
      </c>
      <c r="K8" s="525" t="s">
        <v>368</v>
      </c>
      <c r="L8" s="990">
        <v>0</v>
      </c>
      <c r="M8" s="526">
        <v>16550</v>
      </c>
      <c r="N8" s="526">
        <v>-45558</v>
      </c>
      <c r="O8" s="520">
        <f>L8+M8+N8</f>
        <v>-29008</v>
      </c>
      <c r="P8" s="990">
        <v>0</v>
      </c>
      <c r="Q8" s="526">
        <v>2213</v>
      </c>
      <c r="R8" s="526">
        <v>-34761</v>
      </c>
      <c r="S8" s="520">
        <f>P8+Q8+R8</f>
        <v>-32548</v>
      </c>
      <c r="T8" s="522">
        <f t="shared" si="3"/>
        <v>1.1220353006067292</v>
      </c>
    </row>
    <row r="9" spans="1:20" x14ac:dyDescent="0.2">
      <c r="A9" s="513" t="s">
        <v>369</v>
      </c>
      <c r="B9" s="987">
        <v>0</v>
      </c>
      <c r="C9" s="514">
        <v>0</v>
      </c>
      <c r="D9" s="514">
        <v>0</v>
      </c>
      <c r="E9" s="515">
        <f>SUM(B9:D9)</f>
        <v>0</v>
      </c>
      <c r="F9" s="987">
        <v>0</v>
      </c>
      <c r="G9" s="514">
        <v>0</v>
      </c>
      <c r="H9" s="514">
        <v>0</v>
      </c>
      <c r="I9" s="520">
        <f t="shared" si="4"/>
        <v>0</v>
      </c>
      <c r="J9" s="516">
        <v>0</v>
      </c>
      <c r="K9" s="525" t="s">
        <v>370</v>
      </c>
      <c r="L9" s="990"/>
      <c r="M9" s="526">
        <v>0</v>
      </c>
      <c r="N9" s="526">
        <v>0</v>
      </c>
      <c r="O9" s="520">
        <f>L9+M9+N9</f>
        <v>0</v>
      </c>
      <c r="P9" s="990">
        <v>0</v>
      </c>
      <c r="Q9" s="526">
        <v>0</v>
      </c>
      <c r="R9" s="526">
        <v>0</v>
      </c>
      <c r="S9" s="520">
        <f>P9+Q9+R9</f>
        <v>0</v>
      </c>
      <c r="T9" s="522">
        <v>0</v>
      </c>
    </row>
    <row r="10" spans="1:20" x14ac:dyDescent="0.2">
      <c r="A10" s="523" t="s">
        <v>371</v>
      </c>
      <c r="B10" s="989">
        <f t="shared" ref="B10:E10" si="6">SUM(B7:B9)</f>
        <v>0</v>
      </c>
      <c r="C10" s="518">
        <f t="shared" si="6"/>
        <v>1221</v>
      </c>
      <c r="D10" s="518">
        <f t="shared" si="6"/>
        <v>0</v>
      </c>
      <c r="E10" s="520">
        <f t="shared" si="6"/>
        <v>1221</v>
      </c>
      <c r="F10" s="989">
        <f t="shared" ref="F10:H10" si="7">SUM(F7:F9)</f>
        <v>0</v>
      </c>
      <c r="G10" s="518">
        <f t="shared" si="7"/>
        <v>2096</v>
      </c>
      <c r="H10" s="518">
        <f t="shared" si="7"/>
        <v>0</v>
      </c>
      <c r="I10" s="520">
        <f>F10+G10+H10</f>
        <v>2096</v>
      </c>
      <c r="J10" s="524">
        <f t="shared" si="5"/>
        <v>1.7166257166257166</v>
      </c>
      <c r="K10" s="525" t="s">
        <v>372</v>
      </c>
      <c r="L10" s="990">
        <v>0</v>
      </c>
      <c r="M10" s="526">
        <v>-14336</v>
      </c>
      <c r="N10" s="526">
        <v>10796</v>
      </c>
      <c r="O10" s="520">
        <f>L10+M10+N10</f>
        <v>-3540</v>
      </c>
      <c r="P10" s="990">
        <v>0</v>
      </c>
      <c r="Q10" s="526">
        <v>18477</v>
      </c>
      <c r="R10" s="526">
        <v>3598</v>
      </c>
      <c r="S10" s="520">
        <f>P10+Q10+R10</f>
        <v>22075</v>
      </c>
      <c r="T10" s="522">
        <f t="shared" si="3"/>
        <v>-6.2358757062146895</v>
      </c>
    </row>
    <row r="11" spans="1:20" s="532" customFormat="1" x14ac:dyDescent="0.2">
      <c r="A11" s="523" t="s">
        <v>373</v>
      </c>
      <c r="B11" s="989"/>
      <c r="C11" s="519">
        <v>0</v>
      </c>
      <c r="D11" s="519">
        <v>0</v>
      </c>
      <c r="E11" s="520">
        <f>SUM(B11:D11)</f>
        <v>0</v>
      </c>
      <c r="F11" s="989">
        <v>0</v>
      </c>
      <c r="G11" s="519">
        <v>0</v>
      </c>
      <c r="H11" s="519">
        <v>0</v>
      </c>
      <c r="I11" s="520">
        <f>SUM(F11:H11)</f>
        <v>0</v>
      </c>
      <c r="J11" s="524">
        <v>0</v>
      </c>
      <c r="K11" s="527" t="s">
        <v>374</v>
      </c>
      <c r="L11" s="991">
        <f>+SUM(L5:L10)</f>
        <v>0</v>
      </c>
      <c r="M11" s="528">
        <f>+SUM(M5:M10)</f>
        <v>3717</v>
      </c>
      <c r="N11" s="528">
        <f>+SUM(N5:N10)</f>
        <v>26065</v>
      </c>
      <c r="O11" s="530">
        <f t="shared" ref="O11" si="8">+SUM(L11:N11)</f>
        <v>29782</v>
      </c>
      <c r="P11" s="991">
        <f>+SUM(P5:P10)</f>
        <v>0</v>
      </c>
      <c r="Q11" s="528">
        <f>+SUM(Q5:Q10)</f>
        <v>22193</v>
      </c>
      <c r="R11" s="528">
        <f>+SUM(R5:R10)</f>
        <v>29664</v>
      </c>
      <c r="S11" s="530">
        <f t="shared" ref="S11:S17" si="9">+SUM(P11:R11)</f>
        <v>51857</v>
      </c>
      <c r="T11" s="531">
        <f t="shared" si="3"/>
        <v>1.7412195285743066</v>
      </c>
    </row>
    <row r="12" spans="1:20" s="532" customFormat="1" ht="25.5" x14ac:dyDescent="0.2">
      <c r="A12" s="533" t="s">
        <v>1205</v>
      </c>
      <c r="B12" s="989">
        <v>0</v>
      </c>
      <c r="C12" s="519">
        <v>0</v>
      </c>
      <c r="D12" s="519">
        <v>0</v>
      </c>
      <c r="E12" s="520">
        <f>SUM(B12:D12)</f>
        <v>0</v>
      </c>
      <c r="F12" s="989">
        <v>0</v>
      </c>
      <c r="G12" s="519">
        <v>0</v>
      </c>
      <c r="H12" s="519">
        <v>0</v>
      </c>
      <c r="I12" s="520">
        <f>SUM(F12:H12)</f>
        <v>0</v>
      </c>
      <c r="J12" s="524">
        <v>0</v>
      </c>
      <c r="K12" s="534" t="s">
        <v>849</v>
      </c>
      <c r="L12" s="989">
        <v>0</v>
      </c>
      <c r="M12" s="519">
        <v>14</v>
      </c>
      <c r="N12" s="519">
        <v>0</v>
      </c>
      <c r="O12" s="520">
        <f>L12+M12+N12</f>
        <v>14</v>
      </c>
      <c r="P12" s="989">
        <v>0</v>
      </c>
      <c r="Q12" s="519">
        <v>57</v>
      </c>
      <c r="R12" s="519">
        <v>38</v>
      </c>
      <c r="S12" s="520">
        <f>P12+Q12+R12</f>
        <v>95</v>
      </c>
      <c r="T12" s="531">
        <f t="shared" si="3"/>
        <v>6.7857142857142856</v>
      </c>
    </row>
    <row r="13" spans="1:20" ht="25.5" x14ac:dyDescent="0.2">
      <c r="A13" s="535" t="s">
        <v>375</v>
      </c>
      <c r="B13" s="991">
        <f t="shared" ref="B13:D13" si="10">+B6+B10+B11+B12</f>
        <v>0</v>
      </c>
      <c r="C13" s="528">
        <f t="shared" si="10"/>
        <v>1221</v>
      </c>
      <c r="D13" s="528">
        <f t="shared" si="10"/>
        <v>0</v>
      </c>
      <c r="E13" s="530">
        <f>+E6+E10+E11+E12</f>
        <v>1221</v>
      </c>
      <c r="F13" s="991">
        <f t="shared" ref="F13:H13" si="11">+F6+F10+F11+F12</f>
        <v>0</v>
      </c>
      <c r="G13" s="528">
        <f t="shared" si="11"/>
        <v>2096</v>
      </c>
      <c r="H13" s="528">
        <f t="shared" si="11"/>
        <v>0</v>
      </c>
      <c r="I13" s="530">
        <f>F13+G13+H13</f>
        <v>2096</v>
      </c>
      <c r="J13" s="536">
        <f t="shared" si="5"/>
        <v>1.7166257166257166</v>
      </c>
      <c r="K13" s="534" t="s">
        <v>376</v>
      </c>
      <c r="L13" s="989">
        <v>0</v>
      </c>
      <c r="M13" s="519">
        <v>0</v>
      </c>
      <c r="N13" s="519">
        <v>0</v>
      </c>
      <c r="O13" s="520">
        <v>0</v>
      </c>
      <c r="P13" s="989">
        <v>0</v>
      </c>
      <c r="Q13" s="519">
        <v>0</v>
      </c>
      <c r="R13" s="519">
        <v>0</v>
      </c>
      <c r="S13" s="520">
        <v>0</v>
      </c>
      <c r="T13" s="531">
        <v>0</v>
      </c>
    </row>
    <row r="14" spans="1:20" x14ac:dyDescent="0.2">
      <c r="A14" s="523" t="s">
        <v>377</v>
      </c>
      <c r="B14" s="989">
        <v>0</v>
      </c>
      <c r="C14" s="519">
        <v>0</v>
      </c>
      <c r="D14" s="519">
        <v>0</v>
      </c>
      <c r="E14" s="520">
        <f>SUM(B14:D14)</f>
        <v>0</v>
      </c>
      <c r="F14" s="989">
        <v>0</v>
      </c>
      <c r="G14" s="519">
        <v>0</v>
      </c>
      <c r="H14" s="519">
        <v>0</v>
      </c>
      <c r="I14" s="520">
        <f>SUM(F14:H14)</f>
        <v>0</v>
      </c>
      <c r="J14" s="524">
        <v>0</v>
      </c>
      <c r="K14" s="534" t="s">
        <v>378</v>
      </c>
      <c r="L14" s="989">
        <v>0</v>
      </c>
      <c r="M14" s="519">
        <v>7</v>
      </c>
      <c r="N14" s="519">
        <v>0</v>
      </c>
      <c r="O14" s="520">
        <f>L14+M14+N14</f>
        <v>7</v>
      </c>
      <c r="P14" s="989">
        <v>0</v>
      </c>
      <c r="Q14" s="519">
        <v>7</v>
      </c>
      <c r="R14" s="519">
        <v>0</v>
      </c>
      <c r="S14" s="520">
        <f>P14+Q14+R14</f>
        <v>7</v>
      </c>
      <c r="T14" s="738">
        <f t="shared" si="3"/>
        <v>1</v>
      </c>
    </row>
    <row r="15" spans="1:20" x14ac:dyDescent="0.2">
      <c r="A15" s="523" t="s">
        <v>379</v>
      </c>
      <c r="B15" s="989">
        <v>0</v>
      </c>
      <c r="C15" s="519">
        <v>0</v>
      </c>
      <c r="D15" s="519">
        <v>0</v>
      </c>
      <c r="E15" s="520">
        <f>SUM(B15:D15)</f>
        <v>0</v>
      </c>
      <c r="F15" s="989">
        <v>0</v>
      </c>
      <c r="G15" s="519">
        <v>0</v>
      </c>
      <c r="H15" s="519">
        <v>0</v>
      </c>
      <c r="I15" s="520">
        <f>SUM(F15:H15)</f>
        <v>0</v>
      </c>
      <c r="J15" s="524">
        <v>0</v>
      </c>
      <c r="K15" s="527" t="s">
        <v>380</v>
      </c>
      <c r="L15" s="991">
        <f t="shared" ref="L15:N15" si="12">+SUM(L12:L14)</f>
        <v>0</v>
      </c>
      <c r="M15" s="528">
        <f t="shared" si="12"/>
        <v>21</v>
      </c>
      <c r="N15" s="528">
        <f t="shared" si="12"/>
        <v>0</v>
      </c>
      <c r="O15" s="530">
        <f t="shared" ref="O15:O17" si="13">+SUM(L15:N15)</f>
        <v>21</v>
      </c>
      <c r="P15" s="991">
        <f t="shared" ref="P15:R15" si="14">+SUM(P12:P14)</f>
        <v>0</v>
      </c>
      <c r="Q15" s="528">
        <f t="shared" si="14"/>
        <v>64</v>
      </c>
      <c r="R15" s="528">
        <f t="shared" si="14"/>
        <v>38</v>
      </c>
      <c r="S15" s="530">
        <f t="shared" si="9"/>
        <v>102</v>
      </c>
      <c r="T15" s="738">
        <f t="shared" si="3"/>
        <v>4.8571428571428568</v>
      </c>
    </row>
    <row r="16" spans="1:20" ht="25.5" x14ac:dyDescent="0.2">
      <c r="A16" s="535" t="s">
        <v>381</v>
      </c>
      <c r="B16" s="991">
        <f t="shared" ref="B16:E16" si="15">SUM(B14:B15)</f>
        <v>0</v>
      </c>
      <c r="C16" s="528">
        <f t="shared" si="15"/>
        <v>0</v>
      </c>
      <c r="D16" s="528">
        <f t="shared" si="15"/>
        <v>0</v>
      </c>
      <c r="E16" s="530">
        <f t="shared" si="15"/>
        <v>0</v>
      </c>
      <c r="F16" s="991">
        <f t="shared" ref="F16:I16" si="16">SUM(F14:F15)</f>
        <v>0</v>
      </c>
      <c r="G16" s="528">
        <f t="shared" si="16"/>
        <v>0</v>
      </c>
      <c r="H16" s="528">
        <f t="shared" si="16"/>
        <v>0</v>
      </c>
      <c r="I16" s="530">
        <f t="shared" si="16"/>
        <v>0</v>
      </c>
      <c r="J16" s="524">
        <v>0</v>
      </c>
      <c r="K16" s="527" t="s">
        <v>1208</v>
      </c>
      <c r="L16" s="991">
        <v>0</v>
      </c>
      <c r="M16" s="529">
        <v>0</v>
      </c>
      <c r="N16" s="529">
        <v>0</v>
      </c>
      <c r="O16" s="530">
        <f t="shared" si="13"/>
        <v>0</v>
      </c>
      <c r="P16" s="991">
        <v>0</v>
      </c>
      <c r="Q16" s="529">
        <v>0</v>
      </c>
      <c r="R16" s="529">
        <v>0</v>
      </c>
      <c r="S16" s="530">
        <f t="shared" si="9"/>
        <v>0</v>
      </c>
      <c r="T16" s="738">
        <v>0</v>
      </c>
    </row>
    <row r="17" spans="1:30" s="537" customFormat="1" x14ac:dyDescent="0.2">
      <c r="A17" s="523" t="s">
        <v>823</v>
      </c>
      <c r="B17" s="987">
        <v>0</v>
      </c>
      <c r="C17" s="514">
        <v>0</v>
      </c>
      <c r="D17" s="514">
        <v>0</v>
      </c>
      <c r="E17" s="515">
        <v>0</v>
      </c>
      <c r="F17" s="987">
        <v>0</v>
      </c>
      <c r="G17" s="514">
        <v>0</v>
      </c>
      <c r="H17" s="514">
        <v>0</v>
      </c>
      <c r="I17" s="530">
        <f t="shared" ref="I17" si="17">SUM(I15:I16)</f>
        <v>0</v>
      </c>
      <c r="J17" s="524">
        <v>0</v>
      </c>
      <c r="K17" s="527" t="s">
        <v>1176</v>
      </c>
      <c r="L17" s="991">
        <v>0</v>
      </c>
      <c r="M17" s="529">
        <v>13240</v>
      </c>
      <c r="N17" s="529">
        <v>5535</v>
      </c>
      <c r="O17" s="530">
        <f t="shared" si="13"/>
        <v>18775</v>
      </c>
      <c r="P17" s="991">
        <v>0</v>
      </c>
      <c r="Q17" s="529">
        <v>14880</v>
      </c>
      <c r="R17" s="529">
        <v>5978</v>
      </c>
      <c r="S17" s="530">
        <f t="shared" si="9"/>
        <v>20858</v>
      </c>
      <c r="T17" s="738">
        <f t="shared" si="3"/>
        <v>1.1109454061251665</v>
      </c>
    </row>
    <row r="18" spans="1:30" x14ac:dyDescent="0.2">
      <c r="A18" s="523" t="s">
        <v>382</v>
      </c>
      <c r="B18" s="989">
        <v>0</v>
      </c>
      <c r="C18" s="519">
        <v>38</v>
      </c>
      <c r="D18" s="519">
        <v>1</v>
      </c>
      <c r="E18" s="520">
        <f>B18+C18+D18</f>
        <v>39</v>
      </c>
      <c r="F18" s="989">
        <v>0</v>
      </c>
      <c r="G18" s="519">
        <v>2</v>
      </c>
      <c r="H18" s="519">
        <v>3</v>
      </c>
      <c r="I18" s="530">
        <f t="shared" ref="I18:I21" si="18">F18+G18+H18</f>
        <v>5</v>
      </c>
      <c r="J18" s="524">
        <f t="shared" si="5"/>
        <v>0.12820512820512819</v>
      </c>
      <c r="K18" s="527"/>
      <c r="L18" s="991"/>
      <c r="M18" s="529"/>
      <c r="N18" s="529"/>
      <c r="O18" s="530"/>
      <c r="P18" s="991"/>
      <c r="Q18" s="529"/>
      <c r="R18" s="529"/>
      <c r="S18" s="530"/>
      <c r="T18" s="531"/>
      <c r="U18" s="532"/>
    </row>
    <row r="19" spans="1:30" s="532" customFormat="1" x14ac:dyDescent="0.2">
      <c r="A19" s="523" t="s">
        <v>383</v>
      </c>
      <c r="B19" s="989">
        <v>0</v>
      </c>
      <c r="C19" s="519">
        <v>14135</v>
      </c>
      <c r="D19" s="519">
        <v>31310</v>
      </c>
      <c r="E19" s="520">
        <f>B19+C19+D19</f>
        <v>45445</v>
      </c>
      <c r="F19" s="989">
        <v>0</v>
      </c>
      <c r="G19" s="519">
        <v>33074</v>
      </c>
      <c r="H19" s="519">
        <v>35696</v>
      </c>
      <c r="I19" s="530">
        <f t="shared" si="18"/>
        <v>68770</v>
      </c>
      <c r="J19" s="524">
        <f t="shared" si="5"/>
        <v>1.5132577841346684</v>
      </c>
      <c r="K19" s="527"/>
      <c r="L19" s="991"/>
      <c r="M19" s="528"/>
      <c r="N19" s="528"/>
      <c r="O19" s="530"/>
      <c r="P19" s="991"/>
      <c r="Q19" s="528"/>
      <c r="R19" s="528"/>
      <c r="S19" s="530"/>
      <c r="T19" s="531"/>
      <c r="U19" s="537"/>
      <c r="V19" s="505"/>
      <c r="W19" s="505"/>
      <c r="X19" s="505"/>
      <c r="Y19" s="505"/>
    </row>
    <row r="20" spans="1:30" s="532" customFormat="1" x14ac:dyDescent="0.2">
      <c r="A20" s="539" t="s">
        <v>384</v>
      </c>
      <c r="B20" s="991">
        <f t="shared" ref="B20:F20" si="19">SUM(B17:B19)</f>
        <v>0</v>
      </c>
      <c r="C20" s="528">
        <f t="shared" si="19"/>
        <v>14173</v>
      </c>
      <c r="D20" s="528">
        <f t="shared" si="19"/>
        <v>31311</v>
      </c>
      <c r="E20" s="528">
        <f>SUM(E17:E19)</f>
        <v>45484</v>
      </c>
      <c r="F20" s="991">
        <f t="shared" si="19"/>
        <v>0</v>
      </c>
      <c r="G20" s="528">
        <f>SUM(G17:G19)</f>
        <v>33076</v>
      </c>
      <c r="H20" s="528">
        <f t="shared" ref="H20:I20" si="20">SUM(H17:H19)</f>
        <v>35699</v>
      </c>
      <c r="I20" s="528">
        <f t="shared" si="20"/>
        <v>68775</v>
      </c>
      <c r="J20" s="536">
        <f t="shared" si="5"/>
        <v>1.5120701785243162</v>
      </c>
      <c r="K20" s="527"/>
      <c r="L20" s="991"/>
      <c r="M20" s="528"/>
      <c r="N20" s="528"/>
      <c r="O20" s="530"/>
      <c r="P20" s="991"/>
      <c r="Q20" s="528"/>
      <c r="R20" s="528"/>
      <c r="S20" s="530"/>
      <c r="T20" s="531"/>
      <c r="U20" s="505"/>
      <c r="V20" s="505"/>
      <c r="W20" s="505"/>
      <c r="X20" s="505"/>
      <c r="Y20" s="505"/>
    </row>
    <row r="21" spans="1:30" x14ac:dyDescent="0.2">
      <c r="A21" s="523" t="s">
        <v>385</v>
      </c>
      <c r="B21" s="989">
        <v>0</v>
      </c>
      <c r="C21" s="519">
        <v>1315</v>
      </c>
      <c r="D21" s="519">
        <v>312</v>
      </c>
      <c r="E21" s="520">
        <f>B21+C21+D21</f>
        <v>1627</v>
      </c>
      <c r="F21" s="989">
        <v>0</v>
      </c>
      <c r="G21" s="519">
        <v>1187</v>
      </c>
      <c r="H21" s="519">
        <v>38</v>
      </c>
      <c r="I21" s="528">
        <f t="shared" si="18"/>
        <v>1225</v>
      </c>
      <c r="J21" s="524">
        <f t="shared" si="5"/>
        <v>0.75291948371235407</v>
      </c>
      <c r="K21" s="534"/>
      <c r="L21" s="989"/>
      <c r="M21" s="518"/>
      <c r="N21" s="518"/>
      <c r="O21" s="520"/>
      <c r="P21" s="989"/>
      <c r="Q21" s="518"/>
      <c r="R21" s="518"/>
      <c r="S21" s="520"/>
      <c r="T21" s="522"/>
      <c r="Z21" s="532"/>
      <c r="AA21" s="532"/>
      <c r="AB21" s="532"/>
      <c r="AC21" s="532"/>
      <c r="AD21" s="532"/>
    </row>
    <row r="22" spans="1:30" s="537" customFormat="1" ht="25.5" x14ac:dyDescent="0.2">
      <c r="A22" s="523" t="s">
        <v>386</v>
      </c>
      <c r="B22" s="989">
        <v>0</v>
      </c>
      <c r="C22" s="519">
        <v>0</v>
      </c>
      <c r="D22" s="519">
        <v>0</v>
      </c>
      <c r="E22" s="520">
        <f>SUM(B22:D22)</f>
        <v>0</v>
      </c>
      <c r="F22" s="989">
        <v>0</v>
      </c>
      <c r="G22" s="519">
        <v>0</v>
      </c>
      <c r="H22" s="519"/>
      <c r="I22" s="520">
        <f>SUM(F22:H22)</f>
        <v>0</v>
      </c>
      <c r="J22" s="524">
        <v>0</v>
      </c>
      <c r="K22" s="527"/>
      <c r="L22" s="991"/>
      <c r="M22" s="528"/>
      <c r="N22" s="528"/>
      <c r="O22" s="530"/>
      <c r="P22" s="991"/>
      <c r="Q22" s="528"/>
      <c r="R22" s="528"/>
      <c r="S22" s="530"/>
      <c r="T22" s="531"/>
    </row>
    <row r="23" spans="1:30" s="537" customFormat="1" x14ac:dyDescent="0.2">
      <c r="A23" s="523" t="s">
        <v>387</v>
      </c>
      <c r="B23" s="989">
        <v>0</v>
      </c>
      <c r="C23" s="519">
        <v>66</v>
      </c>
      <c r="D23" s="519">
        <v>0</v>
      </c>
      <c r="E23" s="520">
        <f>B23+C23+D23</f>
        <v>66</v>
      </c>
      <c r="F23" s="989">
        <v>0</v>
      </c>
      <c r="G23" s="519">
        <v>15</v>
      </c>
      <c r="H23" s="519">
        <v>0</v>
      </c>
      <c r="I23" s="520">
        <f>F23+G23+H23</f>
        <v>15</v>
      </c>
      <c r="J23" s="524">
        <v>0</v>
      </c>
      <c r="K23" s="527"/>
      <c r="L23" s="991"/>
      <c r="M23" s="528"/>
      <c r="N23" s="528"/>
      <c r="O23" s="530"/>
      <c r="P23" s="991"/>
      <c r="Q23" s="528"/>
      <c r="R23" s="528"/>
      <c r="S23" s="530"/>
      <c r="T23" s="531"/>
    </row>
    <row r="24" spans="1:30" x14ac:dyDescent="0.2">
      <c r="A24" s="539" t="s">
        <v>388</v>
      </c>
      <c r="B24" s="991">
        <f t="shared" ref="B24:D24" si="21">SUM(B21:B23)</f>
        <v>0</v>
      </c>
      <c r="C24" s="528">
        <f t="shared" si="21"/>
        <v>1381</v>
      </c>
      <c r="D24" s="528">
        <f t="shared" si="21"/>
        <v>312</v>
      </c>
      <c r="E24" s="530">
        <f>SUM(E21:E23)</f>
        <v>1693</v>
      </c>
      <c r="F24" s="991">
        <f t="shared" ref="F24" si="22">SUM(F21:F23)</f>
        <v>0</v>
      </c>
      <c r="G24" s="528">
        <f>SUM(G21:G23)</f>
        <v>1202</v>
      </c>
      <c r="H24" s="528">
        <f t="shared" ref="H24:I24" si="23">SUM(H21:H23)</f>
        <v>38</v>
      </c>
      <c r="I24" s="528">
        <f t="shared" si="23"/>
        <v>1240</v>
      </c>
      <c r="J24" s="536">
        <f t="shared" si="5"/>
        <v>0.73242764323685761</v>
      </c>
      <c r="K24" s="527"/>
      <c r="L24" s="987"/>
      <c r="M24" s="514"/>
      <c r="N24" s="514"/>
      <c r="O24" s="515"/>
      <c r="P24" s="987"/>
      <c r="Q24" s="514"/>
      <c r="R24" s="514"/>
      <c r="S24" s="515"/>
      <c r="T24" s="538"/>
    </row>
    <row r="25" spans="1:30" ht="25.5" x14ac:dyDescent="0.2">
      <c r="A25" s="539" t="s">
        <v>1206</v>
      </c>
      <c r="B25" s="991">
        <v>0</v>
      </c>
      <c r="C25" s="528">
        <v>-136</v>
      </c>
      <c r="D25" s="528">
        <v>-55</v>
      </c>
      <c r="E25" s="530">
        <f>B25+C25+D25</f>
        <v>-191</v>
      </c>
      <c r="F25" s="991">
        <v>0</v>
      </c>
      <c r="G25" s="528">
        <v>44</v>
      </c>
      <c r="H25" s="528">
        <v>-57</v>
      </c>
      <c r="I25" s="530">
        <f t="shared" ref="I25:I26" si="24">F25+G25+H25</f>
        <v>-13</v>
      </c>
      <c r="J25" s="536">
        <v>0</v>
      </c>
      <c r="K25" s="527"/>
      <c r="L25" s="987"/>
      <c r="M25" s="514"/>
      <c r="N25" s="514"/>
      <c r="O25" s="515"/>
      <c r="P25" s="987"/>
      <c r="Q25" s="514"/>
      <c r="R25" s="514"/>
      <c r="S25" s="515"/>
      <c r="T25" s="538"/>
    </row>
    <row r="26" spans="1:30" ht="26.25" thickBot="1" x14ac:dyDescent="0.25">
      <c r="A26" s="540" t="s">
        <v>1207</v>
      </c>
      <c r="B26" s="992">
        <v>0</v>
      </c>
      <c r="C26" s="541">
        <v>339</v>
      </c>
      <c r="D26" s="541">
        <v>32</v>
      </c>
      <c r="E26" s="542">
        <f>+SUM(B26:D26)</f>
        <v>371</v>
      </c>
      <c r="F26" s="992">
        <v>0</v>
      </c>
      <c r="G26" s="541">
        <v>719</v>
      </c>
      <c r="H26" s="541"/>
      <c r="I26" s="530">
        <f t="shared" si="24"/>
        <v>719</v>
      </c>
      <c r="J26" s="536">
        <v>0</v>
      </c>
      <c r="K26" s="543"/>
      <c r="L26" s="993"/>
      <c r="M26" s="544"/>
      <c r="N26" s="544"/>
      <c r="O26" s="545"/>
      <c r="P26" s="993"/>
      <c r="Q26" s="544"/>
      <c r="R26" s="544"/>
      <c r="S26" s="545"/>
      <c r="T26" s="546"/>
    </row>
    <row r="27" spans="1:30" ht="13.5" thickBot="1" x14ac:dyDescent="0.25">
      <c r="A27" s="996" t="s">
        <v>389</v>
      </c>
      <c r="B27" s="994">
        <f t="shared" ref="B27:H27" si="25">+B13+B16+B20+B24+B25+B26</f>
        <v>0</v>
      </c>
      <c r="C27" s="547">
        <f t="shared" si="25"/>
        <v>16978</v>
      </c>
      <c r="D27" s="547">
        <f t="shared" si="25"/>
        <v>31600</v>
      </c>
      <c r="E27" s="548">
        <f t="shared" si="25"/>
        <v>48578</v>
      </c>
      <c r="F27" s="994">
        <f t="shared" si="25"/>
        <v>0</v>
      </c>
      <c r="G27" s="547">
        <f t="shared" si="25"/>
        <v>37137</v>
      </c>
      <c r="H27" s="547">
        <f t="shared" si="25"/>
        <v>35680</v>
      </c>
      <c r="I27" s="548">
        <f>+I13+I16+I20+I24+I25+I26</f>
        <v>72817</v>
      </c>
      <c r="J27" s="549">
        <f t="shared" si="5"/>
        <v>1.4989707274898103</v>
      </c>
      <c r="K27" s="550" t="s">
        <v>390</v>
      </c>
      <c r="L27" s="995">
        <f>+L11+L15+L16+L17+L18</f>
        <v>0</v>
      </c>
      <c r="M27" s="547">
        <f>+M11+M15+M16+M17+M18</f>
        <v>16978</v>
      </c>
      <c r="N27" s="547">
        <f>+N11+N15+N16+N17+N18</f>
        <v>31600</v>
      </c>
      <c r="O27" s="548">
        <f>+SUM(L27:N27)</f>
        <v>48578</v>
      </c>
      <c r="P27" s="995">
        <f>+P11+P15+P16+P17+P18</f>
        <v>0</v>
      </c>
      <c r="Q27" s="547">
        <f>+Q11+Q15+Q16+Q17+Q18</f>
        <v>37137</v>
      </c>
      <c r="R27" s="547">
        <f>+R11+R15+R16+R17+R18</f>
        <v>35680</v>
      </c>
      <c r="S27" s="548">
        <f>+SUM(P27:R27)</f>
        <v>72817</v>
      </c>
      <c r="T27" s="551">
        <f>+S27/O27</f>
        <v>1.4989707274898103</v>
      </c>
    </row>
    <row r="32" spans="1:30" s="553" customFormat="1" x14ac:dyDescent="0.2">
      <c r="B32" s="552"/>
      <c r="C32" s="552"/>
      <c r="D32" s="552"/>
      <c r="E32" s="552"/>
      <c r="F32" s="552"/>
      <c r="G32" s="552"/>
      <c r="H32" s="552"/>
      <c r="I32" s="552"/>
      <c r="J32" s="505"/>
      <c r="L32" s="552"/>
      <c r="M32" s="552"/>
      <c r="N32" s="552"/>
      <c r="O32" s="552"/>
      <c r="P32" s="552"/>
      <c r="Q32" s="554"/>
      <c r="R32" s="505"/>
      <c r="S32" s="505"/>
      <c r="T32" s="505"/>
      <c r="U32" s="505"/>
      <c r="V32" s="505"/>
      <c r="W32" s="505"/>
      <c r="X32" s="505"/>
      <c r="Y32" s="505"/>
      <c r="Z32" s="505"/>
      <c r="AA32" s="505"/>
    </row>
  </sheetData>
  <mergeCells count="14">
    <mergeCell ref="A1:A3"/>
    <mergeCell ref="B1:J1"/>
    <mergeCell ref="K1:K3"/>
    <mergeCell ref="B4:E4"/>
    <mergeCell ref="F4:I4"/>
    <mergeCell ref="L4:O4"/>
    <mergeCell ref="P4:S4"/>
    <mergeCell ref="L1:T1"/>
    <mergeCell ref="B2:E2"/>
    <mergeCell ref="F2:I2"/>
    <mergeCell ref="J2:J3"/>
    <mergeCell ref="L2:O2"/>
    <mergeCell ref="P2:S2"/>
    <mergeCell ref="T2:T3"/>
  </mergeCells>
  <printOptions horizontalCentered="1"/>
  <pageMargins left="0.70866141732283472" right="0.70866141732283472" top="1.1417322834645669" bottom="0.74803149606299213" header="0.31496062992125984" footer="0.31496062992125984"/>
  <pageSetup paperSize="8" scale="83" orientation="landscape" r:id="rId1"/>
  <headerFooter>
    <oddHeader>&amp;L&amp;"Times New Roman,Félkövér"&amp;13Szent László Völgye TKT&amp;C&amp;"Times New Roman,Félkövér"&amp;16 2023. ÉVI ZÁRSZÁMADÁSI BESZÁMOLÓ&amp;R1. sz. táblázat
&amp;12KONSZOLIDÁLT MÉRLEG
&amp;10Adatok: eFt-ban</oddHeader>
    <oddFooter>&amp;L&amp;F&amp;R&amp;P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6"/>
  <sheetViews>
    <sheetView zoomScaleNormal="100" workbookViewId="0">
      <selection activeCell="F20" sqref="F20"/>
    </sheetView>
  </sheetViews>
  <sheetFormatPr defaultColWidth="9.140625" defaultRowHeight="12.75" x14ac:dyDescent="0.2"/>
  <cols>
    <col min="1" max="1" width="37.7109375" style="799" customWidth="1"/>
    <col min="2" max="4" width="11.28515625" style="799" customWidth="1"/>
    <col min="5" max="5" width="9.5703125" style="799" customWidth="1"/>
    <col min="6" max="6" width="37.7109375" style="799" customWidth="1"/>
    <col min="7" max="9" width="11.28515625" style="799" customWidth="1"/>
    <col min="10" max="10" width="8" style="799" customWidth="1"/>
    <col min="11" max="16384" width="9.140625" style="799"/>
  </cols>
  <sheetData>
    <row r="1" spans="1:11" ht="42.75" customHeight="1" x14ac:dyDescent="0.2">
      <c r="A1" s="794" t="s">
        <v>20</v>
      </c>
      <c r="B1" s="795" t="s">
        <v>38</v>
      </c>
      <c r="C1" s="791" t="s">
        <v>39</v>
      </c>
      <c r="D1" s="796" t="s">
        <v>51</v>
      </c>
      <c r="E1" s="797" t="s">
        <v>273</v>
      </c>
      <c r="F1" s="798" t="s">
        <v>37</v>
      </c>
      <c r="G1" s="795" t="s">
        <v>38</v>
      </c>
      <c r="H1" s="791" t="s">
        <v>39</v>
      </c>
      <c r="I1" s="797" t="s">
        <v>51</v>
      </c>
      <c r="J1" s="797" t="s">
        <v>273</v>
      </c>
    </row>
    <row r="2" spans="1:11" ht="16.149999999999999" customHeight="1" x14ac:dyDescent="0.2">
      <c r="A2" s="800" t="s">
        <v>1209</v>
      </c>
      <c r="B2" s="229">
        <f>+'2.1.SZ.TÁBL. BEV - KIAD'!K6</f>
        <v>240284</v>
      </c>
      <c r="C2" s="229">
        <f>+'2.1.SZ.TÁBL. BEV - KIAD'!L6</f>
        <v>292344</v>
      </c>
      <c r="D2" s="232">
        <f>+'2.1.SZ.TÁBL. BEV - KIAD'!M6</f>
        <v>292344</v>
      </c>
      <c r="E2" s="385">
        <f>+D2/C2</f>
        <v>1</v>
      </c>
      <c r="F2" s="231" t="s">
        <v>22</v>
      </c>
      <c r="G2" s="229">
        <f>+'2.1.SZ.TÁBL. BEV - KIAD'!K51</f>
        <v>138088</v>
      </c>
      <c r="H2" s="229">
        <f>+'2.1.SZ.TÁBL. BEV - KIAD'!L51</f>
        <v>174716</v>
      </c>
      <c r="I2" s="230">
        <f>+'2.1.SZ.TÁBL. BEV - KIAD'!M51</f>
        <v>156981</v>
      </c>
      <c r="J2" s="385">
        <f>+I2/H2</f>
        <v>0.8984924105405343</v>
      </c>
    </row>
    <row r="3" spans="1:11" ht="24" customHeight="1" x14ac:dyDescent="0.2">
      <c r="A3" s="801" t="s">
        <v>40</v>
      </c>
      <c r="B3" s="465">
        <f>+'2.1.SZ.TÁBL. BEV - KIAD'!K21</f>
        <v>19468</v>
      </c>
      <c r="C3" s="465">
        <f>+'2.1.SZ.TÁBL. BEV - KIAD'!L21</f>
        <v>28574</v>
      </c>
      <c r="D3" s="466">
        <f>+'2.1.SZ.TÁBL. BEV - KIAD'!M21</f>
        <v>28414</v>
      </c>
      <c r="E3" s="388">
        <f t="shared" ref="E3:E5" si="0">+D3/C3</f>
        <v>0.99440050395464408</v>
      </c>
      <c r="F3" s="1111" t="s">
        <v>1253</v>
      </c>
      <c r="G3" s="802">
        <f>+'2.1.SZ.TÁBL. BEV - KIAD'!K52</f>
        <v>22006</v>
      </c>
      <c r="H3" s="802">
        <f>+'2.1.SZ.TÁBL. BEV - KIAD'!L52</f>
        <v>26235</v>
      </c>
      <c r="I3" s="803">
        <f>+'2.1.SZ.TÁBL. BEV - KIAD'!M52</f>
        <v>22725</v>
      </c>
      <c r="J3" s="388">
        <f t="shared" ref="J3:J7" si="1">+I3/H3</f>
        <v>0.86620926243567753</v>
      </c>
    </row>
    <row r="4" spans="1:11" ht="16.149999999999999" customHeight="1" x14ac:dyDescent="0.2">
      <c r="A4" s="801" t="s">
        <v>1252</v>
      </c>
      <c r="B4" s="465">
        <f>+'2.1.SZ.TÁBL. BEV - KIAD'!K24</f>
        <v>0</v>
      </c>
      <c r="C4" s="465">
        <f>+'2.1.SZ.TÁBL. BEV - KIAD'!L24</f>
        <v>0</v>
      </c>
      <c r="D4" s="466">
        <f>+'2.1.SZ.TÁBL. BEV - KIAD'!M24</f>
        <v>0</v>
      </c>
      <c r="E4" s="388"/>
      <c r="F4" s="416" t="s">
        <v>41</v>
      </c>
      <c r="G4" s="465">
        <f>+'2.1.SZ.TÁBL. BEV - KIAD'!K87</f>
        <v>83737</v>
      </c>
      <c r="H4" s="465">
        <f>+'2.1.SZ.TÁBL. BEV - KIAD'!L87</f>
        <v>104970</v>
      </c>
      <c r="I4" s="467">
        <f>+'2.1.SZ.TÁBL. BEV - KIAD'!M87</f>
        <v>90494</v>
      </c>
      <c r="J4" s="388">
        <f t="shared" si="1"/>
        <v>0.86209393159950465</v>
      </c>
    </row>
    <row r="5" spans="1:11" ht="16.149999999999999" customHeight="1" x14ac:dyDescent="0.2">
      <c r="A5" s="801" t="s">
        <v>1211</v>
      </c>
      <c r="B5" s="465">
        <f>+'2.1.SZ.TÁBL. BEV - KIAD'!K28</f>
        <v>0</v>
      </c>
      <c r="C5" s="465">
        <f>+'2.1.SZ.TÁBL. BEV - KIAD'!L28</f>
        <v>45544</v>
      </c>
      <c r="D5" s="466">
        <f>+'2.1.SZ.TÁBL. BEV - KIAD'!M28</f>
        <v>45544</v>
      </c>
      <c r="E5" s="388">
        <f t="shared" si="0"/>
        <v>1</v>
      </c>
      <c r="F5" s="416" t="s">
        <v>1254</v>
      </c>
      <c r="G5" s="465"/>
      <c r="H5" s="465"/>
      <c r="I5" s="467"/>
      <c r="J5" s="388"/>
    </row>
    <row r="6" spans="1:11" ht="16.149999999999999" customHeight="1" x14ac:dyDescent="0.2">
      <c r="A6" s="801"/>
      <c r="B6" s="465"/>
      <c r="C6" s="468"/>
      <c r="D6" s="804"/>
      <c r="E6" s="485"/>
      <c r="F6" s="416" t="s">
        <v>81</v>
      </c>
      <c r="G6" s="465">
        <f>+'2.1.SZ.TÁBL. BEV - KIAD'!K88</f>
        <v>9628</v>
      </c>
      <c r="H6" s="465">
        <f>+'2.1.SZ.TÁBL. BEV - KIAD'!L88+'2.1.SZ.TÁBL. BEV - KIAD'!L90</f>
        <v>25134</v>
      </c>
      <c r="I6" s="466">
        <f>+'2.1.SZ.TÁBL. BEV - KIAD'!M95</f>
        <v>25134</v>
      </c>
      <c r="J6" s="982">
        <f t="shared" si="1"/>
        <v>1</v>
      </c>
    </row>
    <row r="7" spans="1:11" ht="16.149999999999999" customHeight="1" x14ac:dyDescent="0.2">
      <c r="A7" s="801"/>
      <c r="B7" s="465"/>
      <c r="C7" s="468"/>
      <c r="D7" s="804"/>
      <c r="E7" s="485"/>
      <c r="F7" s="416" t="s">
        <v>230</v>
      </c>
      <c r="G7" s="465">
        <f>+'2.1.SZ.TÁBL. BEV - KIAD'!K91</f>
        <v>4893</v>
      </c>
      <c r="H7" s="465">
        <f>+'2.1.SZ.TÁBL. BEV - KIAD'!L91</f>
        <v>32686</v>
      </c>
      <c r="I7" s="467">
        <f>+'2.1.SZ.TÁBL. BEV - KIAD'!M91</f>
        <v>0</v>
      </c>
      <c r="J7" s="388">
        <f t="shared" si="1"/>
        <v>0</v>
      </c>
    </row>
    <row r="8" spans="1:11" ht="16.149999999999999" customHeight="1" x14ac:dyDescent="0.2">
      <c r="A8" s="805"/>
      <c r="B8" s="469"/>
      <c r="C8" s="470"/>
      <c r="D8" s="806"/>
      <c r="E8" s="807"/>
      <c r="F8" s="808"/>
      <c r="G8" s="809"/>
      <c r="H8" s="809"/>
      <c r="I8" s="810"/>
      <c r="J8" s="807"/>
    </row>
    <row r="9" spans="1:11" ht="16.149999999999999" customHeight="1" x14ac:dyDescent="0.2">
      <c r="A9" s="811" t="s">
        <v>47</v>
      </c>
      <c r="B9" s="812">
        <f>SUM(B2:B8)</f>
        <v>259752</v>
      </c>
      <c r="C9" s="812">
        <f t="shared" ref="C9" si="2">SUM(C2:C8)</f>
        <v>366462</v>
      </c>
      <c r="D9" s="813">
        <f>SUM(D2:D8)</f>
        <v>366302</v>
      </c>
      <c r="E9" s="387">
        <f t="shared" ref="E9" si="3">+D9/C9</f>
        <v>0.99956339265735605</v>
      </c>
      <c r="F9" s="814" t="s">
        <v>49</v>
      </c>
      <c r="G9" s="812">
        <f>SUM(G2:G7)</f>
        <v>258352</v>
      </c>
      <c r="H9" s="812">
        <f>SUM(H2:H7)</f>
        <v>363741</v>
      </c>
      <c r="I9" s="815">
        <f>SUM(I2:I7)</f>
        <v>295334</v>
      </c>
      <c r="J9" s="387">
        <f>+I9/H9</f>
        <v>0.81193486574238261</v>
      </c>
    </row>
    <row r="10" spans="1:11" ht="16.149999999999999" customHeight="1" x14ac:dyDescent="0.2">
      <c r="A10" s="816"/>
      <c r="B10" s="817"/>
      <c r="C10" s="818"/>
      <c r="D10" s="819"/>
      <c r="E10" s="820"/>
      <c r="F10" s="821"/>
      <c r="G10" s="817"/>
      <c r="H10" s="817"/>
      <c r="I10" s="822"/>
      <c r="J10" s="820"/>
    </row>
    <row r="11" spans="1:11" ht="16.149999999999999" customHeight="1" x14ac:dyDescent="0.2">
      <c r="A11" s="800" t="s">
        <v>1212</v>
      </c>
      <c r="B11" s="229">
        <f>+'2.1.SZ.TÁBL. BEV - KIAD'!K10</f>
        <v>0</v>
      </c>
      <c r="C11" s="229">
        <f>+'2.1.SZ.TÁBL. BEV - KIAD'!L10</f>
        <v>0</v>
      </c>
      <c r="D11" s="232">
        <f>+'2.1.SZ.TÁBL. BEV - KIAD'!M10</f>
        <v>0</v>
      </c>
      <c r="E11" s="388"/>
      <c r="F11" s="231" t="s">
        <v>43</v>
      </c>
      <c r="G11" s="823">
        <f>+'2.1.SZ.TÁBL. BEV - KIAD'!K103</f>
        <v>1400</v>
      </c>
      <c r="H11" s="823">
        <f>+'2.1.SZ.TÁBL. BEV - KIAD'!L103</f>
        <v>2721</v>
      </c>
      <c r="I11" s="824">
        <f>+'2.1.SZ.TÁBL. BEV - KIAD'!M103</f>
        <v>2185</v>
      </c>
      <c r="J11" s="388">
        <f t="shared" ref="J11" si="4">+I11/H11</f>
        <v>0.80301359794193317</v>
      </c>
      <c r="K11" s="825"/>
    </row>
    <row r="12" spans="1:11" ht="16.149999999999999" customHeight="1" x14ac:dyDescent="0.2">
      <c r="A12" s="826" t="s">
        <v>1213</v>
      </c>
      <c r="B12" s="465">
        <f>+'2.1.SZ.TÁBL. BEV - KIAD'!K26</f>
        <v>0</v>
      </c>
      <c r="C12" s="465">
        <f>+'2.1.SZ.TÁBL. BEV - KIAD'!L26</f>
        <v>0</v>
      </c>
      <c r="D12" s="466">
        <f>+'2.1.SZ.TÁBL. BEV - KIAD'!M26</f>
        <v>0</v>
      </c>
      <c r="E12" s="388"/>
      <c r="F12" s="416" t="s">
        <v>44</v>
      </c>
      <c r="G12" s="827">
        <f>+'2.1.SZ.TÁBL. BEV - KIAD'!K108</f>
        <v>0</v>
      </c>
      <c r="H12" s="827">
        <f>+'2.1.SZ.TÁBL. BEV - KIAD'!L108</f>
        <v>0</v>
      </c>
      <c r="I12" s="828">
        <f>+'2.1.SZ.TÁBL. BEV - KIAD'!M108</f>
        <v>0</v>
      </c>
      <c r="J12" s="388"/>
      <c r="K12" s="825"/>
    </row>
    <row r="13" spans="1:11" ht="16.149999999999999" customHeight="1" x14ac:dyDescent="0.2">
      <c r="A13" s="801" t="s">
        <v>1214</v>
      </c>
      <c r="B13" s="465"/>
      <c r="C13" s="468"/>
      <c r="D13" s="804"/>
      <c r="E13" s="485"/>
      <c r="F13" s="416" t="s">
        <v>83</v>
      </c>
      <c r="G13" s="827">
        <f>+'2.1.SZ.TÁBL. BEV - KIAD'!K109</f>
        <v>0</v>
      </c>
      <c r="H13" s="827">
        <f>+'2.1.SZ.TÁBL. BEV - KIAD'!L109</f>
        <v>0</v>
      </c>
      <c r="I13" s="828">
        <f>+'2.1.SZ.TÁBL. BEV - KIAD'!M109</f>
        <v>0</v>
      </c>
      <c r="J13" s="388"/>
      <c r="K13" s="825"/>
    </row>
    <row r="14" spans="1:11" ht="16.149999999999999" customHeight="1" x14ac:dyDescent="0.2">
      <c r="A14" s="801"/>
      <c r="B14" s="465"/>
      <c r="C14" s="468"/>
      <c r="D14" s="804"/>
      <c r="E14" s="485"/>
      <c r="F14" s="416"/>
      <c r="G14" s="829"/>
      <c r="H14" s="829"/>
      <c r="I14" s="830"/>
      <c r="J14" s="485"/>
      <c r="K14" s="825"/>
    </row>
    <row r="15" spans="1:11" ht="16.149999999999999" customHeight="1" x14ac:dyDescent="0.2">
      <c r="A15" s="805"/>
      <c r="B15" s="469"/>
      <c r="C15" s="470"/>
      <c r="D15" s="806"/>
      <c r="E15" s="807"/>
      <c r="F15" s="410"/>
      <c r="G15" s="831"/>
      <c r="H15" s="831"/>
      <c r="I15" s="832"/>
      <c r="J15" s="807"/>
    </row>
    <row r="16" spans="1:11" ht="16.149999999999999" customHeight="1" thickBot="1" x14ac:dyDescent="0.25">
      <c r="A16" s="833" t="s">
        <v>48</v>
      </c>
      <c r="B16" s="352">
        <f>SUM(B11:B15)</f>
        <v>0</v>
      </c>
      <c r="C16" s="352">
        <f t="shared" ref="C16:D16" si="5">SUM(C11:C15)</f>
        <v>0</v>
      </c>
      <c r="D16" s="353">
        <f t="shared" si="5"/>
        <v>0</v>
      </c>
      <c r="E16" s="834"/>
      <c r="F16" s="835" t="s">
        <v>50</v>
      </c>
      <c r="G16" s="836">
        <f>SUM(G11:G15)</f>
        <v>1400</v>
      </c>
      <c r="H16" s="836">
        <f t="shared" ref="H16:I16" si="6">SUM(H11:H15)</f>
        <v>2721</v>
      </c>
      <c r="I16" s="837">
        <f t="shared" si="6"/>
        <v>2185</v>
      </c>
      <c r="J16" s="387">
        <f>+I16/H16</f>
        <v>0.80301359794193317</v>
      </c>
    </row>
    <row r="17" spans="1:11" ht="16.149999999999999" customHeight="1" thickBot="1" x14ac:dyDescent="0.25">
      <c r="A17" s="838" t="s">
        <v>46</v>
      </c>
      <c r="B17" s="233">
        <f>B9+B16</f>
        <v>259752</v>
      </c>
      <c r="C17" s="233">
        <f t="shared" ref="C17" si="7">C9+C16</f>
        <v>366462</v>
      </c>
      <c r="D17" s="322">
        <f>D9+D16</f>
        <v>366302</v>
      </c>
      <c r="E17" s="389">
        <f t="shared" ref="E17" si="8">+D17/C17</f>
        <v>0.99956339265735605</v>
      </c>
      <c r="F17" s="839" t="s">
        <v>46</v>
      </c>
      <c r="G17" s="840">
        <f>G9+G16</f>
        <v>259752</v>
      </c>
      <c r="H17" s="840">
        <f t="shared" ref="H17:I17" si="9">H9+H16</f>
        <v>366462</v>
      </c>
      <c r="I17" s="841">
        <f t="shared" si="9"/>
        <v>297519</v>
      </c>
      <c r="J17" s="389">
        <f t="shared" ref="J17" si="10">+I17/H17</f>
        <v>0.81186862485059841</v>
      </c>
      <c r="K17" s="825"/>
    </row>
    <row r="18" spans="1:11" ht="16.149999999999999" customHeight="1" x14ac:dyDescent="0.2">
      <c r="A18" s="1117" t="s">
        <v>1302</v>
      </c>
    </row>
    <row r="19" spans="1:11" ht="16.149999999999999" customHeight="1" x14ac:dyDescent="0.2">
      <c r="C19" s="1272"/>
      <c r="D19" s="1272"/>
      <c r="E19" s="1273"/>
      <c r="F19" s="825"/>
    </row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3779527559055118" bottom="0.74803149606299213" header="0.43307086614173229" footer="0.31496062992125984"/>
  <pageSetup paperSize="8" orientation="landscape" r:id="rId1"/>
  <headerFooter>
    <oddHeader>&amp;L&amp;"Times New Roman,Félkövér"&amp;13Szent László Völgye TKT&amp;C &amp;"Times New Roman,Félkövér"&amp;14 &amp;16 2023. ÉVI ZÁRSZÁMADÁSI BESZÁMOLÓ&amp;R2. sz. táblázat
&amp;12TÁRSULÁS KONSZOLIDÁLT MÉRLEGE
&amp;10Adatok: eFt-ban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116"/>
  <sheetViews>
    <sheetView topLeftCell="A85" zoomScaleNormal="100" workbookViewId="0">
      <selection activeCell="E27" sqref="E27"/>
    </sheetView>
  </sheetViews>
  <sheetFormatPr defaultColWidth="8.85546875" defaultRowHeight="12.75" x14ac:dyDescent="0.2"/>
  <cols>
    <col min="1" max="1" width="6.28515625" style="2" customWidth="1"/>
    <col min="2" max="2" width="55.7109375" style="22" customWidth="1"/>
    <col min="3" max="5" width="10.42578125" style="501" customWidth="1"/>
    <col min="6" max="6" width="10.140625" style="501" customWidth="1"/>
    <col min="7" max="9" width="10.42578125" style="23" customWidth="1"/>
    <col min="10" max="10" width="8.42578125" style="23" customWidth="1"/>
    <col min="11" max="12" width="10.42578125" style="23" customWidth="1"/>
    <col min="13" max="13" width="10.42578125" style="22" customWidth="1"/>
    <col min="14" max="14" width="8.28515625" style="2" customWidth="1"/>
    <col min="15" max="15" width="10.85546875" style="341" bestFit="1" customWidth="1"/>
    <col min="16" max="16384" width="8.85546875" style="2"/>
  </cols>
  <sheetData>
    <row r="1" spans="1:15" s="180" customFormat="1" ht="45.75" customHeight="1" x14ac:dyDescent="0.2">
      <c r="A1" s="1338" t="s">
        <v>87</v>
      </c>
      <c r="B1" s="1340" t="s">
        <v>108</v>
      </c>
      <c r="C1" s="1325" t="s">
        <v>282</v>
      </c>
      <c r="D1" s="1326"/>
      <c r="E1" s="1326"/>
      <c r="F1" s="1327"/>
      <c r="G1" s="1328" t="s">
        <v>287</v>
      </c>
      <c r="H1" s="1329"/>
      <c r="I1" s="1329"/>
      <c r="J1" s="1330"/>
      <c r="K1" s="1331" t="s">
        <v>34</v>
      </c>
      <c r="L1" s="1332"/>
      <c r="M1" s="1332"/>
      <c r="N1" s="1333"/>
      <c r="O1" s="224"/>
    </row>
    <row r="2" spans="1:15" s="472" customFormat="1" ht="29.45" customHeight="1" x14ac:dyDescent="0.2">
      <c r="A2" s="1339"/>
      <c r="B2" s="1341"/>
      <c r="C2" s="71" t="s">
        <v>38</v>
      </c>
      <c r="D2" s="842" t="s">
        <v>39</v>
      </c>
      <c r="E2" s="144" t="s">
        <v>51</v>
      </c>
      <c r="F2" s="372" t="s">
        <v>273</v>
      </c>
      <c r="G2" s="71" t="s">
        <v>38</v>
      </c>
      <c r="H2" s="842" t="s">
        <v>39</v>
      </c>
      <c r="I2" s="144" t="s">
        <v>51</v>
      </c>
      <c r="J2" s="372" t="s">
        <v>273</v>
      </c>
      <c r="K2" s="71" t="s">
        <v>38</v>
      </c>
      <c r="L2" s="842" t="s">
        <v>39</v>
      </c>
      <c r="M2" s="144" t="s">
        <v>51</v>
      </c>
      <c r="N2" s="372" t="s">
        <v>273</v>
      </c>
      <c r="O2" s="471"/>
    </row>
    <row r="3" spans="1:15" ht="13.5" customHeight="1" x14ac:dyDescent="0.2">
      <c r="A3" s="72" t="s">
        <v>88</v>
      </c>
      <c r="B3" s="89" t="s">
        <v>52</v>
      </c>
      <c r="C3" s="473"/>
      <c r="D3" s="474"/>
      <c r="E3" s="475"/>
      <c r="F3" s="385"/>
      <c r="G3" s="473"/>
      <c r="H3" s="474"/>
      <c r="I3" s="475"/>
      <c r="J3" s="385"/>
      <c r="K3" s="879">
        <f>+C3+G3</f>
        <v>0</v>
      </c>
      <c r="L3" s="880">
        <f>+D3+H3</f>
        <v>0</v>
      </c>
      <c r="M3" s="881">
        <f>+E3+I3</f>
        <v>0</v>
      </c>
      <c r="N3" s="882"/>
    </row>
    <row r="4" spans="1:15" ht="13.5" customHeight="1" x14ac:dyDescent="0.2">
      <c r="A4" s="73" t="s">
        <v>89</v>
      </c>
      <c r="B4" s="90" t="s">
        <v>53</v>
      </c>
      <c r="C4" s="445"/>
      <c r="D4" s="479"/>
      <c r="E4" s="480"/>
      <c r="F4" s="388"/>
      <c r="G4" s="473">
        <f>+SUM(G5:G5)</f>
        <v>240284</v>
      </c>
      <c r="H4" s="474">
        <f>+SUM(H5:H5)</f>
        <v>292344</v>
      </c>
      <c r="I4" s="475">
        <f>+SUM(I5:I5)</f>
        <v>292344</v>
      </c>
      <c r="J4" s="385">
        <f>+I4/H4</f>
        <v>1</v>
      </c>
      <c r="K4" s="879">
        <f>+SUM(K5:K5)</f>
        <v>240284</v>
      </c>
      <c r="L4" s="883">
        <f>+SUM(L5:L5)</f>
        <v>292344</v>
      </c>
      <c r="M4" s="884">
        <f>+SUM(M5:M5)</f>
        <v>292344</v>
      </c>
      <c r="N4" s="885">
        <f>+M4/L4</f>
        <v>1</v>
      </c>
    </row>
    <row r="5" spans="1:15" s="155" customFormat="1" ht="13.5" customHeight="1" x14ac:dyDescent="0.2">
      <c r="A5" s="82"/>
      <c r="B5" s="227" t="s">
        <v>54</v>
      </c>
      <c r="C5" s="346"/>
      <c r="D5" s="347"/>
      <c r="E5" s="384"/>
      <c r="F5" s="481"/>
      <c r="G5" s="404">
        <f>+'3.SZ.TÁBL. BEVÉTELEK'!C100</f>
        <v>240284</v>
      </c>
      <c r="H5" s="405">
        <f>+'3.SZ.TÁBL. BEVÉTELEK'!D100</f>
        <v>292344</v>
      </c>
      <c r="I5" s="405">
        <f>+'3.SZ.TÁBL. BEVÉTELEK'!E100</f>
        <v>292344</v>
      </c>
      <c r="J5" s="386">
        <f>+I5/H5</f>
        <v>1</v>
      </c>
      <c r="K5" s="886">
        <f t="shared" ref="K5" si="0">+C5+G5</f>
        <v>240284</v>
      </c>
      <c r="L5" s="887">
        <f>+D5+H5</f>
        <v>292344</v>
      </c>
      <c r="M5" s="888">
        <f>+E5+I5</f>
        <v>292344</v>
      </c>
      <c r="N5" s="889">
        <f>+M5/L5</f>
        <v>1</v>
      </c>
      <c r="O5" s="223"/>
    </row>
    <row r="6" spans="1:15" s="180" customFormat="1" ht="13.5" customHeight="1" x14ac:dyDescent="0.2">
      <c r="A6" s="66" t="s">
        <v>90</v>
      </c>
      <c r="B6" s="65" t="s">
        <v>55</v>
      </c>
      <c r="C6" s="482"/>
      <c r="D6" s="483">
        <f>+D3+D4</f>
        <v>0</v>
      </c>
      <c r="E6" s="483">
        <f>+E3+E4</f>
        <v>0</v>
      </c>
      <c r="F6" s="387"/>
      <c r="G6" s="482">
        <f>+G3+G4</f>
        <v>240284</v>
      </c>
      <c r="H6" s="483">
        <f>+H3+H4</f>
        <v>292344</v>
      </c>
      <c r="I6" s="484">
        <f>+I3+I4</f>
        <v>292344</v>
      </c>
      <c r="J6" s="387">
        <f>+I6/H6</f>
        <v>1</v>
      </c>
      <c r="K6" s="890">
        <f>+K3+K4</f>
        <v>240284</v>
      </c>
      <c r="L6" s="891">
        <f>+L3+L4</f>
        <v>292344</v>
      </c>
      <c r="M6" s="892">
        <f>+M3+M4</f>
        <v>292344</v>
      </c>
      <c r="N6" s="893">
        <f>+M6/L6</f>
        <v>1</v>
      </c>
      <c r="O6" s="224"/>
    </row>
    <row r="7" spans="1:15" ht="13.5" customHeight="1" x14ac:dyDescent="0.2">
      <c r="A7" s="83" t="s">
        <v>91</v>
      </c>
      <c r="B7" s="91" t="s">
        <v>86</v>
      </c>
      <c r="C7" s="473"/>
      <c r="D7" s="474"/>
      <c r="E7" s="475"/>
      <c r="F7" s="385"/>
      <c r="G7" s="117"/>
      <c r="H7" s="113"/>
      <c r="I7" s="114"/>
      <c r="J7" s="391"/>
      <c r="K7" s="879"/>
      <c r="L7" s="880"/>
      <c r="M7" s="881"/>
      <c r="N7" s="882"/>
    </row>
    <row r="8" spans="1:15" ht="13.5" customHeight="1" x14ac:dyDescent="0.2">
      <c r="A8" s="73" t="s">
        <v>92</v>
      </c>
      <c r="B8" s="90" t="s">
        <v>56</v>
      </c>
      <c r="C8" s="445"/>
      <c r="D8" s="479"/>
      <c r="E8" s="480"/>
      <c r="F8" s="388"/>
      <c r="G8" s="445"/>
      <c r="H8" s="106"/>
      <c r="I8" s="106"/>
      <c r="J8" s="385"/>
      <c r="K8" s="879"/>
      <c r="L8" s="883"/>
      <c r="M8" s="884"/>
      <c r="N8" s="894"/>
    </row>
    <row r="9" spans="1:15" s="155" customFormat="1" ht="13.5" customHeight="1" x14ac:dyDescent="0.2">
      <c r="A9" s="82"/>
      <c r="B9" s="227" t="s">
        <v>54</v>
      </c>
      <c r="C9" s="346"/>
      <c r="D9" s="347"/>
      <c r="E9" s="384"/>
      <c r="F9" s="481"/>
      <c r="G9" s="369"/>
      <c r="H9" s="369"/>
      <c r="I9" s="369"/>
      <c r="J9" s="386"/>
      <c r="K9" s="886"/>
      <c r="L9" s="887"/>
      <c r="M9" s="888"/>
      <c r="N9" s="895"/>
      <c r="O9" s="223"/>
    </row>
    <row r="10" spans="1:15" s="180" customFormat="1" ht="13.5" customHeight="1" x14ac:dyDescent="0.2">
      <c r="A10" s="66" t="s">
        <v>93</v>
      </c>
      <c r="B10" s="65" t="s">
        <v>57</v>
      </c>
      <c r="C10" s="482"/>
      <c r="D10" s="483"/>
      <c r="E10" s="484"/>
      <c r="F10" s="387"/>
      <c r="G10" s="482"/>
      <c r="H10" s="483"/>
      <c r="I10" s="484"/>
      <c r="J10" s="387"/>
      <c r="K10" s="890">
        <f t="shared" ref="K10:M10" si="1">+K7+K8</f>
        <v>0</v>
      </c>
      <c r="L10" s="891">
        <f t="shared" si="1"/>
        <v>0</v>
      </c>
      <c r="M10" s="892">
        <f t="shared" si="1"/>
        <v>0</v>
      </c>
      <c r="N10" s="896"/>
      <c r="O10" s="224"/>
    </row>
    <row r="11" spans="1:15" ht="13.5" customHeight="1" x14ac:dyDescent="0.2">
      <c r="A11" s="83" t="s">
        <v>94</v>
      </c>
      <c r="B11" s="91" t="s">
        <v>58</v>
      </c>
      <c r="C11" s="476"/>
      <c r="D11" s="477"/>
      <c r="E11" s="478"/>
      <c r="F11" s="486"/>
      <c r="G11" s="117"/>
      <c r="H11" s="474"/>
      <c r="I11" s="475"/>
      <c r="J11" s="385"/>
      <c r="K11" s="879"/>
      <c r="L11" s="880"/>
      <c r="M11" s="881"/>
      <c r="N11" s="882"/>
    </row>
    <row r="12" spans="1:15" ht="13.5" customHeight="1" x14ac:dyDescent="0.2">
      <c r="A12" s="73" t="s">
        <v>95</v>
      </c>
      <c r="B12" s="90" t="s">
        <v>59</v>
      </c>
      <c r="C12" s="445">
        <f>+'4.SZ.TÁBL. SEGÍTŐ SZOLGÁLAT'!AD12</f>
        <v>1000</v>
      </c>
      <c r="D12" s="479">
        <f>+'4.SZ.TÁBL. SEGÍTŐ SZOLGÁLAT'!AE12</f>
        <v>3233</v>
      </c>
      <c r="E12" s="480">
        <f>+'4.SZ.TÁBL. SEGÍTŐ SZOLGÁLAT'!AF12</f>
        <v>3232</v>
      </c>
      <c r="F12" s="388">
        <f>+E12/D12</f>
        <v>0.99969068976183106</v>
      </c>
      <c r="G12" s="111"/>
      <c r="H12" s="106">
        <v>916</v>
      </c>
      <c r="I12" s="108">
        <v>916</v>
      </c>
      <c r="J12" s="392">
        <f>+I12/H12</f>
        <v>1</v>
      </c>
      <c r="K12" s="897">
        <f t="shared" ref="K12:M20" si="2">+C12+G12</f>
        <v>1000</v>
      </c>
      <c r="L12" s="883">
        <f t="shared" si="2"/>
        <v>4149</v>
      </c>
      <c r="M12" s="884">
        <f t="shared" si="2"/>
        <v>4148</v>
      </c>
      <c r="N12" s="898">
        <f>+M12/L12</f>
        <v>0.99975897806700409</v>
      </c>
    </row>
    <row r="13" spans="1:15" ht="13.5" customHeight="1" x14ac:dyDescent="0.2">
      <c r="A13" s="73" t="s">
        <v>96</v>
      </c>
      <c r="B13" s="90" t="s">
        <v>60</v>
      </c>
      <c r="C13" s="445"/>
      <c r="D13" s="479"/>
      <c r="E13" s="480"/>
      <c r="F13" s="388"/>
      <c r="G13" s="111"/>
      <c r="H13" s="479"/>
      <c r="I13" s="480"/>
      <c r="J13" s="385"/>
      <c r="K13" s="897"/>
      <c r="L13" s="883"/>
      <c r="M13" s="884"/>
      <c r="N13" s="899"/>
    </row>
    <row r="14" spans="1:15" ht="13.5" customHeight="1" x14ac:dyDescent="0.2">
      <c r="A14" s="73" t="s">
        <v>97</v>
      </c>
      <c r="B14" s="90" t="s">
        <v>61</v>
      </c>
      <c r="C14" s="445"/>
      <c r="D14" s="479"/>
      <c r="E14" s="480"/>
      <c r="F14" s="388"/>
      <c r="G14" s="111"/>
      <c r="H14" s="479"/>
      <c r="I14" s="108"/>
      <c r="J14" s="392"/>
      <c r="K14" s="897"/>
      <c r="L14" s="900"/>
      <c r="M14" s="901"/>
      <c r="N14" s="899"/>
    </row>
    <row r="15" spans="1:15" ht="33" customHeight="1" x14ac:dyDescent="0.2">
      <c r="A15" s="73" t="s">
        <v>98</v>
      </c>
      <c r="B15" s="74" t="s">
        <v>62</v>
      </c>
      <c r="C15" s="445">
        <f>+'4.SZ.TÁBL. SEGÍTŐ SZOLGÁLAT'!AD15</f>
        <v>13300</v>
      </c>
      <c r="D15" s="479">
        <f>+'4.SZ.TÁBL. SEGÍTŐ SZOLGÁLAT'!AE15</f>
        <v>17900</v>
      </c>
      <c r="E15" s="480">
        <f>+'4.SZ.TÁBL. SEGÍTŐ SZOLGÁLAT'!AF15</f>
        <v>17895</v>
      </c>
      <c r="F15" s="388">
        <f>+E15/D15</f>
        <v>0.99972067039106149</v>
      </c>
      <c r="G15" s="111"/>
      <c r="H15" s="479"/>
      <c r="I15" s="108"/>
      <c r="J15" s="392"/>
      <c r="K15" s="897">
        <f t="shared" si="2"/>
        <v>13300</v>
      </c>
      <c r="L15" s="900">
        <f t="shared" si="2"/>
        <v>17900</v>
      </c>
      <c r="M15" s="901">
        <f t="shared" si="2"/>
        <v>17895</v>
      </c>
      <c r="N15" s="898">
        <f>+M15/L15</f>
        <v>0.99972067039106149</v>
      </c>
    </row>
    <row r="16" spans="1:15" ht="13.5" customHeight="1" x14ac:dyDescent="0.2">
      <c r="A16" s="73" t="s">
        <v>98</v>
      </c>
      <c r="B16" s="74" t="s">
        <v>1255</v>
      </c>
      <c r="C16" s="445">
        <f>+'4.SZ.TÁBL. SEGÍTŐ SZOLGÁLAT'!AD16</f>
        <v>3538</v>
      </c>
      <c r="D16" s="479">
        <f>+'4.SZ.TÁBL. SEGÍTŐ SZOLGÁLAT'!AE16</f>
        <v>3538</v>
      </c>
      <c r="E16" s="480">
        <f>+'4.SZ.TÁBL. SEGÍTŐ SZOLGÁLAT'!AF16</f>
        <v>3417</v>
      </c>
      <c r="F16" s="388">
        <f t="shared" ref="F16:F20" si="3">+E16/D16</f>
        <v>0.96579988694177499</v>
      </c>
      <c r="G16" s="111"/>
      <c r="H16" s="479"/>
      <c r="I16" s="108"/>
      <c r="J16" s="391"/>
      <c r="K16" s="897">
        <f t="shared" si="2"/>
        <v>3538</v>
      </c>
      <c r="L16" s="900">
        <f t="shared" si="2"/>
        <v>3538</v>
      </c>
      <c r="M16" s="901">
        <f t="shared" si="2"/>
        <v>3417</v>
      </c>
      <c r="N16" s="898">
        <f t="shared" ref="N16:N20" si="4">+M16/L16</f>
        <v>0.96579988694177499</v>
      </c>
    </row>
    <row r="17" spans="1:15" ht="38.450000000000003" customHeight="1" x14ac:dyDescent="0.2">
      <c r="A17" s="73" t="s">
        <v>99</v>
      </c>
      <c r="B17" s="74" t="s">
        <v>1286</v>
      </c>
      <c r="C17" s="445">
        <f>+'4.SZ.TÁBL. SEGÍTŐ SZOLGÁLAT'!AD17</f>
        <v>1630</v>
      </c>
      <c r="D17" s="479">
        <f>+'4.SZ.TÁBL. SEGÍTŐ SZOLGÁLAT'!AE17</f>
        <v>2538</v>
      </c>
      <c r="E17" s="480">
        <f>+'4.SZ.TÁBL. SEGÍTŐ SZOLGÁLAT'!AF17</f>
        <v>2505</v>
      </c>
      <c r="F17" s="388">
        <f t="shared" si="3"/>
        <v>0.98699763593380618</v>
      </c>
      <c r="G17" s="111"/>
      <c r="H17" s="479">
        <v>247</v>
      </c>
      <c r="I17" s="108">
        <v>247</v>
      </c>
      <c r="J17" s="385">
        <f>+I17/H17</f>
        <v>1</v>
      </c>
      <c r="K17" s="897">
        <f t="shared" si="2"/>
        <v>1630</v>
      </c>
      <c r="L17" s="900">
        <f t="shared" si="2"/>
        <v>2785</v>
      </c>
      <c r="M17" s="901">
        <f t="shared" si="2"/>
        <v>2752</v>
      </c>
      <c r="N17" s="898">
        <f t="shared" si="4"/>
        <v>0.98815080789946141</v>
      </c>
    </row>
    <row r="18" spans="1:15" ht="40.15" customHeight="1" x14ac:dyDescent="0.2">
      <c r="A18" s="73" t="s">
        <v>100</v>
      </c>
      <c r="B18" s="74" t="s">
        <v>1287</v>
      </c>
      <c r="C18" s="445">
        <f>+'4.SZ.TÁBL. SEGÍTŐ SZOLGÁLAT'!AD18</f>
        <v>0</v>
      </c>
      <c r="D18" s="479">
        <f>+'4.SZ.TÁBL. SEGÍTŐ SZOLGÁLAT'!AE18</f>
        <v>0</v>
      </c>
      <c r="E18" s="480">
        <f>+'4.SZ.TÁBL. SEGÍTŐ SZOLGÁLAT'!AF18</f>
        <v>0</v>
      </c>
      <c r="F18" s="388"/>
      <c r="G18" s="111"/>
      <c r="H18" s="479"/>
      <c r="I18" s="108"/>
      <c r="J18" s="385"/>
      <c r="K18" s="897">
        <f t="shared" si="2"/>
        <v>0</v>
      </c>
      <c r="L18" s="900">
        <f t="shared" si="2"/>
        <v>0</v>
      </c>
      <c r="M18" s="901">
        <f t="shared" si="2"/>
        <v>0</v>
      </c>
      <c r="N18" s="898"/>
    </row>
    <row r="19" spans="1:15" ht="13.5" customHeight="1" x14ac:dyDescent="0.2">
      <c r="A19" s="73" t="s">
        <v>1281</v>
      </c>
      <c r="B19" s="90" t="s">
        <v>1282</v>
      </c>
      <c r="C19" s="445"/>
      <c r="D19" s="479">
        <f>+'4.SZ.TÁBL. SEGÍTŐ SZOLGÁLAT'!AE19</f>
        <v>200</v>
      </c>
      <c r="E19" s="480">
        <f>+'4.SZ.TÁBL. SEGÍTŐ SZOLGÁLAT'!AF19</f>
        <v>200</v>
      </c>
      <c r="F19" s="388">
        <f t="shared" si="3"/>
        <v>1</v>
      </c>
      <c r="G19" s="111"/>
      <c r="H19" s="479"/>
      <c r="I19" s="108"/>
      <c r="J19" s="388"/>
      <c r="K19" s="897">
        <f t="shared" si="2"/>
        <v>0</v>
      </c>
      <c r="L19" s="900">
        <f t="shared" si="2"/>
        <v>200</v>
      </c>
      <c r="M19" s="901">
        <f t="shared" si="2"/>
        <v>200</v>
      </c>
      <c r="N19" s="899">
        <f t="shared" si="4"/>
        <v>1</v>
      </c>
    </row>
    <row r="20" spans="1:15" ht="13.5" customHeight="1" x14ac:dyDescent="0.2">
      <c r="A20" s="84" t="s">
        <v>1219</v>
      </c>
      <c r="B20" s="92" t="s">
        <v>63</v>
      </c>
      <c r="C20" s="403"/>
      <c r="D20" s="404">
        <f>+'4.SZ.TÁBL. SEGÍTŐ SZOLGÁLAT'!AE20</f>
        <v>2</v>
      </c>
      <c r="E20" s="405">
        <f>+'4.SZ.TÁBL. SEGÍTŐ SZOLGÁLAT'!AF20</f>
        <v>2</v>
      </c>
      <c r="F20" s="388">
        <f t="shared" si="3"/>
        <v>1</v>
      </c>
      <c r="G20" s="125"/>
      <c r="H20" s="479"/>
      <c r="I20" s="122"/>
      <c r="J20" s="1260"/>
      <c r="K20" s="902"/>
      <c r="L20" s="903">
        <f t="shared" si="2"/>
        <v>2</v>
      </c>
      <c r="M20" s="904">
        <f t="shared" si="2"/>
        <v>2</v>
      </c>
      <c r="N20" s="899">
        <f t="shared" si="4"/>
        <v>1</v>
      </c>
    </row>
    <row r="21" spans="1:15" s="180" customFormat="1" ht="13.5" customHeight="1" x14ac:dyDescent="0.2">
      <c r="A21" s="1257" t="s">
        <v>101</v>
      </c>
      <c r="B21" s="65" t="s">
        <v>64</v>
      </c>
      <c r="C21" s="158">
        <f>SUM(C11:C20)</f>
        <v>19468</v>
      </c>
      <c r="D21" s="161">
        <f t="shared" ref="D21:E21" si="5">SUM(D11:D20)</f>
        <v>27411</v>
      </c>
      <c r="E21" s="164">
        <f t="shared" si="5"/>
        <v>27251</v>
      </c>
      <c r="F21" s="374">
        <f>+E21/D21</f>
        <v>0.99416292729196309</v>
      </c>
      <c r="G21" s="482">
        <f>SUM(G11:G20)</f>
        <v>0</v>
      </c>
      <c r="H21" s="483">
        <f>SUM(H11:H20)</f>
        <v>1163</v>
      </c>
      <c r="I21" s="484">
        <f t="shared" ref="I21" si="6">SUM(I11:I20)</f>
        <v>1163</v>
      </c>
      <c r="J21" s="981">
        <v>8.0000000000000004E-4</v>
      </c>
      <c r="K21" s="890">
        <f t="shared" ref="K21:M21" si="7">SUM(K11:K20)</f>
        <v>19468</v>
      </c>
      <c r="L21" s="905">
        <f>SUM(L11:L20)</f>
        <v>28574</v>
      </c>
      <c r="M21" s="906">
        <f t="shared" si="7"/>
        <v>28414</v>
      </c>
      <c r="N21" s="907">
        <f>+M21/L21</f>
        <v>0.99440050395464408</v>
      </c>
      <c r="O21" s="224"/>
    </row>
    <row r="22" spans="1:15" s="180" customFormat="1" ht="13.5" customHeight="1" x14ac:dyDescent="0.2">
      <c r="A22" s="1257" t="s">
        <v>102</v>
      </c>
      <c r="B22" s="65" t="s">
        <v>65</v>
      </c>
      <c r="C22" s="158"/>
      <c r="D22" s="161"/>
      <c r="E22" s="164"/>
      <c r="F22" s="374"/>
      <c r="G22" s="158"/>
      <c r="H22" s="161"/>
      <c r="I22" s="164"/>
      <c r="J22" s="394"/>
      <c r="K22" s="890">
        <f t="shared" ref="K22:M22" si="8">+C22+G22</f>
        <v>0</v>
      </c>
      <c r="L22" s="905">
        <f t="shared" si="8"/>
        <v>0</v>
      </c>
      <c r="M22" s="906">
        <f t="shared" si="8"/>
        <v>0</v>
      </c>
      <c r="N22" s="908"/>
      <c r="O22" s="224"/>
    </row>
    <row r="23" spans="1:15" ht="13.5" customHeight="1" x14ac:dyDescent="0.2">
      <c r="A23" s="85" t="s">
        <v>1217</v>
      </c>
      <c r="B23" s="93" t="s">
        <v>66</v>
      </c>
      <c r="C23" s="403"/>
      <c r="D23" s="404"/>
      <c r="E23" s="405"/>
      <c r="F23" s="1108"/>
      <c r="G23" s="133"/>
      <c r="H23" s="130"/>
      <c r="I23" s="131"/>
      <c r="J23" s="395"/>
      <c r="K23" s="909"/>
      <c r="L23" s="910"/>
      <c r="M23" s="911"/>
      <c r="N23" s="898"/>
    </row>
    <row r="24" spans="1:15" s="180" customFormat="1" ht="13.5" customHeight="1" x14ac:dyDescent="0.2">
      <c r="A24" s="1257" t="s">
        <v>103</v>
      </c>
      <c r="B24" s="65" t="s">
        <v>1210</v>
      </c>
      <c r="C24" s="158">
        <f>+C23</f>
        <v>0</v>
      </c>
      <c r="D24" s="161">
        <f t="shared" ref="D24:E24" si="9">+D23</f>
        <v>0</v>
      </c>
      <c r="E24" s="164">
        <f t="shared" si="9"/>
        <v>0</v>
      </c>
      <c r="F24" s="1109"/>
      <c r="G24" s="482">
        <f>+G23</f>
        <v>0</v>
      </c>
      <c r="H24" s="483">
        <f t="shared" ref="H24" si="10">+H23</f>
        <v>0</v>
      </c>
      <c r="I24" s="484">
        <f t="shared" ref="I24" si="11">+I23</f>
        <v>0</v>
      </c>
      <c r="J24" s="387"/>
      <c r="K24" s="890">
        <f t="shared" ref="K24:M24" si="12">+K23</f>
        <v>0</v>
      </c>
      <c r="L24" s="891">
        <f t="shared" si="12"/>
        <v>0</v>
      </c>
      <c r="M24" s="892">
        <f t="shared" si="12"/>
        <v>0</v>
      </c>
      <c r="N24" s="907"/>
      <c r="O24" s="224"/>
    </row>
    <row r="25" spans="1:15" ht="13.5" customHeight="1" x14ac:dyDescent="0.2">
      <c r="A25" s="85" t="s">
        <v>1218</v>
      </c>
      <c r="B25" s="93" t="s">
        <v>67</v>
      </c>
      <c r="C25" s="133"/>
      <c r="D25" s="130"/>
      <c r="E25" s="131"/>
      <c r="F25" s="1108"/>
      <c r="G25" s="133"/>
      <c r="H25" s="130"/>
      <c r="I25" s="131"/>
      <c r="J25" s="395"/>
      <c r="K25" s="909"/>
      <c r="L25" s="910"/>
      <c r="M25" s="911">
        <f>+E25+I25</f>
        <v>0</v>
      </c>
      <c r="N25" s="912"/>
    </row>
    <row r="26" spans="1:15" s="180" customFormat="1" ht="13.5" customHeight="1" x14ac:dyDescent="0.2">
      <c r="A26" s="1257" t="s">
        <v>104</v>
      </c>
      <c r="B26" s="65" t="s">
        <v>1215</v>
      </c>
      <c r="C26" s="158">
        <f>+C25</f>
        <v>0</v>
      </c>
      <c r="D26" s="161">
        <f t="shared" ref="D26:E26" si="13">+D25</f>
        <v>0</v>
      </c>
      <c r="E26" s="164">
        <f t="shared" si="13"/>
        <v>0</v>
      </c>
      <c r="F26" s="374"/>
      <c r="G26" s="158">
        <f>+G25</f>
        <v>0</v>
      </c>
      <c r="H26" s="161"/>
      <c r="I26" s="164"/>
      <c r="J26" s="394"/>
      <c r="K26" s="890">
        <f t="shared" ref="K26:M26" si="14">+K25</f>
        <v>0</v>
      </c>
      <c r="L26" s="905">
        <f t="shared" si="14"/>
        <v>0</v>
      </c>
      <c r="M26" s="906">
        <f t="shared" si="14"/>
        <v>0</v>
      </c>
      <c r="N26" s="908"/>
      <c r="O26" s="224"/>
    </row>
    <row r="27" spans="1:15" s="180" customFormat="1" ht="13.5" customHeight="1" x14ac:dyDescent="0.2">
      <c r="A27" s="1257" t="s">
        <v>105</v>
      </c>
      <c r="B27" s="65" t="s">
        <v>68</v>
      </c>
      <c r="C27" s="158">
        <f>+C6+C10+C21+C22+C24+C26</f>
        <v>19468</v>
      </c>
      <c r="D27" s="161">
        <f t="shared" ref="D27:E27" si="15">+D6+D10+D21+D22+D24+D26</f>
        <v>27411</v>
      </c>
      <c r="E27" s="164">
        <f t="shared" si="15"/>
        <v>27251</v>
      </c>
      <c r="F27" s="374">
        <f t="shared" ref="F27:F33" si="16">+E27/D27</f>
        <v>0.99416292729196309</v>
      </c>
      <c r="G27" s="482">
        <f>+G6+G10+G21+G22+G24+G26</f>
        <v>240284</v>
      </c>
      <c r="H27" s="483">
        <f>+H6+H10+H21+H22+H24+H26</f>
        <v>293507</v>
      </c>
      <c r="I27" s="484">
        <f t="shared" ref="I27" si="17">+I6+I10+I21+I22+I24+I26</f>
        <v>293507</v>
      </c>
      <c r="J27" s="387">
        <f>+I27/H27</f>
        <v>1</v>
      </c>
      <c r="K27" s="890">
        <f t="shared" ref="K27:L27" si="18">+K6+K10+K21+K22+K24+K26</f>
        <v>259752</v>
      </c>
      <c r="L27" s="905">
        <f t="shared" si="18"/>
        <v>320918</v>
      </c>
      <c r="M27" s="906">
        <f>+M6+M10+M21+M22+M24+M26</f>
        <v>320758</v>
      </c>
      <c r="N27" s="907">
        <f t="shared" ref="N27:N28" si="19">+M27/L27</f>
        <v>0.99950143027190752</v>
      </c>
      <c r="O27" s="224"/>
    </row>
    <row r="28" spans="1:15" s="180" customFormat="1" ht="13.5" customHeight="1" x14ac:dyDescent="0.2">
      <c r="A28" s="67" t="s">
        <v>106</v>
      </c>
      <c r="B28" s="65" t="s">
        <v>69</v>
      </c>
      <c r="C28" s="158"/>
      <c r="D28" s="161">
        <f>+'4.SZ.TÁBL. SEGÍTŐ SZOLGÁLAT'!AE28</f>
        <v>14233</v>
      </c>
      <c r="E28" s="164">
        <f>+'4.SZ.TÁBL. SEGÍTŐ SZOLGÁLAT'!AF28</f>
        <v>14233</v>
      </c>
      <c r="F28" s="374">
        <f t="shared" si="16"/>
        <v>1</v>
      </c>
      <c r="G28" s="158"/>
      <c r="H28" s="1105">
        <v>31311</v>
      </c>
      <c r="I28" s="164">
        <v>31311</v>
      </c>
      <c r="J28" s="778">
        <f>+I28/H28</f>
        <v>1</v>
      </c>
      <c r="K28" s="890">
        <f>+C28+G28</f>
        <v>0</v>
      </c>
      <c r="L28" s="905">
        <f>+D28+H28</f>
        <v>45544</v>
      </c>
      <c r="M28" s="906">
        <f>+E28+I28</f>
        <v>45544</v>
      </c>
      <c r="N28" s="907">
        <f t="shared" si="19"/>
        <v>1</v>
      </c>
      <c r="O28" s="224"/>
    </row>
    <row r="29" spans="1:15" s="180" customFormat="1" ht="13.5" customHeight="1" x14ac:dyDescent="0.2">
      <c r="A29" s="239" t="s">
        <v>218</v>
      </c>
      <c r="B29" s="240" t="s">
        <v>219</v>
      </c>
      <c r="C29" s="241">
        <f>+'4.SZ.TÁBL. SEGÍTŐ SZOLGÁLAT'!AD29</f>
        <v>193169</v>
      </c>
      <c r="D29" s="339">
        <f>+'4.SZ.TÁBL. SEGÍTŐ SZOLGÁLAT'!AE29</f>
        <v>215126</v>
      </c>
      <c r="E29" s="366">
        <f>+'4.SZ.TÁBL. SEGÍTŐ SZOLGÁLAT'!AF29</f>
        <v>215126</v>
      </c>
      <c r="F29" s="375">
        <f t="shared" si="16"/>
        <v>1</v>
      </c>
      <c r="G29" s="241"/>
      <c r="H29" s="339"/>
      <c r="I29" s="366"/>
      <c r="J29" s="396"/>
      <c r="K29" s="913"/>
      <c r="L29" s="914"/>
      <c r="M29" s="915"/>
      <c r="N29" s="916"/>
      <c r="O29" s="224"/>
    </row>
    <row r="30" spans="1:15" s="180" customFormat="1" ht="13.5" customHeight="1" thickBot="1" x14ac:dyDescent="0.25">
      <c r="A30" s="69" t="s">
        <v>107</v>
      </c>
      <c r="B30" s="94" t="s">
        <v>70</v>
      </c>
      <c r="C30" s="487">
        <f>SUM(C28:C29)</f>
        <v>193169</v>
      </c>
      <c r="D30" s="488">
        <f t="shared" ref="D30:E30" si="20">SUM(D28:D29)</f>
        <v>229359</v>
      </c>
      <c r="E30" s="489">
        <f t="shared" si="20"/>
        <v>229359</v>
      </c>
      <c r="F30" s="490">
        <f t="shared" si="16"/>
        <v>1</v>
      </c>
      <c r="G30" s="487">
        <f>SUM(G28:G29)</f>
        <v>0</v>
      </c>
      <c r="H30" s="488">
        <f t="shared" ref="H30:I30" si="21">SUM(H28:H29)</f>
        <v>31311</v>
      </c>
      <c r="I30" s="489">
        <f t="shared" si="21"/>
        <v>31311</v>
      </c>
      <c r="J30" s="778">
        <f>+I30/H30</f>
        <v>1</v>
      </c>
      <c r="K30" s="917">
        <f>+K28+K29</f>
        <v>0</v>
      </c>
      <c r="L30" s="918">
        <f>+L28+L29</f>
        <v>45544</v>
      </c>
      <c r="M30" s="919">
        <f>+M28+M29</f>
        <v>45544</v>
      </c>
      <c r="N30" s="920">
        <f>+M30/L30</f>
        <v>1</v>
      </c>
      <c r="O30" s="224"/>
    </row>
    <row r="31" spans="1:15" s="180" customFormat="1" ht="13.5" customHeight="1" thickBot="1" x14ac:dyDescent="0.25">
      <c r="A31" s="1336" t="s">
        <v>0</v>
      </c>
      <c r="B31" s="1337"/>
      <c r="C31" s="491">
        <f>+C27+C30</f>
        <v>212637</v>
      </c>
      <c r="D31" s="492">
        <f t="shared" ref="D31:E31" si="22">+D27+D30</f>
        <v>256770</v>
      </c>
      <c r="E31" s="493">
        <f t="shared" si="22"/>
        <v>256610</v>
      </c>
      <c r="F31" s="389">
        <f t="shared" si="16"/>
        <v>0.99937687424543364</v>
      </c>
      <c r="G31" s="491">
        <f>+G27+G30</f>
        <v>240284</v>
      </c>
      <c r="H31" s="492">
        <f>+H27+H30</f>
        <v>324818</v>
      </c>
      <c r="I31" s="493">
        <f t="shared" ref="I31" si="23">+I27+I30</f>
        <v>324818</v>
      </c>
      <c r="J31" s="389">
        <f>+I31/H31</f>
        <v>1</v>
      </c>
      <c r="K31" s="921">
        <f t="shared" ref="K31:L31" si="24">+K27+K30</f>
        <v>259752</v>
      </c>
      <c r="L31" s="922">
        <f t="shared" si="24"/>
        <v>366462</v>
      </c>
      <c r="M31" s="923">
        <f>+M27+M30</f>
        <v>366302</v>
      </c>
      <c r="N31" s="924">
        <f>+M31/L31</f>
        <v>0.99956339265735605</v>
      </c>
      <c r="O31" s="224"/>
    </row>
    <row r="32" spans="1:15" ht="13.5" customHeight="1" x14ac:dyDescent="0.2">
      <c r="A32" s="98" t="s">
        <v>125</v>
      </c>
      <c r="B32" s="86" t="s">
        <v>126</v>
      </c>
      <c r="C32" s="117">
        <f>+'4.SZ.TÁBL. SEGÍTŐ SZOLGÁLAT'!AD43</f>
        <v>121960</v>
      </c>
      <c r="D32" s="113">
        <f>+'4.SZ.TÁBL. SEGÍTŐ SZOLGÁLAT'!AE43</f>
        <v>142938</v>
      </c>
      <c r="E32" s="114">
        <f>+'4.SZ.TÁBL. SEGÍTŐ SZOLGÁLAT'!AF43</f>
        <v>127273</v>
      </c>
      <c r="F32" s="376">
        <f t="shared" si="16"/>
        <v>0.89040702962123441</v>
      </c>
      <c r="G32" s="117"/>
      <c r="H32" s="113"/>
      <c r="I32" s="114"/>
      <c r="J32" s="391"/>
      <c r="K32" s="879">
        <f t="shared" ref="K32:M44" si="25">+C32+G32</f>
        <v>121960</v>
      </c>
      <c r="L32" s="925">
        <f t="shared" si="25"/>
        <v>142938</v>
      </c>
      <c r="M32" s="926">
        <f t="shared" si="25"/>
        <v>127273</v>
      </c>
      <c r="N32" s="885">
        <f t="shared" ref="N32:N33" si="26">+M32/L32</f>
        <v>0.89040702962123441</v>
      </c>
    </row>
    <row r="33" spans="1:15" ht="13.5" customHeight="1" x14ac:dyDescent="0.2">
      <c r="A33" s="99" t="s">
        <v>127</v>
      </c>
      <c r="B33" s="76" t="s">
        <v>128</v>
      </c>
      <c r="C33" s="111"/>
      <c r="D33" s="106">
        <f>+'4.SZ.TÁBL. SEGÍTŐ SZOLGÁLAT'!AE44</f>
        <v>3593</v>
      </c>
      <c r="E33" s="108">
        <f>+'4.SZ.TÁBL. SEGÍTŐ SZOLGÁLAT'!AF44</f>
        <v>3593</v>
      </c>
      <c r="F33" s="376">
        <f t="shared" si="16"/>
        <v>1</v>
      </c>
      <c r="G33" s="111"/>
      <c r="H33" s="106"/>
      <c r="I33" s="108"/>
      <c r="J33" s="392"/>
      <c r="K33" s="897"/>
      <c r="L33" s="900">
        <f t="shared" si="25"/>
        <v>3593</v>
      </c>
      <c r="M33" s="901">
        <f t="shared" si="25"/>
        <v>3593</v>
      </c>
      <c r="N33" s="898">
        <f t="shared" si="26"/>
        <v>1</v>
      </c>
    </row>
    <row r="34" spans="1:15" ht="13.5" customHeight="1" x14ac:dyDescent="0.2">
      <c r="A34" s="99" t="s">
        <v>129</v>
      </c>
      <c r="B34" s="76" t="s">
        <v>130</v>
      </c>
      <c r="C34" s="111"/>
      <c r="D34" s="106"/>
      <c r="E34" s="108"/>
      <c r="F34" s="377"/>
      <c r="G34" s="111"/>
      <c r="H34" s="106"/>
      <c r="I34" s="108"/>
      <c r="J34" s="392"/>
      <c r="K34" s="897"/>
      <c r="L34" s="900"/>
      <c r="M34" s="901"/>
      <c r="N34" s="927"/>
    </row>
    <row r="35" spans="1:15" ht="13.5" customHeight="1" x14ac:dyDescent="0.2">
      <c r="A35" s="99" t="s">
        <v>131</v>
      </c>
      <c r="B35" s="76" t="s">
        <v>132</v>
      </c>
      <c r="C35" s="111">
        <f>+'4.SZ.TÁBL. SEGÍTŐ SZOLGÁLAT'!AD46</f>
        <v>1550</v>
      </c>
      <c r="D35" s="106">
        <f>+'4.SZ.TÁBL. SEGÍTŐ SZOLGÁLAT'!AE46</f>
        <v>1550</v>
      </c>
      <c r="E35" s="108">
        <f>+'4.SZ.TÁBL. SEGÍTŐ SZOLGÁLAT'!AF46</f>
        <v>1436</v>
      </c>
      <c r="F35" s="377">
        <f>+E35/D35</f>
        <v>0.92645161290322575</v>
      </c>
      <c r="G35" s="111"/>
      <c r="H35" s="106"/>
      <c r="I35" s="108"/>
      <c r="J35" s="392"/>
      <c r="K35" s="897">
        <f t="shared" si="25"/>
        <v>1550</v>
      </c>
      <c r="L35" s="900">
        <f t="shared" si="25"/>
        <v>1550</v>
      </c>
      <c r="M35" s="901">
        <f t="shared" si="25"/>
        <v>1436</v>
      </c>
      <c r="N35" s="898">
        <f>+M35/L35</f>
        <v>0.92645161290322575</v>
      </c>
    </row>
    <row r="36" spans="1:15" ht="13.5" customHeight="1" x14ac:dyDescent="0.2">
      <c r="A36" s="99" t="s">
        <v>133</v>
      </c>
      <c r="B36" s="76" t="s">
        <v>134</v>
      </c>
      <c r="C36" s="111"/>
      <c r="D36" s="106"/>
      <c r="E36" s="108"/>
      <c r="F36" s="377"/>
      <c r="G36" s="111"/>
      <c r="H36" s="479"/>
      <c r="I36" s="480"/>
      <c r="J36" s="388"/>
      <c r="K36" s="897"/>
      <c r="L36" s="900"/>
      <c r="M36" s="901"/>
      <c r="N36" s="927"/>
    </row>
    <row r="37" spans="1:15" ht="13.5" customHeight="1" x14ac:dyDescent="0.2">
      <c r="A37" s="99" t="s">
        <v>135</v>
      </c>
      <c r="B37" s="76" t="s">
        <v>1</v>
      </c>
      <c r="C37" s="111">
        <f>+'4.SZ.TÁBL. SEGÍTŐ SZOLGÁLAT'!AD48</f>
        <v>1803</v>
      </c>
      <c r="D37" s="106">
        <f>+'4.SZ.TÁBL. SEGÍTŐ SZOLGÁLAT'!AE48</f>
        <v>805</v>
      </c>
      <c r="E37" s="108">
        <f>+'4.SZ.TÁBL. SEGÍTŐ SZOLGÁLAT'!AF48</f>
        <v>765</v>
      </c>
      <c r="F37" s="377">
        <f t="shared" ref="F37" si="27">+E37/D37</f>
        <v>0.9503105590062112</v>
      </c>
      <c r="G37" s="111"/>
      <c r="H37" s="106"/>
      <c r="I37" s="108"/>
      <c r="J37" s="392"/>
      <c r="K37" s="897">
        <f t="shared" si="25"/>
        <v>1803</v>
      </c>
      <c r="L37" s="900">
        <f t="shared" si="25"/>
        <v>805</v>
      </c>
      <c r="M37" s="901">
        <f t="shared" si="25"/>
        <v>765</v>
      </c>
      <c r="N37" s="927">
        <f>+M37/L37</f>
        <v>0.9503105590062112</v>
      </c>
    </row>
    <row r="38" spans="1:15" ht="13.5" customHeight="1" x14ac:dyDescent="0.2">
      <c r="A38" s="99" t="s">
        <v>136</v>
      </c>
      <c r="B38" s="76" t="s">
        <v>137</v>
      </c>
      <c r="C38" s="111">
        <f>+'4.SZ.TÁBL. SEGÍTŐ SZOLGÁLAT'!AD49</f>
        <v>2040</v>
      </c>
      <c r="D38" s="106">
        <f>+'4.SZ.TÁBL. SEGÍTŐ SZOLGÁLAT'!AE49</f>
        <v>4062</v>
      </c>
      <c r="E38" s="108">
        <f>+'4.SZ.TÁBL. SEGÍTŐ SZOLGÁLAT'!AF49</f>
        <v>3785</v>
      </c>
      <c r="F38" s="377">
        <f>+E38/D38</f>
        <v>0.93180699162973901</v>
      </c>
      <c r="G38" s="111"/>
      <c r="H38" s="106"/>
      <c r="I38" s="108"/>
      <c r="J38" s="392"/>
      <c r="K38" s="897">
        <f t="shared" si="25"/>
        <v>2040</v>
      </c>
      <c r="L38" s="900">
        <f t="shared" si="25"/>
        <v>4062</v>
      </c>
      <c r="M38" s="901">
        <f t="shared" si="25"/>
        <v>3785</v>
      </c>
      <c r="N38" s="898">
        <f>+M38/L38</f>
        <v>0.93180699162973901</v>
      </c>
    </row>
    <row r="39" spans="1:15" ht="13.5" customHeight="1" x14ac:dyDescent="0.2">
      <c r="A39" s="99" t="s">
        <v>138</v>
      </c>
      <c r="B39" s="76" t="s">
        <v>139</v>
      </c>
      <c r="C39" s="111"/>
      <c r="D39" s="106"/>
      <c r="E39" s="108"/>
      <c r="F39" s="377"/>
      <c r="G39" s="111"/>
      <c r="H39" s="106"/>
      <c r="I39" s="108"/>
      <c r="J39" s="392"/>
      <c r="K39" s="897"/>
      <c r="L39" s="900"/>
      <c r="M39" s="901"/>
      <c r="N39" s="927"/>
    </row>
    <row r="40" spans="1:15" ht="13.5" customHeight="1" x14ac:dyDescent="0.2">
      <c r="A40" s="99" t="s">
        <v>140</v>
      </c>
      <c r="B40" s="76" t="s">
        <v>2</v>
      </c>
      <c r="C40" s="111">
        <f>+'4.SZ.TÁBL. SEGÍTŐ SZOLGÁLAT'!AD51</f>
        <v>2785</v>
      </c>
      <c r="D40" s="106">
        <f>+'4.SZ.TÁBL. SEGÍTŐ SZOLGÁLAT'!AE51</f>
        <v>2749</v>
      </c>
      <c r="E40" s="108">
        <f>+'4.SZ.TÁBL. SEGÍTŐ SZOLGÁLAT'!AF51</f>
        <v>1602</v>
      </c>
      <c r="F40" s="377">
        <f>+E40/D40</f>
        <v>0.58275736631502362</v>
      </c>
      <c r="G40" s="111"/>
      <c r="H40" s="479"/>
      <c r="I40" s="480"/>
      <c r="J40" s="388"/>
      <c r="K40" s="897">
        <f t="shared" si="25"/>
        <v>2785</v>
      </c>
      <c r="L40" s="883">
        <f t="shared" si="25"/>
        <v>2749</v>
      </c>
      <c r="M40" s="884">
        <f t="shared" si="25"/>
        <v>1602</v>
      </c>
      <c r="N40" s="898">
        <f>+M40/L40</f>
        <v>0.58275736631502362</v>
      </c>
    </row>
    <row r="41" spans="1:15" ht="13.5" customHeight="1" x14ac:dyDescent="0.2">
      <c r="A41" s="99" t="s">
        <v>141</v>
      </c>
      <c r="B41" s="76" t="s">
        <v>142</v>
      </c>
      <c r="C41" s="111"/>
      <c r="D41" s="106"/>
      <c r="E41" s="108"/>
      <c r="F41" s="377"/>
      <c r="G41" s="111"/>
      <c r="H41" s="479"/>
      <c r="I41" s="480"/>
      <c r="J41" s="388"/>
      <c r="K41" s="897"/>
      <c r="L41" s="900"/>
      <c r="M41" s="901"/>
      <c r="N41" s="927"/>
    </row>
    <row r="42" spans="1:15" ht="13.5" customHeight="1" x14ac:dyDescent="0.2">
      <c r="A42" s="99" t="s">
        <v>143</v>
      </c>
      <c r="B42" s="76" t="s">
        <v>144</v>
      </c>
      <c r="C42" s="111"/>
      <c r="D42" s="106"/>
      <c r="E42" s="108"/>
      <c r="F42" s="377"/>
      <c r="G42" s="111"/>
      <c r="H42" s="106"/>
      <c r="I42" s="108"/>
      <c r="J42" s="392"/>
      <c r="K42" s="897"/>
      <c r="L42" s="900"/>
      <c r="M42" s="901"/>
      <c r="N42" s="927"/>
    </row>
    <row r="43" spans="1:15" ht="13.5" customHeight="1" x14ac:dyDescent="0.2">
      <c r="A43" s="99" t="s">
        <v>145</v>
      </c>
      <c r="B43" s="76" t="s">
        <v>146</v>
      </c>
      <c r="C43" s="111"/>
      <c r="D43" s="106"/>
      <c r="E43" s="108"/>
      <c r="F43" s="377"/>
      <c r="G43" s="111"/>
      <c r="H43" s="106"/>
      <c r="I43" s="108"/>
      <c r="J43" s="392"/>
      <c r="K43" s="897"/>
      <c r="L43" s="900"/>
      <c r="M43" s="901"/>
      <c r="N43" s="927"/>
    </row>
    <row r="44" spans="1:15" ht="13.5" customHeight="1" x14ac:dyDescent="0.2">
      <c r="A44" s="99" t="s">
        <v>147</v>
      </c>
      <c r="B44" s="76" t="s">
        <v>281</v>
      </c>
      <c r="C44" s="111"/>
      <c r="D44" s="106">
        <f>+'4.SZ.TÁBL. SEGÍTŐ SZOLGÁLAT'!AE55</f>
        <v>2261</v>
      </c>
      <c r="E44" s="108">
        <f>+'4.SZ.TÁBL. SEGÍTŐ SZOLGÁLAT'!AF55</f>
        <v>2261</v>
      </c>
      <c r="F44" s="377">
        <f>+E44/D44</f>
        <v>1</v>
      </c>
      <c r="G44" s="111"/>
      <c r="H44" s="106"/>
      <c r="I44" s="108"/>
      <c r="J44" s="392"/>
      <c r="K44" s="897"/>
      <c r="L44" s="900">
        <f t="shared" si="25"/>
        <v>2261</v>
      </c>
      <c r="M44" s="901">
        <f t="shared" si="25"/>
        <v>2261</v>
      </c>
      <c r="N44" s="898">
        <f>+M44/L44</f>
        <v>1</v>
      </c>
    </row>
    <row r="45" spans="1:15" ht="13.5" customHeight="1" x14ac:dyDescent="0.2">
      <c r="A45" s="100" t="s">
        <v>147</v>
      </c>
      <c r="B45" s="87" t="s">
        <v>148</v>
      </c>
      <c r="C45" s="125"/>
      <c r="D45" s="121"/>
      <c r="E45" s="122"/>
      <c r="F45" s="378"/>
      <c r="G45" s="125"/>
      <c r="H45" s="404"/>
      <c r="I45" s="405"/>
      <c r="J45" s="390"/>
      <c r="K45" s="902"/>
      <c r="L45" s="928"/>
      <c r="M45" s="929"/>
      <c r="N45" s="930"/>
    </row>
    <row r="46" spans="1:15" s="180" customFormat="1" ht="13.5" customHeight="1" x14ac:dyDescent="0.2">
      <c r="A46" s="101" t="s">
        <v>109</v>
      </c>
      <c r="B46" s="88" t="s">
        <v>71</v>
      </c>
      <c r="C46" s="158">
        <f>+SUM(C32:C44)</f>
        <v>130138</v>
      </c>
      <c r="D46" s="161">
        <f t="shared" ref="D46:E46" si="28">+SUM(D32:D44)</f>
        <v>157958</v>
      </c>
      <c r="E46" s="164">
        <f t="shared" si="28"/>
        <v>140715</v>
      </c>
      <c r="F46" s="374">
        <f>+E46/D46</f>
        <v>0.89083807087960087</v>
      </c>
      <c r="G46" s="158"/>
      <c r="H46" s="161"/>
      <c r="I46" s="164"/>
      <c r="J46" s="394"/>
      <c r="K46" s="890">
        <f>SUM(K32:K45)</f>
        <v>130138</v>
      </c>
      <c r="L46" s="905">
        <f>SUM(L32:L45)</f>
        <v>157958</v>
      </c>
      <c r="M46" s="906">
        <f>SUM(M32:M45)</f>
        <v>140715</v>
      </c>
      <c r="N46" s="907">
        <f>+M46/L46</f>
        <v>0.89083807087960087</v>
      </c>
      <c r="O46" s="224"/>
    </row>
    <row r="47" spans="1:15" ht="13.5" customHeight="1" x14ac:dyDescent="0.2">
      <c r="A47" s="98" t="s">
        <v>149</v>
      </c>
      <c r="B47" s="86" t="s">
        <v>150</v>
      </c>
      <c r="C47" s="117"/>
      <c r="D47" s="113"/>
      <c r="E47" s="114"/>
      <c r="F47" s="376"/>
      <c r="G47" s="117"/>
      <c r="H47" s="474"/>
      <c r="I47" s="475"/>
      <c r="J47" s="385"/>
      <c r="K47" s="879"/>
      <c r="L47" s="880"/>
      <c r="M47" s="881">
        <f t="shared" ref="K47:M49" si="29">+E47+I47</f>
        <v>0</v>
      </c>
      <c r="N47" s="931"/>
    </row>
    <row r="48" spans="1:15" ht="24.75" customHeight="1" x14ac:dyDescent="0.2">
      <c r="A48" s="99" t="s">
        <v>151</v>
      </c>
      <c r="B48" s="76" t="s">
        <v>152</v>
      </c>
      <c r="C48" s="111">
        <f>+'4.SZ.TÁBL. SEGÍTŐ SZOLGÁLAT'!AD59</f>
        <v>7800</v>
      </c>
      <c r="D48" s="106">
        <f>+'4.SZ.TÁBL. SEGÍTŐ SZOLGÁLAT'!AE59</f>
        <v>16471</v>
      </c>
      <c r="E48" s="108">
        <f>+'4.SZ.TÁBL. SEGÍTŐ SZOLGÁLAT'!AF59</f>
        <v>16048</v>
      </c>
      <c r="F48" s="377">
        <f t="shared" ref="F48:F54" si="30">+E48/D48</f>
        <v>0.97431849918037761</v>
      </c>
      <c r="G48" s="445"/>
      <c r="H48" s="106"/>
      <c r="I48" s="108"/>
      <c r="J48" s="392"/>
      <c r="K48" s="897">
        <f t="shared" si="29"/>
        <v>7800</v>
      </c>
      <c r="L48" s="900">
        <f t="shared" si="29"/>
        <v>16471</v>
      </c>
      <c r="M48" s="901">
        <f t="shared" si="29"/>
        <v>16048</v>
      </c>
      <c r="N48" s="898">
        <f>+M48/L48</f>
        <v>0.97431849918037761</v>
      </c>
    </row>
    <row r="49" spans="1:25" ht="13.5" customHeight="1" x14ac:dyDescent="0.2">
      <c r="A49" s="100" t="s">
        <v>153</v>
      </c>
      <c r="B49" s="87" t="s">
        <v>154</v>
      </c>
      <c r="C49" s="125">
        <f>+'4.SZ.TÁBL. SEGÍTŐ SZOLGÁLAT'!AD60</f>
        <v>150</v>
      </c>
      <c r="D49" s="121">
        <f>+'4.SZ.TÁBL. SEGÍTŐ SZOLGÁLAT'!AE60</f>
        <v>287</v>
      </c>
      <c r="E49" s="122">
        <f>+'4.SZ.TÁBL. SEGÍTŐ SZOLGÁLAT'!AF60</f>
        <v>218</v>
      </c>
      <c r="F49" s="378">
        <f t="shared" si="30"/>
        <v>0.75958188153310102</v>
      </c>
      <c r="G49" s="125"/>
      <c r="H49" s="494"/>
      <c r="I49" s="495"/>
      <c r="J49" s="397"/>
      <c r="K49" s="902">
        <f t="shared" si="29"/>
        <v>150</v>
      </c>
      <c r="L49" s="903">
        <f t="shared" si="29"/>
        <v>287</v>
      </c>
      <c r="M49" s="904">
        <f t="shared" si="29"/>
        <v>218</v>
      </c>
      <c r="N49" s="932">
        <f>+M49/L49</f>
        <v>0.75958188153310102</v>
      </c>
      <c r="P49" s="341"/>
      <c r="Q49" s="341"/>
      <c r="R49" s="341"/>
      <c r="S49" s="341"/>
      <c r="U49" s="341"/>
      <c r="V49" s="341"/>
      <c r="W49" s="341"/>
      <c r="X49" s="341"/>
      <c r="Y49" s="341"/>
    </row>
    <row r="50" spans="1:25" s="180" customFormat="1" ht="13.5" customHeight="1" x14ac:dyDescent="0.2">
      <c r="A50" s="101" t="s">
        <v>110</v>
      </c>
      <c r="B50" s="88" t="s">
        <v>72</v>
      </c>
      <c r="C50" s="158">
        <f>SUM(C47:C49)</f>
        <v>7950</v>
      </c>
      <c r="D50" s="161">
        <f t="shared" ref="D50:E50" si="31">SUM(D47:D49)</f>
        <v>16758</v>
      </c>
      <c r="E50" s="164">
        <f t="shared" si="31"/>
        <v>16266</v>
      </c>
      <c r="F50" s="374">
        <f t="shared" si="30"/>
        <v>0.97064088793412107</v>
      </c>
      <c r="G50" s="482">
        <f>SUM(G47:G49)</f>
        <v>0</v>
      </c>
      <c r="H50" s="483">
        <f t="shared" ref="H50" si="32">SUM(H47:H49)</f>
        <v>0</v>
      </c>
      <c r="I50" s="484">
        <f t="shared" ref="I50" si="33">SUM(I47:I49)</f>
        <v>0</v>
      </c>
      <c r="J50" s="387"/>
      <c r="K50" s="890">
        <f>SUM(K47:K49)</f>
        <v>7950</v>
      </c>
      <c r="L50" s="905">
        <f>SUM(L47:L49)</f>
        <v>16758</v>
      </c>
      <c r="M50" s="906">
        <f>SUM(M47:M49)</f>
        <v>16266</v>
      </c>
      <c r="N50" s="907">
        <f>+M50/L50</f>
        <v>0.97064088793412107</v>
      </c>
      <c r="O50" s="224"/>
      <c r="P50" s="224"/>
      <c r="Q50" s="224"/>
      <c r="R50" s="224"/>
      <c r="S50" s="224"/>
      <c r="U50" s="224"/>
      <c r="V50" s="224"/>
      <c r="W50" s="224"/>
      <c r="X50" s="224"/>
      <c r="Y50" s="224"/>
    </row>
    <row r="51" spans="1:25" s="180" customFormat="1" ht="13.5" customHeight="1" x14ac:dyDescent="0.2">
      <c r="A51" s="101" t="s">
        <v>111</v>
      </c>
      <c r="B51" s="88" t="s">
        <v>73</v>
      </c>
      <c r="C51" s="158">
        <f>+C46+C50</f>
        <v>138088</v>
      </c>
      <c r="D51" s="161">
        <f t="shared" ref="D51:E51" si="34">+D46+D50</f>
        <v>174716</v>
      </c>
      <c r="E51" s="164">
        <f t="shared" si="34"/>
        <v>156981</v>
      </c>
      <c r="F51" s="374">
        <f t="shared" si="30"/>
        <v>0.8984924105405343</v>
      </c>
      <c r="G51" s="482">
        <f>+G46+G50</f>
        <v>0</v>
      </c>
      <c r="H51" s="483">
        <f t="shared" ref="H51" si="35">+H46+H50</f>
        <v>0</v>
      </c>
      <c r="I51" s="484">
        <f t="shared" ref="I51" si="36">+I46+I50</f>
        <v>0</v>
      </c>
      <c r="J51" s="387"/>
      <c r="K51" s="890">
        <f t="shared" ref="K51:M51" si="37">+K46+K50</f>
        <v>138088</v>
      </c>
      <c r="L51" s="905">
        <f t="shared" si="37"/>
        <v>174716</v>
      </c>
      <c r="M51" s="906">
        <f t="shared" si="37"/>
        <v>156981</v>
      </c>
      <c r="N51" s="907">
        <f>+M51/L51</f>
        <v>0.8984924105405343</v>
      </c>
      <c r="O51" s="224"/>
      <c r="P51" s="224"/>
      <c r="Q51" s="224"/>
      <c r="R51" s="224"/>
      <c r="S51" s="224"/>
      <c r="U51" s="224"/>
      <c r="V51" s="224"/>
      <c r="W51" s="224"/>
      <c r="X51" s="224"/>
      <c r="Y51" s="224"/>
    </row>
    <row r="52" spans="1:25" s="180" customFormat="1" ht="13.5" customHeight="1" x14ac:dyDescent="0.2">
      <c r="A52" s="101" t="s">
        <v>112</v>
      </c>
      <c r="B52" s="88" t="s">
        <v>74</v>
      </c>
      <c r="C52" s="158">
        <f>+SUM(C53:C57)</f>
        <v>22006</v>
      </c>
      <c r="D52" s="161">
        <f t="shared" ref="D52:E52" si="38">+SUM(D53:D57)</f>
        <v>26235</v>
      </c>
      <c r="E52" s="164">
        <f t="shared" si="38"/>
        <v>22725</v>
      </c>
      <c r="F52" s="374">
        <f t="shared" si="30"/>
        <v>0.86620926243567753</v>
      </c>
      <c r="G52" s="482">
        <f>+SUM(G53:G57)</f>
        <v>0</v>
      </c>
      <c r="H52" s="483">
        <f t="shared" ref="H52" si="39">+SUM(H53:H57)</f>
        <v>0</v>
      </c>
      <c r="I52" s="484">
        <f t="shared" ref="I52" si="40">+SUM(I53:I57)</f>
        <v>0</v>
      </c>
      <c r="J52" s="387"/>
      <c r="K52" s="890">
        <f t="shared" ref="K52:M52" si="41">+SUM(K53:K57)</f>
        <v>22006</v>
      </c>
      <c r="L52" s="905">
        <f t="shared" si="41"/>
        <v>26235</v>
      </c>
      <c r="M52" s="906">
        <f t="shared" si="41"/>
        <v>22725</v>
      </c>
      <c r="N52" s="907">
        <f>+M52/L52</f>
        <v>0.86620926243567753</v>
      </c>
      <c r="O52" s="224"/>
    </row>
    <row r="53" spans="1:25" s="155" customFormat="1" ht="13.5" customHeight="1" x14ac:dyDescent="0.2">
      <c r="A53" s="102" t="s">
        <v>112</v>
      </c>
      <c r="B53" s="95" t="s">
        <v>212</v>
      </c>
      <c r="C53" s="172">
        <f>+'4.SZ.TÁBL. SEGÍTŐ SZOLGÁLAT'!AD64</f>
        <v>17570</v>
      </c>
      <c r="D53" s="173">
        <f>+'4.SZ.TÁBL. SEGÍTŐ SZOLGÁLAT'!AE64</f>
        <v>21799</v>
      </c>
      <c r="E53" s="367">
        <f>+'4.SZ.TÁBL. SEGÍTŐ SZOLGÁLAT'!AF64</f>
        <v>18834</v>
      </c>
      <c r="F53" s="379">
        <f t="shared" si="30"/>
        <v>0.86398458644891962</v>
      </c>
      <c r="G53" s="473"/>
      <c r="H53" s="173"/>
      <c r="I53" s="367"/>
      <c r="J53" s="398"/>
      <c r="K53" s="886">
        <f t="shared" ref="K53:M59" si="42">+C53+G53</f>
        <v>17570</v>
      </c>
      <c r="L53" s="933">
        <f t="shared" si="42"/>
        <v>21799</v>
      </c>
      <c r="M53" s="934">
        <f t="shared" si="42"/>
        <v>18834</v>
      </c>
      <c r="N53" s="885">
        <f t="shared" ref="N53:N54" si="43">+M53/L53</f>
        <v>0.86398458644891962</v>
      </c>
      <c r="O53" s="223"/>
    </row>
    <row r="54" spans="1:25" s="155" customFormat="1" ht="13.5" customHeight="1" x14ac:dyDescent="0.2">
      <c r="A54" s="103" t="s">
        <v>112</v>
      </c>
      <c r="B54" s="77" t="s">
        <v>213</v>
      </c>
      <c r="C54" s="154">
        <f>+'4.SZ.TÁBL. SEGÍTŐ SZOLGÁLAT'!AD65</f>
        <v>4106</v>
      </c>
      <c r="D54" s="153">
        <f>+'4.SZ.TÁBL. SEGÍTŐ SZOLGÁLAT'!AE65</f>
        <v>4106</v>
      </c>
      <c r="E54" s="368">
        <f>+'4.SZ.TÁBL. SEGÍTŐ SZOLGÁLAT'!AF65</f>
        <v>2817</v>
      </c>
      <c r="F54" s="380">
        <f t="shared" si="30"/>
        <v>0.6860691670725767</v>
      </c>
      <c r="G54" s="154"/>
      <c r="H54" s="153"/>
      <c r="I54" s="368"/>
      <c r="J54" s="399"/>
      <c r="K54" s="935">
        <f t="shared" si="42"/>
        <v>4106</v>
      </c>
      <c r="L54" s="936">
        <f t="shared" si="42"/>
        <v>4106</v>
      </c>
      <c r="M54" s="937">
        <f t="shared" si="42"/>
        <v>2817</v>
      </c>
      <c r="N54" s="898">
        <f t="shared" si="43"/>
        <v>0.6860691670725767</v>
      </c>
      <c r="O54" s="223"/>
    </row>
    <row r="55" spans="1:25" s="155" customFormat="1" ht="13.5" customHeight="1" x14ac:dyDescent="0.2">
      <c r="A55" s="103" t="s">
        <v>112</v>
      </c>
      <c r="B55" s="77" t="s">
        <v>214</v>
      </c>
      <c r="C55" s="154"/>
      <c r="D55" s="153"/>
      <c r="E55" s="368"/>
      <c r="F55" s="380"/>
      <c r="G55" s="154"/>
      <c r="H55" s="153"/>
      <c r="I55" s="368"/>
      <c r="J55" s="399"/>
      <c r="K55" s="935"/>
      <c r="L55" s="936"/>
      <c r="M55" s="937"/>
      <c r="N55" s="898"/>
      <c r="O55" s="223"/>
    </row>
    <row r="56" spans="1:25" s="155" customFormat="1" ht="13.5" customHeight="1" x14ac:dyDescent="0.2">
      <c r="A56" s="103" t="s">
        <v>112</v>
      </c>
      <c r="B56" s="77" t="s">
        <v>283</v>
      </c>
      <c r="C56" s="154"/>
      <c r="D56" s="153"/>
      <c r="E56" s="368">
        <f>+'4.SZ.TÁBL. SEGÍTŐ SZOLGÁLAT'!AF67</f>
        <v>461</v>
      </c>
      <c r="F56" s="380"/>
      <c r="G56" s="154"/>
      <c r="H56" s="153"/>
      <c r="I56" s="368"/>
      <c r="J56" s="399"/>
      <c r="K56" s="935"/>
      <c r="L56" s="936"/>
      <c r="M56" s="937">
        <f t="shared" si="42"/>
        <v>461</v>
      </c>
      <c r="N56" s="938"/>
      <c r="O56" s="223"/>
    </row>
    <row r="57" spans="1:25" s="155" customFormat="1" ht="13.5" customHeight="1" x14ac:dyDescent="0.2">
      <c r="A57" s="103" t="s">
        <v>112</v>
      </c>
      <c r="B57" s="77" t="s">
        <v>215</v>
      </c>
      <c r="C57" s="154">
        <f>+'4.SZ.TÁBL. SEGÍTŐ SZOLGÁLAT'!AD68</f>
        <v>330</v>
      </c>
      <c r="D57" s="153">
        <f>+'4.SZ.TÁBL. SEGÍTŐ SZOLGÁLAT'!AE68</f>
        <v>330</v>
      </c>
      <c r="E57" s="368">
        <f>+'4.SZ.TÁBL. SEGÍTŐ SZOLGÁLAT'!AF68</f>
        <v>613</v>
      </c>
      <c r="F57" s="380">
        <f t="shared" ref="F57" si="44">+E57/D57</f>
        <v>1.8575757575757577</v>
      </c>
      <c r="G57" s="154"/>
      <c r="H57" s="153"/>
      <c r="I57" s="368"/>
      <c r="J57" s="399"/>
      <c r="K57" s="935">
        <f t="shared" si="42"/>
        <v>330</v>
      </c>
      <c r="L57" s="936">
        <f t="shared" si="42"/>
        <v>330</v>
      </c>
      <c r="M57" s="937">
        <f t="shared" si="42"/>
        <v>613</v>
      </c>
      <c r="N57" s="898">
        <f>+M57/L57</f>
        <v>1.8575757575757577</v>
      </c>
      <c r="O57" s="223"/>
    </row>
    <row r="58" spans="1:25" ht="13.5" customHeight="1" x14ac:dyDescent="0.2">
      <c r="A58" s="99" t="s">
        <v>155</v>
      </c>
      <c r="B58" s="76" t="s">
        <v>156</v>
      </c>
      <c r="C58" s="117">
        <f>+'4.SZ.TÁBL. SEGÍTŐ SZOLGÁLAT'!AD69</f>
        <v>1250</v>
      </c>
      <c r="D58" s="113">
        <f>+'4.SZ.TÁBL. SEGÍTŐ SZOLGÁLAT'!AE69</f>
        <v>1047</v>
      </c>
      <c r="E58" s="114">
        <f>+'4.SZ.TÁBL. SEGÍTŐ SZOLGÁLAT'!AF69</f>
        <v>564</v>
      </c>
      <c r="F58" s="376">
        <f>+E58/D58</f>
        <v>0.5386819484240688</v>
      </c>
      <c r="G58" s="111"/>
      <c r="H58" s="479">
        <v>196</v>
      </c>
      <c r="I58" s="108">
        <v>196</v>
      </c>
      <c r="J58" s="385">
        <f>+I58/H58</f>
        <v>1</v>
      </c>
      <c r="K58" s="897">
        <f t="shared" si="42"/>
        <v>1250</v>
      </c>
      <c r="L58" s="900">
        <f t="shared" si="42"/>
        <v>1243</v>
      </c>
      <c r="M58" s="901">
        <f t="shared" si="42"/>
        <v>760</v>
      </c>
      <c r="N58" s="898">
        <f>+M58/L58</f>
        <v>0.61142397425583261</v>
      </c>
    </row>
    <row r="59" spans="1:25" ht="13.5" customHeight="1" x14ac:dyDescent="0.2">
      <c r="A59" s="99" t="s">
        <v>157</v>
      </c>
      <c r="B59" s="76" t="s">
        <v>158</v>
      </c>
      <c r="C59" s="111">
        <f>+'4.SZ.TÁBL. SEGÍTŐ SZOLGÁLAT'!AD70</f>
        <v>6982</v>
      </c>
      <c r="D59" s="106">
        <f>+'4.SZ.TÁBL. SEGÍTŐ SZOLGÁLAT'!AE70</f>
        <v>7542</v>
      </c>
      <c r="E59" s="108">
        <f>+'4.SZ.TÁBL. SEGÍTŐ SZOLGÁLAT'!AF70</f>
        <v>5717</v>
      </c>
      <c r="F59" s="377">
        <f>+E59/D59</f>
        <v>0.7580217448952532</v>
      </c>
      <c r="G59" s="111"/>
      <c r="H59" s="479"/>
      <c r="I59" s="108"/>
      <c r="J59" s="392"/>
      <c r="K59" s="897">
        <f t="shared" si="42"/>
        <v>6982</v>
      </c>
      <c r="L59" s="900">
        <f t="shared" si="42"/>
        <v>7542</v>
      </c>
      <c r="M59" s="901">
        <f t="shared" si="42"/>
        <v>5717</v>
      </c>
      <c r="N59" s="898">
        <f>+M59/L59</f>
        <v>0.7580217448952532</v>
      </c>
    </row>
    <row r="60" spans="1:25" ht="13.5" customHeight="1" x14ac:dyDescent="0.2">
      <c r="A60" s="100" t="s">
        <v>159</v>
      </c>
      <c r="B60" s="87" t="s">
        <v>160</v>
      </c>
      <c r="C60" s="125"/>
      <c r="D60" s="121"/>
      <c r="E60" s="122"/>
      <c r="F60" s="378"/>
      <c r="G60" s="125"/>
      <c r="H60" s="121"/>
      <c r="I60" s="122"/>
      <c r="J60" s="392"/>
      <c r="K60" s="902"/>
      <c r="L60" s="903"/>
      <c r="M60" s="904"/>
      <c r="N60" s="930"/>
    </row>
    <row r="61" spans="1:25" s="180" customFormat="1" ht="13.5" customHeight="1" x14ac:dyDescent="0.2">
      <c r="A61" s="101" t="s">
        <v>113</v>
      </c>
      <c r="B61" s="88" t="s">
        <v>75</v>
      </c>
      <c r="C61" s="158">
        <f>SUM(C58:C60)</f>
        <v>8232</v>
      </c>
      <c r="D61" s="161">
        <f t="shared" ref="D61:E61" si="45">SUM(D58:D60)</f>
        <v>8589</v>
      </c>
      <c r="E61" s="164">
        <f t="shared" si="45"/>
        <v>6281</v>
      </c>
      <c r="F61" s="374">
        <f t="shared" ref="F61:F69" si="46">+E61/D61</f>
        <v>0.73128420072185352</v>
      </c>
      <c r="G61" s="482">
        <f>+SUM(G58:G60)</f>
        <v>0</v>
      </c>
      <c r="H61" s="483">
        <f t="shared" ref="H61" si="47">+SUM(H58:H60)</f>
        <v>196</v>
      </c>
      <c r="I61" s="484">
        <f t="shared" ref="I61" si="48">+SUM(I58:I60)</f>
        <v>196</v>
      </c>
      <c r="J61" s="392">
        <f t="shared" ref="J61" si="49">+I61/H61</f>
        <v>1</v>
      </c>
      <c r="K61" s="890">
        <f>+SUM(K58:K60)</f>
        <v>8232</v>
      </c>
      <c r="L61" s="905">
        <f>+SUM(L58:L60)</f>
        <v>8785</v>
      </c>
      <c r="M61" s="906">
        <f>+SUM(M58:M60)</f>
        <v>6477</v>
      </c>
      <c r="N61" s="907">
        <f>+M61/L61</f>
        <v>0.73727945361411495</v>
      </c>
      <c r="O61" s="224"/>
    </row>
    <row r="62" spans="1:25" ht="13.5" customHeight="1" x14ac:dyDescent="0.2">
      <c r="A62" s="98" t="s">
        <v>161</v>
      </c>
      <c r="B62" s="86" t="s">
        <v>162</v>
      </c>
      <c r="C62" s="117">
        <f>+'4.SZ.TÁBL. SEGÍTŐ SZOLGÁLAT'!AD73</f>
        <v>1102</v>
      </c>
      <c r="D62" s="113">
        <f>+'4.SZ.TÁBL. SEGÍTŐ SZOLGÁLAT'!AE73</f>
        <v>1102</v>
      </c>
      <c r="E62" s="114">
        <f>+'4.SZ.TÁBL. SEGÍTŐ SZOLGÁLAT'!AF73</f>
        <v>1023</v>
      </c>
      <c r="F62" s="376">
        <f t="shared" si="46"/>
        <v>0.92831215970961889</v>
      </c>
      <c r="G62" s="117"/>
      <c r="H62" s="479"/>
      <c r="I62" s="114"/>
      <c r="J62" s="385"/>
      <c r="K62" s="879">
        <f t="shared" ref="K62:M63" si="50">+C62+G62</f>
        <v>1102</v>
      </c>
      <c r="L62" s="925">
        <f t="shared" si="50"/>
        <v>1102</v>
      </c>
      <c r="M62" s="926">
        <f t="shared" si="50"/>
        <v>1023</v>
      </c>
      <c r="N62" s="885">
        <f t="shared" ref="N62:N70" si="51">+M62/L62</f>
        <v>0.92831215970961889</v>
      </c>
    </row>
    <row r="63" spans="1:25" ht="13.5" customHeight="1" x14ac:dyDescent="0.2">
      <c r="A63" s="100" t="s">
        <v>163</v>
      </c>
      <c r="B63" s="87" t="s">
        <v>164</v>
      </c>
      <c r="C63" s="125">
        <f>+'4.SZ.TÁBL. SEGÍTŐ SZOLGÁLAT'!AD74</f>
        <v>371</v>
      </c>
      <c r="D63" s="121">
        <f>+'4.SZ.TÁBL. SEGÍTŐ SZOLGÁLAT'!AE74</f>
        <v>358</v>
      </c>
      <c r="E63" s="122">
        <f>+'4.SZ.TÁBL. SEGÍTŐ SZOLGÁLAT'!AF74</f>
        <v>186</v>
      </c>
      <c r="F63" s="378">
        <f t="shared" si="46"/>
        <v>0.51955307262569828</v>
      </c>
      <c r="G63" s="125"/>
      <c r="H63" s="121"/>
      <c r="I63" s="122"/>
      <c r="J63" s="393"/>
      <c r="K63" s="902">
        <f t="shared" si="50"/>
        <v>371</v>
      </c>
      <c r="L63" s="903">
        <f t="shared" si="50"/>
        <v>358</v>
      </c>
      <c r="M63" s="904">
        <f t="shared" si="50"/>
        <v>186</v>
      </c>
      <c r="N63" s="932">
        <f t="shared" si="51"/>
        <v>0.51955307262569828</v>
      </c>
    </row>
    <row r="64" spans="1:25" s="180" customFormat="1" ht="13.5" customHeight="1" x14ac:dyDescent="0.2">
      <c r="A64" s="1159" t="s">
        <v>114</v>
      </c>
      <c r="B64" s="88" t="s">
        <v>76</v>
      </c>
      <c r="C64" s="941">
        <f>SUM(C62:C63)</f>
        <v>1473</v>
      </c>
      <c r="D64" s="950">
        <f t="shared" ref="D64:E64" si="52">SUM(D62:D63)</f>
        <v>1460</v>
      </c>
      <c r="E64" s="783">
        <f t="shared" si="52"/>
        <v>1209</v>
      </c>
      <c r="F64" s="1109">
        <f t="shared" si="46"/>
        <v>0.82808219178082187</v>
      </c>
      <c r="G64" s="1160">
        <f>+SUM(G62:G63)</f>
        <v>0</v>
      </c>
      <c r="H64" s="1161">
        <f t="shared" ref="H64" si="53">+SUM(H62:H63)</f>
        <v>0</v>
      </c>
      <c r="I64" s="1162">
        <f t="shared" ref="I64" si="54">+SUM(I62:I63)</f>
        <v>0</v>
      </c>
      <c r="J64" s="875"/>
      <c r="K64" s="890">
        <f>+SUM(K62:K63)</f>
        <v>1473</v>
      </c>
      <c r="L64" s="905">
        <f>+SUM(L62:L63)</f>
        <v>1460</v>
      </c>
      <c r="M64" s="906">
        <f>+SUM(M62:M63)</f>
        <v>1209</v>
      </c>
      <c r="N64" s="907">
        <f t="shared" si="51"/>
        <v>0.82808219178082187</v>
      </c>
      <c r="O64" s="224"/>
    </row>
    <row r="65" spans="1:15" ht="13.5" customHeight="1" x14ac:dyDescent="0.2">
      <c r="A65" s="98" t="s">
        <v>165</v>
      </c>
      <c r="B65" s="86" t="s">
        <v>166</v>
      </c>
      <c r="C65" s="148">
        <f>C66+C67+C68</f>
        <v>4032</v>
      </c>
      <c r="D65" s="147">
        <f>D66+D67+D68</f>
        <v>4032</v>
      </c>
      <c r="E65" s="1284">
        <f t="shared" ref="E65" si="55">E66+E67+E68</f>
        <v>1928</v>
      </c>
      <c r="F65" s="376">
        <f t="shared" si="46"/>
        <v>0.4781746031746032</v>
      </c>
      <c r="G65" s="117"/>
      <c r="H65" s="113"/>
      <c r="I65" s="114"/>
      <c r="J65" s="391"/>
      <c r="K65" s="1286">
        <f>K66+K67+K68</f>
        <v>4032</v>
      </c>
      <c r="L65" s="1287">
        <f t="shared" ref="L65:M65" si="56">L66+L67+L68</f>
        <v>4032</v>
      </c>
      <c r="M65" s="1285">
        <f t="shared" si="56"/>
        <v>1928</v>
      </c>
      <c r="N65" s="885">
        <f t="shared" si="51"/>
        <v>0.4781746031746032</v>
      </c>
    </row>
    <row r="66" spans="1:15" ht="13.5" customHeight="1" x14ac:dyDescent="0.2">
      <c r="A66" s="102" t="s">
        <v>1291</v>
      </c>
      <c r="B66" s="1283" t="s">
        <v>1289</v>
      </c>
      <c r="C66" s="117">
        <f>+'4.SZ.TÁBL. SEGÍTŐ SZOLGÁLAT'!AD77</f>
        <v>415</v>
      </c>
      <c r="D66" s="113">
        <f>+'4.SZ.TÁBL. SEGÍTŐ SZOLGÁLAT'!AE77</f>
        <v>431</v>
      </c>
      <c r="E66" s="114">
        <f>+'4.SZ.TÁBL. SEGÍTŐ SZOLGÁLAT'!AF77</f>
        <v>371</v>
      </c>
      <c r="F66" s="376">
        <f t="shared" si="46"/>
        <v>0.86078886310904867</v>
      </c>
      <c r="G66" s="117"/>
      <c r="H66" s="113"/>
      <c r="I66" s="114"/>
      <c r="J66" s="391"/>
      <c r="K66" s="879">
        <f t="shared" ref="K66:M76" si="57">+C66+G66</f>
        <v>415</v>
      </c>
      <c r="L66" s="925">
        <f t="shared" si="57"/>
        <v>431</v>
      </c>
      <c r="M66" s="926">
        <f t="shared" si="57"/>
        <v>371</v>
      </c>
      <c r="N66" s="885">
        <f t="shared" si="51"/>
        <v>0.86078886310904867</v>
      </c>
    </row>
    <row r="67" spans="1:15" ht="13.5" customHeight="1" x14ac:dyDescent="0.2">
      <c r="A67" s="102" t="s">
        <v>1292</v>
      </c>
      <c r="B67" s="1283" t="s">
        <v>1288</v>
      </c>
      <c r="C67" s="117">
        <f>+'4.SZ.TÁBL. SEGÍTŐ SZOLGÁLAT'!AD78</f>
        <v>3287</v>
      </c>
      <c r="D67" s="113">
        <f>+'4.SZ.TÁBL. SEGÍTŐ SZOLGÁLAT'!AE78</f>
        <v>3271</v>
      </c>
      <c r="E67" s="114">
        <f>+'4.SZ.TÁBL. SEGÍTŐ SZOLGÁLAT'!AF78</f>
        <v>1557</v>
      </c>
      <c r="F67" s="376">
        <f t="shared" si="46"/>
        <v>0.47600122286762458</v>
      </c>
      <c r="G67" s="117"/>
      <c r="H67" s="113"/>
      <c r="I67" s="114"/>
      <c r="J67" s="391"/>
      <c r="K67" s="879">
        <f t="shared" si="57"/>
        <v>3287</v>
      </c>
      <c r="L67" s="925">
        <f t="shared" si="57"/>
        <v>3271</v>
      </c>
      <c r="M67" s="926">
        <f t="shared" si="57"/>
        <v>1557</v>
      </c>
      <c r="N67" s="885">
        <f t="shared" si="51"/>
        <v>0.47600122286762458</v>
      </c>
    </row>
    <row r="68" spans="1:15" ht="13.5" customHeight="1" x14ac:dyDescent="0.2">
      <c r="A68" s="102" t="s">
        <v>1293</v>
      </c>
      <c r="B68" s="1283" t="s">
        <v>1290</v>
      </c>
      <c r="C68" s="117">
        <f>+'4.SZ.TÁBL. SEGÍTŐ SZOLGÁLAT'!AD79</f>
        <v>330</v>
      </c>
      <c r="D68" s="113">
        <f>+'4.SZ.TÁBL. SEGÍTŐ SZOLGÁLAT'!AE79</f>
        <v>330</v>
      </c>
      <c r="E68" s="114">
        <f>+'4.SZ.TÁBL. SEGÍTŐ SZOLGÁLAT'!AF79</f>
        <v>0</v>
      </c>
      <c r="F68" s="376">
        <f t="shared" si="46"/>
        <v>0</v>
      </c>
      <c r="G68" s="117"/>
      <c r="H68" s="113"/>
      <c r="I68" s="114"/>
      <c r="J68" s="391"/>
      <c r="K68" s="879">
        <f t="shared" si="57"/>
        <v>330</v>
      </c>
      <c r="L68" s="925">
        <f t="shared" si="57"/>
        <v>330</v>
      </c>
      <c r="M68" s="926">
        <f t="shared" si="57"/>
        <v>0</v>
      </c>
      <c r="N68" s="885">
        <f t="shared" si="51"/>
        <v>0</v>
      </c>
    </row>
    <row r="69" spans="1:15" ht="13.5" customHeight="1" x14ac:dyDescent="0.2">
      <c r="A69" s="99" t="s">
        <v>167</v>
      </c>
      <c r="B69" s="76" t="s">
        <v>3</v>
      </c>
      <c r="C69" s="111">
        <f>+'4.SZ.TÁBL. SEGÍTŐ SZOLGÁLAT'!AD80</f>
        <v>9080</v>
      </c>
      <c r="D69" s="106">
        <f>+'4.SZ.TÁBL. SEGÍTŐ SZOLGÁLAT'!AE80</f>
        <v>10496</v>
      </c>
      <c r="E69" s="108">
        <f>+'4.SZ.TÁBL. SEGÍTŐ SZOLGÁLAT'!AF80</f>
        <v>9446</v>
      </c>
      <c r="F69" s="377">
        <f t="shared" si="46"/>
        <v>0.89996189024390238</v>
      </c>
      <c r="G69" s="111"/>
      <c r="H69" s="106">
        <v>419</v>
      </c>
      <c r="I69" s="108">
        <v>419</v>
      </c>
      <c r="J69" s="392">
        <f>+I69/H69</f>
        <v>1</v>
      </c>
      <c r="K69" s="897">
        <f t="shared" si="57"/>
        <v>9080</v>
      </c>
      <c r="L69" s="900">
        <f t="shared" si="57"/>
        <v>10915</v>
      </c>
      <c r="M69" s="901">
        <f t="shared" si="57"/>
        <v>9865</v>
      </c>
      <c r="N69" s="898">
        <f t="shared" si="51"/>
        <v>0.90380210719193765</v>
      </c>
    </row>
    <row r="70" spans="1:15" ht="13.5" customHeight="1" x14ac:dyDescent="0.2">
      <c r="A70" s="99" t="s">
        <v>168</v>
      </c>
      <c r="B70" s="76" t="s">
        <v>169</v>
      </c>
      <c r="C70" s="111"/>
      <c r="D70" s="106"/>
      <c r="E70" s="108"/>
      <c r="F70" s="377"/>
      <c r="G70" s="111">
        <v>4000</v>
      </c>
      <c r="H70" s="106">
        <v>4000</v>
      </c>
      <c r="I70" s="108">
        <v>4000</v>
      </c>
      <c r="J70" s="392">
        <f>+I70/H70</f>
        <v>1</v>
      </c>
      <c r="K70" s="897">
        <f t="shared" si="57"/>
        <v>4000</v>
      </c>
      <c r="L70" s="900">
        <f t="shared" si="57"/>
        <v>4000</v>
      </c>
      <c r="M70" s="901">
        <f t="shared" si="57"/>
        <v>4000</v>
      </c>
      <c r="N70" s="898">
        <f t="shared" si="51"/>
        <v>1</v>
      </c>
    </row>
    <row r="71" spans="1:15" ht="13.5" customHeight="1" x14ac:dyDescent="0.2">
      <c r="A71" s="99" t="s">
        <v>170</v>
      </c>
      <c r="B71" s="76" t="s">
        <v>171</v>
      </c>
      <c r="C71" s="111">
        <f>+'4.SZ.TÁBL. SEGÍTŐ SZOLGÁLAT'!AD82</f>
        <v>6679</v>
      </c>
      <c r="D71" s="106">
        <f>+'4.SZ.TÁBL. SEGÍTŐ SZOLGÁLAT'!AE82</f>
        <v>7077</v>
      </c>
      <c r="E71" s="108">
        <f>+'4.SZ.TÁBL. SEGÍTŐ SZOLGÁLAT'!AF82</f>
        <v>5311</v>
      </c>
      <c r="F71" s="377">
        <f>+E71/D71</f>
        <v>0.75045923413875937</v>
      </c>
      <c r="G71" s="111"/>
      <c r="H71" s="106"/>
      <c r="I71" s="108"/>
      <c r="J71" s="392"/>
      <c r="K71" s="897">
        <f t="shared" si="57"/>
        <v>6679</v>
      </c>
      <c r="L71" s="900">
        <f t="shared" si="57"/>
        <v>7077</v>
      </c>
      <c r="M71" s="901">
        <f t="shared" si="57"/>
        <v>5311</v>
      </c>
      <c r="N71" s="898">
        <f>+M71/L71</f>
        <v>0.75045923413875937</v>
      </c>
    </row>
    <row r="72" spans="1:15" ht="13.5" customHeight="1" x14ac:dyDescent="0.2">
      <c r="A72" s="99" t="s">
        <v>172</v>
      </c>
      <c r="B72" s="76" t="s">
        <v>173</v>
      </c>
      <c r="C72" s="111"/>
      <c r="D72" s="106"/>
      <c r="E72" s="108"/>
      <c r="F72" s="377"/>
      <c r="G72" s="111"/>
      <c r="H72" s="479"/>
      <c r="I72" s="108"/>
      <c r="J72" s="385"/>
      <c r="K72" s="897"/>
      <c r="L72" s="900"/>
      <c r="M72" s="901"/>
      <c r="N72" s="939"/>
    </row>
    <row r="73" spans="1:15" s="155" customFormat="1" ht="13.5" customHeight="1" x14ac:dyDescent="0.2">
      <c r="A73" s="103" t="s">
        <v>172</v>
      </c>
      <c r="B73" s="77" t="s">
        <v>216</v>
      </c>
      <c r="C73" s="154"/>
      <c r="D73" s="153"/>
      <c r="E73" s="368"/>
      <c r="F73" s="377"/>
      <c r="G73" s="154"/>
      <c r="H73" s="479"/>
      <c r="I73" s="108"/>
      <c r="J73" s="385"/>
      <c r="K73" s="935"/>
      <c r="L73" s="936"/>
      <c r="M73" s="937"/>
      <c r="N73" s="940"/>
      <c r="O73" s="223"/>
    </row>
    <row r="74" spans="1:15" s="155" customFormat="1" ht="13.5" customHeight="1" x14ac:dyDescent="0.2">
      <c r="A74" s="103" t="s">
        <v>172</v>
      </c>
      <c r="B74" s="77" t="s">
        <v>217</v>
      </c>
      <c r="C74" s="154"/>
      <c r="D74" s="153"/>
      <c r="E74" s="368"/>
      <c r="F74" s="377"/>
      <c r="G74" s="154"/>
      <c r="H74" s="479"/>
      <c r="I74" s="368"/>
      <c r="J74" s="399"/>
      <c r="K74" s="935"/>
      <c r="L74" s="936"/>
      <c r="M74" s="937"/>
      <c r="N74" s="940"/>
      <c r="O74" s="223"/>
    </row>
    <row r="75" spans="1:15" ht="13.5" customHeight="1" x14ac:dyDescent="0.2">
      <c r="A75" s="99" t="s">
        <v>174</v>
      </c>
      <c r="B75" s="76" t="s">
        <v>175</v>
      </c>
      <c r="C75" s="111">
        <f>+'4.SZ.TÁBL. SEGÍTŐ SZOLGÁLAT'!AD86</f>
        <v>962</v>
      </c>
      <c r="D75" s="106">
        <f>+'4.SZ.TÁBL. SEGÍTŐ SZOLGÁLAT'!AE86</f>
        <v>556</v>
      </c>
      <c r="E75" s="108">
        <f>+'4.SZ.TÁBL. SEGÍTŐ SZOLGÁLAT'!AF86</f>
        <v>240</v>
      </c>
      <c r="F75" s="377">
        <f>+E75/D75</f>
        <v>0.43165467625899279</v>
      </c>
      <c r="G75" s="445">
        <v>27447</v>
      </c>
      <c r="H75" s="479">
        <v>45149</v>
      </c>
      <c r="I75" s="108">
        <v>42881</v>
      </c>
      <c r="J75" s="392">
        <f>+I75/H75</f>
        <v>0.94976632926532145</v>
      </c>
      <c r="K75" s="897">
        <f t="shared" si="57"/>
        <v>28409</v>
      </c>
      <c r="L75" s="900">
        <f t="shared" si="57"/>
        <v>45705</v>
      </c>
      <c r="M75" s="901">
        <f t="shared" si="57"/>
        <v>43121</v>
      </c>
      <c r="N75" s="898">
        <f>+M75/L75</f>
        <v>0.94346351602669287</v>
      </c>
    </row>
    <row r="76" spans="1:15" ht="29.25" customHeight="1" x14ac:dyDescent="0.2">
      <c r="A76" s="100" t="s">
        <v>176</v>
      </c>
      <c r="B76" s="87" t="s">
        <v>274</v>
      </c>
      <c r="C76" s="125">
        <f>+'4.SZ.TÁBL. SEGÍTŐ SZOLGÁLAT'!AD87</f>
        <v>8060</v>
      </c>
      <c r="D76" s="121">
        <f>+'4.SZ.TÁBL. SEGÍTŐ SZOLGÁLAT'!AE87</f>
        <v>8364</v>
      </c>
      <c r="E76" s="122">
        <f>+'4.SZ.TÁBL. SEGÍTŐ SZOLGÁLAT'!AF87</f>
        <v>7977</v>
      </c>
      <c r="F76" s="378">
        <f>+E76/D76</f>
        <v>0.95373027259684362</v>
      </c>
      <c r="G76" s="445">
        <v>535</v>
      </c>
      <c r="H76" s="479">
        <v>761</v>
      </c>
      <c r="I76" s="108">
        <v>628</v>
      </c>
      <c r="J76" s="393">
        <f>+I76/H76</f>
        <v>0.82522996057818665</v>
      </c>
      <c r="K76" s="902">
        <f t="shared" si="57"/>
        <v>8595</v>
      </c>
      <c r="L76" s="903">
        <f t="shared" si="57"/>
        <v>9125</v>
      </c>
      <c r="M76" s="904">
        <f t="shared" si="57"/>
        <v>8605</v>
      </c>
      <c r="N76" s="932">
        <f>+M76/L76</f>
        <v>0.94301369863013695</v>
      </c>
    </row>
    <row r="77" spans="1:15" s="180" customFormat="1" ht="13.5" customHeight="1" x14ac:dyDescent="0.2">
      <c r="A77" s="101" t="s">
        <v>115</v>
      </c>
      <c r="B77" s="88" t="s">
        <v>77</v>
      </c>
      <c r="C77" s="941">
        <f>+SUM(C65+C71+C72+C69+C70,C75:C76)</f>
        <v>28813</v>
      </c>
      <c r="D77" s="950">
        <f>+SUM(D65+D71+D72+D69+D70,D75:D76)</f>
        <v>30525</v>
      </c>
      <c r="E77" s="179">
        <f t="shared" ref="E77" si="58">+SUM(E65+E71+E72+E69,E75:E76)</f>
        <v>24902</v>
      </c>
      <c r="F77" s="374">
        <f>+E77/D77</f>
        <v>0.81579033579033577</v>
      </c>
      <c r="G77" s="941">
        <f>+SUM(G65+G71+G72+G69+G70,G75:G76)</f>
        <v>31982</v>
      </c>
      <c r="H77" s="950">
        <f>+SUM(H65+H71+H72+H69+H70,H75:H76)</f>
        <v>50329</v>
      </c>
      <c r="I77" s="179">
        <f>+SUM(I65+I71+I72+I69+I70,I75:I76)</f>
        <v>47928</v>
      </c>
      <c r="J77" s="387">
        <f>+I77/H77</f>
        <v>0.95229390609787601</v>
      </c>
      <c r="K77" s="941">
        <f>+SUM(K65+K71+K72+K69+K70,K75:K76)</f>
        <v>60795</v>
      </c>
      <c r="L77" s="942">
        <f>+SUM(L65+L71+L72+L69+L70,L75:L76)</f>
        <v>80854</v>
      </c>
      <c r="M77" s="943">
        <f>+SUM(M65+M71+M72+M69+M70,M75:M76)</f>
        <v>72830</v>
      </c>
      <c r="N77" s="907">
        <f>+M77/L77</f>
        <v>0.90075939347465805</v>
      </c>
      <c r="O77" s="224"/>
    </row>
    <row r="78" spans="1:15" ht="13.5" customHeight="1" x14ac:dyDescent="0.2">
      <c r="A78" s="98" t="s">
        <v>177</v>
      </c>
      <c r="B78" s="86" t="s">
        <v>178</v>
      </c>
      <c r="C78" s="117">
        <f>+'4.SZ.TÁBL. SEGÍTŐ SZOLGÁLAT'!AD89</f>
        <v>1185</v>
      </c>
      <c r="D78" s="113">
        <f>+'4.SZ.TÁBL. SEGÍTŐ SZOLGÁLAT'!AE89</f>
        <v>1307</v>
      </c>
      <c r="E78" s="114">
        <f>+'4.SZ.TÁBL. SEGÍTŐ SZOLGÁLAT'!AF89</f>
        <v>1142</v>
      </c>
      <c r="F78" s="376">
        <f>+E78/D78</f>
        <v>0.87375669472073447</v>
      </c>
      <c r="G78" s="117"/>
      <c r="H78" s="113"/>
      <c r="I78" s="114"/>
      <c r="J78" s="391"/>
      <c r="K78" s="879">
        <f t="shared" ref="K78:M78" si="59">+C78+G78</f>
        <v>1185</v>
      </c>
      <c r="L78" s="925">
        <f t="shared" si="59"/>
        <v>1307</v>
      </c>
      <c r="M78" s="926">
        <f t="shared" si="59"/>
        <v>1142</v>
      </c>
      <c r="N78" s="885">
        <f>+M78/L78</f>
        <v>0.87375669472073447</v>
      </c>
    </row>
    <row r="79" spans="1:15" ht="13.5" customHeight="1" x14ac:dyDescent="0.2">
      <c r="A79" s="100" t="s">
        <v>179</v>
      </c>
      <c r="B79" s="87" t="s">
        <v>180</v>
      </c>
      <c r="C79" s="125"/>
      <c r="D79" s="121"/>
      <c r="E79" s="122"/>
      <c r="F79" s="378"/>
      <c r="G79" s="125"/>
      <c r="H79" s="121"/>
      <c r="I79" s="122"/>
      <c r="J79" s="393"/>
      <c r="K79" s="902"/>
      <c r="L79" s="903"/>
      <c r="M79" s="904"/>
      <c r="N79" s="944"/>
    </row>
    <row r="80" spans="1:15" s="180" customFormat="1" ht="13.5" customHeight="1" x14ac:dyDescent="0.2">
      <c r="A80" s="101" t="s">
        <v>116</v>
      </c>
      <c r="B80" s="88" t="s">
        <v>78</v>
      </c>
      <c r="C80" s="158">
        <f>+SUM(C78:C79)</f>
        <v>1185</v>
      </c>
      <c r="D80" s="161">
        <f t="shared" ref="D80:E80" si="60">+SUM(D78:D79)</f>
        <v>1307</v>
      </c>
      <c r="E80" s="164">
        <f t="shared" si="60"/>
        <v>1142</v>
      </c>
      <c r="F80" s="374">
        <f>+E80/D80</f>
        <v>0.87375669472073447</v>
      </c>
      <c r="G80" s="482">
        <f>+SUM(G78:G79)</f>
        <v>0</v>
      </c>
      <c r="H80" s="483">
        <f t="shared" ref="H80" si="61">+SUM(H78:H79)</f>
        <v>0</v>
      </c>
      <c r="I80" s="484">
        <f t="shared" ref="I80" si="62">+SUM(I78:I79)</f>
        <v>0</v>
      </c>
      <c r="J80" s="387"/>
      <c r="K80" s="890">
        <f t="shared" ref="K80:M80" si="63">+SUM(K78:K79)</f>
        <v>1185</v>
      </c>
      <c r="L80" s="905">
        <f t="shared" si="63"/>
        <v>1307</v>
      </c>
      <c r="M80" s="906">
        <f t="shared" si="63"/>
        <v>1142</v>
      </c>
      <c r="N80" s="907">
        <f>+M80/L80</f>
        <v>0.87375669472073447</v>
      </c>
      <c r="O80" s="224"/>
    </row>
    <row r="81" spans="1:15" ht="13.5" customHeight="1" x14ac:dyDescent="0.2">
      <c r="A81" s="98" t="s">
        <v>181</v>
      </c>
      <c r="B81" s="86" t="s">
        <v>182</v>
      </c>
      <c r="C81" s="117">
        <f>+'4.SZ.TÁBL. SEGÍTŐ SZOLGÁLAT'!AD92</f>
        <v>10400</v>
      </c>
      <c r="D81" s="113">
        <f>+'4.SZ.TÁBL. SEGÍTŐ SZOLGÁLAT'!AE92</f>
        <v>10145</v>
      </c>
      <c r="E81" s="114">
        <f>+'4.SZ.TÁBL. SEGÍTŐ SZOLGÁLAT'!AF92</f>
        <v>7808</v>
      </c>
      <c r="F81" s="376">
        <f>+E81/D81</f>
        <v>0.76964021685559392</v>
      </c>
      <c r="G81" s="445">
        <v>612</v>
      </c>
      <c r="H81" s="479">
        <v>1255</v>
      </c>
      <c r="I81" s="114">
        <v>643</v>
      </c>
      <c r="J81" s="391">
        <f>+I81/H81</f>
        <v>0.5123505976095617</v>
      </c>
      <c r="K81" s="879">
        <f>+C81+G81</f>
        <v>11012</v>
      </c>
      <c r="L81" s="925">
        <f t="shared" ref="K81:M85" si="64">+D81+H81</f>
        <v>11400</v>
      </c>
      <c r="M81" s="926">
        <f t="shared" si="64"/>
        <v>8451</v>
      </c>
      <c r="N81" s="885">
        <f>+M81/L81</f>
        <v>0.74131578947368426</v>
      </c>
    </row>
    <row r="82" spans="1:15" ht="13.5" customHeight="1" x14ac:dyDescent="0.2">
      <c r="A82" s="99" t="s">
        <v>183</v>
      </c>
      <c r="B82" s="76" t="s">
        <v>184</v>
      </c>
      <c r="C82" s="111">
        <f>+'4.SZ.TÁBL. SEGÍTŐ SZOLGÁLAT'!AD93</f>
        <v>500</v>
      </c>
      <c r="D82" s="106">
        <f>+'4.SZ.TÁBL. SEGÍTŐ SZOLGÁLAT'!AE93</f>
        <v>636</v>
      </c>
      <c r="E82" s="108">
        <f>+'4.SZ.TÁBL. SEGÍTŐ SZOLGÁLAT'!AF93</f>
        <v>136</v>
      </c>
      <c r="F82" s="376">
        <f>+E82/D82</f>
        <v>0.21383647798742139</v>
      </c>
      <c r="G82" s="111"/>
      <c r="H82" s="479">
        <v>55</v>
      </c>
      <c r="I82" s="108">
        <v>55</v>
      </c>
      <c r="J82" s="391">
        <f>+I82/H82</f>
        <v>1</v>
      </c>
      <c r="K82" s="879">
        <f>+C82+G82</f>
        <v>500</v>
      </c>
      <c r="L82" s="925">
        <f t="shared" si="64"/>
        <v>691</v>
      </c>
      <c r="M82" s="901">
        <f t="shared" si="64"/>
        <v>191</v>
      </c>
      <c r="N82" s="885">
        <f>+M82/L82</f>
        <v>0.27641099855282197</v>
      </c>
    </row>
    <row r="83" spans="1:15" ht="13.5" customHeight="1" x14ac:dyDescent="0.2">
      <c r="A83" s="99" t="s">
        <v>185</v>
      </c>
      <c r="B83" s="76" t="s">
        <v>186</v>
      </c>
      <c r="C83" s="111"/>
      <c r="D83" s="106"/>
      <c r="E83" s="108"/>
      <c r="F83" s="377"/>
      <c r="G83" s="111"/>
      <c r="H83" s="479"/>
      <c r="I83" s="108"/>
      <c r="J83" s="392"/>
      <c r="K83" s="897"/>
      <c r="L83" s="900"/>
      <c r="M83" s="901"/>
      <c r="N83" s="939"/>
    </row>
    <row r="84" spans="1:15" ht="13.5" customHeight="1" x14ac:dyDescent="0.2">
      <c r="A84" s="99" t="s">
        <v>187</v>
      </c>
      <c r="B84" s="76" t="s">
        <v>188</v>
      </c>
      <c r="C84" s="111"/>
      <c r="D84" s="106"/>
      <c r="E84" s="108"/>
      <c r="F84" s="377"/>
      <c r="G84" s="111"/>
      <c r="H84" s="479"/>
      <c r="I84" s="108"/>
      <c r="J84" s="392"/>
      <c r="K84" s="897"/>
      <c r="L84" s="900"/>
      <c r="M84" s="901"/>
      <c r="N84" s="939"/>
    </row>
    <row r="85" spans="1:15" ht="13.5" customHeight="1" x14ac:dyDescent="0.2">
      <c r="A85" s="100" t="s">
        <v>189</v>
      </c>
      <c r="B85" s="87" t="s">
        <v>275</v>
      </c>
      <c r="C85" s="125">
        <f>+'4.SZ.TÁBL. SEGÍTŐ SZOLGÁLAT'!AD96</f>
        <v>540</v>
      </c>
      <c r="D85" s="121">
        <f>+'4.SZ.TÁBL. SEGÍTŐ SZOLGÁLAT'!AE96</f>
        <v>473</v>
      </c>
      <c r="E85" s="122">
        <f>+'4.SZ.TÁBL. SEGÍTŐ SZOLGÁLAT'!AF96</f>
        <v>194</v>
      </c>
      <c r="F85" s="378">
        <f>+E85/D85</f>
        <v>0.41014799154334036</v>
      </c>
      <c r="G85" s="445"/>
      <c r="H85" s="479"/>
      <c r="I85" s="122"/>
      <c r="J85" s="391"/>
      <c r="K85" s="902">
        <f t="shared" si="64"/>
        <v>540</v>
      </c>
      <c r="L85" s="903">
        <f t="shared" si="64"/>
        <v>473</v>
      </c>
      <c r="M85" s="904">
        <f t="shared" si="64"/>
        <v>194</v>
      </c>
      <c r="N85" s="932">
        <f t="shared" ref="N85:N94" si="65">+M85/L85</f>
        <v>0.41014799154334036</v>
      </c>
    </row>
    <row r="86" spans="1:15" s="180" customFormat="1" ht="13.5" customHeight="1" x14ac:dyDescent="0.2">
      <c r="A86" s="101" t="s">
        <v>117</v>
      </c>
      <c r="B86" s="88" t="s">
        <v>79</v>
      </c>
      <c r="C86" s="158">
        <f>SUM(C81:C85)</f>
        <v>11440</v>
      </c>
      <c r="D86" s="161">
        <f t="shared" ref="D86:E86" si="66">SUM(D81:D85)</f>
        <v>11254</v>
      </c>
      <c r="E86" s="164">
        <f t="shared" si="66"/>
        <v>8138</v>
      </c>
      <c r="F86" s="374">
        <f>+E86/D86</f>
        <v>0.72312066820685983</v>
      </c>
      <c r="G86" s="482">
        <f>+SUM(G81:G85)</f>
        <v>612</v>
      </c>
      <c r="H86" s="483">
        <f t="shared" ref="H86" si="67">+SUM(H81:H85)</f>
        <v>1310</v>
      </c>
      <c r="I86" s="484">
        <f t="shared" ref="I86" si="68">+SUM(I81:I85)</f>
        <v>698</v>
      </c>
      <c r="J86" s="387">
        <f t="shared" ref="J86:J89" si="69">+I86/H86</f>
        <v>0.53282442748091607</v>
      </c>
      <c r="K86" s="890">
        <f>+SUM(K81:K85)</f>
        <v>12052</v>
      </c>
      <c r="L86" s="905">
        <f>+SUM(L81:L85)</f>
        <v>12564</v>
      </c>
      <c r="M86" s="906">
        <f>+SUM(M81:M85)</f>
        <v>8836</v>
      </c>
      <c r="N86" s="907">
        <f t="shared" si="65"/>
        <v>0.70327921044253427</v>
      </c>
      <c r="O86" s="224"/>
    </row>
    <row r="87" spans="1:15" s="180" customFormat="1" ht="13.5" customHeight="1" x14ac:dyDescent="0.2">
      <c r="A87" s="101" t="s">
        <v>118</v>
      </c>
      <c r="B87" s="88" t="s">
        <v>80</v>
      </c>
      <c r="C87" s="158">
        <f>+C61+C64+C77+C80+C86</f>
        <v>51143</v>
      </c>
      <c r="D87" s="161">
        <f t="shared" ref="D87:E87" si="70">+D61+D64+D77+D80+D86</f>
        <v>53135</v>
      </c>
      <c r="E87" s="164">
        <f t="shared" si="70"/>
        <v>41672</v>
      </c>
      <c r="F87" s="374">
        <f>+E87/D87</f>
        <v>0.78426649101345625</v>
      </c>
      <c r="G87" s="482">
        <f>+G61+G64+G77+G80+G86</f>
        <v>32594</v>
      </c>
      <c r="H87" s="483">
        <f t="shared" ref="H87" si="71">+H61+H64+H77+H80+H86</f>
        <v>51835</v>
      </c>
      <c r="I87" s="484">
        <f t="shared" ref="I87" si="72">+I61+I64+I77+I80+I86</f>
        <v>48822</v>
      </c>
      <c r="J87" s="387">
        <f t="shared" si="69"/>
        <v>0.94187325166393365</v>
      </c>
      <c r="K87" s="890">
        <f t="shared" ref="K87:M87" si="73">+K61+K64+K77+K80+K86</f>
        <v>83737</v>
      </c>
      <c r="L87" s="905">
        <f t="shared" si="73"/>
        <v>104970</v>
      </c>
      <c r="M87" s="906">
        <f t="shared" si="73"/>
        <v>90494</v>
      </c>
      <c r="N87" s="907">
        <f t="shared" si="65"/>
        <v>0.86209393159950465</v>
      </c>
      <c r="O87" s="224"/>
    </row>
    <row r="88" spans="1:15" x14ac:dyDescent="0.2">
      <c r="A88" s="98" t="s">
        <v>227</v>
      </c>
      <c r="B88" s="96" t="s">
        <v>228</v>
      </c>
      <c r="C88" s="117"/>
      <c r="D88" s="113"/>
      <c r="E88" s="114"/>
      <c r="F88" s="1178"/>
      <c r="G88" s="117">
        <f>+SUM(G89:G89)</f>
        <v>7000</v>
      </c>
      <c r="H88" s="113">
        <f>+SUM(H89:H89)</f>
        <v>22506</v>
      </c>
      <c r="I88" s="114">
        <f>+SUM(I89:I89)</f>
        <v>22506</v>
      </c>
      <c r="J88" s="391">
        <f t="shared" si="69"/>
        <v>1</v>
      </c>
      <c r="K88" s="879">
        <f>SUM(K89:K90)</f>
        <v>9628</v>
      </c>
      <c r="L88" s="925">
        <f>+SUM(L89:L89)</f>
        <v>22506</v>
      </c>
      <c r="M88" s="926">
        <f>SUM(M89:M89)</f>
        <v>22506</v>
      </c>
      <c r="N88" s="885">
        <f t="shared" si="65"/>
        <v>1</v>
      </c>
    </row>
    <row r="89" spans="1:15" s="155" customFormat="1" x14ac:dyDescent="0.2">
      <c r="A89" s="104" t="s">
        <v>227</v>
      </c>
      <c r="B89" s="97" t="s">
        <v>276</v>
      </c>
      <c r="C89" s="159"/>
      <c r="D89" s="160"/>
      <c r="E89" s="367"/>
      <c r="F89" s="377"/>
      <c r="G89" s="445">
        <v>7000</v>
      </c>
      <c r="H89" s="479">
        <v>22506</v>
      </c>
      <c r="I89" s="122">
        <v>22506</v>
      </c>
      <c r="J89" s="400">
        <f t="shared" si="69"/>
        <v>1</v>
      </c>
      <c r="K89" s="902">
        <f t="shared" ref="K89:M91" si="74">+C89+G89</f>
        <v>7000</v>
      </c>
      <c r="L89" s="903">
        <f t="shared" si="74"/>
        <v>22506</v>
      </c>
      <c r="M89" s="904">
        <f>+E89+I89</f>
        <v>22506</v>
      </c>
      <c r="N89" s="885">
        <f t="shared" si="65"/>
        <v>1</v>
      </c>
      <c r="O89" s="223"/>
    </row>
    <row r="90" spans="1:15" s="155" customFormat="1" ht="28.15" customHeight="1" x14ac:dyDescent="0.2">
      <c r="A90" s="1112" t="s">
        <v>229</v>
      </c>
      <c r="B90" s="1113" t="s">
        <v>1233</v>
      </c>
      <c r="C90" s="159"/>
      <c r="D90" s="160"/>
      <c r="E90" s="369"/>
      <c r="F90" s="377"/>
      <c r="G90" s="445">
        <v>2628</v>
      </c>
      <c r="H90" s="479">
        <v>2628</v>
      </c>
      <c r="I90" s="122">
        <v>2628</v>
      </c>
      <c r="J90" s="400">
        <f>+I90/H90</f>
        <v>1</v>
      </c>
      <c r="K90" s="902">
        <f t="shared" si="74"/>
        <v>2628</v>
      </c>
      <c r="L90" s="903">
        <f t="shared" si="74"/>
        <v>2628</v>
      </c>
      <c r="M90" s="904">
        <f t="shared" si="74"/>
        <v>2628</v>
      </c>
      <c r="N90" s="947">
        <f t="shared" si="65"/>
        <v>1</v>
      </c>
      <c r="O90" s="223"/>
    </row>
    <row r="91" spans="1:15" ht="13.5" customHeight="1" x14ac:dyDescent="0.2">
      <c r="A91" s="234" t="s">
        <v>1216</v>
      </c>
      <c r="B91" s="235" t="s">
        <v>230</v>
      </c>
      <c r="C91" s="111"/>
      <c r="D91" s="106"/>
      <c r="E91" s="108"/>
      <c r="F91" s="377"/>
      <c r="G91" s="106">
        <f>SUM(G92:G94)</f>
        <v>4893</v>
      </c>
      <c r="H91" s="106">
        <f>+SUM(H92:H94)</f>
        <v>32686</v>
      </c>
      <c r="I91" s="108">
        <f>+SUM(I92:I94)</f>
        <v>0</v>
      </c>
      <c r="J91" s="400">
        <f t="shared" ref="J91:J94" si="75">+I91/H91</f>
        <v>0</v>
      </c>
      <c r="K91" s="111">
        <f t="shared" si="74"/>
        <v>4893</v>
      </c>
      <c r="L91" s="900">
        <f>+SUM(L92:L94)</f>
        <v>32686</v>
      </c>
      <c r="M91" s="901">
        <f>+SUM(M92:M94)</f>
        <v>0</v>
      </c>
      <c r="N91" s="948">
        <f t="shared" si="65"/>
        <v>0</v>
      </c>
    </row>
    <row r="92" spans="1:15" s="155" customFormat="1" ht="13.5" customHeight="1" x14ac:dyDescent="0.2">
      <c r="A92" s="236"/>
      <c r="B92" s="237" t="s">
        <v>1184</v>
      </c>
      <c r="C92" s="154"/>
      <c r="D92" s="153"/>
      <c r="E92" s="368"/>
      <c r="F92" s="380"/>
      <c r="G92" s="445"/>
      <c r="H92" s="479">
        <v>3789</v>
      </c>
      <c r="I92" s="368">
        <v>0</v>
      </c>
      <c r="J92" s="400">
        <f t="shared" si="75"/>
        <v>0</v>
      </c>
      <c r="K92" s="945">
        <f t="shared" ref="K92:M94" si="76">+C92+G92</f>
        <v>0</v>
      </c>
      <c r="L92" s="936">
        <f t="shared" si="76"/>
        <v>3789</v>
      </c>
      <c r="M92" s="937">
        <f t="shared" si="76"/>
        <v>0</v>
      </c>
      <c r="N92" s="949">
        <f t="shared" si="65"/>
        <v>0</v>
      </c>
      <c r="O92" s="223"/>
    </row>
    <row r="93" spans="1:15" s="155" customFormat="1" ht="13.5" customHeight="1" x14ac:dyDescent="0.2">
      <c r="A93" s="104"/>
      <c r="B93" s="97" t="s">
        <v>1185</v>
      </c>
      <c r="C93" s="159"/>
      <c r="D93" s="160"/>
      <c r="E93" s="369"/>
      <c r="F93" s="380"/>
      <c r="G93" s="445">
        <v>2069</v>
      </c>
      <c r="H93" s="479">
        <v>21296</v>
      </c>
      <c r="I93" s="369">
        <v>0</v>
      </c>
      <c r="J93" s="400">
        <f t="shared" si="75"/>
        <v>0</v>
      </c>
      <c r="K93" s="945">
        <f t="shared" si="76"/>
        <v>2069</v>
      </c>
      <c r="L93" s="936">
        <f t="shared" si="76"/>
        <v>21296</v>
      </c>
      <c r="M93" s="946">
        <v>0</v>
      </c>
      <c r="N93" s="949">
        <f t="shared" si="65"/>
        <v>0</v>
      </c>
      <c r="O93" s="223"/>
    </row>
    <row r="94" spans="1:15" s="155" customFormat="1" ht="13.5" customHeight="1" x14ac:dyDescent="0.2">
      <c r="A94" s="104"/>
      <c r="B94" s="97" t="s">
        <v>255</v>
      </c>
      <c r="C94" s="159"/>
      <c r="D94" s="160"/>
      <c r="E94" s="369"/>
      <c r="F94" s="1102"/>
      <c r="G94" s="445">
        <v>2824</v>
      </c>
      <c r="H94" s="479">
        <v>7601</v>
      </c>
      <c r="I94" s="369">
        <v>0</v>
      </c>
      <c r="J94" s="400">
        <f t="shared" si="75"/>
        <v>0</v>
      </c>
      <c r="K94" s="945"/>
      <c r="L94" s="936">
        <f t="shared" si="76"/>
        <v>7601</v>
      </c>
      <c r="M94" s="946">
        <v>0</v>
      </c>
      <c r="N94" s="949">
        <f t="shared" si="65"/>
        <v>0</v>
      </c>
      <c r="O94" s="223"/>
    </row>
    <row r="95" spans="1:15" s="180" customFormat="1" ht="13.5" customHeight="1" x14ac:dyDescent="0.2">
      <c r="A95" s="101" t="s">
        <v>119</v>
      </c>
      <c r="B95" s="88" t="s">
        <v>81</v>
      </c>
      <c r="C95" s="158">
        <f>+C88+C91</f>
        <v>0</v>
      </c>
      <c r="D95" s="161">
        <f>+D88+D91</f>
        <v>0</v>
      </c>
      <c r="E95" s="164">
        <f>+E88+E91</f>
        <v>0</v>
      </c>
      <c r="F95" s="1109"/>
      <c r="G95" s="941">
        <f>+G88+G91+G90</f>
        <v>14521</v>
      </c>
      <c r="H95" s="950">
        <f>+H88+H91+H90</f>
        <v>57820</v>
      </c>
      <c r="I95" s="179">
        <f>+I88+I91+I90</f>
        <v>25134</v>
      </c>
      <c r="J95" s="1179">
        <f>+I95/H95</f>
        <v>0.4346938775510204</v>
      </c>
      <c r="K95" s="941">
        <f>+K88+K91</f>
        <v>14521</v>
      </c>
      <c r="L95" s="950">
        <f>+L88+L91+L90</f>
        <v>57820</v>
      </c>
      <c r="M95" s="950">
        <f>+M88+M91+M90</f>
        <v>25134</v>
      </c>
      <c r="N95" s="907">
        <f>+M95/L95</f>
        <v>0.4346938775510204</v>
      </c>
      <c r="O95" s="224"/>
    </row>
    <row r="96" spans="1:15" ht="13.5" customHeight="1" x14ac:dyDescent="0.2">
      <c r="A96" s="98" t="s">
        <v>190</v>
      </c>
      <c r="B96" s="86" t="s">
        <v>191</v>
      </c>
      <c r="C96" s="117"/>
      <c r="D96" s="113"/>
      <c r="E96" s="114"/>
      <c r="F96" s="376"/>
      <c r="G96" s="117"/>
      <c r="H96" s="479"/>
      <c r="I96" s="114"/>
      <c r="J96" s="391"/>
      <c r="K96" s="879"/>
      <c r="L96" s="925"/>
      <c r="M96" s="926"/>
      <c r="N96" s="951"/>
    </row>
    <row r="97" spans="1:15" ht="13.5" customHeight="1" x14ac:dyDescent="0.2">
      <c r="A97" s="99" t="s">
        <v>192</v>
      </c>
      <c r="B97" s="76" t="s">
        <v>193</v>
      </c>
      <c r="C97" s="111"/>
      <c r="D97" s="106"/>
      <c r="E97" s="108"/>
      <c r="F97" s="377"/>
      <c r="G97" s="111"/>
      <c r="H97" s="479"/>
      <c r="I97" s="108"/>
      <c r="J97" s="392"/>
      <c r="K97" s="897"/>
      <c r="L97" s="900"/>
      <c r="M97" s="901"/>
      <c r="N97" s="939"/>
    </row>
    <row r="98" spans="1:15" ht="13.5" customHeight="1" x14ac:dyDescent="0.2">
      <c r="A98" s="99" t="s">
        <v>194</v>
      </c>
      <c r="B98" s="76" t="s">
        <v>195</v>
      </c>
      <c r="C98" s="111">
        <f>+'4.SZ.TÁBL. SEGÍTŐ SZOLGÁLAT'!AD105</f>
        <v>473</v>
      </c>
      <c r="D98" s="106">
        <f>+'4.SZ.TÁBL. SEGÍTŐ SZOLGÁLAT'!AE105</f>
        <v>473</v>
      </c>
      <c r="E98" s="108">
        <f>+'4.SZ.TÁBL. SEGÍTŐ SZOLGÁLAT'!AF105</f>
        <v>306</v>
      </c>
      <c r="F98" s="378">
        <f>E98/D98</f>
        <v>0.64693446088794926</v>
      </c>
      <c r="G98" s="111"/>
      <c r="H98" s="479"/>
      <c r="I98" s="108"/>
      <c r="J98" s="392"/>
      <c r="K98" s="897">
        <f t="shared" ref="K98:K99" si="77">+C98+G98</f>
        <v>473</v>
      </c>
      <c r="L98" s="900">
        <f t="shared" ref="L98:M102" si="78">+D98+H98</f>
        <v>473</v>
      </c>
      <c r="M98" s="901">
        <f t="shared" si="78"/>
        <v>306</v>
      </c>
      <c r="N98" s="939">
        <f>+M98/L98</f>
        <v>0.64693446088794926</v>
      </c>
    </row>
    <row r="99" spans="1:15" ht="13.5" customHeight="1" x14ac:dyDescent="0.2">
      <c r="A99" s="99" t="s">
        <v>196</v>
      </c>
      <c r="B99" s="76" t="s">
        <v>197</v>
      </c>
      <c r="C99" s="111">
        <f>+'4.SZ.TÁBL. SEGÍTŐ SZOLGÁLAT'!AD106</f>
        <v>631</v>
      </c>
      <c r="D99" s="106">
        <f>+'4.SZ.TÁBL. SEGÍTŐ SZOLGÁLAT'!AE106</f>
        <v>1659</v>
      </c>
      <c r="E99" s="108">
        <f>+'4.SZ.TÁBL. SEGÍTŐ SZOLGÁLAT'!AF106</f>
        <v>1385</v>
      </c>
      <c r="F99" s="378">
        <f>E99/D99</f>
        <v>0.83484026522001209</v>
      </c>
      <c r="G99" s="111"/>
      <c r="H99" s="479">
        <v>29</v>
      </c>
      <c r="I99" s="108">
        <v>29</v>
      </c>
      <c r="J99" s="392"/>
      <c r="K99" s="897">
        <f t="shared" si="77"/>
        <v>631</v>
      </c>
      <c r="L99" s="900">
        <f t="shared" si="78"/>
        <v>1688</v>
      </c>
      <c r="M99" s="901">
        <f t="shared" si="78"/>
        <v>1414</v>
      </c>
      <c r="N99" s="898">
        <f>+M99/L99</f>
        <v>0.83767772511848337</v>
      </c>
    </row>
    <row r="100" spans="1:15" ht="13.5" customHeight="1" x14ac:dyDescent="0.2">
      <c r="A100" s="99" t="s">
        <v>198</v>
      </c>
      <c r="B100" s="76" t="s">
        <v>199</v>
      </c>
      <c r="C100" s="111"/>
      <c r="D100" s="106"/>
      <c r="E100" s="108"/>
      <c r="F100" s="377"/>
      <c r="G100" s="111"/>
      <c r="H100" s="479"/>
      <c r="I100" s="108"/>
      <c r="J100" s="392"/>
      <c r="K100" s="897"/>
      <c r="L100" s="900"/>
      <c r="M100" s="901"/>
      <c r="N100" s="939"/>
    </row>
    <row r="101" spans="1:15" ht="13.5" customHeight="1" x14ac:dyDescent="0.2">
      <c r="A101" s="99" t="s">
        <v>200</v>
      </c>
      <c r="B101" s="76" t="s">
        <v>201</v>
      </c>
      <c r="C101" s="111"/>
      <c r="D101" s="106"/>
      <c r="E101" s="108"/>
      <c r="F101" s="377"/>
      <c r="G101" s="111"/>
      <c r="H101" s="479"/>
      <c r="I101" s="108"/>
      <c r="J101" s="392"/>
      <c r="K101" s="897"/>
      <c r="L101" s="900"/>
      <c r="M101" s="901"/>
      <c r="N101" s="939"/>
    </row>
    <row r="102" spans="1:15" ht="13.5" customHeight="1" x14ac:dyDescent="0.2">
      <c r="A102" s="100" t="s">
        <v>202</v>
      </c>
      <c r="B102" s="87" t="s">
        <v>203</v>
      </c>
      <c r="C102" s="125">
        <f>+'4.SZ.TÁBL. SEGÍTŐ SZOLGÁLAT'!AD109</f>
        <v>296</v>
      </c>
      <c r="D102" s="121">
        <f>+'4.SZ.TÁBL. SEGÍTŐ SZOLGÁLAT'!AE109</f>
        <v>552</v>
      </c>
      <c r="E102" s="122">
        <f>+'4.SZ.TÁBL. SEGÍTŐ SZOLGÁLAT'!AF109</f>
        <v>457</v>
      </c>
      <c r="F102" s="378">
        <f>E102/D102</f>
        <v>0.82789855072463769</v>
      </c>
      <c r="G102" s="125"/>
      <c r="H102" s="479">
        <v>8</v>
      </c>
      <c r="I102" s="122">
        <v>8</v>
      </c>
      <c r="J102" s="393"/>
      <c r="K102" s="902">
        <f t="shared" ref="K102" si="79">+C102+G102</f>
        <v>296</v>
      </c>
      <c r="L102" s="903">
        <f t="shared" si="78"/>
        <v>560</v>
      </c>
      <c r="M102" s="904">
        <f t="shared" si="78"/>
        <v>465</v>
      </c>
      <c r="N102" s="932">
        <f>+M102/L102</f>
        <v>0.8303571428571429</v>
      </c>
    </row>
    <row r="103" spans="1:15" s="180" customFormat="1" ht="13.5" customHeight="1" x14ac:dyDescent="0.2">
      <c r="A103" s="101" t="s">
        <v>120</v>
      </c>
      <c r="B103" s="88" t="s">
        <v>43</v>
      </c>
      <c r="C103" s="158">
        <f>SUM(C96:C102)</f>
        <v>1400</v>
      </c>
      <c r="D103" s="161">
        <f t="shared" ref="D103:E103" si="80">SUM(D96:D102)</f>
        <v>2684</v>
      </c>
      <c r="E103" s="164">
        <f t="shared" si="80"/>
        <v>2148</v>
      </c>
      <c r="F103" s="374">
        <f>E103/D103</f>
        <v>0.80029806259314451</v>
      </c>
      <c r="G103" s="482">
        <f>+SUM(G96:G102)</f>
        <v>0</v>
      </c>
      <c r="H103" s="483">
        <f t="shared" ref="H103" si="81">+SUM(H96:H102)</f>
        <v>37</v>
      </c>
      <c r="I103" s="484">
        <f t="shared" ref="I103" si="82">+SUM(I96:I102)</f>
        <v>37</v>
      </c>
      <c r="J103" s="1179"/>
      <c r="K103" s="890">
        <f>+SUM(K96:K102)</f>
        <v>1400</v>
      </c>
      <c r="L103" s="905">
        <f>+SUM(L96:L102)</f>
        <v>2721</v>
      </c>
      <c r="M103" s="906">
        <f>+SUM(M96:M102)</f>
        <v>2185</v>
      </c>
      <c r="N103" s="907">
        <f>+M103/L103</f>
        <v>0.80301359794193317</v>
      </c>
      <c r="O103" s="224"/>
    </row>
    <row r="104" spans="1:15" ht="13.5" customHeight="1" x14ac:dyDescent="0.2">
      <c r="A104" s="98" t="s">
        <v>204</v>
      </c>
      <c r="B104" s="86" t="s">
        <v>205</v>
      </c>
      <c r="C104" s="117"/>
      <c r="D104" s="113"/>
      <c r="E104" s="114"/>
      <c r="F104" s="376"/>
      <c r="G104" s="117"/>
      <c r="H104" s="479"/>
      <c r="I104" s="114"/>
      <c r="J104" s="391"/>
      <c r="K104" s="879"/>
      <c r="L104" s="925"/>
      <c r="M104" s="926"/>
      <c r="N104" s="951"/>
    </row>
    <row r="105" spans="1:15" ht="13.5" customHeight="1" x14ac:dyDescent="0.2">
      <c r="A105" s="99" t="s">
        <v>206</v>
      </c>
      <c r="B105" s="76" t="s">
        <v>207</v>
      </c>
      <c r="C105" s="111"/>
      <c r="D105" s="106"/>
      <c r="E105" s="108"/>
      <c r="F105" s="377"/>
      <c r="G105" s="111"/>
      <c r="H105" s="479"/>
      <c r="I105" s="108"/>
      <c r="J105" s="392"/>
      <c r="K105" s="897"/>
      <c r="L105" s="900"/>
      <c r="M105" s="901"/>
      <c r="N105" s="939"/>
    </row>
    <row r="106" spans="1:15" ht="13.5" customHeight="1" x14ac:dyDescent="0.2">
      <c r="A106" s="99" t="s">
        <v>208</v>
      </c>
      <c r="B106" s="76" t="s">
        <v>209</v>
      </c>
      <c r="C106" s="111"/>
      <c r="D106" s="106"/>
      <c r="E106" s="108"/>
      <c r="F106" s="377"/>
      <c r="G106" s="111"/>
      <c r="H106" s="479"/>
      <c r="I106" s="108"/>
      <c r="J106" s="392"/>
      <c r="K106" s="897"/>
      <c r="L106" s="900"/>
      <c r="M106" s="901"/>
      <c r="N106" s="939"/>
    </row>
    <row r="107" spans="1:15" ht="13.5" customHeight="1" x14ac:dyDescent="0.2">
      <c r="A107" s="100" t="s">
        <v>210</v>
      </c>
      <c r="B107" s="87" t="s">
        <v>211</v>
      </c>
      <c r="C107" s="125"/>
      <c r="D107" s="121"/>
      <c r="E107" s="122"/>
      <c r="F107" s="378"/>
      <c r="G107" s="125"/>
      <c r="H107" s="479"/>
      <c r="I107" s="122"/>
      <c r="J107" s="393"/>
      <c r="K107" s="902"/>
      <c r="L107" s="903"/>
      <c r="M107" s="904"/>
      <c r="N107" s="944"/>
    </row>
    <row r="108" spans="1:15" s="180" customFormat="1" ht="13.5" customHeight="1" x14ac:dyDescent="0.2">
      <c r="A108" s="101" t="s">
        <v>121</v>
      </c>
      <c r="B108" s="88" t="s">
        <v>82</v>
      </c>
      <c r="C108" s="158"/>
      <c r="D108" s="161"/>
      <c r="E108" s="164"/>
      <c r="F108" s="374"/>
      <c r="G108" s="482">
        <f>+SUM(G104:G107)</f>
        <v>0</v>
      </c>
      <c r="H108" s="483">
        <f t="shared" ref="H108" si="83">+SUM(H104:H107)</f>
        <v>0</v>
      </c>
      <c r="I108" s="484">
        <f t="shared" ref="I108" si="84">+SUM(I104:I107)</f>
        <v>0</v>
      </c>
      <c r="J108" s="387"/>
      <c r="K108" s="890">
        <f>+SUM(K104:K107)</f>
        <v>0</v>
      </c>
      <c r="L108" s="905">
        <f>+SUM(L104:L107)</f>
        <v>0</v>
      </c>
      <c r="M108" s="906">
        <f>+SUM(M104:M107)</f>
        <v>0</v>
      </c>
      <c r="N108" s="952"/>
      <c r="O108" s="224"/>
    </row>
    <row r="109" spans="1:15" s="180" customFormat="1" ht="13.5" customHeight="1" x14ac:dyDescent="0.2">
      <c r="A109" s="101" t="s">
        <v>122</v>
      </c>
      <c r="B109" s="88" t="s">
        <v>83</v>
      </c>
      <c r="C109" s="158"/>
      <c r="D109" s="161"/>
      <c r="E109" s="164"/>
      <c r="F109" s="374"/>
      <c r="G109" s="158"/>
      <c r="H109" s="161"/>
      <c r="I109" s="164"/>
      <c r="J109" s="394"/>
      <c r="K109" s="890">
        <f>+C109+G109</f>
        <v>0</v>
      </c>
      <c r="L109" s="905">
        <f>+D109+H109</f>
        <v>0</v>
      </c>
      <c r="M109" s="906">
        <f>+E109+I109</f>
        <v>0</v>
      </c>
      <c r="N109" s="952"/>
      <c r="O109" s="224"/>
    </row>
    <row r="110" spans="1:15" s="180" customFormat="1" ht="13.5" customHeight="1" x14ac:dyDescent="0.2">
      <c r="A110" s="105" t="s">
        <v>123</v>
      </c>
      <c r="B110" s="88" t="s">
        <v>84</v>
      </c>
      <c r="C110" s="158">
        <f>+C51+C52+C87+C95+C103+C108+C109</f>
        <v>212637</v>
      </c>
      <c r="D110" s="161">
        <f>+D51+D52+D87+D95+D103+D108+D109</f>
        <v>256770</v>
      </c>
      <c r="E110" s="164">
        <f>+E51+E52+E87+E95+E103+E108+E109</f>
        <v>223526</v>
      </c>
      <c r="F110" s="374">
        <f>+E110/D110</f>
        <v>0.87053004634497799</v>
      </c>
      <c r="G110" s="482">
        <f>+G51+G52+G87+G95+G103+G108+G109</f>
        <v>47115</v>
      </c>
      <c r="H110" s="483">
        <f>+H51+H52+H87+H95+H103+H108+H109</f>
        <v>109692</v>
      </c>
      <c r="I110" s="484">
        <f>+I51+I52+I87+I95+I103+I108+I109</f>
        <v>73993</v>
      </c>
      <c r="J110" s="387">
        <f>+I110/H110</f>
        <v>0.67455238303613752</v>
      </c>
      <c r="K110" s="890">
        <f>+K51+K52+K87+K95+K103+K108+K109</f>
        <v>259752</v>
      </c>
      <c r="L110" s="905">
        <f>+L51+L52+L87+L95+L103+L108+L109</f>
        <v>366462</v>
      </c>
      <c r="M110" s="906">
        <f>+M51+M52+M87+M95+M103+M108+M109</f>
        <v>297519</v>
      </c>
      <c r="N110" s="907">
        <f>+M110/L110</f>
        <v>0.81186862485059841</v>
      </c>
      <c r="O110" s="224"/>
    </row>
    <row r="111" spans="1:15" s="180" customFormat="1" ht="13.5" customHeight="1" thickBot="1" x14ac:dyDescent="0.25">
      <c r="A111" s="242" t="s">
        <v>256</v>
      </c>
      <c r="B111" s="243" t="s">
        <v>85</v>
      </c>
      <c r="C111" s="244">
        <f>+'4.SZ.TÁBL. SEGÍTŐ SZOLGÁLAT'!AD118</f>
        <v>0</v>
      </c>
      <c r="D111" s="340">
        <f>+'4.SZ.TÁBL. SEGÍTŐ SZOLGÁLAT'!AE118</f>
        <v>0</v>
      </c>
      <c r="E111" s="370">
        <f>+'4.SZ.TÁBL. SEGÍTŐ SZOLGÁLAT'!AF118</f>
        <v>0</v>
      </c>
      <c r="F111" s="381"/>
      <c r="G111" s="496">
        <f>+C29</f>
        <v>193169</v>
      </c>
      <c r="H111" s="497">
        <f>+D29</f>
        <v>215126</v>
      </c>
      <c r="I111" s="857">
        <f>+E29</f>
        <v>215126</v>
      </c>
      <c r="J111" s="401">
        <f>+I111/H111</f>
        <v>1</v>
      </c>
      <c r="K111" s="953"/>
      <c r="L111" s="954"/>
      <c r="M111" s="955"/>
      <c r="N111" s="956"/>
    </row>
    <row r="112" spans="1:15" s="180" customFormat="1" ht="13.5" customHeight="1" thickBot="1" x14ac:dyDescent="0.25">
      <c r="A112" s="1336" t="s">
        <v>222</v>
      </c>
      <c r="B112" s="1337"/>
      <c r="C112" s="168">
        <f>+SUM(C110:C111)</f>
        <v>212637</v>
      </c>
      <c r="D112" s="169">
        <f t="shared" ref="D112:E112" si="85">+SUM(D110:D111)</f>
        <v>256770</v>
      </c>
      <c r="E112" s="371">
        <f t="shared" si="85"/>
        <v>223526</v>
      </c>
      <c r="F112" s="382">
        <f>+E112/D112</f>
        <v>0.87053004634497799</v>
      </c>
      <c r="G112" s="168">
        <f>+G110+G111</f>
        <v>240284</v>
      </c>
      <c r="H112" s="169">
        <f t="shared" ref="H112" si="86">+H110+H111</f>
        <v>324818</v>
      </c>
      <c r="I112" s="371">
        <f t="shared" ref="I112" si="87">+I110+I111</f>
        <v>289119</v>
      </c>
      <c r="J112" s="402">
        <f>+I112/H112</f>
        <v>0.89009537648775627</v>
      </c>
      <c r="K112" s="957">
        <f>+K110+K111</f>
        <v>259752</v>
      </c>
      <c r="L112" s="922">
        <f>+L110+L111</f>
        <v>366462</v>
      </c>
      <c r="M112" s="923">
        <f>+M110+M111</f>
        <v>297519</v>
      </c>
      <c r="N112" s="958">
        <f>+M112/L112</f>
        <v>0.81186862485059841</v>
      </c>
      <c r="O112" s="224"/>
    </row>
    <row r="113" spans="1:22" s="180" customFormat="1" ht="13.5" customHeight="1" thickBot="1" x14ac:dyDescent="0.25">
      <c r="B113" s="498"/>
      <c r="C113" s="499"/>
      <c r="D113" s="499"/>
      <c r="E113" s="499"/>
      <c r="F113" s="499"/>
      <c r="G113" s="500"/>
      <c r="H113" s="500"/>
      <c r="I113" s="500"/>
      <c r="J113" s="500"/>
      <c r="K113" s="959"/>
      <c r="L113" s="959"/>
      <c r="M113" s="959"/>
      <c r="N113" s="959"/>
      <c r="O113" s="224"/>
    </row>
    <row r="114" spans="1:22" s="180" customFormat="1" ht="13.5" customHeight="1" thickBot="1" x14ac:dyDescent="0.25">
      <c r="A114" s="1334" t="s">
        <v>231</v>
      </c>
      <c r="B114" s="1335"/>
      <c r="C114" s="183">
        <f>+C31-C112</f>
        <v>0</v>
      </c>
      <c r="D114" s="169">
        <f>+D31-D112</f>
        <v>0</v>
      </c>
      <c r="E114" s="184">
        <f>+E31-E112</f>
        <v>33084</v>
      </c>
      <c r="F114" s="365"/>
      <c r="G114" s="183">
        <f>+G31-G112</f>
        <v>0</v>
      </c>
      <c r="H114" s="169">
        <f>+H31-H112</f>
        <v>0</v>
      </c>
      <c r="I114" s="371">
        <f>+I31-I112</f>
        <v>35699</v>
      </c>
      <c r="J114" s="383"/>
      <c r="K114" s="183">
        <f>+K31-K112</f>
        <v>0</v>
      </c>
      <c r="L114" s="169">
        <f>+L31-L112</f>
        <v>0</v>
      </c>
      <c r="M114" s="371">
        <f>+M31-M112</f>
        <v>68783</v>
      </c>
      <c r="N114" s="373"/>
      <c r="O114" s="224"/>
      <c r="P114" s="224"/>
      <c r="Q114" s="224"/>
      <c r="R114" s="224"/>
      <c r="S114" s="224"/>
      <c r="T114" s="224"/>
      <c r="U114" s="224"/>
      <c r="V114" s="224"/>
    </row>
    <row r="115" spans="1:22" ht="13.5" customHeight="1" x14ac:dyDescent="0.2"/>
    <row r="116" spans="1:22" ht="13.5" customHeight="1" x14ac:dyDescent="0.2"/>
  </sheetData>
  <mergeCells count="8">
    <mergeCell ref="C1:F1"/>
    <mergeCell ref="G1:J1"/>
    <mergeCell ref="K1:N1"/>
    <mergeCell ref="A114:B114"/>
    <mergeCell ref="A31:B31"/>
    <mergeCell ref="A112:B112"/>
    <mergeCell ref="A1:A2"/>
    <mergeCell ref="B1:B2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74" fitToHeight="2" orientation="portrait" r:id="rId1"/>
  <headerFooter alignWithMargins="0">
    <oddHeader>&amp;L&amp;"Times New Roman,Félkövér"&amp;13Szent László Völgye TKT&amp;C&amp;"Times New Roman,Félkövér"&amp;16 2023. ÉVI ZÁRSZÁMADÁSI BESZÁMOLÓ&amp;R2/1. sz. táblázat
TÁRSULÁS ÉS INTÉZMÉNYEK BEVÉTELEK - KIADÁSOK
Adatok: eFt</oddHeader>
    <oddFooter>&amp;L&amp;F&amp;R&amp;P</oddFooter>
  </headerFooter>
  <rowBreaks count="1" manualBreakCount="1">
    <brk id="64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9"/>
  <sheetViews>
    <sheetView zoomScaleNormal="100" workbookViewId="0">
      <selection activeCell="L2" sqref="L2"/>
    </sheetView>
  </sheetViews>
  <sheetFormatPr defaultColWidth="8.85546875" defaultRowHeight="12" x14ac:dyDescent="0.2"/>
  <cols>
    <col min="1" max="1" width="3.5703125" style="555" bestFit="1" customWidth="1"/>
    <col min="2" max="2" width="43.7109375" style="555" customWidth="1"/>
    <col min="3" max="3" width="10.5703125" style="555" customWidth="1"/>
    <col min="4" max="11" width="10" style="555" customWidth="1"/>
    <col min="12" max="12" width="10" style="560" customWidth="1"/>
    <col min="13" max="16" width="10" style="555" customWidth="1"/>
    <col min="17" max="17" width="10" style="560" customWidth="1"/>
    <col min="18" max="16384" width="8.85546875" style="555"/>
  </cols>
  <sheetData>
    <row r="1" spans="1:17" ht="25.5" customHeight="1" x14ac:dyDescent="0.2">
      <c r="A1" s="1342"/>
      <c r="B1" s="1344" t="s">
        <v>108</v>
      </c>
      <c r="C1" s="1087"/>
      <c r="D1" s="1349" t="s">
        <v>282</v>
      </c>
      <c r="E1" s="1349"/>
      <c r="F1" s="1349"/>
      <c r="G1" s="1349"/>
      <c r="H1" s="1349"/>
      <c r="I1" s="1349"/>
      <c r="J1" s="1349"/>
      <c r="K1" s="1349"/>
      <c r="L1" s="1350"/>
      <c r="M1" s="1346" t="s">
        <v>391</v>
      </c>
      <c r="N1" s="1347"/>
      <c r="O1" s="1347"/>
      <c r="P1" s="1347"/>
      <c r="Q1" s="1348"/>
    </row>
    <row r="2" spans="1:17" ht="67.150000000000006" customHeight="1" thickBot="1" x14ac:dyDescent="0.25">
      <c r="A2" s="1343"/>
      <c r="B2" s="1345"/>
      <c r="C2" s="1096" t="s">
        <v>1174</v>
      </c>
      <c r="D2" s="1006" t="s">
        <v>392</v>
      </c>
      <c r="E2" s="999" t="s">
        <v>1053</v>
      </c>
      <c r="F2" s="999" t="s">
        <v>393</v>
      </c>
      <c r="G2" s="999" t="s">
        <v>1050</v>
      </c>
      <c r="H2" s="999" t="s">
        <v>1051</v>
      </c>
      <c r="I2" s="999" t="s">
        <v>1052</v>
      </c>
      <c r="J2" s="999" t="s">
        <v>394</v>
      </c>
      <c r="K2" s="1000" t="s">
        <v>395</v>
      </c>
      <c r="L2" s="1001" t="s">
        <v>14</v>
      </c>
      <c r="M2" s="1002" t="s">
        <v>396</v>
      </c>
      <c r="N2" s="999" t="s">
        <v>397</v>
      </c>
      <c r="O2" s="1000" t="s">
        <v>398</v>
      </c>
      <c r="P2" s="1000" t="s">
        <v>1066</v>
      </c>
      <c r="Q2" s="1003" t="s">
        <v>14</v>
      </c>
    </row>
    <row r="3" spans="1:17" x14ac:dyDescent="0.2">
      <c r="A3" s="1008" t="s">
        <v>399</v>
      </c>
      <c r="B3" s="1009" t="s">
        <v>926</v>
      </c>
      <c r="C3" s="1093">
        <v>0</v>
      </c>
      <c r="D3" s="1010">
        <v>10411</v>
      </c>
      <c r="E3" s="1011">
        <v>1247</v>
      </c>
      <c r="F3" s="1011">
        <v>12082</v>
      </c>
      <c r="G3" s="1011">
        <v>19092</v>
      </c>
      <c r="H3" s="1011">
        <v>24243</v>
      </c>
      <c r="I3" s="1011">
        <v>0</v>
      </c>
      <c r="J3" s="1011">
        <v>22243</v>
      </c>
      <c r="K3" s="1012">
        <v>1994</v>
      </c>
      <c r="L3" s="1004">
        <f t="shared" ref="L3:L65" si="0">SUM(D3:K3)</f>
        <v>91312</v>
      </c>
      <c r="M3" s="1010">
        <v>0</v>
      </c>
      <c r="N3" s="1011">
        <v>0</v>
      </c>
      <c r="O3" s="1011">
        <v>0</v>
      </c>
      <c r="P3" s="1012">
        <v>0</v>
      </c>
      <c r="Q3" s="1007">
        <f>SUM(M3:P3)</f>
        <v>0</v>
      </c>
    </row>
    <row r="4" spans="1:17" x14ac:dyDescent="0.2">
      <c r="A4" s="1013" t="s">
        <v>400</v>
      </c>
      <c r="B4" s="1014" t="s">
        <v>927</v>
      </c>
      <c r="C4" s="1092">
        <v>0</v>
      </c>
      <c r="D4" s="1015">
        <v>350</v>
      </c>
      <c r="E4" s="1016">
        <v>50</v>
      </c>
      <c r="F4" s="1016">
        <v>440</v>
      </c>
      <c r="G4" s="1016">
        <v>495</v>
      </c>
      <c r="H4" s="1016">
        <v>550</v>
      </c>
      <c r="I4" s="1016">
        <v>0</v>
      </c>
      <c r="J4" s="1016">
        <v>867</v>
      </c>
      <c r="K4" s="1017">
        <v>70</v>
      </c>
      <c r="L4" s="961">
        <f t="shared" si="0"/>
        <v>2822</v>
      </c>
      <c r="M4" s="1015">
        <v>0</v>
      </c>
      <c r="N4" s="1016">
        <v>0</v>
      </c>
      <c r="O4" s="1016">
        <v>0</v>
      </c>
      <c r="P4" s="1017">
        <v>0</v>
      </c>
      <c r="Q4" s="1005">
        <f t="shared" ref="Q4:Q66" si="1">SUM(M4:P4)</f>
        <v>0</v>
      </c>
    </row>
    <row r="5" spans="1:17" x14ac:dyDescent="0.2">
      <c r="A5" s="1013" t="s">
        <v>401</v>
      </c>
      <c r="B5" s="1014" t="s">
        <v>928</v>
      </c>
      <c r="C5" s="1092">
        <v>0</v>
      </c>
      <c r="D5" s="1015">
        <v>0</v>
      </c>
      <c r="E5" s="1016">
        <v>0</v>
      </c>
      <c r="F5" s="1016">
        <v>0</v>
      </c>
      <c r="G5" s="1016">
        <v>0</v>
      </c>
      <c r="H5" s="1016">
        <v>0</v>
      </c>
      <c r="I5" s="1016">
        <v>0</v>
      </c>
      <c r="J5" s="1016">
        <v>0</v>
      </c>
      <c r="K5" s="1017">
        <v>0</v>
      </c>
      <c r="L5" s="961">
        <f t="shared" si="0"/>
        <v>0</v>
      </c>
      <c r="M5" s="1015">
        <v>0</v>
      </c>
      <c r="N5" s="1016">
        <v>0</v>
      </c>
      <c r="O5" s="1016">
        <v>0</v>
      </c>
      <c r="P5" s="1017">
        <v>0</v>
      </c>
      <c r="Q5" s="1005">
        <f t="shared" si="1"/>
        <v>0</v>
      </c>
    </row>
    <row r="6" spans="1:17" ht="24" x14ac:dyDescent="0.2">
      <c r="A6" s="1013" t="s">
        <v>402</v>
      </c>
      <c r="B6" s="1014" t="s">
        <v>929</v>
      </c>
      <c r="C6" s="1092">
        <v>0</v>
      </c>
      <c r="D6" s="1015">
        <v>0</v>
      </c>
      <c r="E6" s="1016">
        <v>0</v>
      </c>
      <c r="F6" s="1016">
        <v>0</v>
      </c>
      <c r="G6" s="1016">
        <v>446</v>
      </c>
      <c r="H6" s="1016">
        <v>354</v>
      </c>
      <c r="I6" s="1016">
        <v>0</v>
      </c>
      <c r="J6" s="1016">
        <v>110</v>
      </c>
      <c r="K6" s="1017">
        <v>0</v>
      </c>
      <c r="L6" s="961">
        <f t="shared" si="0"/>
        <v>910</v>
      </c>
      <c r="M6" s="1015">
        <v>0</v>
      </c>
      <c r="N6" s="1016">
        <v>0</v>
      </c>
      <c r="O6" s="1016">
        <v>0</v>
      </c>
      <c r="P6" s="1017">
        <v>0</v>
      </c>
      <c r="Q6" s="1005">
        <f t="shared" si="1"/>
        <v>0</v>
      </c>
    </row>
    <row r="7" spans="1:17" x14ac:dyDescent="0.2">
      <c r="A7" s="1013" t="s">
        <v>403</v>
      </c>
      <c r="B7" s="1014" t="s">
        <v>930</v>
      </c>
      <c r="C7" s="1092">
        <v>0</v>
      </c>
      <c r="D7" s="1015">
        <v>0</v>
      </c>
      <c r="E7" s="1016">
        <v>0</v>
      </c>
      <c r="F7" s="1016">
        <v>0</v>
      </c>
      <c r="G7" s="1016">
        <v>0</v>
      </c>
      <c r="H7" s="1016">
        <v>0</v>
      </c>
      <c r="I7" s="1016">
        <v>0</v>
      </c>
      <c r="J7" s="1016">
        <v>0</v>
      </c>
      <c r="K7" s="1017">
        <v>0</v>
      </c>
      <c r="L7" s="961">
        <f t="shared" si="0"/>
        <v>0</v>
      </c>
      <c r="M7" s="1015">
        <v>0</v>
      </c>
      <c r="N7" s="1016">
        <v>0</v>
      </c>
      <c r="O7" s="1016">
        <v>0</v>
      </c>
      <c r="P7" s="1017">
        <v>0</v>
      </c>
      <c r="Q7" s="1005">
        <f t="shared" si="1"/>
        <v>0</v>
      </c>
    </row>
    <row r="8" spans="1:17" x14ac:dyDescent="0.2">
      <c r="A8" s="1013" t="s">
        <v>404</v>
      </c>
      <c r="B8" s="1014" t="s">
        <v>931</v>
      </c>
      <c r="C8" s="1092">
        <v>0</v>
      </c>
      <c r="D8" s="1015">
        <v>0</v>
      </c>
      <c r="E8" s="1016">
        <v>0</v>
      </c>
      <c r="F8" s="1016">
        <v>0</v>
      </c>
      <c r="G8" s="1016">
        <v>1426</v>
      </c>
      <c r="H8" s="1016">
        <v>1305</v>
      </c>
      <c r="I8" s="1016">
        <v>0</v>
      </c>
      <c r="J8" s="1016">
        <v>0</v>
      </c>
      <c r="K8" s="1017">
        <v>0</v>
      </c>
      <c r="L8" s="961">
        <f t="shared" si="0"/>
        <v>2731</v>
      </c>
      <c r="M8" s="1015">
        <v>0</v>
      </c>
      <c r="N8" s="1016">
        <v>0</v>
      </c>
      <c r="O8" s="1016">
        <v>0</v>
      </c>
      <c r="P8" s="1017">
        <v>0</v>
      </c>
      <c r="Q8" s="1005">
        <f t="shared" si="1"/>
        <v>0</v>
      </c>
    </row>
    <row r="9" spans="1:17" x14ac:dyDescent="0.2">
      <c r="A9" s="1013" t="s">
        <v>405</v>
      </c>
      <c r="B9" s="1014" t="s">
        <v>932</v>
      </c>
      <c r="C9" s="1092">
        <v>0</v>
      </c>
      <c r="D9" s="1015">
        <v>210</v>
      </c>
      <c r="E9" s="1016">
        <v>30</v>
      </c>
      <c r="F9" s="1016">
        <v>310</v>
      </c>
      <c r="G9" s="1016">
        <v>335</v>
      </c>
      <c r="H9" s="1016">
        <v>370</v>
      </c>
      <c r="I9" s="1016">
        <v>0</v>
      </c>
      <c r="J9" s="1016">
        <v>540</v>
      </c>
      <c r="K9" s="1017">
        <v>60</v>
      </c>
      <c r="L9" s="961">
        <f t="shared" si="0"/>
        <v>1855</v>
      </c>
      <c r="M9" s="1015">
        <v>0</v>
      </c>
      <c r="N9" s="1016">
        <v>0</v>
      </c>
      <c r="O9" s="1016">
        <v>0</v>
      </c>
      <c r="P9" s="1017">
        <v>0</v>
      </c>
      <c r="Q9" s="1005">
        <f t="shared" si="1"/>
        <v>0</v>
      </c>
    </row>
    <row r="10" spans="1:17" x14ac:dyDescent="0.2">
      <c r="A10" s="1013" t="s">
        <v>406</v>
      </c>
      <c r="B10" s="1014" t="s">
        <v>933</v>
      </c>
      <c r="C10" s="1092">
        <v>0</v>
      </c>
      <c r="D10" s="1015">
        <v>0</v>
      </c>
      <c r="E10" s="1016">
        <v>0</v>
      </c>
      <c r="F10" s="1016">
        <v>0</v>
      </c>
      <c r="G10" s="1016">
        <v>0</v>
      </c>
      <c r="H10" s="1016">
        <v>0</v>
      </c>
      <c r="I10" s="1016">
        <v>0</v>
      </c>
      <c r="J10" s="1016">
        <v>0</v>
      </c>
      <c r="K10" s="1017">
        <v>0</v>
      </c>
      <c r="L10" s="961">
        <f t="shared" si="0"/>
        <v>0</v>
      </c>
      <c r="M10" s="1015">
        <v>0</v>
      </c>
      <c r="N10" s="1016">
        <v>0</v>
      </c>
      <c r="O10" s="1016">
        <v>0</v>
      </c>
      <c r="P10" s="1017">
        <v>0</v>
      </c>
      <c r="Q10" s="1005">
        <f t="shared" si="1"/>
        <v>0</v>
      </c>
    </row>
    <row r="11" spans="1:17" x14ac:dyDescent="0.2">
      <c r="A11" s="1013" t="s">
        <v>407</v>
      </c>
      <c r="B11" s="1014" t="s">
        <v>934</v>
      </c>
      <c r="C11" s="1092">
        <v>0</v>
      </c>
      <c r="D11" s="1015">
        <v>181</v>
      </c>
      <c r="E11" s="1016">
        <v>0</v>
      </c>
      <c r="F11" s="1016">
        <v>248</v>
      </c>
      <c r="G11" s="1016">
        <v>194</v>
      </c>
      <c r="H11" s="1016">
        <v>125</v>
      </c>
      <c r="I11" s="1016">
        <v>0</v>
      </c>
      <c r="J11" s="1016">
        <v>12</v>
      </c>
      <c r="K11" s="1017">
        <v>0</v>
      </c>
      <c r="L11" s="961">
        <f t="shared" si="0"/>
        <v>760</v>
      </c>
      <c r="M11" s="1015">
        <v>0</v>
      </c>
      <c r="N11" s="1016">
        <v>0</v>
      </c>
      <c r="O11" s="1016">
        <v>0</v>
      </c>
      <c r="P11" s="1017">
        <v>0</v>
      </c>
      <c r="Q11" s="1005">
        <f t="shared" si="1"/>
        <v>0</v>
      </c>
    </row>
    <row r="12" spans="1:17" x14ac:dyDescent="0.2">
      <c r="A12" s="1013" t="s">
        <v>408</v>
      </c>
      <c r="B12" s="1014" t="s">
        <v>935</v>
      </c>
      <c r="C12" s="1092">
        <v>0</v>
      </c>
      <c r="D12" s="1015">
        <v>0</v>
      </c>
      <c r="E12" s="1016">
        <v>0</v>
      </c>
      <c r="F12" s="1016">
        <v>0</v>
      </c>
      <c r="G12" s="1016">
        <v>0</v>
      </c>
      <c r="H12" s="1016">
        <v>0</v>
      </c>
      <c r="I12" s="1016">
        <v>0</v>
      </c>
      <c r="J12" s="1016">
        <v>0</v>
      </c>
      <c r="K12" s="1017">
        <v>0</v>
      </c>
      <c r="L12" s="961">
        <f t="shared" si="0"/>
        <v>0</v>
      </c>
      <c r="M12" s="1015">
        <v>0</v>
      </c>
      <c r="N12" s="1016">
        <v>0</v>
      </c>
      <c r="O12" s="1016">
        <v>0</v>
      </c>
      <c r="P12" s="1017">
        <v>0</v>
      </c>
      <c r="Q12" s="1005">
        <f t="shared" si="1"/>
        <v>0</v>
      </c>
    </row>
    <row r="13" spans="1:17" x14ac:dyDescent="0.2">
      <c r="A13" s="1013" t="s">
        <v>409</v>
      </c>
      <c r="B13" s="1014" t="s">
        <v>936</v>
      </c>
      <c r="C13" s="1092">
        <v>0</v>
      </c>
      <c r="D13" s="1015">
        <v>0</v>
      </c>
      <c r="E13" s="1016">
        <v>0</v>
      </c>
      <c r="F13" s="1016">
        <v>0</v>
      </c>
      <c r="G13" s="1016">
        <v>0</v>
      </c>
      <c r="H13" s="1016">
        <v>0</v>
      </c>
      <c r="I13" s="1016">
        <v>0</v>
      </c>
      <c r="J13" s="1016">
        <v>0</v>
      </c>
      <c r="K13" s="1017">
        <v>0</v>
      </c>
      <c r="L13" s="961">
        <f t="shared" si="0"/>
        <v>0</v>
      </c>
      <c r="M13" s="1015">
        <v>0</v>
      </c>
      <c r="N13" s="1016">
        <v>0</v>
      </c>
      <c r="O13" s="1016">
        <v>0</v>
      </c>
      <c r="P13" s="1017">
        <v>0</v>
      </c>
      <c r="Q13" s="1005">
        <f t="shared" si="1"/>
        <v>0</v>
      </c>
    </row>
    <row r="14" spans="1:17" x14ac:dyDescent="0.2">
      <c r="A14" s="1013" t="s">
        <v>410</v>
      </c>
      <c r="B14" s="1014" t="s">
        <v>937</v>
      </c>
      <c r="C14" s="1092">
        <v>0</v>
      </c>
      <c r="D14" s="1015">
        <v>0</v>
      </c>
      <c r="E14" s="1016">
        <v>0</v>
      </c>
      <c r="F14" s="1016">
        <v>0</v>
      </c>
      <c r="G14" s="1016">
        <v>0</v>
      </c>
      <c r="H14" s="1016">
        <v>0</v>
      </c>
      <c r="I14" s="1016">
        <v>0</v>
      </c>
      <c r="J14" s="1016">
        <v>0</v>
      </c>
      <c r="K14" s="1017">
        <v>0</v>
      </c>
      <c r="L14" s="961">
        <f t="shared" si="0"/>
        <v>0</v>
      </c>
      <c r="M14" s="1015">
        <v>0</v>
      </c>
      <c r="N14" s="1016">
        <v>0</v>
      </c>
      <c r="O14" s="1016">
        <v>0</v>
      </c>
      <c r="P14" s="1017">
        <v>0</v>
      </c>
      <c r="Q14" s="1005">
        <f t="shared" si="1"/>
        <v>0</v>
      </c>
    </row>
    <row r="15" spans="1:17" x14ac:dyDescent="0.2">
      <c r="A15" s="1013" t="s">
        <v>411</v>
      </c>
      <c r="B15" s="1014" t="s">
        <v>938</v>
      </c>
      <c r="C15" s="1092">
        <v>0</v>
      </c>
      <c r="D15" s="1015">
        <v>265</v>
      </c>
      <c r="E15" s="1016">
        <v>34</v>
      </c>
      <c r="F15" s="1016">
        <v>39</v>
      </c>
      <c r="G15" s="1016">
        <v>271</v>
      </c>
      <c r="H15" s="1016">
        <v>255</v>
      </c>
      <c r="I15" s="1016">
        <v>0</v>
      </c>
      <c r="J15" s="1016">
        <v>292</v>
      </c>
      <c r="K15" s="1017">
        <v>193</v>
      </c>
      <c r="L15" s="961">
        <f t="shared" si="0"/>
        <v>1349</v>
      </c>
      <c r="M15" s="1015">
        <v>0</v>
      </c>
      <c r="N15" s="1016">
        <v>0</v>
      </c>
      <c r="O15" s="1016">
        <v>0</v>
      </c>
      <c r="P15" s="1017">
        <v>0</v>
      </c>
      <c r="Q15" s="1005">
        <f t="shared" si="1"/>
        <v>0</v>
      </c>
    </row>
    <row r="16" spans="1:17" x14ac:dyDescent="0.2">
      <c r="A16" s="1018" t="s">
        <v>412</v>
      </c>
      <c r="B16" s="1019" t="s">
        <v>939</v>
      </c>
      <c r="C16" s="1094">
        <v>0</v>
      </c>
      <c r="D16" s="1020">
        <v>0</v>
      </c>
      <c r="E16" s="1021">
        <v>0</v>
      </c>
      <c r="F16" s="1021">
        <v>0</v>
      </c>
      <c r="G16" s="1021">
        <v>0</v>
      </c>
      <c r="H16" s="1021">
        <v>0</v>
      </c>
      <c r="I16" s="1021">
        <v>0</v>
      </c>
      <c r="J16" s="1021">
        <v>0</v>
      </c>
      <c r="K16" s="1022">
        <v>0</v>
      </c>
      <c r="L16" s="964">
        <f t="shared" si="0"/>
        <v>0</v>
      </c>
      <c r="M16" s="1020">
        <v>0</v>
      </c>
      <c r="N16" s="1021">
        <v>0</v>
      </c>
      <c r="O16" s="1021">
        <v>0</v>
      </c>
      <c r="P16" s="1022">
        <v>0</v>
      </c>
      <c r="Q16" s="1023">
        <f t="shared" si="1"/>
        <v>0</v>
      </c>
    </row>
    <row r="17" spans="1:17" x14ac:dyDescent="0.2">
      <c r="A17" s="1035" t="s">
        <v>413</v>
      </c>
      <c r="B17" s="1036" t="s">
        <v>940</v>
      </c>
      <c r="C17" s="1089">
        <f>SUM(C3:C15)</f>
        <v>0</v>
      </c>
      <c r="D17" s="1037">
        <f>SUM(D3:D15)</f>
        <v>11417</v>
      </c>
      <c r="E17" s="1037">
        <f t="shared" ref="E17:K17" si="2">SUM(E3:E15)</f>
        <v>1361</v>
      </c>
      <c r="F17" s="1037">
        <f t="shared" si="2"/>
        <v>13119</v>
      </c>
      <c r="G17" s="1037">
        <f t="shared" si="2"/>
        <v>22259</v>
      </c>
      <c r="H17" s="1037">
        <f t="shared" si="2"/>
        <v>27202</v>
      </c>
      <c r="I17" s="1037">
        <f t="shared" si="2"/>
        <v>0</v>
      </c>
      <c r="J17" s="1037">
        <f t="shared" si="2"/>
        <v>24064</v>
      </c>
      <c r="K17" s="1037">
        <f t="shared" si="2"/>
        <v>2317</v>
      </c>
      <c r="L17" s="970">
        <f>SUM(C17:K17)</f>
        <v>101739</v>
      </c>
      <c r="M17" s="1037">
        <v>0</v>
      </c>
      <c r="N17" s="1038">
        <v>0</v>
      </c>
      <c r="O17" s="1038">
        <v>0</v>
      </c>
      <c r="P17" s="1039">
        <v>0</v>
      </c>
      <c r="Q17" s="972">
        <f t="shared" si="1"/>
        <v>0</v>
      </c>
    </row>
    <row r="18" spans="1:17" x14ac:dyDescent="0.2">
      <c r="A18" s="1024" t="s">
        <v>414</v>
      </c>
      <c r="B18" s="1025" t="s">
        <v>941</v>
      </c>
      <c r="C18" s="1095">
        <v>0</v>
      </c>
      <c r="D18" s="1026">
        <v>0</v>
      </c>
      <c r="E18" s="1027">
        <v>0</v>
      </c>
      <c r="F18" s="1027">
        <v>0</v>
      </c>
      <c r="G18" s="1027">
        <v>0</v>
      </c>
      <c r="H18" s="1027">
        <v>0</v>
      </c>
      <c r="I18" s="1027">
        <v>0</v>
      </c>
      <c r="J18" s="1027">
        <v>0</v>
      </c>
      <c r="K18" s="1028">
        <v>0</v>
      </c>
      <c r="L18" s="960">
        <f t="shared" si="0"/>
        <v>0</v>
      </c>
      <c r="M18" s="1026">
        <v>0</v>
      </c>
      <c r="N18" s="1027">
        <v>0</v>
      </c>
      <c r="O18" s="1027">
        <v>0</v>
      </c>
      <c r="P18" s="1028">
        <v>0</v>
      </c>
      <c r="Q18" s="1029">
        <f t="shared" si="1"/>
        <v>0</v>
      </c>
    </row>
    <row r="19" spans="1:17" ht="24" x14ac:dyDescent="0.2">
      <c r="A19" s="1013" t="s">
        <v>415</v>
      </c>
      <c r="B19" s="1014" t="s">
        <v>942</v>
      </c>
      <c r="C19" s="1092">
        <v>0</v>
      </c>
      <c r="D19" s="1015">
        <v>500</v>
      </c>
      <c r="E19" s="1016">
        <v>0</v>
      </c>
      <c r="F19" s="1016">
        <v>181</v>
      </c>
      <c r="G19" s="1016">
        <v>0</v>
      </c>
      <c r="H19" s="1016">
        <v>1027</v>
      </c>
      <c r="I19" s="1016">
        <v>0</v>
      </c>
      <c r="J19" s="1016">
        <v>0</v>
      </c>
      <c r="K19" s="1017">
        <v>1690</v>
      </c>
      <c r="L19" s="961">
        <f t="shared" si="0"/>
        <v>3398</v>
      </c>
      <c r="M19" s="1015">
        <v>0</v>
      </c>
      <c r="N19" s="1016">
        <v>0</v>
      </c>
      <c r="O19" s="1016">
        <v>0</v>
      </c>
      <c r="P19" s="1017">
        <v>0</v>
      </c>
      <c r="Q19" s="1005">
        <f t="shared" si="1"/>
        <v>0</v>
      </c>
    </row>
    <row r="20" spans="1:17" x14ac:dyDescent="0.2">
      <c r="A20" s="1018" t="s">
        <v>416</v>
      </c>
      <c r="B20" s="1019" t="s">
        <v>943</v>
      </c>
      <c r="C20" s="1094">
        <v>0</v>
      </c>
      <c r="D20" s="1020">
        <v>0</v>
      </c>
      <c r="E20" s="1021">
        <v>0</v>
      </c>
      <c r="F20" s="1021">
        <v>0</v>
      </c>
      <c r="G20" s="1021">
        <v>22</v>
      </c>
      <c r="H20" s="1021">
        <v>48</v>
      </c>
      <c r="I20" s="1021">
        <v>0</v>
      </c>
      <c r="J20" s="1021">
        <v>1</v>
      </c>
      <c r="K20" s="1022">
        <v>0</v>
      </c>
      <c r="L20" s="964">
        <f t="shared" si="0"/>
        <v>71</v>
      </c>
      <c r="M20" s="1020">
        <v>0</v>
      </c>
      <c r="N20" s="1021">
        <v>0</v>
      </c>
      <c r="O20" s="1021">
        <v>0</v>
      </c>
      <c r="P20" s="1022">
        <v>0</v>
      </c>
      <c r="Q20" s="1023">
        <f t="shared" si="1"/>
        <v>0</v>
      </c>
    </row>
    <row r="21" spans="1:17" x14ac:dyDescent="0.2">
      <c r="A21" s="1035" t="s">
        <v>417</v>
      </c>
      <c r="B21" s="1036" t="s">
        <v>944</v>
      </c>
      <c r="C21" s="1089">
        <f>SUM(C18:C20)</f>
        <v>0</v>
      </c>
      <c r="D21" s="1037">
        <f>SUM(D18:D20)</f>
        <v>500</v>
      </c>
      <c r="E21" s="1037">
        <f t="shared" ref="E21:K21" si="3">SUM(E18:E20)</f>
        <v>0</v>
      </c>
      <c r="F21" s="1037">
        <f t="shared" si="3"/>
        <v>181</v>
      </c>
      <c r="G21" s="1037">
        <f t="shared" si="3"/>
        <v>22</v>
      </c>
      <c r="H21" s="1037">
        <f t="shared" si="3"/>
        <v>1075</v>
      </c>
      <c r="I21" s="1037">
        <f t="shared" si="3"/>
        <v>0</v>
      </c>
      <c r="J21" s="1037">
        <f t="shared" si="3"/>
        <v>1</v>
      </c>
      <c r="K21" s="1037">
        <f t="shared" si="3"/>
        <v>1690</v>
      </c>
      <c r="L21" s="970">
        <f t="shared" si="0"/>
        <v>3469</v>
      </c>
      <c r="M21" s="1037">
        <v>0</v>
      </c>
      <c r="N21" s="1038">
        <v>0</v>
      </c>
      <c r="O21" s="1038">
        <v>0</v>
      </c>
      <c r="P21" s="1039">
        <v>0</v>
      </c>
      <c r="Q21" s="972">
        <f t="shared" si="1"/>
        <v>0</v>
      </c>
    </row>
    <row r="22" spans="1:17" x14ac:dyDescent="0.2">
      <c r="A22" s="1030" t="s">
        <v>418</v>
      </c>
      <c r="B22" s="1031" t="s">
        <v>945</v>
      </c>
      <c r="C22" s="1090">
        <f>C17+C21</f>
        <v>0</v>
      </c>
      <c r="D22" s="1032">
        <f>D17+D21</f>
        <v>11917</v>
      </c>
      <c r="E22" s="1032">
        <f t="shared" ref="E22:K22" si="4">E17+E21</f>
        <v>1361</v>
      </c>
      <c r="F22" s="1032">
        <f t="shared" si="4"/>
        <v>13300</v>
      </c>
      <c r="G22" s="1032">
        <f t="shared" si="4"/>
        <v>22281</v>
      </c>
      <c r="H22" s="1032">
        <f t="shared" si="4"/>
        <v>28277</v>
      </c>
      <c r="I22" s="1032">
        <f t="shared" si="4"/>
        <v>0</v>
      </c>
      <c r="J22" s="1032">
        <f t="shared" si="4"/>
        <v>24065</v>
      </c>
      <c r="K22" s="1032">
        <f t="shared" si="4"/>
        <v>4007</v>
      </c>
      <c r="L22" s="970">
        <f t="shared" si="0"/>
        <v>105208</v>
      </c>
      <c r="M22" s="1032">
        <v>0</v>
      </c>
      <c r="N22" s="1033">
        <v>0</v>
      </c>
      <c r="O22" s="1033">
        <v>0</v>
      </c>
      <c r="P22" s="1034">
        <v>0</v>
      </c>
      <c r="Q22" s="972">
        <f t="shared" si="1"/>
        <v>0</v>
      </c>
    </row>
    <row r="23" spans="1:17" ht="24" x14ac:dyDescent="0.2">
      <c r="A23" s="1030" t="s">
        <v>419</v>
      </c>
      <c r="B23" s="1031" t="s">
        <v>1085</v>
      </c>
      <c r="C23" s="1090">
        <f t="shared" ref="C23:K23" si="5">SUM(C24:C28)</f>
        <v>0</v>
      </c>
      <c r="D23" s="1032">
        <f t="shared" si="5"/>
        <v>2521</v>
      </c>
      <c r="E23" s="1032">
        <f t="shared" si="5"/>
        <v>327</v>
      </c>
      <c r="F23" s="1032">
        <f t="shared" si="5"/>
        <v>3097</v>
      </c>
      <c r="G23" s="1032">
        <f t="shared" si="5"/>
        <v>4697</v>
      </c>
      <c r="H23" s="1032">
        <f t="shared" si="5"/>
        <v>5405</v>
      </c>
      <c r="I23" s="1032">
        <f t="shared" si="5"/>
        <v>0</v>
      </c>
      <c r="J23" s="1032">
        <f t="shared" si="5"/>
        <v>5425</v>
      </c>
      <c r="K23" s="1032">
        <f t="shared" si="5"/>
        <v>982</v>
      </c>
      <c r="L23" s="970">
        <f t="shared" si="0"/>
        <v>22454</v>
      </c>
      <c r="M23" s="1032">
        <v>0</v>
      </c>
      <c r="N23" s="1033">
        <v>0</v>
      </c>
      <c r="O23" s="1033">
        <v>0</v>
      </c>
      <c r="P23" s="1034">
        <v>0</v>
      </c>
      <c r="Q23" s="972">
        <f t="shared" si="1"/>
        <v>0</v>
      </c>
    </row>
    <row r="24" spans="1:17" x14ac:dyDescent="0.2">
      <c r="A24" s="1024" t="s">
        <v>420</v>
      </c>
      <c r="B24" s="1025" t="s">
        <v>946</v>
      </c>
      <c r="C24" s="1095">
        <v>0</v>
      </c>
      <c r="D24" s="1026">
        <v>2191</v>
      </c>
      <c r="E24" s="1027">
        <v>248</v>
      </c>
      <c r="F24" s="1027">
        <v>2415</v>
      </c>
      <c r="G24" s="1027">
        <v>4276</v>
      </c>
      <c r="H24" s="1027">
        <v>5009</v>
      </c>
      <c r="I24" s="1027">
        <v>0</v>
      </c>
      <c r="J24" s="1027">
        <v>4503</v>
      </c>
      <c r="K24" s="1028">
        <v>710</v>
      </c>
      <c r="L24" s="960">
        <f t="shared" si="0"/>
        <v>19352</v>
      </c>
      <c r="M24" s="1026">
        <v>0</v>
      </c>
      <c r="N24" s="1027">
        <v>0</v>
      </c>
      <c r="O24" s="1027">
        <v>0</v>
      </c>
      <c r="P24" s="1028">
        <v>0</v>
      </c>
      <c r="Q24" s="1029">
        <f t="shared" si="1"/>
        <v>0</v>
      </c>
    </row>
    <row r="25" spans="1:17" x14ac:dyDescent="0.2">
      <c r="A25" s="1013" t="s">
        <v>421</v>
      </c>
      <c r="B25" s="1014" t="s">
        <v>947</v>
      </c>
      <c r="C25" s="1092">
        <v>0</v>
      </c>
      <c r="D25" s="1015">
        <v>281</v>
      </c>
      <c r="E25" s="1016">
        <v>74</v>
      </c>
      <c r="F25" s="1016">
        <v>355</v>
      </c>
      <c r="G25" s="1016">
        <v>368</v>
      </c>
      <c r="H25" s="1016">
        <v>323</v>
      </c>
      <c r="I25" s="1016">
        <v>0</v>
      </c>
      <c r="J25" s="1016">
        <v>841</v>
      </c>
      <c r="K25" s="1017">
        <v>80</v>
      </c>
      <c r="L25" s="961">
        <f t="shared" si="0"/>
        <v>2322</v>
      </c>
      <c r="M25" s="1015">
        <v>0</v>
      </c>
      <c r="N25" s="1016">
        <v>0</v>
      </c>
      <c r="O25" s="1016">
        <v>0</v>
      </c>
      <c r="P25" s="1017">
        <v>0</v>
      </c>
      <c r="Q25" s="1005">
        <f t="shared" si="1"/>
        <v>0</v>
      </c>
    </row>
    <row r="26" spans="1:17" x14ac:dyDescent="0.2">
      <c r="A26" s="1013" t="s">
        <v>422</v>
      </c>
      <c r="B26" s="1014" t="s">
        <v>948</v>
      </c>
      <c r="C26" s="1092">
        <v>0</v>
      </c>
      <c r="D26" s="1015">
        <v>0</v>
      </c>
      <c r="E26" s="1016">
        <v>0</v>
      </c>
      <c r="F26" s="1016">
        <v>0</v>
      </c>
      <c r="G26" s="1016">
        <v>0</v>
      </c>
      <c r="H26" s="1016">
        <v>0</v>
      </c>
      <c r="I26" s="1016">
        <v>0</v>
      </c>
      <c r="J26" s="1016">
        <v>0</v>
      </c>
      <c r="K26" s="1017">
        <v>0</v>
      </c>
      <c r="L26" s="961">
        <f t="shared" si="0"/>
        <v>0</v>
      </c>
      <c r="M26" s="1015">
        <v>0</v>
      </c>
      <c r="N26" s="1016">
        <v>0</v>
      </c>
      <c r="O26" s="1016">
        <v>0</v>
      </c>
      <c r="P26" s="1017">
        <v>0</v>
      </c>
      <c r="Q26" s="1005">
        <f t="shared" si="1"/>
        <v>0</v>
      </c>
    </row>
    <row r="27" spans="1:17" x14ac:dyDescent="0.2">
      <c r="A27" s="1013" t="s">
        <v>423</v>
      </c>
      <c r="B27" s="1014" t="s">
        <v>949</v>
      </c>
      <c r="C27" s="1092">
        <v>0</v>
      </c>
      <c r="D27" s="1015">
        <v>18</v>
      </c>
      <c r="E27" s="1016">
        <v>0</v>
      </c>
      <c r="F27" s="1016">
        <v>277</v>
      </c>
      <c r="G27" s="1016">
        <v>0</v>
      </c>
      <c r="H27" s="1016">
        <v>0</v>
      </c>
      <c r="I27" s="1016">
        <v>0</v>
      </c>
      <c r="J27" s="1016">
        <v>0</v>
      </c>
      <c r="K27" s="1017">
        <v>183</v>
      </c>
      <c r="L27" s="961">
        <f t="shared" si="0"/>
        <v>478</v>
      </c>
      <c r="M27" s="1015">
        <v>0</v>
      </c>
      <c r="N27" s="1016">
        <v>0</v>
      </c>
      <c r="O27" s="1016">
        <v>0</v>
      </c>
      <c r="P27" s="1017">
        <v>0</v>
      </c>
      <c r="Q27" s="1005">
        <f t="shared" si="1"/>
        <v>0</v>
      </c>
    </row>
    <row r="28" spans="1:17" x14ac:dyDescent="0.2">
      <c r="A28" s="1013" t="s">
        <v>425</v>
      </c>
      <c r="B28" s="1014" t="s">
        <v>950</v>
      </c>
      <c r="C28" s="1092">
        <v>0</v>
      </c>
      <c r="D28" s="1015">
        <v>31</v>
      </c>
      <c r="E28" s="1016">
        <v>5</v>
      </c>
      <c r="F28" s="1016">
        <v>50</v>
      </c>
      <c r="G28" s="1016">
        <v>53</v>
      </c>
      <c r="H28" s="1016">
        <v>73</v>
      </c>
      <c r="I28" s="1016">
        <v>0</v>
      </c>
      <c r="J28" s="1016">
        <v>81</v>
      </c>
      <c r="K28" s="1017">
        <v>9</v>
      </c>
      <c r="L28" s="961">
        <f t="shared" si="0"/>
        <v>302</v>
      </c>
      <c r="M28" s="1015">
        <v>0</v>
      </c>
      <c r="N28" s="1016">
        <v>0</v>
      </c>
      <c r="O28" s="1016">
        <v>0</v>
      </c>
      <c r="P28" s="1017">
        <v>0</v>
      </c>
      <c r="Q28" s="1005">
        <f t="shared" si="1"/>
        <v>0</v>
      </c>
    </row>
    <row r="29" spans="1:17" x14ac:dyDescent="0.2">
      <c r="A29" s="1013" t="s">
        <v>426</v>
      </c>
      <c r="B29" s="1014" t="s">
        <v>951</v>
      </c>
      <c r="C29" s="1092">
        <v>0</v>
      </c>
      <c r="D29" s="1015">
        <v>11</v>
      </c>
      <c r="E29" s="1016">
        <v>18</v>
      </c>
      <c r="F29" s="1016">
        <v>86</v>
      </c>
      <c r="G29" s="1016">
        <v>11</v>
      </c>
      <c r="H29" s="1016">
        <v>41</v>
      </c>
      <c r="I29" s="1016">
        <v>0</v>
      </c>
      <c r="J29" s="1016">
        <v>37</v>
      </c>
      <c r="K29" s="1017">
        <v>0</v>
      </c>
      <c r="L29" s="961">
        <f t="shared" si="0"/>
        <v>204</v>
      </c>
      <c r="M29" s="1015">
        <v>0</v>
      </c>
      <c r="N29" s="1016">
        <v>0</v>
      </c>
      <c r="O29" s="1016">
        <v>0</v>
      </c>
      <c r="P29" s="1017">
        <v>0</v>
      </c>
      <c r="Q29" s="1005">
        <f t="shared" si="1"/>
        <v>0</v>
      </c>
    </row>
    <row r="30" spans="1:17" x14ac:dyDescent="0.2">
      <c r="A30" s="1013" t="s">
        <v>427</v>
      </c>
      <c r="B30" s="1014" t="s">
        <v>952</v>
      </c>
      <c r="C30" s="1092">
        <v>0</v>
      </c>
      <c r="D30" s="1015">
        <v>1543</v>
      </c>
      <c r="E30" s="1016">
        <v>58</v>
      </c>
      <c r="F30" s="1016">
        <v>112</v>
      </c>
      <c r="G30" s="1016">
        <v>98</v>
      </c>
      <c r="H30" s="1016">
        <v>465</v>
      </c>
      <c r="I30" s="1016">
        <v>0</v>
      </c>
      <c r="J30" s="1016">
        <v>353</v>
      </c>
      <c r="K30" s="1017">
        <v>1003</v>
      </c>
      <c r="L30" s="961">
        <f t="shared" si="0"/>
        <v>3632</v>
      </c>
      <c r="M30" s="1015">
        <v>8</v>
      </c>
      <c r="N30" s="1016">
        <v>0</v>
      </c>
      <c r="O30" s="1016">
        <v>0</v>
      </c>
      <c r="P30" s="1017">
        <v>0</v>
      </c>
      <c r="Q30" s="1005">
        <f t="shared" si="1"/>
        <v>8</v>
      </c>
    </row>
    <row r="31" spans="1:17" x14ac:dyDescent="0.2">
      <c r="A31" s="1018" t="s">
        <v>428</v>
      </c>
      <c r="B31" s="1019" t="s">
        <v>953</v>
      </c>
      <c r="C31" s="1094">
        <v>0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0</v>
      </c>
      <c r="K31" s="1020">
        <v>0</v>
      </c>
      <c r="L31" s="964">
        <f t="shared" si="0"/>
        <v>0</v>
      </c>
      <c r="M31" s="1020">
        <v>0</v>
      </c>
      <c r="N31" s="1021">
        <v>0</v>
      </c>
      <c r="O31" s="1021">
        <v>0</v>
      </c>
      <c r="P31" s="1022">
        <v>0</v>
      </c>
      <c r="Q31" s="1023">
        <f t="shared" si="1"/>
        <v>0</v>
      </c>
    </row>
    <row r="32" spans="1:17" x14ac:dyDescent="0.2">
      <c r="A32" s="1035" t="s">
        <v>429</v>
      </c>
      <c r="B32" s="1036" t="s">
        <v>1086</v>
      </c>
      <c r="C32" s="1089">
        <f>SUM(C29:C30)</f>
        <v>0</v>
      </c>
      <c r="D32" s="1037">
        <f>SUM(D29:D30)</f>
        <v>1554</v>
      </c>
      <c r="E32" s="1037">
        <f t="shared" ref="E32:K32" si="6">SUM(E29:E30)</f>
        <v>76</v>
      </c>
      <c r="F32" s="1037">
        <f t="shared" si="6"/>
        <v>198</v>
      </c>
      <c r="G32" s="1037">
        <f t="shared" si="6"/>
        <v>109</v>
      </c>
      <c r="H32" s="1037">
        <f t="shared" si="6"/>
        <v>506</v>
      </c>
      <c r="I32" s="1037">
        <f t="shared" si="6"/>
        <v>0</v>
      </c>
      <c r="J32" s="1037">
        <f t="shared" si="6"/>
        <v>390</v>
      </c>
      <c r="K32" s="1037">
        <f t="shared" si="6"/>
        <v>1003</v>
      </c>
      <c r="L32" s="970">
        <f>SUM(D32:K32)</f>
        <v>3836</v>
      </c>
      <c r="M32" s="1037">
        <f>SUM(M29:M31)</f>
        <v>8</v>
      </c>
      <c r="N32" s="1038">
        <v>0</v>
      </c>
      <c r="O32" s="1038">
        <v>0</v>
      </c>
      <c r="P32" s="1039">
        <v>0</v>
      </c>
      <c r="Q32" s="972">
        <f t="shared" si="1"/>
        <v>8</v>
      </c>
    </row>
    <row r="33" spans="1:17" x14ac:dyDescent="0.2">
      <c r="A33" s="1024" t="s">
        <v>430</v>
      </c>
      <c r="B33" s="1025" t="s">
        <v>954</v>
      </c>
      <c r="C33" s="1095">
        <v>0</v>
      </c>
      <c r="D33" s="1026">
        <v>15</v>
      </c>
      <c r="E33" s="1027">
        <v>1</v>
      </c>
      <c r="F33" s="1027">
        <v>3</v>
      </c>
      <c r="G33" s="1027">
        <v>605</v>
      </c>
      <c r="H33" s="1027">
        <v>41</v>
      </c>
      <c r="I33" s="1027">
        <v>0</v>
      </c>
      <c r="J33" s="1027">
        <v>13</v>
      </c>
      <c r="K33" s="1028">
        <v>2</v>
      </c>
      <c r="L33" s="960">
        <f t="shared" si="0"/>
        <v>680</v>
      </c>
      <c r="M33" s="1026">
        <v>0</v>
      </c>
      <c r="N33" s="1027">
        <v>0</v>
      </c>
      <c r="O33" s="1027">
        <v>0</v>
      </c>
      <c r="P33" s="1028">
        <v>0</v>
      </c>
      <c r="Q33" s="1029">
        <f t="shared" si="1"/>
        <v>0</v>
      </c>
    </row>
    <row r="34" spans="1:17" x14ac:dyDescent="0.2">
      <c r="A34" s="1018" t="s">
        <v>431</v>
      </c>
      <c r="B34" s="1019" t="s">
        <v>955</v>
      </c>
      <c r="C34" s="1094">
        <v>0</v>
      </c>
      <c r="D34" s="1020">
        <v>31</v>
      </c>
      <c r="E34" s="1021">
        <v>1</v>
      </c>
      <c r="F34" s="1021">
        <v>11</v>
      </c>
      <c r="G34" s="1021">
        <v>30</v>
      </c>
      <c r="H34" s="1021">
        <v>84</v>
      </c>
      <c r="I34" s="1021">
        <v>0</v>
      </c>
      <c r="J34" s="1021">
        <v>30</v>
      </c>
      <c r="K34" s="1022">
        <v>11</v>
      </c>
      <c r="L34" s="964">
        <f t="shared" si="0"/>
        <v>198</v>
      </c>
      <c r="M34" s="1020">
        <v>0</v>
      </c>
      <c r="N34" s="1021">
        <v>0</v>
      </c>
      <c r="O34" s="1021">
        <v>0</v>
      </c>
      <c r="P34" s="1022">
        <v>0</v>
      </c>
      <c r="Q34" s="1023">
        <f t="shared" si="1"/>
        <v>0</v>
      </c>
    </row>
    <row r="35" spans="1:17" x14ac:dyDescent="0.2">
      <c r="A35" s="1035" t="s">
        <v>432</v>
      </c>
      <c r="B35" s="1036" t="s">
        <v>1087</v>
      </c>
      <c r="C35" s="1089">
        <f>SUM(C33:C34)</f>
        <v>0</v>
      </c>
      <c r="D35" s="1037">
        <f>SUM(D33:D34)</f>
        <v>46</v>
      </c>
      <c r="E35" s="1037">
        <f t="shared" ref="E35:J35" si="7">SUM(E33:E34)</f>
        <v>2</v>
      </c>
      <c r="F35" s="1037">
        <f t="shared" si="7"/>
        <v>14</v>
      </c>
      <c r="G35" s="1037">
        <f t="shared" si="7"/>
        <v>635</v>
      </c>
      <c r="H35" s="1037">
        <f t="shared" si="7"/>
        <v>125</v>
      </c>
      <c r="I35" s="1037">
        <f t="shared" si="7"/>
        <v>0</v>
      </c>
      <c r="J35" s="1037">
        <f t="shared" si="7"/>
        <v>43</v>
      </c>
      <c r="K35" s="1037">
        <f>SUM(K33:K34)</f>
        <v>13</v>
      </c>
      <c r="L35" s="970">
        <f t="shared" si="0"/>
        <v>878</v>
      </c>
      <c r="M35" s="1037">
        <v>0</v>
      </c>
      <c r="N35" s="1038">
        <v>0</v>
      </c>
      <c r="O35" s="1038">
        <v>0</v>
      </c>
      <c r="P35" s="1039">
        <v>0</v>
      </c>
      <c r="Q35" s="972">
        <f t="shared" si="1"/>
        <v>0</v>
      </c>
    </row>
    <row r="36" spans="1:17" x14ac:dyDescent="0.2">
      <c r="A36" s="1024" t="s">
        <v>433</v>
      </c>
      <c r="B36" s="1025" t="s">
        <v>956</v>
      </c>
      <c r="C36" s="1095">
        <v>0</v>
      </c>
      <c r="D36" s="1026">
        <v>231</v>
      </c>
      <c r="E36" s="1027">
        <v>128</v>
      </c>
      <c r="F36" s="1027">
        <v>75</v>
      </c>
      <c r="G36" s="1027">
        <v>204</v>
      </c>
      <c r="H36" s="1027">
        <v>205</v>
      </c>
      <c r="I36" s="1027">
        <v>0</v>
      </c>
      <c r="J36" s="1027">
        <v>268</v>
      </c>
      <c r="K36" s="1028">
        <v>0</v>
      </c>
      <c r="L36" s="960">
        <f t="shared" si="0"/>
        <v>1111</v>
      </c>
      <c r="M36" s="1026">
        <v>0</v>
      </c>
      <c r="N36" s="1027">
        <v>0</v>
      </c>
      <c r="O36" s="1027">
        <v>0</v>
      </c>
      <c r="P36" s="1028">
        <v>0</v>
      </c>
      <c r="Q36" s="1029">
        <f t="shared" si="1"/>
        <v>0</v>
      </c>
    </row>
    <row r="37" spans="1:17" x14ac:dyDescent="0.2">
      <c r="A37" s="1013" t="s">
        <v>434</v>
      </c>
      <c r="B37" s="1014" t="s">
        <v>957</v>
      </c>
      <c r="C37" s="1092">
        <v>0</v>
      </c>
      <c r="D37" s="1015">
        <v>0</v>
      </c>
      <c r="E37" s="1016">
        <v>0</v>
      </c>
      <c r="F37" s="1016">
        <v>0</v>
      </c>
      <c r="G37" s="1016">
        <v>0</v>
      </c>
      <c r="H37" s="1016">
        <v>117</v>
      </c>
      <c r="I37" s="1016">
        <v>1506</v>
      </c>
      <c r="J37" s="1016">
        <v>0</v>
      </c>
      <c r="K37" s="1017">
        <v>0</v>
      </c>
      <c r="L37" s="961">
        <f t="shared" si="0"/>
        <v>1623</v>
      </c>
      <c r="M37" s="1015">
        <v>0</v>
      </c>
      <c r="N37" s="1016">
        <v>0</v>
      </c>
      <c r="O37" s="1016">
        <v>0</v>
      </c>
      <c r="P37" s="1017">
        <v>0</v>
      </c>
      <c r="Q37" s="1005">
        <f t="shared" si="1"/>
        <v>0</v>
      </c>
    </row>
    <row r="38" spans="1:17" x14ac:dyDescent="0.2">
      <c r="A38" s="1013" t="s">
        <v>435</v>
      </c>
      <c r="B38" s="1014" t="s">
        <v>1088</v>
      </c>
      <c r="C38" s="1092">
        <v>0</v>
      </c>
      <c r="D38" s="1015">
        <v>0</v>
      </c>
      <c r="E38" s="1016">
        <v>0</v>
      </c>
      <c r="F38" s="1016">
        <v>0</v>
      </c>
      <c r="G38" s="1016">
        <v>0</v>
      </c>
      <c r="H38" s="1016">
        <v>0</v>
      </c>
      <c r="I38" s="1016">
        <v>0</v>
      </c>
      <c r="J38" s="1016">
        <v>0</v>
      </c>
      <c r="K38" s="1017">
        <v>0</v>
      </c>
      <c r="L38" s="961">
        <f t="shared" si="0"/>
        <v>0</v>
      </c>
      <c r="M38" s="1015">
        <v>0</v>
      </c>
      <c r="N38" s="1016">
        <v>0</v>
      </c>
      <c r="O38" s="1016">
        <v>0</v>
      </c>
      <c r="P38" s="1017">
        <v>0</v>
      </c>
      <c r="Q38" s="1005">
        <f t="shared" si="1"/>
        <v>0</v>
      </c>
    </row>
    <row r="39" spans="1:17" x14ac:dyDescent="0.2">
      <c r="A39" s="1013" t="s">
        <v>436</v>
      </c>
      <c r="B39" s="1014" t="s">
        <v>958</v>
      </c>
      <c r="C39" s="1092">
        <v>0</v>
      </c>
      <c r="D39" s="1015">
        <v>724</v>
      </c>
      <c r="E39" s="1016">
        <v>0</v>
      </c>
      <c r="F39" s="1016">
        <v>0</v>
      </c>
      <c r="G39" s="1016">
        <v>0</v>
      </c>
      <c r="H39" s="1016">
        <v>328</v>
      </c>
      <c r="I39" s="1016">
        <v>0</v>
      </c>
      <c r="J39" s="1016">
        <v>328</v>
      </c>
      <c r="K39" s="1017">
        <v>490</v>
      </c>
      <c r="L39" s="961">
        <f t="shared" si="0"/>
        <v>1870</v>
      </c>
      <c r="M39" s="1015">
        <v>0</v>
      </c>
      <c r="N39" s="1016">
        <v>0</v>
      </c>
      <c r="O39" s="1016">
        <v>0</v>
      </c>
      <c r="P39" s="1017">
        <v>0</v>
      </c>
      <c r="Q39" s="1005">
        <f t="shared" si="1"/>
        <v>0</v>
      </c>
    </row>
    <row r="40" spans="1:17" x14ac:dyDescent="0.2">
      <c r="A40" s="1013" t="s">
        <v>437</v>
      </c>
      <c r="B40" s="1014" t="s">
        <v>1089</v>
      </c>
      <c r="C40" s="1092">
        <v>0</v>
      </c>
      <c r="D40" s="1015">
        <v>0</v>
      </c>
      <c r="E40" s="1016">
        <v>0</v>
      </c>
      <c r="F40" s="1016">
        <v>0</v>
      </c>
      <c r="G40" s="1016">
        <v>0</v>
      </c>
      <c r="H40" s="1016">
        <v>0</v>
      </c>
      <c r="I40" s="1016">
        <v>0</v>
      </c>
      <c r="J40" s="1016">
        <v>0</v>
      </c>
      <c r="K40" s="1017">
        <v>0</v>
      </c>
      <c r="L40" s="961">
        <f t="shared" si="0"/>
        <v>0</v>
      </c>
      <c r="M40" s="1015">
        <v>0</v>
      </c>
      <c r="N40" s="1016">
        <v>0</v>
      </c>
      <c r="O40" s="1016">
        <v>0</v>
      </c>
      <c r="P40" s="1017">
        <v>0</v>
      </c>
      <c r="Q40" s="1005">
        <f t="shared" si="1"/>
        <v>0</v>
      </c>
    </row>
    <row r="41" spans="1:17" x14ac:dyDescent="0.2">
      <c r="A41" s="1013" t="s">
        <v>438</v>
      </c>
      <c r="B41" s="1014" t="s">
        <v>1090</v>
      </c>
      <c r="C41" s="1092">
        <v>0</v>
      </c>
      <c r="D41" s="1015">
        <v>0</v>
      </c>
      <c r="E41" s="1016">
        <v>0</v>
      </c>
      <c r="F41" s="1016">
        <v>0</v>
      </c>
      <c r="G41" s="1016">
        <v>0</v>
      </c>
      <c r="H41" s="1016">
        <v>0</v>
      </c>
      <c r="I41" s="1016">
        <v>0</v>
      </c>
      <c r="J41" s="1016">
        <v>0</v>
      </c>
      <c r="K41" s="1017">
        <v>0</v>
      </c>
      <c r="L41" s="961">
        <f t="shared" si="0"/>
        <v>0</v>
      </c>
      <c r="M41" s="1015">
        <v>0</v>
      </c>
      <c r="N41" s="1016">
        <v>0</v>
      </c>
      <c r="O41" s="1016">
        <v>0</v>
      </c>
      <c r="P41" s="1017">
        <v>0</v>
      </c>
      <c r="Q41" s="1005">
        <f t="shared" si="1"/>
        <v>0</v>
      </c>
    </row>
    <row r="42" spans="1:17" x14ac:dyDescent="0.2">
      <c r="A42" s="1013" t="s">
        <v>439</v>
      </c>
      <c r="B42" s="1014" t="s">
        <v>1091</v>
      </c>
      <c r="C42" s="1092">
        <v>0</v>
      </c>
      <c r="D42" s="1015">
        <v>0</v>
      </c>
      <c r="E42" s="1016">
        <v>0</v>
      </c>
      <c r="F42" s="1016">
        <v>0</v>
      </c>
      <c r="G42" s="1016">
        <v>459</v>
      </c>
      <c r="H42" s="1016">
        <v>511</v>
      </c>
      <c r="I42" s="1016">
        <v>0</v>
      </c>
      <c r="J42" s="1016">
        <v>17</v>
      </c>
      <c r="K42" s="1017">
        <v>0</v>
      </c>
      <c r="L42" s="961">
        <f t="shared" si="0"/>
        <v>987</v>
      </c>
      <c r="M42" s="1015">
        <v>2052</v>
      </c>
      <c r="N42" s="1016">
        <v>0</v>
      </c>
      <c r="O42" s="1016">
        <v>15000</v>
      </c>
      <c r="P42" s="1017">
        <v>2400</v>
      </c>
      <c r="Q42" s="1005">
        <f t="shared" si="1"/>
        <v>19452</v>
      </c>
    </row>
    <row r="43" spans="1:17" x14ac:dyDescent="0.2">
      <c r="A43" s="1013" t="s">
        <v>440</v>
      </c>
      <c r="B43" s="1014" t="s">
        <v>1092</v>
      </c>
      <c r="C43" s="1092">
        <v>0</v>
      </c>
      <c r="D43" s="1015">
        <v>1039</v>
      </c>
      <c r="E43" s="1016">
        <v>267</v>
      </c>
      <c r="F43" s="1016">
        <v>157</v>
      </c>
      <c r="G43" s="1016">
        <v>574</v>
      </c>
      <c r="H43" s="1016">
        <v>1536</v>
      </c>
      <c r="I43" s="1016">
        <v>0</v>
      </c>
      <c r="J43" s="1016">
        <v>808</v>
      </c>
      <c r="K43" s="1017">
        <v>481</v>
      </c>
      <c r="L43" s="961">
        <f t="shared" si="0"/>
        <v>4862</v>
      </c>
      <c r="M43" s="1015">
        <v>222</v>
      </c>
      <c r="N43" s="1016">
        <v>0</v>
      </c>
      <c r="O43" s="1016">
        <v>0</v>
      </c>
      <c r="P43" s="1017">
        <v>0</v>
      </c>
      <c r="Q43" s="1005">
        <f t="shared" si="1"/>
        <v>222</v>
      </c>
    </row>
    <row r="44" spans="1:17" x14ac:dyDescent="0.2">
      <c r="A44" s="1018" t="s">
        <v>441</v>
      </c>
      <c r="B44" s="1019" t="s">
        <v>1093</v>
      </c>
      <c r="C44" s="1094">
        <v>0</v>
      </c>
      <c r="D44" s="1020">
        <v>310</v>
      </c>
      <c r="E44" s="1021">
        <v>0</v>
      </c>
      <c r="F44" s="1021">
        <v>0</v>
      </c>
      <c r="G44" s="1021">
        <v>0</v>
      </c>
      <c r="H44" s="1021">
        <v>52</v>
      </c>
      <c r="I44" s="1021">
        <v>0</v>
      </c>
      <c r="J44" s="1021">
        <v>47</v>
      </c>
      <c r="K44" s="1022">
        <v>467</v>
      </c>
      <c r="L44" s="964">
        <f t="shared" si="0"/>
        <v>876</v>
      </c>
      <c r="M44" s="1020">
        <v>27</v>
      </c>
      <c r="N44" s="1021">
        <v>0</v>
      </c>
      <c r="O44" s="1021">
        <v>0</v>
      </c>
      <c r="P44" s="1022">
        <v>0</v>
      </c>
      <c r="Q44" s="1023">
        <f t="shared" si="1"/>
        <v>27</v>
      </c>
    </row>
    <row r="45" spans="1:17" x14ac:dyDescent="0.2">
      <c r="A45" s="1035" t="s">
        <v>442</v>
      </c>
      <c r="B45" s="1036" t="s">
        <v>1094</v>
      </c>
      <c r="C45" s="1089">
        <f>SUM(C36:C43)</f>
        <v>0</v>
      </c>
      <c r="D45" s="1037">
        <f>SUM(D36:D43)</f>
        <v>1994</v>
      </c>
      <c r="E45" s="1037">
        <f>SUM(E36:E44)</f>
        <v>395</v>
      </c>
      <c r="F45" s="1037">
        <f>SUM(F36:F44)</f>
        <v>232</v>
      </c>
      <c r="G45" s="1037">
        <f>SUM(G36:G44)</f>
        <v>1237</v>
      </c>
      <c r="H45" s="1037">
        <f t="shared" ref="H45:K45" si="8">SUM(H36:H43)</f>
        <v>2697</v>
      </c>
      <c r="I45" s="1037">
        <f>SUM(I36:I44)</f>
        <v>1506</v>
      </c>
      <c r="J45" s="1037">
        <f t="shared" si="8"/>
        <v>1421</v>
      </c>
      <c r="K45" s="1037">
        <f t="shared" si="8"/>
        <v>971</v>
      </c>
      <c r="L45" s="970">
        <f>SUM(D45:K45)</f>
        <v>10453</v>
      </c>
      <c r="M45" s="1037">
        <f>M42+M43</f>
        <v>2274</v>
      </c>
      <c r="N45" s="1037">
        <f t="shared" ref="N45:P45" si="9">N42+N43</f>
        <v>0</v>
      </c>
      <c r="O45" s="1037">
        <f t="shared" si="9"/>
        <v>15000</v>
      </c>
      <c r="P45" s="1037">
        <f t="shared" si="9"/>
        <v>2400</v>
      </c>
      <c r="Q45" s="972">
        <f t="shared" si="1"/>
        <v>19674</v>
      </c>
    </row>
    <row r="46" spans="1:17" x14ac:dyDescent="0.2">
      <c r="A46" s="1024" t="s">
        <v>443</v>
      </c>
      <c r="B46" s="1025" t="s">
        <v>959</v>
      </c>
      <c r="C46" s="1095">
        <v>0</v>
      </c>
      <c r="D46" s="1026">
        <v>58</v>
      </c>
      <c r="E46" s="1027">
        <v>0</v>
      </c>
      <c r="F46" s="1027">
        <v>0</v>
      </c>
      <c r="G46" s="1027">
        <v>409</v>
      </c>
      <c r="H46" s="1027">
        <v>421</v>
      </c>
      <c r="I46" s="1027">
        <v>0</v>
      </c>
      <c r="J46" s="1027">
        <v>51</v>
      </c>
      <c r="K46" s="1028">
        <v>0</v>
      </c>
      <c r="L46" s="960">
        <f t="shared" si="0"/>
        <v>939</v>
      </c>
      <c r="M46" s="1026">
        <v>0</v>
      </c>
      <c r="N46" s="1027">
        <v>0</v>
      </c>
      <c r="O46" s="1027">
        <v>0</v>
      </c>
      <c r="P46" s="1028">
        <v>0</v>
      </c>
      <c r="Q46" s="1029">
        <f t="shared" si="1"/>
        <v>0</v>
      </c>
    </row>
    <row r="47" spans="1:17" ht="12" customHeight="1" x14ac:dyDescent="0.2">
      <c r="A47" s="1018" t="s">
        <v>444</v>
      </c>
      <c r="B47" s="1019" t="s">
        <v>960</v>
      </c>
      <c r="C47" s="1094">
        <v>0</v>
      </c>
      <c r="D47" s="1020">
        <v>0</v>
      </c>
      <c r="E47" s="1021">
        <v>0</v>
      </c>
      <c r="F47" s="1021">
        <v>0</v>
      </c>
      <c r="G47" s="1021">
        <v>0</v>
      </c>
      <c r="H47" s="1021">
        <v>0</v>
      </c>
      <c r="I47" s="1021">
        <v>0</v>
      </c>
      <c r="J47" s="1021">
        <v>0</v>
      </c>
      <c r="K47" s="1022">
        <v>0</v>
      </c>
      <c r="L47" s="964">
        <f t="shared" si="0"/>
        <v>0</v>
      </c>
      <c r="M47" s="1020">
        <v>0</v>
      </c>
      <c r="N47" s="1021">
        <v>0</v>
      </c>
      <c r="O47" s="1021">
        <v>0</v>
      </c>
      <c r="P47" s="1022">
        <v>0</v>
      </c>
      <c r="Q47" s="1023">
        <f t="shared" si="1"/>
        <v>0</v>
      </c>
    </row>
    <row r="48" spans="1:17" ht="24" x14ac:dyDescent="0.2">
      <c r="A48" s="1035" t="s">
        <v>445</v>
      </c>
      <c r="B48" s="1036" t="s">
        <v>961</v>
      </c>
      <c r="C48" s="1089">
        <f>SUM(C46:C47)</f>
        <v>0</v>
      </c>
      <c r="D48" s="1037">
        <f>SUM(D46:D47)</f>
        <v>58</v>
      </c>
      <c r="E48" s="1037">
        <f t="shared" ref="E48:K48" si="10">SUM(E46:E47)</f>
        <v>0</v>
      </c>
      <c r="F48" s="1037">
        <f t="shared" si="10"/>
        <v>0</v>
      </c>
      <c r="G48" s="1037">
        <f t="shared" si="10"/>
        <v>409</v>
      </c>
      <c r="H48" s="1037">
        <f t="shared" si="10"/>
        <v>421</v>
      </c>
      <c r="I48" s="1037">
        <f t="shared" si="10"/>
        <v>0</v>
      </c>
      <c r="J48" s="1037">
        <f t="shared" si="10"/>
        <v>51</v>
      </c>
      <c r="K48" s="1037">
        <f t="shared" si="10"/>
        <v>0</v>
      </c>
      <c r="L48" s="970">
        <f t="shared" si="0"/>
        <v>939</v>
      </c>
      <c r="M48" s="1037">
        <v>0</v>
      </c>
      <c r="N48" s="1038">
        <v>0</v>
      </c>
      <c r="O48" s="1038">
        <v>0</v>
      </c>
      <c r="P48" s="1039">
        <v>0</v>
      </c>
      <c r="Q48" s="972">
        <f t="shared" si="1"/>
        <v>0</v>
      </c>
    </row>
    <row r="49" spans="1:17" ht="24" x14ac:dyDescent="0.2">
      <c r="A49" s="1024" t="s">
        <v>446</v>
      </c>
      <c r="B49" s="1025" t="s">
        <v>962</v>
      </c>
      <c r="C49" s="1095">
        <v>0</v>
      </c>
      <c r="D49" s="1026">
        <v>868</v>
      </c>
      <c r="E49" s="1027">
        <v>120</v>
      </c>
      <c r="F49" s="1027">
        <v>106</v>
      </c>
      <c r="G49" s="1027">
        <v>236</v>
      </c>
      <c r="H49" s="1027">
        <v>601</v>
      </c>
      <c r="I49" s="1027">
        <v>407</v>
      </c>
      <c r="J49" s="1027">
        <v>468</v>
      </c>
      <c r="K49" s="1028">
        <v>401</v>
      </c>
      <c r="L49" s="960">
        <f t="shared" si="0"/>
        <v>3207</v>
      </c>
      <c r="M49" s="1026">
        <v>554</v>
      </c>
      <c r="N49" s="1027">
        <v>0</v>
      </c>
      <c r="O49" s="1027">
        <v>0</v>
      </c>
      <c r="P49" s="1028">
        <v>0</v>
      </c>
      <c r="Q49" s="1029">
        <f t="shared" si="1"/>
        <v>554</v>
      </c>
    </row>
    <row r="50" spans="1:17" x14ac:dyDescent="0.2">
      <c r="A50" s="1013" t="s">
        <v>447</v>
      </c>
      <c r="B50" s="1014" t="s">
        <v>1095</v>
      </c>
      <c r="C50" s="1092">
        <v>0</v>
      </c>
      <c r="D50" s="1015">
        <v>0</v>
      </c>
      <c r="E50" s="1016">
        <v>0</v>
      </c>
      <c r="F50" s="1016">
        <v>0</v>
      </c>
      <c r="G50" s="1016">
        <v>0</v>
      </c>
      <c r="H50" s="1016">
        <v>0</v>
      </c>
      <c r="I50" s="1016">
        <v>0</v>
      </c>
      <c r="J50" s="1016">
        <v>0</v>
      </c>
      <c r="K50" s="1017">
        <v>0</v>
      </c>
      <c r="L50" s="961">
        <f t="shared" si="0"/>
        <v>0</v>
      </c>
      <c r="M50" s="1015">
        <v>0</v>
      </c>
      <c r="N50" s="1016">
        <v>0</v>
      </c>
      <c r="O50" s="1016">
        <v>0</v>
      </c>
      <c r="P50" s="1017">
        <v>0</v>
      </c>
      <c r="Q50" s="1005">
        <f t="shared" si="1"/>
        <v>0</v>
      </c>
    </row>
    <row r="51" spans="1:17" s="703" customFormat="1" x14ac:dyDescent="0.2">
      <c r="A51" s="1013" t="s">
        <v>448</v>
      </c>
      <c r="B51" s="1014" t="s">
        <v>963</v>
      </c>
      <c r="C51" s="1092">
        <v>0</v>
      </c>
      <c r="D51" s="1015">
        <v>0</v>
      </c>
      <c r="E51" s="1016">
        <v>0</v>
      </c>
      <c r="F51" s="1016">
        <v>0</v>
      </c>
      <c r="G51" s="1016">
        <v>0</v>
      </c>
      <c r="H51" s="1016">
        <v>0</v>
      </c>
      <c r="I51" s="1016">
        <v>0</v>
      </c>
      <c r="J51" s="1016">
        <v>0</v>
      </c>
      <c r="K51" s="1017">
        <v>0</v>
      </c>
      <c r="L51" s="961">
        <f t="shared" si="0"/>
        <v>0</v>
      </c>
      <c r="M51" s="1015">
        <v>0</v>
      </c>
      <c r="N51" s="1016">
        <v>0</v>
      </c>
      <c r="O51" s="1016">
        <v>0</v>
      </c>
      <c r="P51" s="1017">
        <v>0</v>
      </c>
      <c r="Q51" s="1005">
        <f t="shared" si="1"/>
        <v>0</v>
      </c>
    </row>
    <row r="52" spans="1:17" x14ac:dyDescent="0.2">
      <c r="A52" s="1013" t="s">
        <v>449</v>
      </c>
      <c r="B52" s="1014" t="s">
        <v>1096</v>
      </c>
      <c r="C52" s="1092">
        <v>0</v>
      </c>
      <c r="D52" s="1015">
        <v>0</v>
      </c>
      <c r="E52" s="1016">
        <v>0</v>
      </c>
      <c r="F52" s="1016">
        <v>0</v>
      </c>
      <c r="G52" s="1016">
        <v>0</v>
      </c>
      <c r="H52" s="1016">
        <v>0</v>
      </c>
      <c r="I52" s="1016">
        <v>0</v>
      </c>
      <c r="J52" s="1016">
        <v>0</v>
      </c>
      <c r="K52" s="1017">
        <v>0</v>
      </c>
      <c r="L52" s="961">
        <f t="shared" si="0"/>
        <v>0</v>
      </c>
      <c r="M52" s="1015">
        <v>0</v>
      </c>
      <c r="N52" s="1016">
        <v>0</v>
      </c>
      <c r="O52" s="1016">
        <v>0</v>
      </c>
      <c r="P52" s="1017">
        <v>0</v>
      </c>
      <c r="Q52" s="1005">
        <f t="shared" si="1"/>
        <v>0</v>
      </c>
    </row>
    <row r="53" spans="1:17" x14ac:dyDescent="0.2">
      <c r="A53" s="1018" t="s">
        <v>450</v>
      </c>
      <c r="B53" s="1019" t="s">
        <v>964</v>
      </c>
      <c r="C53" s="1094">
        <v>0</v>
      </c>
      <c r="D53" s="1020">
        <v>32</v>
      </c>
      <c r="E53" s="1021"/>
      <c r="F53" s="1021"/>
      <c r="G53" s="1021"/>
      <c r="H53" s="1021">
        <v>11</v>
      </c>
      <c r="I53" s="1021"/>
      <c r="J53" s="1021">
        <v>4</v>
      </c>
      <c r="K53" s="1022"/>
      <c r="L53" s="964">
        <f t="shared" si="0"/>
        <v>47</v>
      </c>
      <c r="M53" s="1020">
        <v>0</v>
      </c>
      <c r="N53" s="1021">
        <v>0</v>
      </c>
      <c r="O53" s="1021">
        <v>0</v>
      </c>
      <c r="P53" s="1022">
        <v>0</v>
      </c>
      <c r="Q53" s="1023">
        <f t="shared" si="1"/>
        <v>0</v>
      </c>
    </row>
    <row r="54" spans="1:17" ht="24" x14ac:dyDescent="0.2">
      <c r="A54" s="1035" t="s">
        <v>451</v>
      </c>
      <c r="B54" s="1036" t="s">
        <v>965</v>
      </c>
      <c r="C54" s="1089">
        <f>SUM(C49:C53)</f>
        <v>0</v>
      </c>
      <c r="D54" s="1037">
        <f>SUM(D49:D53)</f>
        <v>900</v>
      </c>
      <c r="E54" s="1037">
        <f t="shared" ref="E54:K54" si="11">SUM(E49:E53)</f>
        <v>120</v>
      </c>
      <c r="F54" s="1037">
        <f t="shared" si="11"/>
        <v>106</v>
      </c>
      <c r="G54" s="1037">
        <f t="shared" si="11"/>
        <v>236</v>
      </c>
      <c r="H54" s="1037">
        <f t="shared" si="11"/>
        <v>612</v>
      </c>
      <c r="I54" s="1037">
        <f t="shared" si="11"/>
        <v>407</v>
      </c>
      <c r="J54" s="1037">
        <f t="shared" si="11"/>
        <v>472</v>
      </c>
      <c r="K54" s="1037">
        <f t="shared" si="11"/>
        <v>401</v>
      </c>
      <c r="L54" s="970">
        <f t="shared" si="0"/>
        <v>3254</v>
      </c>
      <c r="M54" s="1037">
        <f>M49</f>
        <v>554</v>
      </c>
      <c r="N54" s="1038">
        <v>0</v>
      </c>
      <c r="O54" s="1038">
        <v>0</v>
      </c>
      <c r="P54" s="1039">
        <v>0</v>
      </c>
      <c r="Q54" s="972">
        <f t="shared" si="1"/>
        <v>554</v>
      </c>
    </row>
    <row r="55" spans="1:17" x14ac:dyDescent="0.2">
      <c r="A55" s="1030" t="s">
        <v>452</v>
      </c>
      <c r="B55" s="1031" t="s">
        <v>1097</v>
      </c>
      <c r="C55" s="1090">
        <f>C32+C35+C45+C48+C54</f>
        <v>0</v>
      </c>
      <c r="D55" s="1032">
        <f>D32+D35+D45+D48+D54</f>
        <v>4552</v>
      </c>
      <c r="E55" s="1032">
        <f t="shared" ref="E55:J55" si="12">E32+E35+E45+E48+E54</f>
        <v>593</v>
      </c>
      <c r="F55" s="1032">
        <f t="shared" si="12"/>
        <v>550</v>
      </c>
      <c r="G55" s="1032">
        <f t="shared" si="12"/>
        <v>2626</v>
      </c>
      <c r="H55" s="1032">
        <f t="shared" si="12"/>
        <v>4361</v>
      </c>
      <c r="I55" s="1032">
        <f t="shared" si="12"/>
        <v>1913</v>
      </c>
      <c r="J55" s="1032">
        <f t="shared" si="12"/>
        <v>2377</v>
      </c>
      <c r="K55" s="1032">
        <f>K32+K35+K45+K48+K54</f>
        <v>2388</v>
      </c>
      <c r="L55" s="970">
        <f t="shared" si="0"/>
        <v>19360</v>
      </c>
      <c r="M55" s="1032">
        <f>M32+M35+M45+M48+M54</f>
        <v>2836</v>
      </c>
      <c r="N55" s="1032">
        <f t="shared" ref="N55:P55" si="13">N32+N35+N45+N48+N54</f>
        <v>0</v>
      </c>
      <c r="O55" s="1032">
        <f t="shared" si="13"/>
        <v>15000</v>
      </c>
      <c r="P55" s="1032">
        <f t="shared" si="13"/>
        <v>2400</v>
      </c>
      <c r="Q55" s="972">
        <f t="shared" si="1"/>
        <v>20236</v>
      </c>
    </row>
    <row r="56" spans="1:17" ht="24" x14ac:dyDescent="0.2">
      <c r="A56" s="1030" t="s">
        <v>453</v>
      </c>
      <c r="B56" s="1031" t="s">
        <v>1098</v>
      </c>
      <c r="C56" s="1090">
        <v>0</v>
      </c>
      <c r="D56" s="1032">
        <v>0</v>
      </c>
      <c r="E56" s="1033">
        <v>0</v>
      </c>
      <c r="F56" s="1033">
        <v>0</v>
      </c>
      <c r="G56" s="1033">
        <v>0</v>
      </c>
      <c r="H56" s="1033">
        <v>0</v>
      </c>
      <c r="I56" s="1033">
        <v>0</v>
      </c>
      <c r="J56" s="1033">
        <v>0</v>
      </c>
      <c r="K56" s="1034">
        <v>0</v>
      </c>
      <c r="L56" s="970">
        <f t="shared" si="0"/>
        <v>0</v>
      </c>
      <c r="M56" s="1032">
        <v>0</v>
      </c>
      <c r="N56" s="1033">
        <v>0</v>
      </c>
      <c r="O56" s="1033">
        <v>0</v>
      </c>
      <c r="P56" s="1034">
        <v>0</v>
      </c>
      <c r="Q56" s="972">
        <f t="shared" si="1"/>
        <v>0</v>
      </c>
    </row>
    <row r="57" spans="1:17" x14ac:dyDescent="0.2">
      <c r="A57" s="1024" t="s">
        <v>454</v>
      </c>
      <c r="B57" s="1025" t="s">
        <v>1099</v>
      </c>
      <c r="C57" s="1095">
        <v>0</v>
      </c>
      <c r="D57" s="1026">
        <v>0</v>
      </c>
      <c r="E57" s="1027">
        <v>0</v>
      </c>
      <c r="F57" s="1027">
        <v>0</v>
      </c>
      <c r="G57" s="1027">
        <v>0</v>
      </c>
      <c r="H57" s="1027">
        <v>0</v>
      </c>
      <c r="I57" s="1027">
        <v>0</v>
      </c>
      <c r="J57" s="1027">
        <v>0</v>
      </c>
      <c r="K57" s="1028">
        <v>0</v>
      </c>
      <c r="L57" s="960">
        <f t="shared" si="0"/>
        <v>0</v>
      </c>
      <c r="M57" s="1026">
        <v>0</v>
      </c>
      <c r="N57" s="1027">
        <v>0</v>
      </c>
      <c r="O57" s="1027">
        <v>0</v>
      </c>
      <c r="P57" s="1028">
        <v>0</v>
      </c>
      <c r="Q57" s="1029">
        <f t="shared" si="1"/>
        <v>0</v>
      </c>
    </row>
    <row r="58" spans="1:17" ht="24" x14ac:dyDescent="0.2">
      <c r="A58" s="1013" t="s">
        <v>455</v>
      </c>
      <c r="B58" s="1014" t="s">
        <v>966</v>
      </c>
      <c r="C58" s="1092">
        <v>0</v>
      </c>
      <c r="D58" s="1015">
        <v>0</v>
      </c>
      <c r="E58" s="1016">
        <v>0</v>
      </c>
      <c r="F58" s="1016">
        <v>0</v>
      </c>
      <c r="G58" s="1016">
        <v>0</v>
      </c>
      <c r="H58" s="1016">
        <v>0</v>
      </c>
      <c r="I58" s="1016">
        <v>0</v>
      </c>
      <c r="J58" s="1016">
        <v>0</v>
      </c>
      <c r="K58" s="1017">
        <v>0</v>
      </c>
      <c r="L58" s="961">
        <f t="shared" si="0"/>
        <v>0</v>
      </c>
      <c r="M58" s="1015">
        <v>0</v>
      </c>
      <c r="N58" s="1016">
        <v>0</v>
      </c>
      <c r="O58" s="1016">
        <v>0</v>
      </c>
      <c r="P58" s="1017">
        <v>0</v>
      </c>
      <c r="Q58" s="1005">
        <f t="shared" si="1"/>
        <v>0</v>
      </c>
    </row>
    <row r="59" spans="1:17" ht="24" x14ac:dyDescent="0.2">
      <c r="A59" s="1013" t="s">
        <v>456</v>
      </c>
      <c r="B59" s="1014" t="s">
        <v>1100</v>
      </c>
      <c r="C59" s="1092">
        <v>0</v>
      </c>
      <c r="D59" s="1015">
        <v>0</v>
      </c>
      <c r="E59" s="1016">
        <v>0</v>
      </c>
      <c r="F59" s="1016">
        <v>0</v>
      </c>
      <c r="G59" s="1016">
        <v>0</v>
      </c>
      <c r="H59" s="1016">
        <v>0</v>
      </c>
      <c r="I59" s="1016">
        <v>0</v>
      </c>
      <c r="J59" s="1016">
        <v>0</v>
      </c>
      <c r="K59" s="1017">
        <v>0</v>
      </c>
      <c r="L59" s="961">
        <f t="shared" si="0"/>
        <v>0</v>
      </c>
      <c r="M59" s="1015">
        <v>0</v>
      </c>
      <c r="N59" s="1016">
        <v>0</v>
      </c>
      <c r="O59" s="1016">
        <v>0</v>
      </c>
      <c r="P59" s="1017">
        <v>0</v>
      </c>
      <c r="Q59" s="1005">
        <f t="shared" si="1"/>
        <v>0</v>
      </c>
    </row>
    <row r="60" spans="1:17" ht="24" x14ac:dyDescent="0.2">
      <c r="A60" s="1018" t="s">
        <v>457</v>
      </c>
      <c r="B60" s="1019" t="s">
        <v>1101</v>
      </c>
      <c r="C60" s="1094">
        <v>0</v>
      </c>
      <c r="D60" s="1020">
        <v>0</v>
      </c>
      <c r="E60" s="1021">
        <v>0</v>
      </c>
      <c r="F60" s="1021">
        <v>0</v>
      </c>
      <c r="G60" s="1021">
        <v>0</v>
      </c>
      <c r="H60" s="1021">
        <v>0</v>
      </c>
      <c r="I60" s="1021">
        <v>0</v>
      </c>
      <c r="J60" s="1021">
        <v>0</v>
      </c>
      <c r="K60" s="1022">
        <v>0</v>
      </c>
      <c r="L60" s="964">
        <f t="shared" si="0"/>
        <v>0</v>
      </c>
      <c r="M60" s="1020">
        <v>0</v>
      </c>
      <c r="N60" s="1021">
        <v>0</v>
      </c>
      <c r="O60" s="1021">
        <v>0</v>
      </c>
      <c r="P60" s="1022">
        <v>0</v>
      </c>
      <c r="Q60" s="1023">
        <f t="shared" si="1"/>
        <v>0</v>
      </c>
    </row>
    <row r="61" spans="1:17" ht="24" x14ac:dyDescent="0.2">
      <c r="A61" s="1035" t="s">
        <v>458</v>
      </c>
      <c r="B61" s="1036" t="s">
        <v>1102</v>
      </c>
      <c r="C61" s="1089">
        <f>C68</f>
        <v>6788</v>
      </c>
      <c r="D61" s="1089">
        <f t="shared" ref="D61:K61" si="14">D68</f>
        <v>0</v>
      </c>
      <c r="E61" s="1089">
        <f t="shared" si="14"/>
        <v>0</v>
      </c>
      <c r="F61" s="1089">
        <f t="shared" si="14"/>
        <v>0</v>
      </c>
      <c r="G61" s="1089">
        <f t="shared" si="14"/>
        <v>0</v>
      </c>
      <c r="H61" s="1089">
        <f t="shared" si="14"/>
        <v>0</v>
      </c>
      <c r="I61" s="1089">
        <f t="shared" si="14"/>
        <v>0</v>
      </c>
      <c r="J61" s="1089">
        <f t="shared" si="14"/>
        <v>0</v>
      </c>
      <c r="K61" s="1089">
        <f t="shared" si="14"/>
        <v>0</v>
      </c>
      <c r="L61" s="970">
        <f>SUM(C61:K61)</f>
        <v>6788</v>
      </c>
      <c r="M61" s="1037"/>
      <c r="N61" s="1038">
        <f>SUM(N62:N71)</f>
        <v>5078</v>
      </c>
      <c r="O61" s="1038">
        <v>0</v>
      </c>
      <c r="P61" s="1039">
        <v>0</v>
      </c>
      <c r="Q61" s="972">
        <f t="shared" si="1"/>
        <v>5078</v>
      </c>
    </row>
    <row r="62" spans="1:17" x14ac:dyDescent="0.2">
      <c r="A62" s="1024" t="s">
        <v>459</v>
      </c>
      <c r="B62" s="1025" t="s">
        <v>967</v>
      </c>
      <c r="C62" s="1095">
        <v>0</v>
      </c>
      <c r="D62" s="1026">
        <v>0</v>
      </c>
      <c r="E62" s="1027">
        <v>0</v>
      </c>
      <c r="F62" s="1027">
        <v>0</v>
      </c>
      <c r="G62" s="1027">
        <v>0</v>
      </c>
      <c r="H62" s="1027">
        <v>0</v>
      </c>
      <c r="I62" s="1027">
        <v>0</v>
      </c>
      <c r="J62" s="1027">
        <v>0</v>
      </c>
      <c r="K62" s="1028">
        <v>0</v>
      </c>
      <c r="L62" s="960">
        <f t="shared" si="0"/>
        <v>0</v>
      </c>
      <c r="M62" s="1026"/>
      <c r="N62" s="1027">
        <v>0</v>
      </c>
      <c r="O62" s="1027">
        <v>0</v>
      </c>
      <c r="P62" s="1028">
        <v>0</v>
      </c>
      <c r="Q62" s="1029">
        <f t="shared" si="1"/>
        <v>0</v>
      </c>
    </row>
    <row r="63" spans="1:17" x14ac:dyDescent="0.2">
      <c r="A63" s="1013" t="s">
        <v>460</v>
      </c>
      <c r="B63" s="1014" t="s">
        <v>968</v>
      </c>
      <c r="C63" s="1092">
        <v>0</v>
      </c>
      <c r="D63" s="1015">
        <v>0</v>
      </c>
      <c r="E63" s="1016">
        <v>0</v>
      </c>
      <c r="F63" s="1016">
        <v>0</v>
      </c>
      <c r="G63" s="1016">
        <v>0</v>
      </c>
      <c r="H63" s="1016">
        <v>0</v>
      </c>
      <c r="I63" s="1016">
        <v>0</v>
      </c>
      <c r="J63" s="1016">
        <v>0</v>
      </c>
      <c r="K63" s="1017">
        <v>0</v>
      </c>
      <c r="L63" s="961">
        <f t="shared" si="0"/>
        <v>0</v>
      </c>
      <c r="M63" s="1015"/>
      <c r="N63" s="1016">
        <v>0</v>
      </c>
      <c r="O63" s="1016">
        <v>0</v>
      </c>
      <c r="P63" s="1017">
        <v>0</v>
      </c>
      <c r="Q63" s="1005">
        <f t="shared" si="1"/>
        <v>0</v>
      </c>
    </row>
    <row r="64" spans="1:17" ht="24" x14ac:dyDescent="0.2">
      <c r="A64" s="1013" t="s">
        <v>461</v>
      </c>
      <c r="B64" s="1014" t="s">
        <v>969</v>
      </c>
      <c r="C64" s="1092">
        <v>0</v>
      </c>
      <c r="D64" s="1015">
        <v>0</v>
      </c>
      <c r="E64" s="1016">
        <v>0</v>
      </c>
      <c r="F64" s="1016">
        <v>0</v>
      </c>
      <c r="G64" s="1016">
        <v>0</v>
      </c>
      <c r="H64" s="1016">
        <v>0</v>
      </c>
      <c r="I64" s="1016">
        <v>0</v>
      </c>
      <c r="J64" s="1016">
        <v>0</v>
      </c>
      <c r="K64" s="1017">
        <v>0</v>
      </c>
      <c r="L64" s="961">
        <f t="shared" si="0"/>
        <v>0</v>
      </c>
      <c r="M64" s="1015"/>
      <c r="N64" s="1016">
        <v>0</v>
      </c>
      <c r="O64" s="1016">
        <v>0</v>
      </c>
      <c r="P64" s="1017">
        <v>0</v>
      </c>
      <c r="Q64" s="1005">
        <f t="shared" si="1"/>
        <v>0</v>
      </c>
    </row>
    <row r="65" spans="1:17" x14ac:dyDescent="0.2">
      <c r="A65" s="1013" t="s">
        <v>462</v>
      </c>
      <c r="B65" s="1014" t="s">
        <v>970</v>
      </c>
      <c r="C65" s="1092">
        <v>0</v>
      </c>
      <c r="D65" s="1015">
        <v>0</v>
      </c>
      <c r="E65" s="1016">
        <v>0</v>
      </c>
      <c r="F65" s="1016">
        <v>0</v>
      </c>
      <c r="G65" s="1016">
        <v>0</v>
      </c>
      <c r="H65" s="1016">
        <v>0</v>
      </c>
      <c r="I65" s="1016">
        <v>0</v>
      </c>
      <c r="J65" s="1016">
        <v>0</v>
      </c>
      <c r="K65" s="1017">
        <v>0</v>
      </c>
      <c r="L65" s="961">
        <f t="shared" si="0"/>
        <v>0</v>
      </c>
      <c r="M65" s="1015"/>
      <c r="N65" s="1016">
        <v>0</v>
      </c>
      <c r="O65" s="1016">
        <v>0</v>
      </c>
      <c r="P65" s="1017">
        <v>0</v>
      </c>
      <c r="Q65" s="1005">
        <f t="shared" si="1"/>
        <v>0</v>
      </c>
    </row>
    <row r="66" spans="1:17" x14ac:dyDescent="0.2">
      <c r="A66" s="1013" t="s">
        <v>463</v>
      </c>
      <c r="B66" s="1014" t="s">
        <v>971</v>
      </c>
      <c r="C66" s="1092">
        <v>0</v>
      </c>
      <c r="D66" s="1015">
        <v>0</v>
      </c>
      <c r="E66" s="1016">
        <v>0</v>
      </c>
      <c r="F66" s="1016">
        <v>0</v>
      </c>
      <c r="G66" s="1016">
        <v>0</v>
      </c>
      <c r="H66" s="1016">
        <v>0</v>
      </c>
      <c r="I66" s="1016">
        <v>0</v>
      </c>
      <c r="J66" s="1016">
        <v>0</v>
      </c>
      <c r="K66" s="1017">
        <v>0</v>
      </c>
      <c r="L66" s="961">
        <f t="shared" ref="L66:L118" si="15">SUM(D66:K66)</f>
        <v>0</v>
      </c>
      <c r="M66" s="1015"/>
      <c r="N66" s="1016">
        <v>0</v>
      </c>
      <c r="O66" s="1016">
        <v>0</v>
      </c>
      <c r="P66" s="1017">
        <v>0</v>
      </c>
      <c r="Q66" s="1005">
        <f t="shared" si="1"/>
        <v>0</v>
      </c>
    </row>
    <row r="67" spans="1:17" x14ac:dyDescent="0.2">
      <c r="A67" s="1013" t="s">
        <v>464</v>
      </c>
      <c r="B67" s="1014" t="s">
        <v>972</v>
      </c>
      <c r="C67" s="1092">
        <v>0</v>
      </c>
      <c r="D67" s="1015">
        <v>0</v>
      </c>
      <c r="E67" s="1016">
        <v>0</v>
      </c>
      <c r="F67" s="1016">
        <v>0</v>
      </c>
      <c r="G67" s="1016">
        <v>0</v>
      </c>
      <c r="H67" s="1016">
        <v>0</v>
      </c>
      <c r="I67" s="1016">
        <v>0</v>
      </c>
      <c r="J67" s="1016">
        <v>0</v>
      </c>
      <c r="K67" s="1017">
        <v>0</v>
      </c>
      <c r="L67" s="961">
        <f t="shared" si="15"/>
        <v>0</v>
      </c>
      <c r="M67" s="1015"/>
      <c r="N67" s="1016">
        <v>0</v>
      </c>
      <c r="O67" s="1016">
        <v>0</v>
      </c>
      <c r="P67" s="1017">
        <v>0</v>
      </c>
      <c r="Q67" s="1005">
        <f t="shared" ref="Q67:Q119" si="16">SUM(M67:P67)</f>
        <v>0</v>
      </c>
    </row>
    <row r="68" spans="1:17" ht="24" x14ac:dyDescent="0.2">
      <c r="A68" s="1013" t="s">
        <v>465</v>
      </c>
      <c r="B68" s="1014" t="s">
        <v>973</v>
      </c>
      <c r="C68" s="1088">
        <v>6788</v>
      </c>
      <c r="D68" s="1015">
        <v>0</v>
      </c>
      <c r="E68" s="1016">
        <v>0</v>
      </c>
      <c r="F68" s="1016">
        <v>0</v>
      </c>
      <c r="G68" s="1016">
        <v>0</v>
      </c>
      <c r="H68" s="1016">
        <v>0</v>
      </c>
      <c r="I68" s="1016">
        <v>0</v>
      </c>
      <c r="J68" s="1016">
        <v>0</v>
      </c>
      <c r="K68" s="1017">
        <v>0</v>
      </c>
      <c r="L68" s="961">
        <f>SUM(C68:K68)</f>
        <v>6788</v>
      </c>
      <c r="M68" s="1015"/>
      <c r="N68" s="1016">
        <v>5078</v>
      </c>
      <c r="O68" s="1016">
        <v>0</v>
      </c>
      <c r="P68" s="1017">
        <v>0</v>
      </c>
      <c r="Q68" s="1005">
        <f t="shared" si="16"/>
        <v>5078</v>
      </c>
    </row>
    <row r="69" spans="1:17" x14ac:dyDescent="0.2">
      <c r="A69" s="1013" t="s">
        <v>466</v>
      </c>
      <c r="B69" s="1014" t="s">
        <v>974</v>
      </c>
      <c r="C69" s="1092">
        <v>0</v>
      </c>
      <c r="D69" s="1015">
        <v>0</v>
      </c>
      <c r="E69" s="1016">
        <v>0</v>
      </c>
      <c r="F69" s="1016">
        <v>0</v>
      </c>
      <c r="G69" s="1016">
        <v>0</v>
      </c>
      <c r="H69" s="1016">
        <v>0</v>
      </c>
      <c r="I69" s="1016">
        <v>0</v>
      </c>
      <c r="J69" s="1016">
        <v>0</v>
      </c>
      <c r="K69" s="1017">
        <v>0</v>
      </c>
      <c r="L69" s="961">
        <f>SUM(C69:K69)</f>
        <v>0</v>
      </c>
      <c r="M69" s="1015">
        <v>0</v>
      </c>
      <c r="N69" s="1016">
        <v>0</v>
      </c>
      <c r="O69" s="1016">
        <v>0</v>
      </c>
      <c r="P69" s="1017">
        <v>0</v>
      </c>
      <c r="Q69" s="1005">
        <f t="shared" si="16"/>
        <v>0</v>
      </c>
    </row>
    <row r="70" spans="1:17" ht="24" x14ac:dyDescent="0.2">
      <c r="A70" s="1013" t="s">
        <v>467</v>
      </c>
      <c r="B70" s="1014" t="s">
        <v>975</v>
      </c>
      <c r="C70" s="1092">
        <v>0</v>
      </c>
      <c r="D70" s="1015">
        <v>0</v>
      </c>
      <c r="E70" s="1016">
        <v>0</v>
      </c>
      <c r="F70" s="1016">
        <v>0</v>
      </c>
      <c r="G70" s="1016">
        <v>0</v>
      </c>
      <c r="H70" s="1016">
        <v>0</v>
      </c>
      <c r="I70" s="1016">
        <v>0</v>
      </c>
      <c r="J70" s="1016">
        <v>0</v>
      </c>
      <c r="K70" s="1017">
        <v>0</v>
      </c>
      <c r="L70" s="961">
        <f t="shared" si="15"/>
        <v>0</v>
      </c>
      <c r="M70" s="1015">
        <v>0</v>
      </c>
      <c r="N70" s="1016">
        <v>0</v>
      </c>
      <c r="O70" s="1016">
        <v>0</v>
      </c>
      <c r="P70" s="1017">
        <v>0</v>
      </c>
      <c r="Q70" s="1005">
        <f t="shared" si="16"/>
        <v>0</v>
      </c>
    </row>
    <row r="71" spans="1:17" ht="24" x14ac:dyDescent="0.2">
      <c r="A71" s="1013" t="s">
        <v>468</v>
      </c>
      <c r="B71" s="1014" t="s">
        <v>976</v>
      </c>
      <c r="C71" s="1092">
        <v>0</v>
      </c>
      <c r="D71" s="1015">
        <v>0</v>
      </c>
      <c r="E71" s="1016">
        <v>0</v>
      </c>
      <c r="F71" s="1016">
        <v>0</v>
      </c>
      <c r="G71" s="1016">
        <v>0</v>
      </c>
      <c r="H71" s="1016">
        <v>0</v>
      </c>
      <c r="I71" s="1016">
        <v>0</v>
      </c>
      <c r="J71" s="1016">
        <v>0</v>
      </c>
      <c r="K71" s="1017">
        <v>0</v>
      </c>
      <c r="L71" s="961">
        <f t="shared" si="15"/>
        <v>0</v>
      </c>
      <c r="M71" s="1015">
        <v>0</v>
      </c>
      <c r="N71" s="1016">
        <v>0</v>
      </c>
      <c r="O71" s="1016">
        <v>0</v>
      </c>
      <c r="P71" s="1017">
        <v>0</v>
      </c>
      <c r="Q71" s="1005">
        <f t="shared" si="16"/>
        <v>0</v>
      </c>
    </row>
    <row r="72" spans="1:17" ht="24" x14ac:dyDescent="0.2">
      <c r="A72" s="1013" t="s">
        <v>469</v>
      </c>
      <c r="B72" s="1014" t="s">
        <v>1103</v>
      </c>
      <c r="C72" s="1092">
        <v>0</v>
      </c>
      <c r="D72" s="1015">
        <v>0</v>
      </c>
      <c r="E72" s="1016">
        <v>0</v>
      </c>
      <c r="F72" s="1016">
        <v>0</v>
      </c>
      <c r="G72" s="1016">
        <v>0</v>
      </c>
      <c r="H72" s="1016">
        <v>0</v>
      </c>
      <c r="I72" s="1016">
        <v>0</v>
      </c>
      <c r="J72" s="1016">
        <v>0</v>
      </c>
      <c r="K72" s="1017">
        <v>0</v>
      </c>
      <c r="L72" s="961">
        <f t="shared" si="15"/>
        <v>0</v>
      </c>
      <c r="M72" s="1015">
        <v>0</v>
      </c>
      <c r="N72" s="1016">
        <v>0</v>
      </c>
      <c r="O72" s="1016">
        <v>0</v>
      </c>
      <c r="P72" s="1017">
        <v>0</v>
      </c>
      <c r="Q72" s="1005">
        <f t="shared" si="16"/>
        <v>0</v>
      </c>
    </row>
    <row r="73" spans="1:17" ht="24" x14ac:dyDescent="0.2">
      <c r="A73" s="1013" t="s">
        <v>470</v>
      </c>
      <c r="B73" s="1014" t="s">
        <v>1104</v>
      </c>
      <c r="C73" s="1092">
        <v>0</v>
      </c>
      <c r="D73" s="1015">
        <v>0</v>
      </c>
      <c r="E73" s="1016">
        <v>0</v>
      </c>
      <c r="F73" s="1016">
        <v>0</v>
      </c>
      <c r="G73" s="1016">
        <v>0</v>
      </c>
      <c r="H73" s="1016">
        <v>0</v>
      </c>
      <c r="I73" s="1016">
        <v>0</v>
      </c>
      <c r="J73" s="1016">
        <v>0</v>
      </c>
      <c r="K73" s="1017">
        <v>0</v>
      </c>
      <c r="L73" s="961">
        <f t="shared" si="15"/>
        <v>0</v>
      </c>
      <c r="M73" s="1015">
        <v>0</v>
      </c>
      <c r="N73" s="1016">
        <v>0</v>
      </c>
      <c r="O73" s="1016">
        <v>0</v>
      </c>
      <c r="P73" s="1017">
        <v>0</v>
      </c>
      <c r="Q73" s="1005">
        <f t="shared" si="16"/>
        <v>0</v>
      </c>
    </row>
    <row r="74" spans="1:17" x14ac:dyDescent="0.2">
      <c r="A74" s="1013" t="s">
        <v>471</v>
      </c>
      <c r="B74" s="1014" t="s">
        <v>977</v>
      </c>
      <c r="C74" s="1092">
        <v>0</v>
      </c>
      <c r="D74" s="1015">
        <v>0</v>
      </c>
      <c r="E74" s="1016">
        <v>0</v>
      </c>
      <c r="F74" s="1016">
        <v>0</v>
      </c>
      <c r="G74" s="1016">
        <v>0</v>
      </c>
      <c r="H74" s="1016">
        <v>0</v>
      </c>
      <c r="I74" s="1016">
        <v>0</v>
      </c>
      <c r="J74" s="1016">
        <v>0</v>
      </c>
      <c r="K74" s="1017">
        <v>0</v>
      </c>
      <c r="L74" s="961">
        <f t="shared" si="15"/>
        <v>0</v>
      </c>
      <c r="M74" s="1015">
        <v>0</v>
      </c>
      <c r="N74" s="1016">
        <v>0</v>
      </c>
      <c r="O74" s="1016">
        <v>0</v>
      </c>
      <c r="P74" s="1017">
        <v>0</v>
      </c>
      <c r="Q74" s="1005">
        <f t="shared" si="16"/>
        <v>0</v>
      </c>
    </row>
    <row r="75" spans="1:17" x14ac:dyDescent="0.2">
      <c r="A75" s="1013" t="s">
        <v>472</v>
      </c>
      <c r="B75" s="1014" t="s">
        <v>978</v>
      </c>
      <c r="C75" s="1092">
        <v>0</v>
      </c>
      <c r="D75" s="1015">
        <v>0</v>
      </c>
      <c r="E75" s="1016">
        <v>0</v>
      </c>
      <c r="F75" s="1016">
        <v>0</v>
      </c>
      <c r="G75" s="1016">
        <v>0</v>
      </c>
      <c r="H75" s="1016">
        <v>0</v>
      </c>
      <c r="I75" s="1016">
        <v>0</v>
      </c>
      <c r="J75" s="1016">
        <v>0</v>
      </c>
      <c r="K75" s="1017">
        <v>0</v>
      </c>
      <c r="L75" s="961">
        <f t="shared" si="15"/>
        <v>0</v>
      </c>
      <c r="M75" s="1015">
        <v>0</v>
      </c>
      <c r="N75" s="1016">
        <v>0</v>
      </c>
      <c r="O75" s="1016">
        <v>0</v>
      </c>
      <c r="P75" s="1017">
        <v>0</v>
      </c>
      <c r="Q75" s="1005">
        <f t="shared" si="16"/>
        <v>0</v>
      </c>
    </row>
    <row r="76" spans="1:17" x14ac:dyDescent="0.2">
      <c r="A76" s="1013" t="s">
        <v>473</v>
      </c>
      <c r="B76" s="1014" t="s">
        <v>979</v>
      </c>
      <c r="C76" s="1092">
        <v>0</v>
      </c>
      <c r="D76" s="1015">
        <v>0</v>
      </c>
      <c r="E76" s="1016">
        <v>0</v>
      </c>
      <c r="F76" s="1016">
        <v>0</v>
      </c>
      <c r="G76" s="1016">
        <v>0</v>
      </c>
      <c r="H76" s="1016">
        <v>0</v>
      </c>
      <c r="I76" s="1016">
        <v>0</v>
      </c>
      <c r="J76" s="1016">
        <v>0</v>
      </c>
      <c r="K76" s="1017">
        <v>0</v>
      </c>
      <c r="L76" s="961">
        <f t="shared" si="15"/>
        <v>0</v>
      </c>
      <c r="M76" s="1015">
        <v>0</v>
      </c>
      <c r="N76" s="1016">
        <v>0</v>
      </c>
      <c r="O76" s="1016">
        <v>0</v>
      </c>
      <c r="P76" s="1017">
        <v>0</v>
      </c>
      <c r="Q76" s="1005">
        <f t="shared" si="16"/>
        <v>0</v>
      </c>
    </row>
    <row r="77" spans="1:17" ht="24" x14ac:dyDescent="0.2">
      <c r="A77" s="1013" t="s">
        <v>474</v>
      </c>
      <c r="B77" s="1014" t="s">
        <v>1105</v>
      </c>
      <c r="C77" s="1092">
        <v>0</v>
      </c>
      <c r="D77" s="1015">
        <v>0</v>
      </c>
      <c r="E77" s="1016">
        <v>0</v>
      </c>
      <c r="F77" s="1016">
        <v>0</v>
      </c>
      <c r="G77" s="1016">
        <v>0</v>
      </c>
      <c r="H77" s="1016">
        <v>0</v>
      </c>
      <c r="I77" s="1016">
        <v>0</v>
      </c>
      <c r="J77" s="1016">
        <v>0</v>
      </c>
      <c r="K77" s="1017">
        <v>0</v>
      </c>
      <c r="L77" s="961">
        <f t="shared" si="15"/>
        <v>0</v>
      </c>
      <c r="M77" s="1015">
        <v>2527</v>
      </c>
      <c r="N77" s="1016">
        <v>0</v>
      </c>
      <c r="O77" s="1016">
        <v>0</v>
      </c>
      <c r="P77" s="1017">
        <v>0</v>
      </c>
      <c r="Q77" s="1005">
        <f t="shared" si="16"/>
        <v>2527</v>
      </c>
    </row>
    <row r="78" spans="1:17" x14ac:dyDescent="0.2">
      <c r="A78" s="1018" t="s">
        <v>475</v>
      </c>
      <c r="B78" s="1019" t="s">
        <v>980</v>
      </c>
      <c r="C78" s="1094">
        <v>0</v>
      </c>
      <c r="D78" s="1020">
        <v>0</v>
      </c>
      <c r="E78" s="1021">
        <v>0</v>
      </c>
      <c r="F78" s="1021">
        <v>0</v>
      </c>
      <c r="G78" s="1021">
        <v>0</v>
      </c>
      <c r="H78" s="1021">
        <v>0</v>
      </c>
      <c r="I78" s="1021">
        <v>0</v>
      </c>
      <c r="J78" s="1021">
        <v>0</v>
      </c>
      <c r="K78" s="1022">
        <v>0</v>
      </c>
      <c r="L78" s="964">
        <f t="shared" si="15"/>
        <v>0</v>
      </c>
      <c r="M78" s="1020">
        <v>0</v>
      </c>
      <c r="N78" s="1021">
        <v>0</v>
      </c>
      <c r="O78" s="1021">
        <v>0</v>
      </c>
      <c r="P78" s="1022">
        <v>0</v>
      </c>
      <c r="Q78" s="1023">
        <f t="shared" si="16"/>
        <v>0</v>
      </c>
    </row>
    <row r="79" spans="1:17" ht="36" x14ac:dyDescent="0.2">
      <c r="A79" s="1030" t="s">
        <v>476</v>
      </c>
      <c r="B79" s="1031" t="s">
        <v>1106</v>
      </c>
      <c r="C79" s="1090">
        <f>C77+C61</f>
        <v>6788</v>
      </c>
      <c r="D79" s="1032">
        <f>D77+D61</f>
        <v>0</v>
      </c>
      <c r="E79" s="1032">
        <f t="shared" ref="E79:J79" si="17">E77+E61</f>
        <v>0</v>
      </c>
      <c r="F79" s="1032">
        <f t="shared" si="17"/>
        <v>0</v>
      </c>
      <c r="G79" s="1032">
        <f t="shared" si="17"/>
        <v>0</v>
      </c>
      <c r="H79" s="1032">
        <f t="shared" si="17"/>
        <v>0</v>
      </c>
      <c r="I79" s="1032">
        <f t="shared" si="17"/>
        <v>0</v>
      </c>
      <c r="J79" s="1032">
        <f t="shared" si="17"/>
        <v>0</v>
      </c>
      <c r="K79" s="1032">
        <f>K77+K61</f>
        <v>0</v>
      </c>
      <c r="L79" s="970">
        <f>L77+L61</f>
        <v>6788</v>
      </c>
      <c r="M79" s="1032">
        <f>M77+M61</f>
        <v>2527</v>
      </c>
      <c r="N79" s="1032">
        <f t="shared" ref="N79:P79" si="18">N77+N61</f>
        <v>5078</v>
      </c>
      <c r="O79" s="1032">
        <f t="shared" si="18"/>
        <v>0</v>
      </c>
      <c r="P79" s="1032">
        <f t="shared" si="18"/>
        <v>0</v>
      </c>
      <c r="Q79" s="972">
        <f t="shared" si="16"/>
        <v>7605</v>
      </c>
    </row>
    <row r="80" spans="1:17" x14ac:dyDescent="0.2">
      <c r="A80" s="1024" t="s">
        <v>477</v>
      </c>
      <c r="B80" s="1025" t="s">
        <v>981</v>
      </c>
      <c r="C80" s="1095">
        <v>0</v>
      </c>
      <c r="D80" s="1026">
        <v>0</v>
      </c>
      <c r="E80" s="1027">
        <v>0</v>
      </c>
      <c r="F80" s="1027">
        <v>0</v>
      </c>
      <c r="G80" s="1027">
        <v>0</v>
      </c>
      <c r="H80" s="1027">
        <v>0</v>
      </c>
      <c r="I80" s="1027">
        <v>0</v>
      </c>
      <c r="J80" s="1027">
        <v>0</v>
      </c>
      <c r="K80" s="1028">
        <v>0</v>
      </c>
      <c r="L80" s="960">
        <f t="shared" si="15"/>
        <v>0</v>
      </c>
      <c r="M80" s="1026">
        <v>0</v>
      </c>
      <c r="N80" s="1027">
        <v>0</v>
      </c>
      <c r="O80" s="1027">
        <v>0</v>
      </c>
      <c r="P80" s="1028">
        <v>0</v>
      </c>
      <c r="Q80" s="1029">
        <f t="shared" si="16"/>
        <v>0</v>
      </c>
    </row>
    <row r="81" spans="1:17" x14ac:dyDescent="0.2">
      <c r="A81" s="1013" t="s">
        <v>478</v>
      </c>
      <c r="B81" s="1014" t="s">
        <v>1107</v>
      </c>
      <c r="C81" s="1092">
        <v>0</v>
      </c>
      <c r="D81" s="1015">
        <v>0</v>
      </c>
      <c r="E81" s="1016">
        <v>0</v>
      </c>
      <c r="F81" s="1016">
        <v>0</v>
      </c>
      <c r="G81" s="1016">
        <v>0</v>
      </c>
      <c r="H81" s="1016">
        <v>0</v>
      </c>
      <c r="I81" s="1016">
        <v>0</v>
      </c>
      <c r="J81" s="1016">
        <v>0</v>
      </c>
      <c r="K81" s="1017">
        <v>0</v>
      </c>
      <c r="L81" s="961">
        <f t="shared" si="15"/>
        <v>0</v>
      </c>
      <c r="M81" s="1015">
        <v>0</v>
      </c>
      <c r="N81" s="1016">
        <v>0</v>
      </c>
      <c r="O81" s="1016">
        <v>0</v>
      </c>
      <c r="P81" s="1017">
        <v>0</v>
      </c>
      <c r="Q81" s="1005">
        <f t="shared" si="16"/>
        <v>0</v>
      </c>
    </row>
    <row r="82" spans="1:17" x14ac:dyDescent="0.2">
      <c r="A82" s="1013" t="s">
        <v>479</v>
      </c>
      <c r="B82" s="1014" t="s">
        <v>1108</v>
      </c>
      <c r="C82" s="1092">
        <v>0</v>
      </c>
      <c r="D82" s="1015">
        <v>0</v>
      </c>
      <c r="E82" s="1016">
        <v>0</v>
      </c>
      <c r="F82" s="1016">
        <v>0</v>
      </c>
      <c r="G82" s="1016">
        <v>0</v>
      </c>
      <c r="H82" s="1016">
        <v>0</v>
      </c>
      <c r="I82" s="1016">
        <v>0</v>
      </c>
      <c r="J82" s="1016">
        <v>0</v>
      </c>
      <c r="K82" s="1017">
        <v>0</v>
      </c>
      <c r="L82" s="961">
        <f t="shared" si="15"/>
        <v>0</v>
      </c>
      <c r="M82" s="1015">
        <v>0</v>
      </c>
      <c r="N82" s="1016">
        <v>0</v>
      </c>
      <c r="O82" s="1016">
        <v>0</v>
      </c>
      <c r="P82" s="1017">
        <v>0</v>
      </c>
      <c r="Q82" s="1005">
        <f t="shared" si="16"/>
        <v>0</v>
      </c>
    </row>
    <row r="83" spans="1:17" x14ac:dyDescent="0.2">
      <c r="A83" s="1013" t="s">
        <v>480</v>
      </c>
      <c r="B83" s="1014" t="s">
        <v>982</v>
      </c>
      <c r="C83" s="1092">
        <v>0</v>
      </c>
      <c r="D83" s="1015">
        <v>0</v>
      </c>
      <c r="E83" s="1016">
        <v>0</v>
      </c>
      <c r="F83" s="1016">
        <v>0</v>
      </c>
      <c r="G83" s="1016">
        <v>0</v>
      </c>
      <c r="H83" s="1016">
        <v>0</v>
      </c>
      <c r="I83" s="1016">
        <v>0</v>
      </c>
      <c r="J83" s="1016">
        <v>0</v>
      </c>
      <c r="K83" s="1017">
        <v>0</v>
      </c>
      <c r="L83" s="961">
        <f t="shared" si="15"/>
        <v>0</v>
      </c>
      <c r="M83" s="1015">
        <v>0</v>
      </c>
      <c r="N83" s="1016">
        <v>0</v>
      </c>
      <c r="O83" s="1016">
        <v>0</v>
      </c>
      <c r="P83" s="1017">
        <v>0</v>
      </c>
      <c r="Q83" s="1005">
        <f t="shared" si="16"/>
        <v>0</v>
      </c>
    </row>
    <row r="84" spans="1:17" x14ac:dyDescent="0.2">
      <c r="A84" s="1013" t="s">
        <v>481</v>
      </c>
      <c r="B84" s="1014" t="s">
        <v>983</v>
      </c>
      <c r="C84" s="1092">
        <v>0</v>
      </c>
      <c r="D84" s="1015">
        <v>75</v>
      </c>
      <c r="E84" s="1016">
        <v>0</v>
      </c>
      <c r="F84" s="1016">
        <v>668</v>
      </c>
      <c r="G84" s="1016">
        <v>9</v>
      </c>
      <c r="H84" s="1016">
        <v>6</v>
      </c>
      <c r="I84" s="1016">
        <v>0</v>
      </c>
      <c r="J84" s="1016">
        <v>0</v>
      </c>
      <c r="K84" s="1017">
        <v>0</v>
      </c>
      <c r="L84" s="961">
        <f t="shared" si="15"/>
        <v>758</v>
      </c>
      <c r="M84" s="1015">
        <v>107</v>
      </c>
      <c r="N84" s="1016">
        <v>0</v>
      </c>
      <c r="O84" s="1016">
        <v>0</v>
      </c>
      <c r="P84" s="1017">
        <v>0</v>
      </c>
      <c r="Q84" s="1005">
        <f t="shared" si="16"/>
        <v>107</v>
      </c>
    </row>
    <row r="85" spans="1:17" x14ac:dyDescent="0.2">
      <c r="A85" s="1013" t="s">
        <v>482</v>
      </c>
      <c r="B85" s="1014" t="s">
        <v>984</v>
      </c>
      <c r="C85" s="1092">
        <v>0</v>
      </c>
      <c r="D85" s="1015">
        <v>0</v>
      </c>
      <c r="E85" s="1016">
        <v>0</v>
      </c>
      <c r="F85" s="1016">
        <v>0</v>
      </c>
      <c r="G85" s="1016">
        <v>0</v>
      </c>
      <c r="H85" s="1016">
        <v>0</v>
      </c>
      <c r="I85" s="1016">
        <v>0</v>
      </c>
      <c r="J85" s="1016">
        <v>0</v>
      </c>
      <c r="K85" s="1017">
        <v>0</v>
      </c>
      <c r="L85" s="961">
        <f t="shared" si="15"/>
        <v>0</v>
      </c>
      <c r="M85" s="1015">
        <v>0</v>
      </c>
      <c r="N85" s="1016">
        <v>0</v>
      </c>
      <c r="O85" s="1016">
        <v>0</v>
      </c>
      <c r="P85" s="1017">
        <v>0</v>
      </c>
      <c r="Q85" s="1005">
        <f t="shared" si="16"/>
        <v>0</v>
      </c>
    </row>
    <row r="86" spans="1:17" ht="24" x14ac:dyDescent="0.2">
      <c r="A86" s="1013" t="s">
        <v>483</v>
      </c>
      <c r="B86" s="1014" t="s">
        <v>985</v>
      </c>
      <c r="C86" s="1092">
        <v>0</v>
      </c>
      <c r="D86" s="1015">
        <v>0</v>
      </c>
      <c r="E86" s="1016">
        <v>0</v>
      </c>
      <c r="F86" s="1016">
        <v>0</v>
      </c>
      <c r="G86" s="1016">
        <v>0</v>
      </c>
      <c r="H86" s="1016">
        <v>0</v>
      </c>
      <c r="I86" s="1016">
        <v>0</v>
      </c>
      <c r="J86" s="1016">
        <v>0</v>
      </c>
      <c r="K86" s="1017">
        <v>0</v>
      </c>
      <c r="L86" s="961">
        <f t="shared" si="15"/>
        <v>0</v>
      </c>
      <c r="M86" s="1015">
        <v>0</v>
      </c>
      <c r="N86" s="1016">
        <v>0</v>
      </c>
      <c r="O86" s="1016">
        <v>0</v>
      </c>
      <c r="P86" s="1017">
        <v>0</v>
      </c>
      <c r="Q86" s="1005">
        <f t="shared" si="16"/>
        <v>0</v>
      </c>
    </row>
    <row r="87" spans="1:17" ht="24" x14ac:dyDescent="0.2">
      <c r="A87" s="1018" t="s">
        <v>484</v>
      </c>
      <c r="B87" s="1019" t="s">
        <v>986</v>
      </c>
      <c r="C87" s="1094">
        <v>0</v>
      </c>
      <c r="D87" s="1020">
        <v>20</v>
      </c>
      <c r="E87" s="1021">
        <v>0</v>
      </c>
      <c r="F87" s="1021">
        <v>180</v>
      </c>
      <c r="G87" s="1021">
        <v>3</v>
      </c>
      <c r="H87" s="1021">
        <v>1</v>
      </c>
      <c r="I87" s="1021">
        <v>0</v>
      </c>
      <c r="J87" s="1021">
        <v>0</v>
      </c>
      <c r="K87" s="1022">
        <v>0</v>
      </c>
      <c r="L87" s="964">
        <f t="shared" si="15"/>
        <v>204</v>
      </c>
      <c r="M87" s="1020">
        <v>29</v>
      </c>
      <c r="N87" s="1021">
        <v>0</v>
      </c>
      <c r="O87" s="1021">
        <v>0</v>
      </c>
      <c r="P87" s="1022">
        <v>0</v>
      </c>
      <c r="Q87" s="1023">
        <f t="shared" si="16"/>
        <v>29</v>
      </c>
    </row>
    <row r="88" spans="1:17" x14ac:dyDescent="0.2">
      <c r="A88" s="1030" t="s">
        <v>485</v>
      </c>
      <c r="B88" s="1031" t="s">
        <v>1109</v>
      </c>
      <c r="C88" s="1090">
        <f>SUM(C80:C87)</f>
        <v>0</v>
      </c>
      <c r="D88" s="1032">
        <f>SUM(D80:D87)</f>
        <v>95</v>
      </c>
      <c r="E88" s="1032">
        <f t="shared" ref="E88:K88" si="19">SUM(E80:E87)</f>
        <v>0</v>
      </c>
      <c r="F88" s="1032">
        <f t="shared" si="19"/>
        <v>848</v>
      </c>
      <c r="G88" s="1032">
        <f t="shared" si="19"/>
        <v>12</v>
      </c>
      <c r="H88" s="1032">
        <f t="shared" si="19"/>
        <v>7</v>
      </c>
      <c r="I88" s="1032">
        <f t="shared" si="19"/>
        <v>0</v>
      </c>
      <c r="J88" s="1032">
        <f t="shared" si="19"/>
        <v>0</v>
      </c>
      <c r="K88" s="1032">
        <f t="shared" si="19"/>
        <v>0</v>
      </c>
      <c r="L88" s="970">
        <f t="shared" si="15"/>
        <v>962</v>
      </c>
      <c r="M88" s="1032">
        <f>SUM(M80:M87)</f>
        <v>136</v>
      </c>
      <c r="N88" s="1032">
        <f t="shared" ref="N88:P88" si="20">SUM(N80:N87)</f>
        <v>0</v>
      </c>
      <c r="O88" s="1032">
        <f t="shared" si="20"/>
        <v>0</v>
      </c>
      <c r="P88" s="1032">
        <f t="shared" si="20"/>
        <v>0</v>
      </c>
      <c r="Q88" s="972">
        <f t="shared" si="16"/>
        <v>136</v>
      </c>
    </row>
    <row r="89" spans="1:17" x14ac:dyDescent="0.2">
      <c r="A89" s="1024" t="s">
        <v>486</v>
      </c>
      <c r="B89" s="1025" t="s">
        <v>987</v>
      </c>
      <c r="C89" s="1095">
        <v>0</v>
      </c>
      <c r="D89" s="1026">
        <v>0</v>
      </c>
      <c r="E89" s="1027">
        <v>0</v>
      </c>
      <c r="F89" s="1027">
        <v>0</v>
      </c>
      <c r="G89" s="1027">
        <v>0</v>
      </c>
      <c r="H89" s="1027">
        <v>0</v>
      </c>
      <c r="I89" s="1027">
        <v>0</v>
      </c>
      <c r="J89" s="1027">
        <v>0</v>
      </c>
      <c r="K89" s="1028">
        <v>0</v>
      </c>
      <c r="L89" s="960">
        <f t="shared" si="15"/>
        <v>0</v>
      </c>
      <c r="M89" s="1026">
        <v>0</v>
      </c>
      <c r="N89" s="1027">
        <v>0</v>
      </c>
      <c r="O89" s="1027">
        <v>0</v>
      </c>
      <c r="P89" s="1028">
        <v>0</v>
      </c>
      <c r="Q89" s="1029">
        <f t="shared" si="16"/>
        <v>0</v>
      </c>
    </row>
    <row r="90" spans="1:17" x14ac:dyDescent="0.2">
      <c r="A90" s="1013" t="s">
        <v>487</v>
      </c>
      <c r="B90" s="1014" t="s">
        <v>988</v>
      </c>
      <c r="C90" s="1092">
        <v>0</v>
      </c>
      <c r="D90" s="1015">
        <v>0</v>
      </c>
      <c r="E90" s="1016">
        <v>0</v>
      </c>
      <c r="F90" s="1016">
        <v>0</v>
      </c>
      <c r="G90" s="1016">
        <v>0</v>
      </c>
      <c r="H90" s="1016">
        <v>0</v>
      </c>
      <c r="I90" s="1016">
        <v>0</v>
      </c>
      <c r="J90" s="1016">
        <v>0</v>
      </c>
      <c r="K90" s="1017">
        <v>0</v>
      </c>
      <c r="L90" s="961">
        <f t="shared" si="15"/>
        <v>0</v>
      </c>
      <c r="M90" s="1015">
        <v>0</v>
      </c>
      <c r="N90" s="1016">
        <v>0</v>
      </c>
      <c r="O90" s="1016">
        <v>0</v>
      </c>
      <c r="P90" s="1017">
        <v>0</v>
      </c>
      <c r="Q90" s="1005">
        <f t="shared" si="16"/>
        <v>0</v>
      </c>
    </row>
    <row r="91" spans="1:17" x14ac:dyDescent="0.2">
      <c r="A91" s="1013" t="s">
        <v>488</v>
      </c>
      <c r="B91" s="1014" t="s">
        <v>1110</v>
      </c>
      <c r="C91" s="1092">
        <v>0</v>
      </c>
      <c r="D91" s="1015">
        <v>0</v>
      </c>
      <c r="E91" s="1016">
        <v>0</v>
      </c>
      <c r="F91" s="1016">
        <v>0</v>
      </c>
      <c r="G91" s="1016">
        <v>0</v>
      </c>
      <c r="H91" s="1016">
        <v>0</v>
      </c>
      <c r="I91" s="1016">
        <v>0</v>
      </c>
      <c r="J91" s="1016">
        <v>0</v>
      </c>
      <c r="K91" s="1017">
        <v>0</v>
      </c>
      <c r="L91" s="961">
        <f t="shared" si="15"/>
        <v>0</v>
      </c>
      <c r="M91" s="1015">
        <v>0</v>
      </c>
      <c r="N91" s="1016">
        <v>0</v>
      </c>
      <c r="O91" s="1016">
        <v>0</v>
      </c>
      <c r="P91" s="1017">
        <v>0</v>
      </c>
      <c r="Q91" s="1005">
        <f t="shared" si="16"/>
        <v>0</v>
      </c>
    </row>
    <row r="92" spans="1:17" ht="24" x14ac:dyDescent="0.2">
      <c r="A92" s="1018" t="s">
        <v>489</v>
      </c>
      <c r="B92" s="1019" t="s">
        <v>989</v>
      </c>
      <c r="C92" s="1094">
        <v>0</v>
      </c>
      <c r="D92" s="1020">
        <v>0</v>
      </c>
      <c r="E92" s="1021">
        <v>0</v>
      </c>
      <c r="F92" s="1021">
        <v>0</v>
      </c>
      <c r="G92" s="1021">
        <v>0</v>
      </c>
      <c r="H92" s="1021">
        <v>0</v>
      </c>
      <c r="I92" s="1021">
        <v>0</v>
      </c>
      <c r="J92" s="1021">
        <v>0</v>
      </c>
      <c r="K92" s="1022">
        <v>0</v>
      </c>
      <c r="L92" s="964">
        <f t="shared" si="15"/>
        <v>0</v>
      </c>
      <c r="M92" s="1020">
        <v>0</v>
      </c>
      <c r="N92" s="1021">
        <v>0</v>
      </c>
      <c r="O92" s="1021">
        <v>0</v>
      </c>
      <c r="P92" s="1022">
        <v>0</v>
      </c>
      <c r="Q92" s="1023">
        <f t="shared" si="16"/>
        <v>0</v>
      </c>
    </row>
    <row r="93" spans="1:17" x14ac:dyDescent="0.2">
      <c r="A93" s="1030" t="s">
        <v>490</v>
      </c>
      <c r="B93" s="1031" t="s">
        <v>1111</v>
      </c>
      <c r="C93" s="1090">
        <f>SUM(C89:C92)</f>
        <v>0</v>
      </c>
      <c r="D93" s="1032">
        <f>SUM(D89:D92)</f>
        <v>0</v>
      </c>
      <c r="E93" s="1032">
        <f t="shared" ref="E93:K93" si="21">SUM(E89:E92)</f>
        <v>0</v>
      </c>
      <c r="F93" s="1032">
        <f t="shared" si="21"/>
        <v>0</v>
      </c>
      <c r="G93" s="1032">
        <f t="shared" si="21"/>
        <v>0</v>
      </c>
      <c r="H93" s="1032">
        <f t="shared" si="21"/>
        <v>0</v>
      </c>
      <c r="I93" s="1032">
        <f t="shared" si="21"/>
        <v>0</v>
      </c>
      <c r="J93" s="1032">
        <f t="shared" si="21"/>
        <v>0</v>
      </c>
      <c r="K93" s="1032">
        <f t="shared" si="21"/>
        <v>0</v>
      </c>
      <c r="L93" s="970">
        <f t="shared" si="15"/>
        <v>0</v>
      </c>
      <c r="M93" s="1032">
        <v>0</v>
      </c>
      <c r="N93" s="1033">
        <v>0</v>
      </c>
      <c r="O93" s="1033">
        <v>0</v>
      </c>
      <c r="P93" s="1034">
        <v>0</v>
      </c>
      <c r="Q93" s="972">
        <f t="shared" si="16"/>
        <v>0</v>
      </c>
    </row>
    <row r="94" spans="1:17" ht="24" x14ac:dyDescent="0.2">
      <c r="A94" s="1024" t="s">
        <v>491</v>
      </c>
      <c r="B94" s="1025" t="s">
        <v>990</v>
      </c>
      <c r="C94" s="1095">
        <v>0</v>
      </c>
      <c r="D94" s="1026">
        <v>0</v>
      </c>
      <c r="E94" s="1027">
        <v>0</v>
      </c>
      <c r="F94" s="1027">
        <v>0</v>
      </c>
      <c r="G94" s="1027">
        <v>0</v>
      </c>
      <c r="H94" s="1027">
        <v>0</v>
      </c>
      <c r="I94" s="1027">
        <v>0</v>
      </c>
      <c r="J94" s="1027">
        <v>0</v>
      </c>
      <c r="K94" s="1028">
        <v>0</v>
      </c>
      <c r="L94" s="960">
        <f t="shared" si="15"/>
        <v>0</v>
      </c>
      <c r="M94" s="1026">
        <v>0</v>
      </c>
      <c r="N94" s="1027">
        <v>0</v>
      </c>
      <c r="O94" s="1027">
        <v>0</v>
      </c>
      <c r="P94" s="1028">
        <v>0</v>
      </c>
      <c r="Q94" s="1029">
        <f t="shared" si="16"/>
        <v>0</v>
      </c>
    </row>
    <row r="95" spans="1:17" ht="24" x14ac:dyDescent="0.2">
      <c r="A95" s="1013" t="s">
        <v>492</v>
      </c>
      <c r="B95" s="1014" t="s">
        <v>1112</v>
      </c>
      <c r="C95" s="1092">
        <v>0</v>
      </c>
      <c r="D95" s="1015">
        <v>0</v>
      </c>
      <c r="E95" s="1016">
        <v>0</v>
      </c>
      <c r="F95" s="1016">
        <v>0</v>
      </c>
      <c r="G95" s="1016">
        <v>0</v>
      </c>
      <c r="H95" s="1016">
        <v>0</v>
      </c>
      <c r="I95" s="1016">
        <v>0</v>
      </c>
      <c r="J95" s="1016">
        <v>0</v>
      </c>
      <c r="K95" s="1017">
        <v>0</v>
      </c>
      <c r="L95" s="961">
        <f t="shared" si="15"/>
        <v>0</v>
      </c>
      <c r="M95" s="1015">
        <v>0</v>
      </c>
      <c r="N95" s="1016">
        <v>0</v>
      </c>
      <c r="O95" s="1016">
        <v>0</v>
      </c>
      <c r="P95" s="1017">
        <v>0</v>
      </c>
      <c r="Q95" s="1005">
        <f t="shared" si="16"/>
        <v>0</v>
      </c>
    </row>
    <row r="96" spans="1:17" ht="24" x14ac:dyDescent="0.2">
      <c r="A96" s="1013" t="s">
        <v>493</v>
      </c>
      <c r="B96" s="1014" t="s">
        <v>1113</v>
      </c>
      <c r="C96" s="1092">
        <v>0</v>
      </c>
      <c r="D96" s="1015">
        <v>0</v>
      </c>
      <c r="E96" s="1016">
        <v>0</v>
      </c>
      <c r="F96" s="1016">
        <v>0</v>
      </c>
      <c r="G96" s="1016">
        <v>0</v>
      </c>
      <c r="H96" s="1016">
        <v>0</v>
      </c>
      <c r="I96" s="1016">
        <v>0</v>
      </c>
      <c r="J96" s="1016">
        <v>0</v>
      </c>
      <c r="K96" s="1017">
        <v>0</v>
      </c>
      <c r="L96" s="961">
        <f t="shared" si="15"/>
        <v>0</v>
      </c>
      <c r="M96" s="1015">
        <v>0</v>
      </c>
      <c r="N96" s="1016">
        <v>0</v>
      </c>
      <c r="O96" s="1016">
        <v>0</v>
      </c>
      <c r="P96" s="1017">
        <v>0</v>
      </c>
      <c r="Q96" s="1005">
        <f t="shared" si="16"/>
        <v>0</v>
      </c>
    </row>
    <row r="97" spans="1:17" ht="24" x14ac:dyDescent="0.2">
      <c r="A97" s="1013" t="s">
        <v>494</v>
      </c>
      <c r="B97" s="1014" t="s">
        <v>1114</v>
      </c>
      <c r="C97" s="1092">
        <v>0</v>
      </c>
      <c r="D97" s="1015">
        <v>0</v>
      </c>
      <c r="E97" s="1016">
        <v>0</v>
      </c>
      <c r="F97" s="1016">
        <v>0</v>
      </c>
      <c r="G97" s="1016">
        <v>0</v>
      </c>
      <c r="H97" s="1016">
        <v>0</v>
      </c>
      <c r="I97" s="1016">
        <v>0</v>
      </c>
      <c r="J97" s="1016">
        <v>0</v>
      </c>
      <c r="K97" s="1017">
        <v>0</v>
      </c>
      <c r="L97" s="961">
        <f t="shared" si="15"/>
        <v>0</v>
      </c>
      <c r="M97" s="1015">
        <v>0</v>
      </c>
      <c r="N97" s="1016">
        <v>0</v>
      </c>
      <c r="O97" s="1016">
        <v>0</v>
      </c>
      <c r="P97" s="1017">
        <v>0</v>
      </c>
      <c r="Q97" s="1005">
        <f t="shared" si="16"/>
        <v>0</v>
      </c>
    </row>
    <row r="98" spans="1:17" ht="24" x14ac:dyDescent="0.2">
      <c r="A98" s="1013" t="s">
        <v>495</v>
      </c>
      <c r="B98" s="1014" t="s">
        <v>1115</v>
      </c>
      <c r="C98" s="1092">
        <v>0</v>
      </c>
      <c r="D98" s="1015">
        <v>0</v>
      </c>
      <c r="E98" s="1016">
        <v>0</v>
      </c>
      <c r="F98" s="1016">
        <v>0</v>
      </c>
      <c r="G98" s="1016">
        <v>0</v>
      </c>
      <c r="H98" s="1016">
        <v>0</v>
      </c>
      <c r="I98" s="1016">
        <v>0</v>
      </c>
      <c r="J98" s="1016">
        <v>0</v>
      </c>
      <c r="K98" s="1017">
        <v>0</v>
      </c>
      <c r="L98" s="961">
        <f t="shared" si="15"/>
        <v>0</v>
      </c>
      <c r="M98" s="1015">
        <v>0</v>
      </c>
      <c r="N98" s="1016">
        <v>0</v>
      </c>
      <c r="O98" s="1016">
        <v>0</v>
      </c>
      <c r="P98" s="1017">
        <v>0</v>
      </c>
      <c r="Q98" s="1005">
        <f t="shared" si="16"/>
        <v>0</v>
      </c>
    </row>
    <row r="99" spans="1:17" ht="24" x14ac:dyDescent="0.2">
      <c r="A99" s="1013" t="s">
        <v>496</v>
      </c>
      <c r="B99" s="1014" t="s">
        <v>1116</v>
      </c>
      <c r="C99" s="1092">
        <v>0</v>
      </c>
      <c r="D99" s="1015">
        <v>0</v>
      </c>
      <c r="E99" s="1016">
        <v>0</v>
      </c>
      <c r="F99" s="1016">
        <v>0</v>
      </c>
      <c r="G99" s="1016">
        <v>0</v>
      </c>
      <c r="H99" s="1016">
        <v>0</v>
      </c>
      <c r="I99" s="1016">
        <v>0</v>
      </c>
      <c r="J99" s="1016">
        <v>0</v>
      </c>
      <c r="K99" s="1017">
        <v>0</v>
      </c>
      <c r="L99" s="961">
        <f t="shared" si="15"/>
        <v>0</v>
      </c>
      <c r="M99" s="1015">
        <v>0</v>
      </c>
      <c r="N99" s="1016">
        <v>0</v>
      </c>
      <c r="O99" s="1016">
        <v>0</v>
      </c>
      <c r="P99" s="1017">
        <v>0</v>
      </c>
      <c r="Q99" s="1005">
        <f t="shared" si="16"/>
        <v>0</v>
      </c>
    </row>
    <row r="100" spans="1:17" x14ac:dyDescent="0.2">
      <c r="A100" s="1013" t="s">
        <v>497</v>
      </c>
      <c r="B100" s="1014" t="s">
        <v>991</v>
      </c>
      <c r="C100" s="1092">
        <v>0</v>
      </c>
      <c r="D100" s="1015">
        <v>0</v>
      </c>
      <c r="E100" s="1016">
        <v>0</v>
      </c>
      <c r="F100" s="1016">
        <v>0</v>
      </c>
      <c r="G100" s="1016">
        <v>0</v>
      </c>
      <c r="H100" s="1016">
        <v>0</v>
      </c>
      <c r="I100" s="1016">
        <v>0</v>
      </c>
      <c r="J100" s="1016">
        <v>0</v>
      </c>
      <c r="K100" s="1017">
        <v>0</v>
      </c>
      <c r="L100" s="961">
        <f t="shared" si="15"/>
        <v>0</v>
      </c>
      <c r="M100" s="1015">
        <v>0</v>
      </c>
      <c r="N100" s="1016">
        <v>0</v>
      </c>
      <c r="O100" s="1016">
        <v>0</v>
      </c>
      <c r="P100" s="1017">
        <v>0</v>
      </c>
      <c r="Q100" s="1005">
        <f t="shared" si="16"/>
        <v>0</v>
      </c>
    </row>
    <row r="101" spans="1:17" x14ac:dyDescent="0.2">
      <c r="A101" s="1013" t="s">
        <v>498</v>
      </c>
      <c r="B101" s="1014" t="s">
        <v>992</v>
      </c>
      <c r="C101" s="1092">
        <v>0</v>
      </c>
      <c r="D101" s="1015">
        <v>0</v>
      </c>
      <c r="E101" s="1016">
        <v>0</v>
      </c>
      <c r="F101" s="1016">
        <v>0</v>
      </c>
      <c r="G101" s="1016">
        <v>0</v>
      </c>
      <c r="H101" s="1016">
        <v>0</v>
      </c>
      <c r="I101" s="1016">
        <v>0</v>
      </c>
      <c r="J101" s="1016">
        <v>0</v>
      </c>
      <c r="K101" s="1017">
        <v>0</v>
      </c>
      <c r="L101" s="961">
        <f t="shared" si="15"/>
        <v>0</v>
      </c>
      <c r="M101" s="1015">
        <v>0</v>
      </c>
      <c r="N101" s="1016">
        <v>0</v>
      </c>
      <c r="O101" s="1016">
        <v>0</v>
      </c>
      <c r="P101" s="1017">
        <v>0</v>
      </c>
      <c r="Q101" s="1005">
        <f t="shared" si="16"/>
        <v>0</v>
      </c>
    </row>
    <row r="102" spans="1:17" ht="24" x14ac:dyDescent="0.2">
      <c r="A102" s="1018" t="s">
        <v>499</v>
      </c>
      <c r="B102" s="1019" t="s">
        <v>1117</v>
      </c>
      <c r="C102" s="1094">
        <v>0</v>
      </c>
      <c r="D102" s="1020">
        <v>0</v>
      </c>
      <c r="E102" s="1021">
        <v>0</v>
      </c>
      <c r="F102" s="1021">
        <v>0</v>
      </c>
      <c r="G102" s="1021">
        <v>0</v>
      </c>
      <c r="H102" s="1021">
        <v>0</v>
      </c>
      <c r="I102" s="1021">
        <v>0</v>
      </c>
      <c r="J102" s="1021">
        <v>0</v>
      </c>
      <c r="K102" s="1022">
        <v>0</v>
      </c>
      <c r="L102" s="964">
        <f t="shared" si="15"/>
        <v>0</v>
      </c>
      <c r="M102" s="1020">
        <v>0</v>
      </c>
      <c r="N102" s="1021">
        <v>0</v>
      </c>
      <c r="O102" s="1021">
        <v>0</v>
      </c>
      <c r="P102" s="1022">
        <v>0</v>
      </c>
      <c r="Q102" s="1023">
        <f t="shared" si="16"/>
        <v>0</v>
      </c>
    </row>
    <row r="103" spans="1:17" ht="24" x14ac:dyDescent="0.2">
      <c r="A103" s="1030" t="s">
        <v>500</v>
      </c>
      <c r="B103" s="1031" t="s">
        <v>1118</v>
      </c>
      <c r="C103" s="1090">
        <f>SUM(C94:C102)</f>
        <v>0</v>
      </c>
      <c r="D103" s="1032">
        <f>SUM(D94:D102)</f>
        <v>0</v>
      </c>
      <c r="E103" s="1032">
        <f t="shared" ref="E103:K103" si="22">SUM(E94:E102)</f>
        <v>0</v>
      </c>
      <c r="F103" s="1032">
        <f t="shared" si="22"/>
        <v>0</v>
      </c>
      <c r="G103" s="1032">
        <f t="shared" si="22"/>
        <v>0</v>
      </c>
      <c r="H103" s="1032">
        <f t="shared" si="22"/>
        <v>0</v>
      </c>
      <c r="I103" s="1032">
        <f t="shared" si="22"/>
        <v>0</v>
      </c>
      <c r="J103" s="1032">
        <f t="shared" si="22"/>
        <v>0</v>
      </c>
      <c r="K103" s="1032">
        <f t="shared" si="22"/>
        <v>0</v>
      </c>
      <c r="L103" s="970">
        <f t="shared" si="15"/>
        <v>0</v>
      </c>
      <c r="M103" s="1032">
        <v>0</v>
      </c>
      <c r="N103" s="1033">
        <v>0</v>
      </c>
      <c r="O103" s="1033">
        <v>0</v>
      </c>
      <c r="P103" s="1034">
        <v>0</v>
      </c>
      <c r="Q103" s="972">
        <f t="shared" si="16"/>
        <v>0</v>
      </c>
    </row>
    <row r="104" spans="1:17" ht="24" x14ac:dyDescent="0.2">
      <c r="A104" s="1030" t="s">
        <v>501</v>
      </c>
      <c r="B104" s="1031" t="s">
        <v>1119</v>
      </c>
      <c r="C104" s="1090">
        <f>C22+C23+C55+C79+C88</f>
        <v>6788</v>
      </c>
      <c r="D104" s="1032">
        <f t="shared" ref="D104:K104" si="23">D22+D23+D55+D79+D88+D61</f>
        <v>19085</v>
      </c>
      <c r="E104" s="1032">
        <f t="shared" si="23"/>
        <v>2281</v>
      </c>
      <c r="F104" s="1032">
        <f t="shared" si="23"/>
        <v>17795</v>
      </c>
      <c r="G104" s="1032">
        <f t="shared" si="23"/>
        <v>29616</v>
      </c>
      <c r="H104" s="1032">
        <f t="shared" si="23"/>
        <v>38050</v>
      </c>
      <c r="I104" s="1032">
        <f t="shared" si="23"/>
        <v>1913</v>
      </c>
      <c r="J104" s="1032">
        <f t="shared" si="23"/>
        <v>31867</v>
      </c>
      <c r="K104" s="1032">
        <f t="shared" si="23"/>
        <v>7377</v>
      </c>
      <c r="L104" s="1032">
        <f t="shared" ref="L104:Q104" si="24">L22+L23+L55+L79+L88</f>
        <v>154772</v>
      </c>
      <c r="M104" s="1032">
        <f t="shared" si="24"/>
        <v>5499</v>
      </c>
      <c r="N104" s="1032">
        <f t="shared" si="24"/>
        <v>5078</v>
      </c>
      <c r="O104" s="1032">
        <f t="shared" si="24"/>
        <v>15000</v>
      </c>
      <c r="P104" s="1032">
        <f t="shared" si="24"/>
        <v>2400</v>
      </c>
      <c r="Q104" s="1032">
        <f t="shared" si="24"/>
        <v>27977</v>
      </c>
    </row>
    <row r="105" spans="1:17" ht="24" x14ac:dyDescent="0.2">
      <c r="A105" s="1024" t="s">
        <v>502</v>
      </c>
      <c r="B105" s="1025" t="s">
        <v>1120</v>
      </c>
      <c r="C105" s="1095">
        <v>0</v>
      </c>
      <c r="D105" s="1026">
        <v>0</v>
      </c>
      <c r="E105" s="1027">
        <v>0</v>
      </c>
      <c r="F105" s="1027">
        <v>0</v>
      </c>
      <c r="G105" s="1027">
        <v>0</v>
      </c>
      <c r="H105" s="1027">
        <v>0</v>
      </c>
      <c r="I105" s="1027">
        <v>0</v>
      </c>
      <c r="J105" s="1027">
        <v>0</v>
      </c>
      <c r="K105" s="1028">
        <v>0</v>
      </c>
      <c r="L105" s="960">
        <f t="shared" si="15"/>
        <v>0</v>
      </c>
      <c r="M105" s="1026">
        <v>0</v>
      </c>
      <c r="N105" s="1027">
        <v>0</v>
      </c>
      <c r="O105" s="1027">
        <v>0</v>
      </c>
      <c r="P105" s="1028">
        <v>0</v>
      </c>
      <c r="Q105" s="1029">
        <f t="shared" si="16"/>
        <v>0</v>
      </c>
    </row>
    <row r="106" spans="1:17" ht="24" x14ac:dyDescent="0.2">
      <c r="A106" s="1013" t="s">
        <v>503</v>
      </c>
      <c r="B106" s="1014" t="s">
        <v>1121</v>
      </c>
      <c r="C106" s="1092">
        <v>0</v>
      </c>
      <c r="D106" s="1015">
        <v>0</v>
      </c>
      <c r="E106" s="1016">
        <v>0</v>
      </c>
      <c r="F106" s="1016">
        <v>0</v>
      </c>
      <c r="G106" s="1016">
        <v>0</v>
      </c>
      <c r="H106" s="1016">
        <v>0</v>
      </c>
      <c r="I106" s="1016">
        <v>0</v>
      </c>
      <c r="J106" s="1016">
        <v>0</v>
      </c>
      <c r="K106" s="1017">
        <v>0</v>
      </c>
      <c r="L106" s="961">
        <f t="shared" si="15"/>
        <v>0</v>
      </c>
      <c r="M106" s="1015">
        <v>0</v>
      </c>
      <c r="N106" s="1016">
        <v>0</v>
      </c>
      <c r="O106" s="1016">
        <v>0</v>
      </c>
      <c r="P106" s="1017">
        <v>0</v>
      </c>
      <c r="Q106" s="1005">
        <f t="shared" si="16"/>
        <v>0</v>
      </c>
    </row>
    <row r="107" spans="1:17" x14ac:dyDescent="0.2">
      <c r="A107" s="1013" t="s">
        <v>504</v>
      </c>
      <c r="B107" s="1014" t="s">
        <v>993</v>
      </c>
      <c r="C107" s="1092">
        <v>0</v>
      </c>
      <c r="D107" s="1015">
        <v>0</v>
      </c>
      <c r="E107" s="1016">
        <v>0</v>
      </c>
      <c r="F107" s="1016">
        <v>0</v>
      </c>
      <c r="G107" s="1016">
        <v>0</v>
      </c>
      <c r="H107" s="1016">
        <v>0</v>
      </c>
      <c r="I107" s="1016">
        <v>0</v>
      </c>
      <c r="J107" s="1016">
        <v>0</v>
      </c>
      <c r="K107" s="1017">
        <v>0</v>
      </c>
      <c r="L107" s="961">
        <f t="shared" si="15"/>
        <v>0</v>
      </c>
      <c r="M107" s="1015">
        <v>0</v>
      </c>
      <c r="N107" s="1016">
        <v>0</v>
      </c>
      <c r="O107" s="1016">
        <v>0</v>
      </c>
      <c r="P107" s="1017">
        <v>0</v>
      </c>
      <c r="Q107" s="1005">
        <f t="shared" si="16"/>
        <v>0</v>
      </c>
    </row>
    <row r="108" spans="1:17" ht="24" x14ac:dyDescent="0.2">
      <c r="A108" s="1013" t="s">
        <v>505</v>
      </c>
      <c r="B108" s="1014" t="s">
        <v>994</v>
      </c>
      <c r="C108" s="1092">
        <v>0</v>
      </c>
      <c r="D108" s="1015">
        <v>0</v>
      </c>
      <c r="E108" s="1016">
        <v>0</v>
      </c>
      <c r="F108" s="1016">
        <v>0</v>
      </c>
      <c r="G108" s="1016">
        <v>0</v>
      </c>
      <c r="H108" s="1016">
        <v>0</v>
      </c>
      <c r="I108" s="1016">
        <v>0</v>
      </c>
      <c r="J108" s="1016">
        <v>0</v>
      </c>
      <c r="K108" s="1017">
        <v>0</v>
      </c>
      <c r="L108" s="961">
        <f t="shared" si="15"/>
        <v>0</v>
      </c>
      <c r="M108" s="1015">
        <v>0</v>
      </c>
      <c r="N108" s="1016">
        <v>0</v>
      </c>
      <c r="O108" s="1016">
        <v>0</v>
      </c>
      <c r="P108" s="1017">
        <v>0</v>
      </c>
      <c r="Q108" s="1005">
        <f t="shared" si="16"/>
        <v>0</v>
      </c>
    </row>
    <row r="109" spans="1:17" x14ac:dyDescent="0.2">
      <c r="A109" s="1013" t="s">
        <v>506</v>
      </c>
      <c r="B109" s="1014" t="s">
        <v>995</v>
      </c>
      <c r="C109" s="1092">
        <v>0</v>
      </c>
      <c r="D109" s="1015">
        <v>0</v>
      </c>
      <c r="E109" s="1016">
        <v>0</v>
      </c>
      <c r="F109" s="1016">
        <v>0</v>
      </c>
      <c r="G109" s="1016">
        <v>0</v>
      </c>
      <c r="H109" s="1016">
        <v>0</v>
      </c>
      <c r="I109" s="1016">
        <v>0</v>
      </c>
      <c r="J109" s="1016">
        <v>0</v>
      </c>
      <c r="K109" s="1017">
        <v>0</v>
      </c>
      <c r="L109" s="961">
        <f t="shared" si="15"/>
        <v>0</v>
      </c>
      <c r="M109" s="1015">
        <v>0</v>
      </c>
      <c r="N109" s="1016">
        <v>140955</v>
      </c>
      <c r="O109" s="1016">
        <v>0</v>
      </c>
      <c r="P109" s="1017">
        <v>0</v>
      </c>
      <c r="Q109" s="1005">
        <f t="shared" si="16"/>
        <v>140955</v>
      </c>
    </row>
    <row r="110" spans="1:17" x14ac:dyDescent="0.2">
      <c r="A110" s="1013" t="s">
        <v>507</v>
      </c>
      <c r="B110" s="1014" t="s">
        <v>996</v>
      </c>
      <c r="C110" s="1092">
        <v>0</v>
      </c>
      <c r="D110" s="1015">
        <v>0</v>
      </c>
      <c r="E110" s="1016">
        <v>0</v>
      </c>
      <c r="F110" s="1016">
        <v>0</v>
      </c>
      <c r="G110" s="1016">
        <v>0</v>
      </c>
      <c r="H110" s="1016">
        <v>0</v>
      </c>
      <c r="I110" s="1016">
        <v>0</v>
      </c>
      <c r="J110" s="1016">
        <v>0</v>
      </c>
      <c r="K110" s="1017">
        <v>0</v>
      </c>
      <c r="L110" s="961">
        <f t="shared" si="15"/>
        <v>0</v>
      </c>
      <c r="M110" s="1015">
        <v>0</v>
      </c>
      <c r="N110" s="1016">
        <v>0</v>
      </c>
      <c r="O110" s="1016">
        <v>0</v>
      </c>
      <c r="P110" s="1017">
        <v>0</v>
      </c>
      <c r="Q110" s="1005">
        <f t="shared" si="16"/>
        <v>0</v>
      </c>
    </row>
    <row r="111" spans="1:17" x14ac:dyDescent="0.2">
      <c r="A111" s="1013" t="s">
        <v>508</v>
      </c>
      <c r="B111" s="1014" t="s">
        <v>997</v>
      </c>
      <c r="C111" s="1092">
        <v>0</v>
      </c>
      <c r="D111" s="1015">
        <v>0</v>
      </c>
      <c r="E111" s="1016">
        <v>0</v>
      </c>
      <c r="F111" s="1016">
        <v>0</v>
      </c>
      <c r="G111" s="1016">
        <v>0</v>
      </c>
      <c r="H111" s="1016">
        <v>0</v>
      </c>
      <c r="I111" s="1016">
        <v>0</v>
      </c>
      <c r="J111" s="1016">
        <v>0</v>
      </c>
      <c r="K111" s="1017">
        <v>0</v>
      </c>
      <c r="L111" s="961">
        <f t="shared" si="15"/>
        <v>0</v>
      </c>
      <c r="M111" s="1015">
        <v>0</v>
      </c>
      <c r="N111" s="1016">
        <v>0</v>
      </c>
      <c r="O111" s="1016">
        <v>0</v>
      </c>
      <c r="P111" s="1017">
        <v>0</v>
      </c>
      <c r="Q111" s="1005">
        <f t="shared" si="16"/>
        <v>0</v>
      </c>
    </row>
    <row r="112" spans="1:17" ht="24" x14ac:dyDescent="0.2">
      <c r="A112" s="1013" t="s">
        <v>509</v>
      </c>
      <c r="B112" s="1014" t="s">
        <v>998</v>
      </c>
      <c r="C112" s="1092">
        <v>0</v>
      </c>
      <c r="D112" s="1015">
        <v>0</v>
      </c>
      <c r="E112" s="1016">
        <v>0</v>
      </c>
      <c r="F112" s="1016">
        <v>0</v>
      </c>
      <c r="G112" s="1016">
        <v>0</v>
      </c>
      <c r="H112" s="1016">
        <v>0</v>
      </c>
      <c r="I112" s="1016">
        <v>0</v>
      </c>
      <c r="J112" s="1016">
        <v>0</v>
      </c>
      <c r="K112" s="1017">
        <v>0</v>
      </c>
      <c r="L112" s="961">
        <f t="shared" si="15"/>
        <v>0</v>
      </c>
      <c r="M112" s="1015">
        <v>0</v>
      </c>
      <c r="N112" s="1016">
        <v>0</v>
      </c>
      <c r="O112" s="1016">
        <v>0</v>
      </c>
      <c r="P112" s="1017">
        <v>0</v>
      </c>
      <c r="Q112" s="1005">
        <f t="shared" si="16"/>
        <v>0</v>
      </c>
    </row>
    <row r="113" spans="1:17" x14ac:dyDescent="0.2">
      <c r="A113" s="1013" t="s">
        <v>510</v>
      </c>
      <c r="B113" s="1014" t="s">
        <v>1122</v>
      </c>
      <c r="C113" s="1092">
        <v>0</v>
      </c>
      <c r="D113" s="1015">
        <v>0</v>
      </c>
      <c r="E113" s="1016">
        <v>0</v>
      </c>
      <c r="F113" s="1016">
        <v>0</v>
      </c>
      <c r="G113" s="1016">
        <v>0</v>
      </c>
      <c r="H113" s="1016">
        <v>0</v>
      </c>
      <c r="I113" s="1016">
        <v>0</v>
      </c>
      <c r="J113" s="1016">
        <v>0</v>
      </c>
      <c r="K113" s="1017">
        <v>0</v>
      </c>
      <c r="L113" s="961">
        <f t="shared" si="15"/>
        <v>0</v>
      </c>
      <c r="M113" s="1015">
        <v>0</v>
      </c>
      <c r="N113" s="1016">
        <v>0</v>
      </c>
      <c r="O113" s="1016">
        <v>0</v>
      </c>
      <c r="P113" s="1017">
        <v>0</v>
      </c>
      <c r="Q113" s="1005">
        <f t="shared" si="16"/>
        <v>0</v>
      </c>
    </row>
    <row r="114" spans="1:17" ht="24" x14ac:dyDescent="0.2">
      <c r="A114" s="1013" t="s">
        <v>511</v>
      </c>
      <c r="B114" s="1014" t="s">
        <v>1123</v>
      </c>
      <c r="C114" s="1092">
        <v>0</v>
      </c>
      <c r="D114" s="1015">
        <v>0</v>
      </c>
      <c r="E114" s="1016">
        <v>0</v>
      </c>
      <c r="F114" s="1016">
        <v>0</v>
      </c>
      <c r="G114" s="1016">
        <v>0</v>
      </c>
      <c r="H114" s="1016">
        <v>0</v>
      </c>
      <c r="I114" s="1016">
        <v>0</v>
      </c>
      <c r="J114" s="1016">
        <v>0</v>
      </c>
      <c r="K114" s="1017">
        <v>0</v>
      </c>
      <c r="L114" s="961">
        <f t="shared" si="15"/>
        <v>0</v>
      </c>
      <c r="M114" s="1015">
        <v>0</v>
      </c>
      <c r="N114" s="1016">
        <v>0</v>
      </c>
      <c r="O114" s="1016">
        <v>0</v>
      </c>
      <c r="P114" s="1017">
        <v>0</v>
      </c>
      <c r="Q114" s="1005">
        <f t="shared" si="16"/>
        <v>0</v>
      </c>
    </row>
    <row r="115" spans="1:17" ht="24" x14ac:dyDescent="0.2">
      <c r="A115" s="1013" t="s">
        <v>512</v>
      </c>
      <c r="B115" s="1014" t="s">
        <v>1124</v>
      </c>
      <c r="C115" s="1092">
        <v>0</v>
      </c>
      <c r="D115" s="1015">
        <v>0</v>
      </c>
      <c r="E115" s="1016">
        <v>0</v>
      </c>
      <c r="F115" s="1016">
        <v>0</v>
      </c>
      <c r="G115" s="1016">
        <v>0</v>
      </c>
      <c r="H115" s="1016">
        <v>0</v>
      </c>
      <c r="I115" s="1016">
        <v>0</v>
      </c>
      <c r="J115" s="1016">
        <v>0</v>
      </c>
      <c r="K115" s="1017">
        <v>0</v>
      </c>
      <c r="L115" s="961">
        <f t="shared" si="15"/>
        <v>0</v>
      </c>
      <c r="M115" s="1015">
        <v>0</v>
      </c>
      <c r="N115" s="1016">
        <v>0</v>
      </c>
      <c r="O115" s="1016">
        <v>0</v>
      </c>
      <c r="P115" s="1017">
        <v>0</v>
      </c>
      <c r="Q115" s="1005">
        <f t="shared" si="16"/>
        <v>0</v>
      </c>
    </row>
    <row r="116" spans="1:17" ht="24" x14ac:dyDescent="0.2">
      <c r="A116" s="1013" t="s">
        <v>513</v>
      </c>
      <c r="B116" s="1014" t="s">
        <v>999</v>
      </c>
      <c r="C116" s="1092">
        <v>0</v>
      </c>
      <c r="D116" s="1015">
        <v>0</v>
      </c>
      <c r="E116" s="1016">
        <v>0</v>
      </c>
      <c r="F116" s="1016">
        <v>0</v>
      </c>
      <c r="G116" s="1016">
        <v>0</v>
      </c>
      <c r="H116" s="1016">
        <v>0</v>
      </c>
      <c r="I116" s="1016">
        <v>0</v>
      </c>
      <c r="J116" s="1016">
        <v>0</v>
      </c>
      <c r="K116" s="1017">
        <v>0</v>
      </c>
      <c r="L116" s="961">
        <f t="shared" si="15"/>
        <v>0</v>
      </c>
      <c r="M116" s="1015">
        <v>0</v>
      </c>
      <c r="N116" s="1016">
        <v>0</v>
      </c>
      <c r="O116" s="1016">
        <v>0</v>
      </c>
      <c r="P116" s="1017">
        <v>0</v>
      </c>
      <c r="Q116" s="1005">
        <f t="shared" si="16"/>
        <v>0</v>
      </c>
    </row>
    <row r="117" spans="1:17" x14ac:dyDescent="0.2">
      <c r="A117" s="1018" t="s">
        <v>514</v>
      </c>
      <c r="B117" s="1019" t="s">
        <v>1000</v>
      </c>
      <c r="C117" s="1094">
        <v>0</v>
      </c>
      <c r="D117" s="1020">
        <v>0</v>
      </c>
      <c r="E117" s="1021">
        <v>0</v>
      </c>
      <c r="F117" s="1021">
        <v>0</v>
      </c>
      <c r="G117" s="1021">
        <v>0</v>
      </c>
      <c r="H117" s="1021">
        <v>0</v>
      </c>
      <c r="I117" s="1021">
        <v>0</v>
      </c>
      <c r="J117" s="1021">
        <v>0</v>
      </c>
      <c r="K117" s="1022">
        <v>0</v>
      </c>
      <c r="L117" s="964">
        <f t="shared" si="15"/>
        <v>0</v>
      </c>
      <c r="M117" s="1020">
        <v>0</v>
      </c>
      <c r="N117" s="1021">
        <v>0</v>
      </c>
      <c r="O117" s="1021">
        <v>0</v>
      </c>
      <c r="P117" s="1022">
        <v>0</v>
      </c>
      <c r="Q117" s="1023">
        <f t="shared" si="16"/>
        <v>0</v>
      </c>
    </row>
    <row r="118" spans="1:17" x14ac:dyDescent="0.2">
      <c r="A118" s="1030" t="s">
        <v>515</v>
      </c>
      <c r="B118" s="1031" t="s">
        <v>1125</v>
      </c>
      <c r="C118" s="1090">
        <v>0</v>
      </c>
      <c r="D118" s="1032">
        <v>0</v>
      </c>
      <c r="E118" s="1033">
        <v>0</v>
      </c>
      <c r="F118" s="1033">
        <v>0</v>
      </c>
      <c r="G118" s="1033">
        <v>0</v>
      </c>
      <c r="H118" s="1033">
        <v>0</v>
      </c>
      <c r="I118" s="1033">
        <v>0</v>
      </c>
      <c r="J118" s="1033">
        <v>0</v>
      </c>
      <c r="K118" s="1034">
        <v>0</v>
      </c>
      <c r="L118" s="970">
        <f t="shared" si="15"/>
        <v>0</v>
      </c>
      <c r="M118" s="1032">
        <v>0</v>
      </c>
      <c r="N118" s="1033">
        <f>N109</f>
        <v>140955</v>
      </c>
      <c r="O118" s="1033">
        <v>0</v>
      </c>
      <c r="P118" s="1034">
        <v>0</v>
      </c>
      <c r="Q118" s="972">
        <f t="shared" si="16"/>
        <v>140955</v>
      </c>
    </row>
    <row r="119" spans="1:17" ht="12.75" thickBot="1" x14ac:dyDescent="0.25">
      <c r="A119" s="1043" t="s">
        <v>516</v>
      </c>
      <c r="B119" s="1040" t="s">
        <v>1126</v>
      </c>
      <c r="C119" s="1091">
        <f t="shared" ref="C119:K119" si="25">C55+C79+C88+C118+C22+C23</f>
        <v>6788</v>
      </c>
      <c r="D119" s="1091">
        <f t="shared" si="25"/>
        <v>19085</v>
      </c>
      <c r="E119" s="1091">
        <f t="shared" si="25"/>
        <v>2281</v>
      </c>
      <c r="F119" s="1091">
        <f t="shared" si="25"/>
        <v>17795</v>
      </c>
      <c r="G119" s="1091">
        <f t="shared" si="25"/>
        <v>29616</v>
      </c>
      <c r="H119" s="1091">
        <f t="shared" si="25"/>
        <v>38050</v>
      </c>
      <c r="I119" s="1091">
        <f t="shared" si="25"/>
        <v>1913</v>
      </c>
      <c r="J119" s="1091">
        <f t="shared" si="25"/>
        <v>31867</v>
      </c>
      <c r="K119" s="1091">
        <f t="shared" si="25"/>
        <v>7377</v>
      </c>
      <c r="L119" s="971">
        <f>SUM(C119:K119)</f>
        <v>154772</v>
      </c>
      <c r="M119" s="1041">
        <f>M55+M79+M88</f>
        <v>5499</v>
      </c>
      <c r="N119" s="1041">
        <f>N55+N79+N88+N118</f>
        <v>146033</v>
      </c>
      <c r="O119" s="1041">
        <f t="shared" ref="O119:P119" si="26">O55+O79+O88</f>
        <v>15000</v>
      </c>
      <c r="P119" s="1041">
        <f t="shared" si="26"/>
        <v>2400</v>
      </c>
      <c r="Q119" s="1042">
        <f t="shared" si="16"/>
        <v>168932</v>
      </c>
    </row>
  </sheetData>
  <mergeCells count="4">
    <mergeCell ref="A1:A2"/>
    <mergeCell ref="B1:B2"/>
    <mergeCell ref="M1:Q1"/>
    <mergeCell ref="D1:L1"/>
  </mergeCells>
  <printOptions horizontalCentered="1"/>
  <pageMargins left="0.31496062992125984" right="0.31496062992125984" top="1.2204724409448819" bottom="0.51181102362204722" header="0.35433070866141736" footer="0.15748031496062992"/>
  <pageSetup paperSize="8" scale="74" fitToHeight="3" orientation="landscape" r:id="rId1"/>
  <headerFooter alignWithMargins="0">
    <oddHeader>&amp;L&amp;"Times New Roman,Félkövér"&amp;13Szent László Völgye TKT&amp;C&amp;"Times New Roman,Félkövér"&amp;16 2020. ÉVI ZÁRSZÁMADÁSI BESZÁMOLÓ&amp;R2/2. sz. táblázat
TÁRSULÁS ÉS INTÉZMÉNYEK KIADÁSOK KORMÁNYZATI FUNKCIÓNKÉNT
Adatok: eFt</oddHeader>
    <oddFooter>&amp;L&amp;F&amp;R&amp;P</oddFooter>
  </headerFooter>
  <rowBreaks count="2" manualBreakCount="2">
    <brk id="55" max="16383" man="1"/>
    <brk id="1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4"/>
  <sheetViews>
    <sheetView zoomScaleNormal="100" workbookViewId="0">
      <selection activeCell="I2" sqref="I2"/>
    </sheetView>
  </sheetViews>
  <sheetFormatPr defaultColWidth="8.85546875" defaultRowHeight="12" x14ac:dyDescent="0.2"/>
  <cols>
    <col min="1" max="1" width="3.5703125" style="555" customWidth="1"/>
    <col min="2" max="2" width="68.140625" style="555" customWidth="1"/>
    <col min="3" max="11" width="10" style="555" customWidth="1"/>
    <col min="12" max="12" width="10" style="560" customWidth="1"/>
    <col min="13" max="24" width="10" style="555" customWidth="1"/>
    <col min="25" max="25" width="10" style="560" customWidth="1"/>
    <col min="26" max="16384" width="8.85546875" style="555"/>
  </cols>
  <sheetData>
    <row r="1" spans="1:25" s="560" customFormat="1" ht="25.5" customHeight="1" x14ac:dyDescent="0.2">
      <c r="A1" s="1342"/>
      <c r="B1" s="1344" t="s">
        <v>108</v>
      </c>
      <c r="C1" s="1346" t="s">
        <v>282</v>
      </c>
      <c r="D1" s="1347"/>
      <c r="E1" s="1347"/>
      <c r="F1" s="1347"/>
      <c r="G1" s="1347"/>
      <c r="H1" s="1347"/>
      <c r="I1" s="1347"/>
      <c r="J1" s="1347"/>
      <c r="K1" s="1347"/>
      <c r="L1" s="1353"/>
      <c r="M1" s="1346" t="s">
        <v>391</v>
      </c>
      <c r="N1" s="1347"/>
      <c r="O1" s="1347"/>
      <c r="P1" s="1347"/>
      <c r="Q1" s="1347"/>
      <c r="R1" s="1347"/>
      <c r="S1" s="1347"/>
      <c r="T1" s="1347"/>
      <c r="U1" s="1347"/>
      <c r="V1" s="1347"/>
      <c r="W1" s="1347"/>
      <c r="X1" s="1347"/>
      <c r="Y1" s="1348"/>
    </row>
    <row r="2" spans="1:25" s="560" customFormat="1" ht="132" x14ac:dyDescent="0.2">
      <c r="A2" s="1351"/>
      <c r="B2" s="1352"/>
      <c r="C2" s="1045" t="s">
        <v>1174</v>
      </c>
      <c r="D2" s="1046" t="s">
        <v>535</v>
      </c>
      <c r="E2" s="1046" t="s">
        <v>1053</v>
      </c>
      <c r="F2" s="1046" t="s">
        <v>393</v>
      </c>
      <c r="G2" s="1046" t="s">
        <v>1050</v>
      </c>
      <c r="H2" s="1046" t="s">
        <v>1051</v>
      </c>
      <c r="I2" s="1046" t="s">
        <v>1054</v>
      </c>
      <c r="J2" s="1046" t="s">
        <v>394</v>
      </c>
      <c r="K2" s="1047" t="s">
        <v>536</v>
      </c>
      <c r="L2" s="983" t="s">
        <v>14</v>
      </c>
      <c r="M2" s="1048" t="s">
        <v>1175</v>
      </c>
      <c r="N2" s="1046" t="s">
        <v>1174</v>
      </c>
      <c r="O2" s="1046" t="s">
        <v>398</v>
      </c>
      <c r="P2" s="1046" t="s">
        <v>1066</v>
      </c>
      <c r="Q2" s="1046" t="s">
        <v>535</v>
      </c>
      <c r="R2" s="1046" t="s">
        <v>1053</v>
      </c>
      <c r="S2" s="1046" t="s">
        <v>393</v>
      </c>
      <c r="T2" s="1046" t="s">
        <v>1050</v>
      </c>
      <c r="U2" s="1046" t="s">
        <v>1051</v>
      </c>
      <c r="V2" s="1046" t="s">
        <v>1054</v>
      </c>
      <c r="W2" s="1046" t="s">
        <v>394</v>
      </c>
      <c r="X2" s="1047" t="s">
        <v>536</v>
      </c>
      <c r="Y2" s="710" t="s">
        <v>14</v>
      </c>
    </row>
    <row r="3" spans="1:25" x14ac:dyDescent="0.2">
      <c r="A3" s="1044">
        <v>1</v>
      </c>
      <c r="B3" s="558" t="s">
        <v>1001</v>
      </c>
      <c r="C3" s="962">
        <v>0</v>
      </c>
      <c r="D3" s="564">
        <v>0</v>
      </c>
      <c r="E3" s="564">
        <v>0</v>
      </c>
      <c r="F3" s="564">
        <v>0</v>
      </c>
      <c r="G3" s="564">
        <v>0</v>
      </c>
      <c r="H3" s="564">
        <v>0</v>
      </c>
      <c r="I3" s="564">
        <v>0</v>
      </c>
      <c r="J3" s="564">
        <v>0</v>
      </c>
      <c r="K3" s="705">
        <v>0</v>
      </c>
      <c r="L3" s="565">
        <f>SUM(C3:K3)</f>
        <v>0</v>
      </c>
      <c r="M3" s="706">
        <v>0</v>
      </c>
      <c r="N3" s="564">
        <v>0</v>
      </c>
      <c r="O3" s="564">
        <v>0</v>
      </c>
      <c r="P3" s="564">
        <v>0</v>
      </c>
      <c r="Q3" s="564">
        <v>0</v>
      </c>
      <c r="R3" s="564">
        <v>0</v>
      </c>
      <c r="S3" s="564">
        <v>0</v>
      </c>
      <c r="T3" s="564">
        <v>0</v>
      </c>
      <c r="U3" s="564">
        <v>0</v>
      </c>
      <c r="V3" s="564">
        <v>0</v>
      </c>
      <c r="W3" s="564">
        <v>0</v>
      </c>
      <c r="X3" s="705">
        <v>0</v>
      </c>
      <c r="Y3" s="566">
        <f>SUM(M3:X3)</f>
        <v>0</v>
      </c>
    </row>
    <row r="4" spans="1:25" x14ac:dyDescent="0.2">
      <c r="A4" s="1044">
        <v>2</v>
      </c>
      <c r="B4" s="558" t="s">
        <v>1002</v>
      </c>
      <c r="C4" s="962">
        <v>0</v>
      </c>
      <c r="D4" s="564">
        <v>0</v>
      </c>
      <c r="E4" s="564">
        <v>0</v>
      </c>
      <c r="F4" s="564">
        <v>0</v>
      </c>
      <c r="G4" s="564">
        <v>0</v>
      </c>
      <c r="H4" s="564">
        <v>0</v>
      </c>
      <c r="I4" s="564">
        <v>0</v>
      </c>
      <c r="J4" s="564">
        <v>0</v>
      </c>
      <c r="K4" s="705">
        <v>0</v>
      </c>
      <c r="L4" s="565">
        <f>SUM(C4:K4)</f>
        <v>0</v>
      </c>
      <c r="M4" s="706">
        <v>0</v>
      </c>
      <c r="N4" s="564">
        <v>0</v>
      </c>
      <c r="O4" s="564">
        <v>0</v>
      </c>
      <c r="P4" s="564">
        <v>0</v>
      </c>
      <c r="Q4" s="564">
        <v>0</v>
      </c>
      <c r="R4" s="564">
        <v>0</v>
      </c>
      <c r="S4" s="564">
        <v>0</v>
      </c>
      <c r="T4" s="564">
        <v>0</v>
      </c>
      <c r="U4" s="564">
        <v>0</v>
      </c>
      <c r="V4" s="564">
        <v>0</v>
      </c>
      <c r="W4" s="564">
        <v>0</v>
      </c>
      <c r="X4" s="705">
        <v>0</v>
      </c>
      <c r="Y4" s="566">
        <f>SUM(M4:X4)</f>
        <v>0</v>
      </c>
    </row>
    <row r="5" spans="1:25" ht="24" x14ac:dyDescent="0.2">
      <c r="A5" s="1044">
        <v>3</v>
      </c>
      <c r="B5" s="558" t="s">
        <v>1003</v>
      </c>
      <c r="C5" s="962">
        <v>0</v>
      </c>
      <c r="D5" s="564">
        <v>0</v>
      </c>
      <c r="E5" s="564">
        <v>0</v>
      </c>
      <c r="F5" s="564">
        <v>0</v>
      </c>
      <c r="G5" s="564">
        <v>0</v>
      </c>
      <c r="H5" s="564">
        <v>0</v>
      </c>
      <c r="I5" s="564">
        <v>0</v>
      </c>
      <c r="J5" s="564">
        <v>0</v>
      </c>
      <c r="K5" s="705">
        <v>0</v>
      </c>
      <c r="L5" s="565">
        <f t="shared" ref="L5:L68" si="0">SUM(C5:K5)</f>
        <v>0</v>
      </c>
      <c r="M5" s="706">
        <v>0</v>
      </c>
      <c r="N5" s="564">
        <v>0</v>
      </c>
      <c r="O5" s="564">
        <v>0</v>
      </c>
      <c r="P5" s="564">
        <v>0</v>
      </c>
      <c r="Q5" s="564">
        <v>0</v>
      </c>
      <c r="R5" s="564">
        <v>0</v>
      </c>
      <c r="S5" s="564">
        <v>0</v>
      </c>
      <c r="T5" s="564">
        <v>0</v>
      </c>
      <c r="U5" s="564">
        <v>0</v>
      </c>
      <c r="V5" s="564">
        <v>0</v>
      </c>
      <c r="W5" s="564">
        <v>0</v>
      </c>
      <c r="X5" s="705">
        <v>0</v>
      </c>
      <c r="Y5" s="566">
        <f t="shared" ref="Y5:Y68" si="1">SUM(M5:X5)</f>
        <v>0</v>
      </c>
    </row>
    <row r="6" spans="1:25" ht="24" x14ac:dyDescent="0.2">
      <c r="A6" s="1044">
        <v>4</v>
      </c>
      <c r="B6" s="558" t="s">
        <v>1004</v>
      </c>
      <c r="C6" s="962">
        <v>0</v>
      </c>
      <c r="D6" s="564">
        <v>0</v>
      </c>
      <c r="E6" s="564">
        <v>0</v>
      </c>
      <c r="F6" s="564">
        <v>0</v>
      </c>
      <c r="G6" s="564">
        <v>0</v>
      </c>
      <c r="H6" s="564">
        <v>0</v>
      </c>
      <c r="I6" s="564">
        <v>0</v>
      </c>
      <c r="J6" s="564">
        <v>0</v>
      </c>
      <c r="K6" s="705">
        <v>0</v>
      </c>
      <c r="L6" s="565">
        <f t="shared" si="0"/>
        <v>0</v>
      </c>
      <c r="M6" s="706">
        <v>0</v>
      </c>
      <c r="N6" s="564">
        <v>0</v>
      </c>
      <c r="O6" s="564">
        <v>0</v>
      </c>
      <c r="P6" s="564">
        <v>0</v>
      </c>
      <c r="Q6" s="564">
        <v>0</v>
      </c>
      <c r="R6" s="564">
        <v>0</v>
      </c>
      <c r="S6" s="564">
        <v>0</v>
      </c>
      <c r="T6" s="564">
        <v>0</v>
      </c>
      <c r="U6" s="564">
        <v>0</v>
      </c>
      <c r="V6" s="564">
        <v>0</v>
      </c>
      <c r="W6" s="564">
        <v>0</v>
      </c>
      <c r="X6" s="705">
        <v>0</v>
      </c>
      <c r="Y6" s="566">
        <f t="shared" si="1"/>
        <v>0</v>
      </c>
    </row>
    <row r="7" spans="1:25" ht="24" x14ac:dyDescent="0.2">
      <c r="A7" s="1049">
        <v>5</v>
      </c>
      <c r="B7" s="559" t="s">
        <v>1005</v>
      </c>
      <c r="C7" s="965">
        <v>0</v>
      </c>
      <c r="D7" s="567">
        <v>0</v>
      </c>
      <c r="E7" s="567">
        <v>0</v>
      </c>
      <c r="F7" s="567">
        <v>0</v>
      </c>
      <c r="G7" s="567">
        <v>0</v>
      </c>
      <c r="H7" s="567">
        <v>0</v>
      </c>
      <c r="I7" s="567">
        <v>0</v>
      </c>
      <c r="J7" s="567">
        <v>0</v>
      </c>
      <c r="K7" s="963">
        <v>0</v>
      </c>
      <c r="L7" s="568">
        <f t="shared" si="0"/>
        <v>0</v>
      </c>
      <c r="M7" s="707">
        <v>0</v>
      </c>
      <c r="N7" s="567">
        <v>0</v>
      </c>
      <c r="O7" s="567">
        <v>0</v>
      </c>
      <c r="P7" s="567">
        <v>0</v>
      </c>
      <c r="Q7" s="567">
        <v>0</v>
      </c>
      <c r="R7" s="567">
        <v>0</v>
      </c>
      <c r="S7" s="567">
        <v>0</v>
      </c>
      <c r="T7" s="567">
        <v>0</v>
      </c>
      <c r="U7" s="567">
        <v>0</v>
      </c>
      <c r="V7" s="567">
        <v>0</v>
      </c>
      <c r="W7" s="567">
        <v>0</v>
      </c>
      <c r="X7" s="963">
        <v>0</v>
      </c>
      <c r="Y7" s="569">
        <f t="shared" si="1"/>
        <v>0</v>
      </c>
    </row>
    <row r="8" spans="1:25" x14ac:dyDescent="0.2">
      <c r="A8" s="1050">
        <v>6</v>
      </c>
      <c r="B8" s="1051" t="s">
        <v>1006</v>
      </c>
      <c r="C8" s="1052">
        <f>C9+C10+C11+C12+C14+C15+C16+C17+C18</f>
        <v>468</v>
      </c>
      <c r="D8" s="1052">
        <f t="shared" ref="D8:K8" si="2">D9+D10+D11+D12+D14+D15+D16+D17+D18</f>
        <v>0</v>
      </c>
      <c r="E8" s="1052">
        <f t="shared" si="2"/>
        <v>0</v>
      </c>
      <c r="F8" s="1052">
        <f t="shared" si="2"/>
        <v>0</v>
      </c>
      <c r="G8" s="1052">
        <f t="shared" si="2"/>
        <v>0</v>
      </c>
      <c r="H8" s="1052">
        <f t="shared" si="2"/>
        <v>0</v>
      </c>
      <c r="I8" s="1052">
        <f t="shared" si="2"/>
        <v>0</v>
      </c>
      <c r="J8" s="1052">
        <f t="shared" si="2"/>
        <v>0</v>
      </c>
      <c r="K8" s="1052">
        <f t="shared" si="2"/>
        <v>0</v>
      </c>
      <c r="L8" s="709">
        <f t="shared" si="0"/>
        <v>468</v>
      </c>
      <c r="M8" s="1053">
        <f>M9+M10+M11+M12+M14+M15+M16+M17+M18</f>
        <v>39046</v>
      </c>
      <c r="N8" s="1053">
        <f t="shared" ref="N8:X8" si="3">N9+N10+N11+N12+N14+N15+N16+N17+N18</f>
        <v>0</v>
      </c>
      <c r="O8" s="1053">
        <f t="shared" si="3"/>
        <v>15000</v>
      </c>
      <c r="P8" s="1053">
        <f t="shared" si="3"/>
        <v>2400</v>
      </c>
      <c r="Q8" s="1053">
        <f t="shared" si="3"/>
        <v>16861</v>
      </c>
      <c r="R8" s="1053">
        <f t="shared" si="3"/>
        <v>2652</v>
      </c>
      <c r="S8" s="1053">
        <f t="shared" si="3"/>
        <v>10113</v>
      </c>
      <c r="T8" s="1053">
        <f t="shared" si="3"/>
        <v>25468</v>
      </c>
      <c r="U8" s="1053">
        <f t="shared" si="3"/>
        <v>30489</v>
      </c>
      <c r="V8" s="1053">
        <f t="shared" si="3"/>
        <v>1627</v>
      </c>
      <c r="W8" s="1053">
        <f t="shared" si="3"/>
        <v>25871</v>
      </c>
      <c r="X8" s="1053">
        <f t="shared" si="3"/>
        <v>7496</v>
      </c>
      <c r="Y8" s="712">
        <f>SUM(M8:X8)</f>
        <v>177023</v>
      </c>
    </row>
    <row r="9" spans="1:25" x14ac:dyDescent="0.2">
      <c r="A9" s="556">
        <v>7</v>
      </c>
      <c r="B9" s="557" t="s">
        <v>1007</v>
      </c>
      <c r="C9" s="969">
        <v>0</v>
      </c>
      <c r="D9" s="561">
        <v>0</v>
      </c>
      <c r="E9" s="561">
        <v>0</v>
      </c>
      <c r="F9" s="561">
        <v>0</v>
      </c>
      <c r="G9" s="561">
        <v>0</v>
      </c>
      <c r="H9" s="561">
        <v>0</v>
      </c>
      <c r="I9" s="561">
        <v>0</v>
      </c>
      <c r="J9" s="561">
        <v>0</v>
      </c>
      <c r="K9" s="968">
        <v>0</v>
      </c>
      <c r="L9" s="562">
        <f t="shared" si="0"/>
        <v>0</v>
      </c>
      <c r="M9" s="708">
        <v>0</v>
      </c>
      <c r="N9" s="561">
        <v>0</v>
      </c>
      <c r="O9" s="561">
        <v>0</v>
      </c>
      <c r="P9" s="561">
        <v>0</v>
      </c>
      <c r="Q9" s="561">
        <v>0</v>
      </c>
      <c r="R9" s="561">
        <v>0</v>
      </c>
      <c r="S9" s="561">
        <v>0</v>
      </c>
      <c r="T9" s="561">
        <v>0</v>
      </c>
      <c r="U9" s="561">
        <v>0</v>
      </c>
      <c r="V9" s="561">
        <v>0</v>
      </c>
      <c r="W9" s="561">
        <v>0</v>
      </c>
      <c r="X9" s="968">
        <v>0</v>
      </c>
      <c r="Y9" s="563">
        <f t="shared" si="1"/>
        <v>0</v>
      </c>
    </row>
    <row r="10" spans="1:25" x14ac:dyDescent="0.2">
      <c r="A10" s="1044">
        <v>8</v>
      </c>
      <c r="B10" s="558" t="s">
        <v>1008</v>
      </c>
      <c r="C10" s="962">
        <v>0</v>
      </c>
      <c r="D10" s="564">
        <v>0</v>
      </c>
      <c r="E10" s="564">
        <v>0</v>
      </c>
      <c r="F10" s="564">
        <v>0</v>
      </c>
      <c r="G10" s="564">
        <v>0</v>
      </c>
      <c r="H10" s="564">
        <v>0</v>
      </c>
      <c r="I10" s="564">
        <v>0</v>
      </c>
      <c r="J10" s="564">
        <v>0</v>
      </c>
      <c r="K10" s="705">
        <v>0</v>
      </c>
      <c r="L10" s="565">
        <f t="shared" si="0"/>
        <v>0</v>
      </c>
      <c r="M10" s="706">
        <v>0</v>
      </c>
      <c r="N10" s="564">
        <v>0</v>
      </c>
      <c r="O10" s="564">
        <v>0</v>
      </c>
      <c r="P10" s="564">
        <v>0</v>
      </c>
      <c r="Q10" s="564">
        <v>0</v>
      </c>
      <c r="R10" s="564">
        <v>0</v>
      </c>
      <c r="S10" s="564">
        <v>0</v>
      </c>
      <c r="T10" s="564">
        <v>0</v>
      </c>
      <c r="U10" s="564">
        <v>0</v>
      </c>
      <c r="V10" s="564">
        <v>0</v>
      </c>
      <c r="W10" s="564">
        <v>0</v>
      </c>
      <c r="X10" s="705">
        <v>0</v>
      </c>
      <c r="Y10" s="566">
        <f t="shared" si="1"/>
        <v>0</v>
      </c>
    </row>
    <row r="11" spans="1:25" ht="24" x14ac:dyDescent="0.2">
      <c r="A11" s="1044">
        <v>9</v>
      </c>
      <c r="B11" s="558" t="s">
        <v>1009</v>
      </c>
      <c r="C11" s="962">
        <v>0</v>
      </c>
      <c r="D11" s="564">
        <v>0</v>
      </c>
      <c r="E11" s="564">
        <v>0</v>
      </c>
      <c r="F11" s="564">
        <v>0</v>
      </c>
      <c r="G11" s="564">
        <v>0</v>
      </c>
      <c r="H11" s="564">
        <v>0</v>
      </c>
      <c r="I11" s="564">
        <v>0</v>
      </c>
      <c r="J11" s="564">
        <v>0</v>
      </c>
      <c r="K11" s="705">
        <v>0</v>
      </c>
      <c r="L11" s="565">
        <f t="shared" si="0"/>
        <v>0</v>
      </c>
      <c r="M11" s="706">
        <v>0</v>
      </c>
      <c r="N11" s="564">
        <v>0</v>
      </c>
      <c r="O11" s="564">
        <v>0</v>
      </c>
      <c r="P11" s="564">
        <v>0</v>
      </c>
      <c r="Q11" s="564">
        <v>0</v>
      </c>
      <c r="R11" s="564">
        <v>0</v>
      </c>
      <c r="S11" s="564">
        <v>0</v>
      </c>
      <c r="T11" s="564">
        <v>0</v>
      </c>
      <c r="U11" s="564">
        <v>0</v>
      </c>
      <c r="V11" s="564">
        <v>0</v>
      </c>
      <c r="W11" s="564">
        <v>0</v>
      </c>
      <c r="X11" s="705">
        <v>0</v>
      </c>
      <c r="Y11" s="566">
        <f t="shared" si="1"/>
        <v>0</v>
      </c>
    </row>
    <row r="12" spans="1:25" x14ac:dyDescent="0.2">
      <c r="A12" s="1044">
        <v>10</v>
      </c>
      <c r="B12" s="558" t="s">
        <v>1010</v>
      </c>
      <c r="C12" s="962">
        <v>0</v>
      </c>
      <c r="D12" s="564">
        <v>0</v>
      </c>
      <c r="E12" s="564">
        <v>0</v>
      </c>
      <c r="F12" s="564">
        <v>0</v>
      </c>
      <c r="G12" s="564">
        <v>0</v>
      </c>
      <c r="H12" s="564">
        <v>0</v>
      </c>
      <c r="I12" s="564">
        <v>0</v>
      </c>
      <c r="J12" s="564">
        <v>0</v>
      </c>
      <c r="K12" s="705">
        <v>0</v>
      </c>
      <c r="L12" s="565">
        <f t="shared" si="0"/>
        <v>0</v>
      </c>
      <c r="M12" s="706">
        <v>0</v>
      </c>
      <c r="N12" s="564">
        <v>0</v>
      </c>
      <c r="O12" s="564">
        <v>0</v>
      </c>
      <c r="P12" s="564">
        <v>0</v>
      </c>
      <c r="Q12" s="564">
        <v>0</v>
      </c>
      <c r="R12" s="564">
        <v>0</v>
      </c>
      <c r="S12" s="564">
        <v>0</v>
      </c>
      <c r="T12" s="564">
        <v>0</v>
      </c>
      <c r="U12" s="564">
        <v>0</v>
      </c>
      <c r="V12" s="564">
        <v>0</v>
      </c>
      <c r="W12" s="564">
        <v>0</v>
      </c>
      <c r="X12" s="705">
        <v>0</v>
      </c>
      <c r="Y12" s="566">
        <f t="shared" si="1"/>
        <v>0</v>
      </c>
    </row>
    <row r="13" spans="1:25" x14ac:dyDescent="0.2">
      <c r="A13" s="1044">
        <v>11</v>
      </c>
      <c r="B13" s="558" t="s">
        <v>1011</v>
      </c>
      <c r="C13" s="962">
        <v>0</v>
      </c>
      <c r="D13" s="564">
        <v>0</v>
      </c>
      <c r="E13" s="564">
        <v>0</v>
      </c>
      <c r="F13" s="564">
        <v>0</v>
      </c>
      <c r="G13" s="564">
        <v>0</v>
      </c>
      <c r="H13" s="564">
        <v>0</v>
      </c>
      <c r="I13" s="564">
        <v>0</v>
      </c>
      <c r="J13" s="564">
        <v>0</v>
      </c>
      <c r="K13" s="705">
        <v>0</v>
      </c>
      <c r="L13" s="565">
        <f t="shared" si="0"/>
        <v>0</v>
      </c>
      <c r="M13" s="706">
        <v>0</v>
      </c>
      <c r="N13" s="564">
        <v>0</v>
      </c>
      <c r="O13" s="564">
        <v>0</v>
      </c>
      <c r="P13" s="564">
        <v>0</v>
      </c>
      <c r="Q13" s="564">
        <v>0</v>
      </c>
      <c r="R13" s="564">
        <v>0</v>
      </c>
      <c r="S13" s="564">
        <v>0</v>
      </c>
      <c r="T13" s="564">
        <v>0</v>
      </c>
      <c r="U13" s="564">
        <v>0</v>
      </c>
      <c r="V13" s="564">
        <v>0</v>
      </c>
      <c r="W13" s="564">
        <v>0</v>
      </c>
      <c r="X13" s="705">
        <v>0</v>
      </c>
      <c r="Y13" s="566">
        <f t="shared" si="1"/>
        <v>0</v>
      </c>
    </row>
    <row r="14" spans="1:25" x14ac:dyDescent="0.2">
      <c r="A14" s="1044">
        <v>12</v>
      </c>
      <c r="B14" s="558" t="s">
        <v>1012</v>
      </c>
      <c r="C14" s="962">
        <v>0</v>
      </c>
      <c r="D14" s="564">
        <v>0</v>
      </c>
      <c r="E14" s="564">
        <v>0</v>
      </c>
      <c r="F14" s="564">
        <v>0</v>
      </c>
      <c r="G14" s="564">
        <v>0</v>
      </c>
      <c r="H14" s="564">
        <v>0</v>
      </c>
      <c r="I14" s="564">
        <v>0</v>
      </c>
      <c r="J14" s="564">
        <v>0</v>
      </c>
      <c r="K14" s="705">
        <v>0</v>
      </c>
      <c r="L14" s="565">
        <f t="shared" si="0"/>
        <v>0</v>
      </c>
      <c r="M14" s="70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v>0</v>
      </c>
      <c r="S14" s="567">
        <v>0</v>
      </c>
      <c r="T14" s="567">
        <v>0</v>
      </c>
      <c r="U14" s="567">
        <v>0</v>
      </c>
      <c r="V14" s="567">
        <v>0</v>
      </c>
      <c r="W14" s="567">
        <v>0</v>
      </c>
      <c r="X14" s="963">
        <v>0</v>
      </c>
      <c r="Y14" s="566">
        <f t="shared" si="1"/>
        <v>0</v>
      </c>
    </row>
    <row r="15" spans="1:25" x14ac:dyDescent="0.2">
      <c r="A15" s="1044">
        <v>13</v>
      </c>
      <c r="B15" s="558" t="s">
        <v>1013</v>
      </c>
      <c r="C15" s="962">
        <v>468</v>
      </c>
      <c r="D15" s="564">
        <v>0</v>
      </c>
      <c r="E15" s="564">
        <v>0</v>
      </c>
      <c r="F15" s="564">
        <v>0</v>
      </c>
      <c r="G15" s="564">
        <v>0</v>
      </c>
      <c r="H15" s="564">
        <v>0</v>
      </c>
      <c r="I15" s="564">
        <v>0</v>
      </c>
      <c r="J15" s="564">
        <v>0</v>
      </c>
      <c r="K15" s="705">
        <v>0</v>
      </c>
      <c r="L15" s="565">
        <f t="shared" si="0"/>
        <v>468</v>
      </c>
      <c r="M15" s="962">
        <v>39046</v>
      </c>
      <c r="N15" s="706"/>
      <c r="O15" s="706">
        <v>15000</v>
      </c>
      <c r="P15" s="706">
        <v>2400</v>
      </c>
      <c r="Q15" s="706">
        <v>16861</v>
      </c>
      <c r="R15" s="706">
        <v>2652</v>
      </c>
      <c r="S15" s="706">
        <v>10113</v>
      </c>
      <c r="T15" s="706">
        <v>25468</v>
      </c>
      <c r="U15" s="706">
        <v>30489</v>
      </c>
      <c r="V15" s="706">
        <v>1627</v>
      </c>
      <c r="W15" s="706">
        <v>25871</v>
      </c>
      <c r="X15" s="1097">
        <v>7496</v>
      </c>
      <c r="Y15" s="712">
        <f>SUM(M15:X15)</f>
        <v>177023</v>
      </c>
    </row>
    <row r="16" spans="1:25" x14ac:dyDescent="0.2">
      <c r="A16" s="1044">
        <v>14</v>
      </c>
      <c r="B16" s="558" t="s">
        <v>1014</v>
      </c>
      <c r="C16" s="962">
        <v>0</v>
      </c>
      <c r="D16" s="564">
        <v>0</v>
      </c>
      <c r="E16" s="564">
        <v>0</v>
      </c>
      <c r="F16" s="564">
        <v>0</v>
      </c>
      <c r="G16" s="564">
        <v>0</v>
      </c>
      <c r="H16" s="564">
        <v>0</v>
      </c>
      <c r="I16" s="564">
        <v>0</v>
      </c>
      <c r="J16" s="564">
        <v>0</v>
      </c>
      <c r="K16" s="705">
        <v>0</v>
      </c>
      <c r="L16" s="565">
        <f t="shared" si="0"/>
        <v>0</v>
      </c>
      <c r="M16" s="708">
        <v>0</v>
      </c>
      <c r="N16" s="561">
        <v>0</v>
      </c>
      <c r="O16" s="561">
        <v>0</v>
      </c>
      <c r="P16" s="561">
        <v>0</v>
      </c>
      <c r="Q16" s="561">
        <v>0</v>
      </c>
      <c r="R16" s="561">
        <v>0</v>
      </c>
      <c r="S16" s="561">
        <v>0</v>
      </c>
      <c r="T16" s="561">
        <v>0</v>
      </c>
      <c r="U16" s="561">
        <v>0</v>
      </c>
      <c r="V16" s="561">
        <v>0</v>
      </c>
      <c r="W16" s="561">
        <v>0</v>
      </c>
      <c r="X16" s="968">
        <v>0</v>
      </c>
      <c r="Y16" s="566">
        <f t="shared" si="1"/>
        <v>0</v>
      </c>
    </row>
    <row r="17" spans="1:25" x14ac:dyDescent="0.2">
      <c r="A17" s="1044">
        <v>15</v>
      </c>
      <c r="B17" s="558" t="s">
        <v>1015</v>
      </c>
      <c r="C17" s="962">
        <v>0</v>
      </c>
      <c r="D17" s="564">
        <v>0</v>
      </c>
      <c r="E17" s="564">
        <v>0</v>
      </c>
      <c r="F17" s="564">
        <v>0</v>
      </c>
      <c r="G17" s="564">
        <v>0</v>
      </c>
      <c r="H17" s="564">
        <v>0</v>
      </c>
      <c r="I17" s="564">
        <v>0</v>
      </c>
      <c r="J17" s="564">
        <v>0</v>
      </c>
      <c r="K17" s="705">
        <v>0</v>
      </c>
      <c r="L17" s="565">
        <f t="shared" si="0"/>
        <v>0</v>
      </c>
      <c r="M17" s="706">
        <v>0</v>
      </c>
      <c r="N17" s="564">
        <v>0</v>
      </c>
      <c r="O17" s="564">
        <v>0</v>
      </c>
      <c r="P17" s="564">
        <v>0</v>
      </c>
      <c r="Q17" s="564">
        <v>0</v>
      </c>
      <c r="R17" s="564">
        <v>0</v>
      </c>
      <c r="S17" s="564">
        <v>0</v>
      </c>
      <c r="T17" s="564">
        <v>0</v>
      </c>
      <c r="U17" s="564">
        <v>0</v>
      </c>
      <c r="V17" s="564">
        <v>0</v>
      </c>
      <c r="W17" s="564">
        <v>0</v>
      </c>
      <c r="X17" s="705">
        <v>0</v>
      </c>
      <c r="Y17" s="566">
        <f t="shared" si="1"/>
        <v>0</v>
      </c>
    </row>
    <row r="18" spans="1:25" s="560" customFormat="1" x14ac:dyDescent="0.2">
      <c r="A18" s="1049">
        <v>16</v>
      </c>
      <c r="B18" s="559" t="s">
        <v>1016</v>
      </c>
      <c r="C18" s="965">
        <v>0</v>
      </c>
      <c r="D18" s="567">
        <v>0</v>
      </c>
      <c r="E18" s="567">
        <v>0</v>
      </c>
      <c r="F18" s="567">
        <v>0</v>
      </c>
      <c r="G18" s="567">
        <v>0</v>
      </c>
      <c r="H18" s="567">
        <v>0</v>
      </c>
      <c r="I18" s="567">
        <v>0</v>
      </c>
      <c r="J18" s="567">
        <v>0</v>
      </c>
      <c r="K18" s="963">
        <v>0</v>
      </c>
      <c r="L18" s="568">
        <f t="shared" si="0"/>
        <v>0</v>
      </c>
      <c r="M18" s="707">
        <v>0</v>
      </c>
      <c r="N18" s="567">
        <v>0</v>
      </c>
      <c r="O18" s="567">
        <v>0</v>
      </c>
      <c r="P18" s="567">
        <v>0</v>
      </c>
      <c r="Q18" s="567">
        <v>0</v>
      </c>
      <c r="R18" s="567">
        <v>0</v>
      </c>
      <c r="S18" s="567">
        <v>0</v>
      </c>
      <c r="T18" s="567">
        <v>0</v>
      </c>
      <c r="U18" s="567">
        <v>0</v>
      </c>
      <c r="V18" s="567">
        <v>0</v>
      </c>
      <c r="W18" s="567">
        <v>0</v>
      </c>
      <c r="X18" s="963">
        <v>0</v>
      </c>
      <c r="Y18" s="569">
        <f t="shared" si="1"/>
        <v>0</v>
      </c>
    </row>
    <row r="19" spans="1:25" x14ac:dyDescent="0.2">
      <c r="A19" s="1067">
        <v>17</v>
      </c>
      <c r="B19" s="1054" t="s">
        <v>1017</v>
      </c>
      <c r="C19" s="966">
        <f>C8</f>
        <v>468</v>
      </c>
      <c r="D19" s="966">
        <f t="shared" ref="D19:K19" si="4">D8</f>
        <v>0</v>
      </c>
      <c r="E19" s="966">
        <f t="shared" si="4"/>
        <v>0</v>
      </c>
      <c r="F19" s="966">
        <f t="shared" si="4"/>
        <v>0</v>
      </c>
      <c r="G19" s="966">
        <f t="shared" si="4"/>
        <v>0</v>
      </c>
      <c r="H19" s="966">
        <f t="shared" si="4"/>
        <v>0</v>
      </c>
      <c r="I19" s="966">
        <f t="shared" si="4"/>
        <v>0</v>
      </c>
      <c r="J19" s="966">
        <f t="shared" si="4"/>
        <v>0</v>
      </c>
      <c r="K19" s="966">
        <f t="shared" si="4"/>
        <v>0</v>
      </c>
      <c r="L19" s="709">
        <f t="shared" si="0"/>
        <v>468</v>
      </c>
      <c r="M19" s="1053">
        <f>M8</f>
        <v>39046</v>
      </c>
      <c r="N19" s="1053">
        <f t="shared" ref="N19:X19" si="5">N8</f>
        <v>0</v>
      </c>
      <c r="O19" s="1053">
        <f t="shared" si="5"/>
        <v>15000</v>
      </c>
      <c r="P19" s="1053">
        <f t="shared" si="5"/>
        <v>2400</v>
      </c>
      <c r="Q19" s="1053">
        <f t="shared" si="5"/>
        <v>16861</v>
      </c>
      <c r="R19" s="1053">
        <f t="shared" si="5"/>
        <v>2652</v>
      </c>
      <c r="S19" s="1053">
        <f t="shared" si="5"/>
        <v>10113</v>
      </c>
      <c r="T19" s="1053">
        <f t="shared" si="5"/>
        <v>25468</v>
      </c>
      <c r="U19" s="1053">
        <f t="shared" si="5"/>
        <v>30489</v>
      </c>
      <c r="V19" s="1053">
        <f t="shared" si="5"/>
        <v>1627</v>
      </c>
      <c r="W19" s="1053">
        <f t="shared" si="5"/>
        <v>25871</v>
      </c>
      <c r="X19" s="1053">
        <f t="shared" si="5"/>
        <v>7496</v>
      </c>
      <c r="Y19" s="712">
        <f>SUM(M19:X19)</f>
        <v>177023</v>
      </c>
    </row>
    <row r="20" spans="1:25" x14ac:dyDescent="0.2">
      <c r="A20" s="556">
        <v>18</v>
      </c>
      <c r="B20" s="557" t="s">
        <v>1018</v>
      </c>
      <c r="C20" s="969">
        <v>0</v>
      </c>
      <c r="D20" s="561">
        <v>0</v>
      </c>
      <c r="E20" s="561">
        <v>0</v>
      </c>
      <c r="F20" s="561">
        <v>0</v>
      </c>
      <c r="G20" s="561">
        <v>0</v>
      </c>
      <c r="H20" s="561">
        <v>0</v>
      </c>
      <c r="I20" s="561">
        <v>0</v>
      </c>
      <c r="J20" s="561">
        <v>0</v>
      </c>
      <c r="K20" s="968">
        <v>0</v>
      </c>
      <c r="L20" s="562">
        <f t="shared" si="0"/>
        <v>0</v>
      </c>
      <c r="M20" s="708">
        <v>0</v>
      </c>
      <c r="N20" s="561">
        <v>0</v>
      </c>
      <c r="O20" s="561">
        <v>0</v>
      </c>
      <c r="P20" s="561">
        <v>0</v>
      </c>
      <c r="Q20" s="561">
        <v>0</v>
      </c>
      <c r="R20" s="561">
        <v>0</v>
      </c>
      <c r="S20" s="561">
        <v>0</v>
      </c>
      <c r="T20" s="561">
        <v>0</v>
      </c>
      <c r="U20" s="561">
        <v>0</v>
      </c>
      <c r="V20" s="561">
        <v>0</v>
      </c>
      <c r="W20" s="561">
        <v>0</v>
      </c>
      <c r="X20" s="968">
        <v>0</v>
      </c>
      <c r="Y20" s="563">
        <f t="shared" si="1"/>
        <v>0</v>
      </c>
    </row>
    <row r="21" spans="1:25" ht="24" x14ac:dyDescent="0.2">
      <c r="A21" s="1044">
        <v>19</v>
      </c>
      <c r="B21" s="558" t="s">
        <v>1019</v>
      </c>
      <c r="C21" s="962">
        <v>0</v>
      </c>
      <c r="D21" s="564">
        <v>0</v>
      </c>
      <c r="E21" s="564">
        <v>0</v>
      </c>
      <c r="F21" s="564">
        <v>0</v>
      </c>
      <c r="G21" s="564">
        <v>0</v>
      </c>
      <c r="H21" s="564">
        <v>0</v>
      </c>
      <c r="I21" s="564">
        <v>0</v>
      </c>
      <c r="J21" s="564">
        <v>0</v>
      </c>
      <c r="K21" s="705">
        <v>0</v>
      </c>
      <c r="L21" s="565">
        <f t="shared" si="0"/>
        <v>0</v>
      </c>
      <c r="M21" s="706">
        <v>0</v>
      </c>
      <c r="N21" s="564">
        <v>0</v>
      </c>
      <c r="O21" s="564">
        <v>0</v>
      </c>
      <c r="P21" s="564">
        <v>0</v>
      </c>
      <c r="Q21" s="564">
        <v>0</v>
      </c>
      <c r="R21" s="564">
        <v>0</v>
      </c>
      <c r="S21" s="564">
        <v>0</v>
      </c>
      <c r="T21" s="564">
        <v>0</v>
      </c>
      <c r="U21" s="564">
        <v>0</v>
      </c>
      <c r="V21" s="564">
        <v>0</v>
      </c>
      <c r="W21" s="564">
        <v>0</v>
      </c>
      <c r="X21" s="705">
        <v>0</v>
      </c>
      <c r="Y21" s="566">
        <f t="shared" si="1"/>
        <v>0</v>
      </c>
    </row>
    <row r="22" spans="1:25" ht="24" x14ac:dyDescent="0.2">
      <c r="A22" s="1044">
        <v>20</v>
      </c>
      <c r="B22" s="558" t="s">
        <v>1020</v>
      </c>
      <c r="C22" s="962">
        <v>0</v>
      </c>
      <c r="D22" s="564">
        <v>0</v>
      </c>
      <c r="E22" s="564">
        <v>0</v>
      </c>
      <c r="F22" s="564">
        <v>0</v>
      </c>
      <c r="G22" s="564">
        <v>0</v>
      </c>
      <c r="H22" s="564">
        <v>0</v>
      </c>
      <c r="I22" s="564">
        <v>0</v>
      </c>
      <c r="J22" s="564">
        <v>0</v>
      </c>
      <c r="K22" s="705">
        <v>0</v>
      </c>
      <c r="L22" s="565">
        <f t="shared" si="0"/>
        <v>0</v>
      </c>
      <c r="M22" s="706">
        <v>0</v>
      </c>
      <c r="N22" s="564">
        <v>0</v>
      </c>
      <c r="O22" s="564">
        <v>0</v>
      </c>
      <c r="P22" s="564">
        <v>0</v>
      </c>
      <c r="Q22" s="564">
        <v>0</v>
      </c>
      <c r="R22" s="564">
        <v>0</v>
      </c>
      <c r="S22" s="564">
        <v>0</v>
      </c>
      <c r="T22" s="564">
        <v>0</v>
      </c>
      <c r="U22" s="564">
        <v>0</v>
      </c>
      <c r="V22" s="564">
        <v>0</v>
      </c>
      <c r="W22" s="564">
        <v>0</v>
      </c>
      <c r="X22" s="705">
        <v>0</v>
      </c>
      <c r="Y22" s="566">
        <f t="shared" si="1"/>
        <v>0</v>
      </c>
    </row>
    <row r="23" spans="1:25" ht="24" x14ac:dyDescent="0.2">
      <c r="A23" s="1044">
        <v>21</v>
      </c>
      <c r="B23" s="558" t="s">
        <v>1021</v>
      </c>
      <c r="C23" s="962">
        <v>0</v>
      </c>
      <c r="D23" s="564">
        <v>0</v>
      </c>
      <c r="E23" s="564">
        <v>0</v>
      </c>
      <c r="F23" s="564">
        <v>0</v>
      </c>
      <c r="G23" s="564">
        <v>0</v>
      </c>
      <c r="H23" s="564">
        <v>0</v>
      </c>
      <c r="I23" s="564">
        <v>0</v>
      </c>
      <c r="J23" s="564">
        <v>0</v>
      </c>
      <c r="K23" s="705">
        <v>0</v>
      </c>
      <c r="L23" s="565">
        <f t="shared" si="0"/>
        <v>0</v>
      </c>
      <c r="M23" s="706">
        <v>0</v>
      </c>
      <c r="N23" s="564">
        <v>0</v>
      </c>
      <c r="O23" s="564">
        <v>0</v>
      </c>
      <c r="P23" s="564">
        <v>0</v>
      </c>
      <c r="Q23" s="564">
        <v>0</v>
      </c>
      <c r="R23" s="564">
        <v>0</v>
      </c>
      <c r="S23" s="564">
        <v>0</v>
      </c>
      <c r="T23" s="564">
        <v>0</v>
      </c>
      <c r="U23" s="564">
        <v>0</v>
      </c>
      <c r="V23" s="564">
        <v>0</v>
      </c>
      <c r="W23" s="564">
        <v>0</v>
      </c>
      <c r="X23" s="705">
        <v>0</v>
      </c>
      <c r="Y23" s="566">
        <f t="shared" si="1"/>
        <v>0</v>
      </c>
    </row>
    <row r="24" spans="1:25" x14ac:dyDescent="0.2">
      <c r="A24" s="1049">
        <v>22</v>
      </c>
      <c r="B24" s="559" t="s">
        <v>1022</v>
      </c>
      <c r="C24" s="965">
        <v>0</v>
      </c>
      <c r="D24" s="567">
        <v>0</v>
      </c>
      <c r="E24" s="567">
        <v>0</v>
      </c>
      <c r="F24" s="567">
        <v>0</v>
      </c>
      <c r="G24" s="567">
        <v>0</v>
      </c>
      <c r="H24" s="567">
        <v>0</v>
      </c>
      <c r="I24" s="567">
        <v>0</v>
      </c>
      <c r="J24" s="567">
        <v>0</v>
      </c>
      <c r="K24" s="963">
        <v>0</v>
      </c>
      <c r="L24" s="568">
        <f t="shared" si="0"/>
        <v>0</v>
      </c>
      <c r="M24" s="707">
        <v>0</v>
      </c>
      <c r="N24" s="567">
        <v>0</v>
      </c>
      <c r="O24" s="567">
        <v>0</v>
      </c>
      <c r="P24" s="567">
        <v>0</v>
      </c>
      <c r="Q24" s="567">
        <v>0</v>
      </c>
      <c r="R24" s="567">
        <v>0</v>
      </c>
      <c r="S24" s="567">
        <v>0</v>
      </c>
      <c r="T24" s="567">
        <v>0</v>
      </c>
      <c r="U24" s="567">
        <v>0</v>
      </c>
      <c r="V24" s="567">
        <v>0</v>
      </c>
      <c r="W24" s="567">
        <v>0</v>
      </c>
      <c r="X24" s="963">
        <v>0</v>
      </c>
      <c r="Y24" s="569">
        <f t="shared" si="1"/>
        <v>0</v>
      </c>
    </row>
    <row r="25" spans="1:25" x14ac:dyDescent="0.2">
      <c r="A25" s="1067">
        <v>23</v>
      </c>
      <c r="B25" s="1054" t="s">
        <v>1023</v>
      </c>
      <c r="C25" s="966">
        <f>SUM(C20:C24)</f>
        <v>0</v>
      </c>
      <c r="D25" s="966">
        <f t="shared" ref="D25:K25" si="6">SUM(D20:D24)</f>
        <v>0</v>
      </c>
      <c r="E25" s="966">
        <f t="shared" si="6"/>
        <v>0</v>
      </c>
      <c r="F25" s="966">
        <f t="shared" si="6"/>
        <v>0</v>
      </c>
      <c r="G25" s="966">
        <f t="shared" si="6"/>
        <v>0</v>
      </c>
      <c r="H25" s="966">
        <f t="shared" si="6"/>
        <v>0</v>
      </c>
      <c r="I25" s="966">
        <f t="shared" si="6"/>
        <v>0</v>
      </c>
      <c r="J25" s="966">
        <f t="shared" si="6"/>
        <v>0</v>
      </c>
      <c r="K25" s="966">
        <f t="shared" si="6"/>
        <v>0</v>
      </c>
      <c r="L25" s="709">
        <f t="shared" si="0"/>
        <v>0</v>
      </c>
      <c r="M25" s="711">
        <v>0</v>
      </c>
      <c r="N25" s="789">
        <v>0</v>
      </c>
      <c r="O25" s="789">
        <v>0</v>
      </c>
      <c r="P25" s="789">
        <v>0</v>
      </c>
      <c r="Q25" s="789">
        <v>0</v>
      </c>
      <c r="R25" s="789">
        <v>0</v>
      </c>
      <c r="S25" s="789">
        <v>0</v>
      </c>
      <c r="T25" s="789">
        <v>0</v>
      </c>
      <c r="U25" s="789">
        <v>0</v>
      </c>
      <c r="V25" s="789">
        <v>0</v>
      </c>
      <c r="W25" s="789">
        <v>0</v>
      </c>
      <c r="X25" s="967">
        <v>0</v>
      </c>
      <c r="Y25" s="712">
        <f t="shared" si="1"/>
        <v>0</v>
      </c>
    </row>
    <row r="26" spans="1:25" x14ac:dyDescent="0.2">
      <c r="A26" s="1067">
        <v>24</v>
      </c>
      <c r="B26" s="1054" t="s">
        <v>1127</v>
      </c>
      <c r="C26" s="966">
        <v>0</v>
      </c>
      <c r="D26" s="789">
        <v>0</v>
      </c>
      <c r="E26" s="789">
        <v>0</v>
      </c>
      <c r="F26" s="789">
        <v>0</v>
      </c>
      <c r="G26" s="789">
        <v>0</v>
      </c>
      <c r="H26" s="789">
        <v>0</v>
      </c>
      <c r="I26" s="789">
        <v>0</v>
      </c>
      <c r="J26" s="789">
        <v>0</v>
      </c>
      <c r="K26" s="967">
        <v>0</v>
      </c>
      <c r="L26" s="709">
        <f t="shared" si="0"/>
        <v>0</v>
      </c>
      <c r="M26" s="711">
        <v>0</v>
      </c>
      <c r="N26" s="789">
        <v>0</v>
      </c>
      <c r="O26" s="789">
        <v>0</v>
      </c>
      <c r="P26" s="789">
        <v>0</v>
      </c>
      <c r="Q26" s="789">
        <v>0</v>
      </c>
      <c r="R26" s="789">
        <v>0</v>
      </c>
      <c r="S26" s="789">
        <v>0</v>
      </c>
      <c r="T26" s="789">
        <v>0</v>
      </c>
      <c r="U26" s="789">
        <v>0</v>
      </c>
      <c r="V26" s="789">
        <v>0</v>
      </c>
      <c r="W26" s="789">
        <v>0</v>
      </c>
      <c r="X26" s="967">
        <v>0</v>
      </c>
      <c r="Y26" s="712">
        <f t="shared" si="1"/>
        <v>0</v>
      </c>
    </row>
    <row r="27" spans="1:25" x14ac:dyDescent="0.2">
      <c r="A27" s="556">
        <v>25</v>
      </c>
      <c r="B27" s="557" t="s">
        <v>1024</v>
      </c>
      <c r="C27" s="969">
        <v>0</v>
      </c>
      <c r="D27" s="561">
        <v>0</v>
      </c>
      <c r="E27" s="561">
        <v>0</v>
      </c>
      <c r="F27" s="561">
        <v>0</v>
      </c>
      <c r="G27" s="561">
        <v>0</v>
      </c>
      <c r="H27" s="561">
        <v>0</v>
      </c>
      <c r="I27" s="561">
        <v>0</v>
      </c>
      <c r="J27" s="561">
        <v>0</v>
      </c>
      <c r="K27" s="968">
        <v>0</v>
      </c>
      <c r="L27" s="562">
        <f t="shared" si="0"/>
        <v>0</v>
      </c>
      <c r="M27" s="708">
        <v>0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968">
        <v>0</v>
      </c>
      <c r="Y27" s="563">
        <f t="shared" si="1"/>
        <v>0</v>
      </c>
    </row>
    <row r="28" spans="1:25" x14ac:dyDescent="0.2">
      <c r="A28" s="1044">
        <v>26</v>
      </c>
      <c r="B28" s="558" t="s">
        <v>1128</v>
      </c>
      <c r="C28" s="962">
        <v>0</v>
      </c>
      <c r="D28" s="564">
        <v>407</v>
      </c>
      <c r="E28" s="564">
        <v>0</v>
      </c>
      <c r="F28" s="564">
        <v>0</v>
      </c>
      <c r="G28" s="564">
        <v>0</v>
      </c>
      <c r="H28" s="564">
        <v>280</v>
      </c>
      <c r="I28" s="564">
        <v>0</v>
      </c>
      <c r="J28" s="564">
        <v>10</v>
      </c>
      <c r="K28" s="705">
        <v>262</v>
      </c>
      <c r="L28" s="565">
        <f t="shared" si="0"/>
        <v>959</v>
      </c>
      <c r="M28" s="706">
        <v>0</v>
      </c>
      <c r="N28" s="564">
        <v>0</v>
      </c>
      <c r="O28" s="564">
        <v>0</v>
      </c>
      <c r="P28" s="564">
        <v>0</v>
      </c>
      <c r="Q28" s="564">
        <v>0</v>
      </c>
      <c r="R28" s="564">
        <v>0</v>
      </c>
      <c r="S28" s="564">
        <v>0</v>
      </c>
      <c r="T28" s="564">
        <v>0</v>
      </c>
      <c r="U28" s="564">
        <v>0</v>
      </c>
      <c r="V28" s="564">
        <v>0</v>
      </c>
      <c r="W28" s="564">
        <v>0</v>
      </c>
      <c r="X28" s="705">
        <v>0</v>
      </c>
      <c r="Y28" s="566">
        <f t="shared" si="1"/>
        <v>0</v>
      </c>
    </row>
    <row r="29" spans="1:25" x14ac:dyDescent="0.2">
      <c r="A29" s="1044">
        <v>27</v>
      </c>
      <c r="B29" s="558" t="s">
        <v>1129</v>
      </c>
      <c r="C29" s="962">
        <v>0</v>
      </c>
      <c r="D29" s="564">
        <v>0</v>
      </c>
      <c r="E29" s="564">
        <v>0</v>
      </c>
      <c r="F29" s="564">
        <v>0</v>
      </c>
      <c r="G29" s="564">
        <v>0</v>
      </c>
      <c r="H29" s="564">
        <v>0</v>
      </c>
      <c r="I29" s="564">
        <v>0</v>
      </c>
      <c r="J29" s="564">
        <v>0</v>
      </c>
      <c r="K29" s="705">
        <v>0</v>
      </c>
      <c r="L29" s="565">
        <f t="shared" si="0"/>
        <v>0</v>
      </c>
      <c r="M29" s="706">
        <v>0</v>
      </c>
      <c r="N29" s="564">
        <v>0</v>
      </c>
      <c r="O29" s="564">
        <v>0</v>
      </c>
      <c r="P29" s="564">
        <v>0</v>
      </c>
      <c r="Q29" s="564">
        <v>0</v>
      </c>
      <c r="R29" s="564">
        <v>0</v>
      </c>
      <c r="S29" s="564">
        <v>0</v>
      </c>
      <c r="T29" s="564">
        <v>0</v>
      </c>
      <c r="U29" s="564">
        <v>0</v>
      </c>
      <c r="V29" s="564">
        <v>0</v>
      </c>
      <c r="W29" s="564">
        <v>0</v>
      </c>
      <c r="X29" s="705">
        <v>0</v>
      </c>
      <c r="Y29" s="566">
        <f t="shared" si="1"/>
        <v>0</v>
      </c>
    </row>
    <row r="30" spans="1:25" x14ac:dyDescent="0.2">
      <c r="A30" s="1044">
        <v>28</v>
      </c>
      <c r="B30" s="558" t="s">
        <v>1130</v>
      </c>
      <c r="C30" s="962">
        <v>0</v>
      </c>
      <c r="D30" s="564">
        <v>0</v>
      </c>
      <c r="E30" s="564">
        <v>0</v>
      </c>
      <c r="F30" s="564">
        <v>0</v>
      </c>
      <c r="G30" s="564">
        <v>0</v>
      </c>
      <c r="H30" s="564">
        <v>0</v>
      </c>
      <c r="I30" s="564">
        <v>0</v>
      </c>
      <c r="J30" s="564">
        <v>0</v>
      </c>
      <c r="K30" s="705">
        <v>0</v>
      </c>
      <c r="L30" s="565">
        <f t="shared" si="0"/>
        <v>0</v>
      </c>
      <c r="M30" s="706">
        <v>0</v>
      </c>
      <c r="N30" s="564">
        <v>0</v>
      </c>
      <c r="O30" s="564">
        <v>0</v>
      </c>
      <c r="P30" s="564">
        <v>0</v>
      </c>
      <c r="Q30" s="564">
        <v>0</v>
      </c>
      <c r="R30" s="564">
        <v>0</v>
      </c>
      <c r="S30" s="564">
        <v>0</v>
      </c>
      <c r="T30" s="564">
        <v>0</v>
      </c>
      <c r="U30" s="564">
        <v>0</v>
      </c>
      <c r="V30" s="564">
        <v>0</v>
      </c>
      <c r="W30" s="564">
        <v>0</v>
      </c>
      <c r="X30" s="705">
        <v>0</v>
      </c>
      <c r="Y30" s="566">
        <f t="shared" si="1"/>
        <v>0</v>
      </c>
    </row>
    <row r="31" spans="1:25" x14ac:dyDescent="0.2">
      <c r="A31" s="1044">
        <v>29</v>
      </c>
      <c r="B31" s="558" t="s">
        <v>1131</v>
      </c>
      <c r="C31" s="962">
        <v>0</v>
      </c>
      <c r="D31" s="564">
        <v>0</v>
      </c>
      <c r="E31" s="564">
        <v>0</v>
      </c>
      <c r="F31" s="564">
        <v>0</v>
      </c>
      <c r="G31" s="564">
        <v>0</v>
      </c>
      <c r="H31" s="564">
        <v>0</v>
      </c>
      <c r="I31" s="564">
        <v>0</v>
      </c>
      <c r="J31" s="564">
        <v>0</v>
      </c>
      <c r="K31" s="705">
        <v>0</v>
      </c>
      <c r="L31" s="565">
        <f t="shared" si="0"/>
        <v>0</v>
      </c>
      <c r="M31" s="706">
        <v>0</v>
      </c>
      <c r="N31" s="564">
        <v>0</v>
      </c>
      <c r="O31" s="564">
        <v>0</v>
      </c>
      <c r="P31" s="564">
        <v>0</v>
      </c>
      <c r="Q31" s="564">
        <v>0</v>
      </c>
      <c r="R31" s="564">
        <v>0</v>
      </c>
      <c r="S31" s="564">
        <v>0</v>
      </c>
      <c r="T31" s="564">
        <v>0</v>
      </c>
      <c r="U31" s="564">
        <v>0</v>
      </c>
      <c r="V31" s="564">
        <v>0</v>
      </c>
      <c r="W31" s="564">
        <v>0</v>
      </c>
      <c r="X31" s="705">
        <v>0</v>
      </c>
      <c r="Y31" s="566">
        <f t="shared" si="1"/>
        <v>0</v>
      </c>
    </row>
    <row r="32" spans="1:25" x14ac:dyDescent="0.2">
      <c r="A32" s="1044">
        <v>30</v>
      </c>
      <c r="B32" s="558" t="s">
        <v>1132</v>
      </c>
      <c r="C32" s="962">
        <v>0</v>
      </c>
      <c r="D32" s="564">
        <v>0</v>
      </c>
      <c r="E32" s="564">
        <v>0</v>
      </c>
      <c r="F32" s="564">
        <v>0</v>
      </c>
      <c r="G32" s="564">
        <v>0</v>
      </c>
      <c r="H32" s="564">
        <v>0</v>
      </c>
      <c r="I32" s="564">
        <v>0</v>
      </c>
      <c r="J32" s="564">
        <v>0</v>
      </c>
      <c r="K32" s="705">
        <v>0</v>
      </c>
      <c r="L32" s="565">
        <f t="shared" si="0"/>
        <v>0</v>
      </c>
      <c r="M32" s="706">
        <v>0</v>
      </c>
      <c r="N32" s="564">
        <v>0</v>
      </c>
      <c r="O32" s="564">
        <v>0</v>
      </c>
      <c r="P32" s="564">
        <v>0</v>
      </c>
      <c r="Q32" s="564">
        <v>0</v>
      </c>
      <c r="R32" s="564">
        <v>0</v>
      </c>
      <c r="S32" s="564">
        <v>0</v>
      </c>
      <c r="T32" s="564">
        <v>0</v>
      </c>
      <c r="U32" s="564">
        <v>0</v>
      </c>
      <c r="V32" s="564">
        <v>0</v>
      </c>
      <c r="W32" s="564">
        <v>0</v>
      </c>
      <c r="X32" s="705">
        <v>0</v>
      </c>
      <c r="Y32" s="566">
        <f t="shared" si="1"/>
        <v>0</v>
      </c>
    </row>
    <row r="33" spans="1:25" x14ac:dyDescent="0.2">
      <c r="A33" s="1044">
        <v>31</v>
      </c>
      <c r="B33" s="558" t="s">
        <v>1133</v>
      </c>
      <c r="C33" s="962">
        <v>0</v>
      </c>
      <c r="D33" s="564">
        <v>0</v>
      </c>
      <c r="E33" s="564">
        <v>0</v>
      </c>
      <c r="F33" s="564">
        <v>0</v>
      </c>
      <c r="G33" s="564">
        <v>0</v>
      </c>
      <c r="H33" s="564">
        <v>0</v>
      </c>
      <c r="I33" s="564">
        <v>0</v>
      </c>
      <c r="J33" s="564">
        <v>0</v>
      </c>
      <c r="K33" s="705">
        <v>0</v>
      </c>
      <c r="L33" s="565">
        <f t="shared" si="0"/>
        <v>0</v>
      </c>
      <c r="M33" s="706">
        <v>0</v>
      </c>
      <c r="N33" s="564">
        <v>0</v>
      </c>
      <c r="O33" s="564">
        <v>0</v>
      </c>
      <c r="P33" s="564">
        <v>0</v>
      </c>
      <c r="Q33" s="564">
        <v>0</v>
      </c>
      <c r="R33" s="564">
        <v>0</v>
      </c>
      <c r="S33" s="564">
        <v>0</v>
      </c>
      <c r="T33" s="564">
        <v>0</v>
      </c>
      <c r="U33" s="564">
        <v>0</v>
      </c>
      <c r="V33" s="564">
        <v>0</v>
      </c>
      <c r="W33" s="564">
        <v>0</v>
      </c>
      <c r="X33" s="705">
        <v>0</v>
      </c>
      <c r="Y33" s="566">
        <f t="shared" si="1"/>
        <v>0</v>
      </c>
    </row>
    <row r="34" spans="1:25" x14ac:dyDescent="0.2">
      <c r="A34" s="1044">
        <v>32</v>
      </c>
      <c r="B34" s="558" t="s">
        <v>1025</v>
      </c>
      <c r="C34" s="962">
        <v>0</v>
      </c>
      <c r="D34" s="564">
        <v>1804</v>
      </c>
      <c r="E34" s="564">
        <v>12</v>
      </c>
      <c r="F34" s="564">
        <v>8230</v>
      </c>
      <c r="G34" s="564">
        <v>0</v>
      </c>
      <c r="H34" s="564">
        <v>0</v>
      </c>
      <c r="I34" s="564">
        <v>712</v>
      </c>
      <c r="J34" s="564">
        <v>2722</v>
      </c>
      <c r="K34" s="705">
        <v>0</v>
      </c>
      <c r="L34" s="565">
        <f t="shared" si="0"/>
        <v>13480</v>
      </c>
      <c r="M34" s="706">
        <v>0</v>
      </c>
      <c r="N34" s="564">
        <v>0</v>
      </c>
      <c r="O34" s="564">
        <v>0</v>
      </c>
      <c r="P34" s="564">
        <v>0</v>
      </c>
      <c r="Q34" s="564">
        <v>0</v>
      </c>
      <c r="R34" s="564">
        <v>0</v>
      </c>
      <c r="S34" s="564">
        <v>0</v>
      </c>
      <c r="T34" s="564">
        <v>0</v>
      </c>
      <c r="U34" s="564">
        <v>0</v>
      </c>
      <c r="V34" s="564">
        <v>0</v>
      </c>
      <c r="W34" s="564">
        <v>0</v>
      </c>
      <c r="X34" s="705">
        <v>0</v>
      </c>
      <c r="Y34" s="566">
        <f t="shared" si="1"/>
        <v>0</v>
      </c>
    </row>
    <row r="35" spans="1:25" x14ac:dyDescent="0.2">
      <c r="A35" s="1044">
        <v>33</v>
      </c>
      <c r="B35" s="558" t="s">
        <v>1026</v>
      </c>
      <c r="C35" s="962">
        <v>0</v>
      </c>
      <c r="D35" s="564">
        <v>0</v>
      </c>
      <c r="E35" s="564">
        <v>0</v>
      </c>
      <c r="F35" s="564">
        <v>0</v>
      </c>
      <c r="G35" s="564">
        <v>0</v>
      </c>
      <c r="H35" s="564">
        <v>0</v>
      </c>
      <c r="I35" s="564">
        <v>0</v>
      </c>
      <c r="J35" s="564">
        <v>0</v>
      </c>
      <c r="K35" s="705">
        <v>0</v>
      </c>
      <c r="L35" s="565">
        <f t="shared" si="0"/>
        <v>0</v>
      </c>
      <c r="M35" s="706">
        <v>0</v>
      </c>
      <c r="N35" s="564">
        <v>0</v>
      </c>
      <c r="O35" s="564">
        <v>0</v>
      </c>
      <c r="P35" s="564">
        <v>0</v>
      </c>
      <c r="Q35" s="564">
        <v>0</v>
      </c>
      <c r="R35" s="564">
        <v>0</v>
      </c>
      <c r="S35" s="564">
        <v>0</v>
      </c>
      <c r="T35" s="564">
        <v>0</v>
      </c>
      <c r="U35" s="564">
        <v>0</v>
      </c>
      <c r="V35" s="564">
        <v>0</v>
      </c>
      <c r="W35" s="564">
        <v>0</v>
      </c>
      <c r="X35" s="705">
        <v>0</v>
      </c>
      <c r="Y35" s="566">
        <f t="shared" si="1"/>
        <v>0</v>
      </c>
    </row>
    <row r="36" spans="1:25" x14ac:dyDescent="0.2">
      <c r="A36" s="1044">
        <v>34</v>
      </c>
      <c r="B36" s="558" t="s">
        <v>1027</v>
      </c>
      <c r="C36" s="962">
        <v>0</v>
      </c>
      <c r="D36" s="564">
        <v>0</v>
      </c>
      <c r="E36" s="564">
        <v>0</v>
      </c>
      <c r="F36" s="564">
        <v>0</v>
      </c>
      <c r="G36" s="564">
        <v>0</v>
      </c>
      <c r="H36" s="564">
        <v>0</v>
      </c>
      <c r="I36" s="564">
        <v>0</v>
      </c>
      <c r="J36" s="564">
        <v>0</v>
      </c>
      <c r="K36" s="705">
        <v>0</v>
      </c>
      <c r="L36" s="565">
        <f t="shared" si="0"/>
        <v>0</v>
      </c>
      <c r="M36" s="706">
        <v>0</v>
      </c>
      <c r="N36" s="564">
        <v>0</v>
      </c>
      <c r="O36" s="564">
        <v>0</v>
      </c>
      <c r="P36" s="564">
        <v>0</v>
      </c>
      <c r="Q36" s="564">
        <v>0</v>
      </c>
      <c r="R36" s="564">
        <v>0</v>
      </c>
      <c r="S36" s="564">
        <v>0</v>
      </c>
      <c r="T36" s="564">
        <v>0</v>
      </c>
      <c r="U36" s="564">
        <v>0</v>
      </c>
      <c r="V36" s="564">
        <v>0</v>
      </c>
      <c r="W36" s="564">
        <v>0</v>
      </c>
      <c r="X36" s="705">
        <v>0</v>
      </c>
      <c r="Y36" s="566">
        <f t="shared" si="1"/>
        <v>0</v>
      </c>
    </row>
    <row r="37" spans="1:25" x14ac:dyDescent="0.2">
      <c r="A37" s="1044">
        <v>35</v>
      </c>
      <c r="B37" s="558" t="s">
        <v>1134</v>
      </c>
      <c r="C37" s="962">
        <v>0</v>
      </c>
      <c r="D37" s="564">
        <v>0</v>
      </c>
      <c r="E37" s="564">
        <v>0</v>
      </c>
      <c r="F37" s="564">
        <v>0</v>
      </c>
      <c r="G37" s="564">
        <v>0</v>
      </c>
      <c r="H37" s="564">
        <v>0</v>
      </c>
      <c r="I37" s="564">
        <v>0</v>
      </c>
      <c r="J37" s="564">
        <v>0</v>
      </c>
      <c r="K37" s="705">
        <v>0</v>
      </c>
      <c r="L37" s="565">
        <f t="shared" si="0"/>
        <v>0</v>
      </c>
      <c r="M37" s="706">
        <v>0</v>
      </c>
      <c r="N37" s="564">
        <v>0</v>
      </c>
      <c r="O37" s="564">
        <v>0</v>
      </c>
      <c r="P37" s="564">
        <v>0</v>
      </c>
      <c r="Q37" s="564">
        <v>0</v>
      </c>
      <c r="R37" s="564">
        <v>0</v>
      </c>
      <c r="S37" s="564">
        <v>0</v>
      </c>
      <c r="T37" s="564">
        <v>0</v>
      </c>
      <c r="U37" s="564">
        <v>0</v>
      </c>
      <c r="V37" s="564">
        <v>0</v>
      </c>
      <c r="W37" s="564">
        <v>0</v>
      </c>
      <c r="X37" s="705">
        <v>0</v>
      </c>
      <c r="Y37" s="566">
        <f t="shared" si="1"/>
        <v>0</v>
      </c>
    </row>
    <row r="38" spans="1:25" x14ac:dyDescent="0.2">
      <c r="A38" s="1044">
        <v>36</v>
      </c>
      <c r="B38" s="558" t="s">
        <v>1135</v>
      </c>
      <c r="C38" s="962">
        <v>0</v>
      </c>
      <c r="D38" s="564">
        <v>0</v>
      </c>
      <c r="E38" s="564">
        <v>0</v>
      </c>
      <c r="F38" s="564">
        <v>0</v>
      </c>
      <c r="G38" s="564">
        <v>0</v>
      </c>
      <c r="H38" s="564">
        <v>0</v>
      </c>
      <c r="I38" s="564">
        <v>0</v>
      </c>
      <c r="J38" s="564">
        <v>0</v>
      </c>
      <c r="K38" s="705">
        <v>0</v>
      </c>
      <c r="L38" s="565">
        <f t="shared" si="0"/>
        <v>0</v>
      </c>
      <c r="M38" s="706">
        <v>0</v>
      </c>
      <c r="N38" s="564">
        <v>0</v>
      </c>
      <c r="O38" s="564">
        <v>0</v>
      </c>
      <c r="P38" s="564">
        <v>0</v>
      </c>
      <c r="Q38" s="564">
        <v>0</v>
      </c>
      <c r="R38" s="564">
        <v>0</v>
      </c>
      <c r="S38" s="564">
        <v>0</v>
      </c>
      <c r="T38" s="564">
        <v>0</v>
      </c>
      <c r="U38" s="564">
        <v>0</v>
      </c>
      <c r="V38" s="564">
        <v>0</v>
      </c>
      <c r="W38" s="564">
        <v>0</v>
      </c>
      <c r="X38" s="705">
        <v>0</v>
      </c>
      <c r="Y38" s="566">
        <f t="shared" si="1"/>
        <v>0</v>
      </c>
    </row>
    <row r="39" spans="1:25" x14ac:dyDescent="0.2">
      <c r="A39" s="1044">
        <v>37</v>
      </c>
      <c r="B39" s="558" t="s">
        <v>1136</v>
      </c>
      <c r="C39" s="962">
        <v>0</v>
      </c>
      <c r="D39" s="564">
        <v>0</v>
      </c>
      <c r="E39" s="564">
        <v>0</v>
      </c>
      <c r="F39" s="564">
        <v>0</v>
      </c>
      <c r="G39" s="564">
        <v>0</v>
      </c>
      <c r="H39" s="564">
        <v>0</v>
      </c>
      <c r="I39" s="564">
        <v>0</v>
      </c>
      <c r="J39" s="564">
        <v>0</v>
      </c>
      <c r="K39" s="705">
        <v>0</v>
      </c>
      <c r="L39" s="565">
        <f t="shared" si="0"/>
        <v>0</v>
      </c>
      <c r="M39" s="706">
        <v>0</v>
      </c>
      <c r="N39" s="564">
        <v>0</v>
      </c>
      <c r="O39" s="564">
        <v>0</v>
      </c>
      <c r="P39" s="564">
        <v>0</v>
      </c>
      <c r="Q39" s="564">
        <v>0</v>
      </c>
      <c r="R39" s="564">
        <v>0</v>
      </c>
      <c r="S39" s="564">
        <v>0</v>
      </c>
      <c r="T39" s="564">
        <v>0</v>
      </c>
      <c r="U39" s="564">
        <v>0</v>
      </c>
      <c r="V39" s="564">
        <v>0</v>
      </c>
      <c r="W39" s="564">
        <v>0</v>
      </c>
      <c r="X39" s="705">
        <v>0</v>
      </c>
      <c r="Y39" s="566">
        <f t="shared" si="1"/>
        <v>0</v>
      </c>
    </row>
    <row r="40" spans="1:25" x14ac:dyDescent="0.2">
      <c r="A40" s="1044">
        <v>38</v>
      </c>
      <c r="B40" s="558" t="s">
        <v>1137</v>
      </c>
      <c r="C40" s="962">
        <v>0</v>
      </c>
      <c r="D40" s="564">
        <v>0</v>
      </c>
      <c r="E40" s="564">
        <v>0</v>
      </c>
      <c r="F40" s="564">
        <v>0</v>
      </c>
      <c r="G40" s="564">
        <v>0</v>
      </c>
      <c r="H40" s="564">
        <v>0</v>
      </c>
      <c r="I40" s="564">
        <v>0</v>
      </c>
      <c r="J40" s="564">
        <v>0</v>
      </c>
      <c r="K40" s="705">
        <v>0</v>
      </c>
      <c r="L40" s="565">
        <f t="shared" si="0"/>
        <v>0</v>
      </c>
      <c r="M40" s="706">
        <v>0</v>
      </c>
      <c r="N40" s="564">
        <v>0</v>
      </c>
      <c r="O40" s="564">
        <v>0</v>
      </c>
      <c r="P40" s="564">
        <v>0</v>
      </c>
      <c r="Q40" s="564">
        <v>0</v>
      </c>
      <c r="R40" s="564">
        <v>0</v>
      </c>
      <c r="S40" s="564">
        <v>0</v>
      </c>
      <c r="T40" s="564">
        <v>0</v>
      </c>
      <c r="U40" s="564">
        <v>0</v>
      </c>
      <c r="V40" s="564">
        <v>0</v>
      </c>
      <c r="W40" s="564">
        <v>0</v>
      </c>
      <c r="X40" s="705">
        <v>0</v>
      </c>
      <c r="Y40" s="566">
        <f t="shared" si="1"/>
        <v>0</v>
      </c>
    </row>
    <row r="41" spans="1:25" x14ac:dyDescent="0.2">
      <c r="A41" s="1044">
        <v>39</v>
      </c>
      <c r="B41" s="558" t="s">
        <v>1138</v>
      </c>
      <c r="C41" s="962">
        <v>0</v>
      </c>
      <c r="D41" s="564">
        <v>0</v>
      </c>
      <c r="E41" s="564">
        <v>0</v>
      </c>
      <c r="F41" s="564">
        <v>0</v>
      </c>
      <c r="G41" s="564">
        <v>0</v>
      </c>
      <c r="H41" s="564">
        <v>0</v>
      </c>
      <c r="I41" s="564">
        <v>0</v>
      </c>
      <c r="J41" s="564">
        <v>0</v>
      </c>
      <c r="K41" s="705">
        <v>0</v>
      </c>
      <c r="L41" s="565">
        <f t="shared" si="0"/>
        <v>0</v>
      </c>
      <c r="M41" s="706">
        <v>0</v>
      </c>
      <c r="N41" s="564">
        <v>0</v>
      </c>
      <c r="O41" s="564">
        <v>0</v>
      </c>
      <c r="P41" s="564">
        <v>0</v>
      </c>
      <c r="Q41" s="564">
        <v>0</v>
      </c>
      <c r="R41" s="564">
        <v>0</v>
      </c>
      <c r="S41" s="564">
        <v>0</v>
      </c>
      <c r="T41" s="564">
        <v>0</v>
      </c>
      <c r="U41" s="564">
        <v>0</v>
      </c>
      <c r="V41" s="564">
        <v>0</v>
      </c>
      <c r="W41" s="564">
        <v>0</v>
      </c>
      <c r="X41" s="705">
        <v>0</v>
      </c>
      <c r="Y41" s="566">
        <f t="shared" si="1"/>
        <v>0</v>
      </c>
    </row>
    <row r="42" spans="1:25" x14ac:dyDescent="0.2">
      <c r="A42" s="1044">
        <v>40</v>
      </c>
      <c r="B42" s="558" t="s">
        <v>1139</v>
      </c>
      <c r="C42" s="962">
        <v>0</v>
      </c>
      <c r="D42" s="564">
        <v>0</v>
      </c>
      <c r="E42" s="564">
        <v>0</v>
      </c>
      <c r="F42" s="564">
        <v>0</v>
      </c>
      <c r="G42" s="564">
        <v>0</v>
      </c>
      <c r="H42" s="564">
        <v>0</v>
      </c>
      <c r="I42" s="564">
        <v>0</v>
      </c>
      <c r="J42" s="564">
        <v>0</v>
      </c>
      <c r="K42" s="705">
        <v>0</v>
      </c>
      <c r="L42" s="565">
        <f t="shared" si="0"/>
        <v>0</v>
      </c>
      <c r="M42" s="706">
        <v>0</v>
      </c>
      <c r="N42" s="564">
        <v>0</v>
      </c>
      <c r="O42" s="564">
        <v>0</v>
      </c>
      <c r="P42" s="564">
        <v>0</v>
      </c>
      <c r="Q42" s="564">
        <v>0</v>
      </c>
      <c r="R42" s="564">
        <v>0</v>
      </c>
      <c r="S42" s="564">
        <v>0</v>
      </c>
      <c r="T42" s="564">
        <v>0</v>
      </c>
      <c r="U42" s="564">
        <v>0</v>
      </c>
      <c r="V42" s="564">
        <v>0</v>
      </c>
      <c r="W42" s="564">
        <v>0</v>
      </c>
      <c r="X42" s="705">
        <v>0</v>
      </c>
      <c r="Y42" s="566">
        <f t="shared" si="1"/>
        <v>0</v>
      </c>
    </row>
    <row r="43" spans="1:25" x14ac:dyDescent="0.2">
      <c r="A43" s="1044">
        <v>41</v>
      </c>
      <c r="B43" s="558" t="s">
        <v>1028</v>
      </c>
      <c r="C43" s="962">
        <v>0</v>
      </c>
      <c r="D43" s="564">
        <v>0</v>
      </c>
      <c r="E43" s="564">
        <v>0</v>
      </c>
      <c r="F43" s="564">
        <v>0</v>
      </c>
      <c r="G43" s="564">
        <v>0</v>
      </c>
      <c r="H43" s="564">
        <v>0</v>
      </c>
      <c r="I43" s="564">
        <v>0</v>
      </c>
      <c r="J43" s="564">
        <v>0</v>
      </c>
      <c r="K43" s="705">
        <v>0</v>
      </c>
      <c r="L43" s="565">
        <f t="shared" si="0"/>
        <v>0</v>
      </c>
      <c r="M43" s="706">
        <v>0</v>
      </c>
      <c r="N43" s="564">
        <v>0</v>
      </c>
      <c r="O43" s="564">
        <v>0</v>
      </c>
      <c r="P43" s="564">
        <v>0</v>
      </c>
      <c r="Q43" s="564">
        <v>0</v>
      </c>
      <c r="R43" s="564">
        <v>0</v>
      </c>
      <c r="S43" s="564">
        <v>0</v>
      </c>
      <c r="T43" s="564">
        <v>0</v>
      </c>
      <c r="U43" s="564">
        <v>0</v>
      </c>
      <c r="V43" s="564">
        <v>0</v>
      </c>
      <c r="W43" s="564">
        <v>0</v>
      </c>
      <c r="X43" s="705">
        <v>0</v>
      </c>
      <c r="Y43" s="566">
        <f t="shared" si="1"/>
        <v>0</v>
      </c>
    </row>
    <row r="44" spans="1:25" x14ac:dyDescent="0.2">
      <c r="A44" s="1049">
        <v>42</v>
      </c>
      <c r="B44" s="559" t="s">
        <v>1140</v>
      </c>
      <c r="C44" s="965">
        <v>0</v>
      </c>
      <c r="D44" s="567">
        <v>0</v>
      </c>
      <c r="E44" s="567">
        <v>0</v>
      </c>
      <c r="F44" s="567">
        <v>0</v>
      </c>
      <c r="G44" s="567">
        <v>0</v>
      </c>
      <c r="H44" s="567">
        <v>3</v>
      </c>
      <c r="I44" s="567">
        <v>0</v>
      </c>
      <c r="J44" s="567">
        <v>0</v>
      </c>
      <c r="K44" s="963">
        <v>0</v>
      </c>
      <c r="L44" s="568">
        <f t="shared" si="0"/>
        <v>3</v>
      </c>
      <c r="M44" s="707">
        <v>3</v>
      </c>
      <c r="N44" s="567">
        <v>0</v>
      </c>
      <c r="O44" s="567">
        <v>0</v>
      </c>
      <c r="P44" s="567">
        <v>0</v>
      </c>
      <c r="Q44" s="567">
        <v>0</v>
      </c>
      <c r="R44" s="567">
        <v>0</v>
      </c>
      <c r="S44" s="567">
        <v>0</v>
      </c>
      <c r="T44" s="567">
        <v>0</v>
      </c>
      <c r="U44" s="567">
        <v>0</v>
      </c>
      <c r="V44" s="567">
        <v>0</v>
      </c>
      <c r="W44" s="567">
        <v>0</v>
      </c>
      <c r="X44" s="963">
        <v>0</v>
      </c>
      <c r="Y44" s="569">
        <f t="shared" si="1"/>
        <v>3</v>
      </c>
    </row>
    <row r="45" spans="1:25" x14ac:dyDescent="0.2">
      <c r="A45" s="1067">
        <v>43</v>
      </c>
      <c r="B45" s="1054" t="s">
        <v>1141</v>
      </c>
      <c r="C45" s="966">
        <f>SUM(C27:C44)</f>
        <v>0</v>
      </c>
      <c r="D45" s="966">
        <f t="shared" ref="D45:J45" si="7">SUM(D27:D44)</f>
        <v>2211</v>
      </c>
      <c r="E45" s="966">
        <f t="shared" si="7"/>
        <v>12</v>
      </c>
      <c r="F45" s="966">
        <f t="shared" si="7"/>
        <v>8230</v>
      </c>
      <c r="G45" s="966">
        <f t="shared" si="7"/>
        <v>0</v>
      </c>
      <c r="H45" s="966">
        <f t="shared" si="7"/>
        <v>283</v>
      </c>
      <c r="I45" s="966">
        <f t="shared" si="7"/>
        <v>712</v>
      </c>
      <c r="J45" s="966">
        <f t="shared" si="7"/>
        <v>2732</v>
      </c>
      <c r="K45" s="966">
        <f>SUM(K27:K44)</f>
        <v>262</v>
      </c>
      <c r="L45" s="709">
        <f t="shared" si="0"/>
        <v>14442</v>
      </c>
      <c r="M45" s="1098">
        <f>SUM(M27:M44)</f>
        <v>3</v>
      </c>
      <c r="N45" s="1099">
        <f>SUM(N27:N44)</f>
        <v>0</v>
      </c>
      <c r="O45" s="1099">
        <f t="shared" ref="O45" si="8">SUM(O27:O44)</f>
        <v>0</v>
      </c>
      <c r="P45" s="1099">
        <f t="shared" ref="P45" si="9">SUM(P27:P44)</f>
        <v>0</v>
      </c>
      <c r="Q45" s="1099">
        <f t="shared" ref="Q45" si="10">SUM(Q27:Q44)</f>
        <v>0</v>
      </c>
      <c r="R45" s="1099">
        <f t="shared" ref="R45" si="11">SUM(R27:R44)</f>
        <v>0</v>
      </c>
      <c r="S45" s="1099">
        <f t="shared" ref="S45" si="12">SUM(S27:S44)</f>
        <v>0</v>
      </c>
      <c r="T45" s="1099">
        <f t="shared" ref="T45" si="13">SUM(T27:T44)</f>
        <v>0</v>
      </c>
      <c r="U45" s="1099">
        <f t="shared" ref="U45" si="14">SUM(U27:U44)</f>
        <v>0</v>
      </c>
      <c r="V45" s="1099">
        <f t="shared" ref="V45" si="15">SUM(V27:V44)</f>
        <v>0</v>
      </c>
      <c r="W45" s="1099">
        <f t="shared" ref="W45" si="16">SUM(W27:W44)</f>
        <v>0</v>
      </c>
      <c r="X45" s="1100">
        <f t="shared" ref="X45" si="17">SUM(X27:X44)</f>
        <v>0</v>
      </c>
      <c r="Y45" s="569">
        <f t="shared" ref="Y45" si="18">SUM(M45:X45)</f>
        <v>3</v>
      </c>
    </row>
    <row r="46" spans="1:25" x14ac:dyDescent="0.2">
      <c r="A46" s="556">
        <v>44</v>
      </c>
      <c r="B46" s="557" t="s">
        <v>1142</v>
      </c>
      <c r="C46" s="969">
        <v>0</v>
      </c>
      <c r="D46" s="561">
        <v>0</v>
      </c>
      <c r="E46" s="561">
        <v>0</v>
      </c>
      <c r="F46" s="561">
        <v>0</v>
      </c>
      <c r="G46" s="561">
        <v>0</v>
      </c>
      <c r="H46" s="561">
        <v>0</v>
      </c>
      <c r="I46" s="561">
        <v>0</v>
      </c>
      <c r="J46" s="561">
        <v>0</v>
      </c>
      <c r="K46" s="968">
        <v>0</v>
      </c>
      <c r="L46" s="562">
        <f t="shared" si="0"/>
        <v>0</v>
      </c>
      <c r="M46" s="962">
        <v>0</v>
      </c>
      <c r="N46" s="564">
        <v>0</v>
      </c>
      <c r="O46" s="564">
        <v>0</v>
      </c>
      <c r="P46" s="564">
        <v>0</v>
      </c>
      <c r="Q46" s="564">
        <v>0</v>
      </c>
      <c r="R46" s="564">
        <v>0</v>
      </c>
      <c r="S46" s="564">
        <v>0</v>
      </c>
      <c r="T46" s="564">
        <v>0</v>
      </c>
      <c r="U46" s="564">
        <v>0</v>
      </c>
      <c r="V46" s="564">
        <v>0</v>
      </c>
      <c r="W46" s="564">
        <v>0</v>
      </c>
      <c r="X46" s="1101">
        <v>0</v>
      </c>
      <c r="Y46" s="563">
        <f t="shared" si="1"/>
        <v>0</v>
      </c>
    </row>
    <row r="47" spans="1:25" x14ac:dyDescent="0.2">
      <c r="A47" s="1044">
        <v>45</v>
      </c>
      <c r="B47" s="558" t="s">
        <v>1143</v>
      </c>
      <c r="C47" s="962">
        <v>0</v>
      </c>
      <c r="D47" s="564">
        <v>0</v>
      </c>
      <c r="E47" s="564">
        <v>0</v>
      </c>
      <c r="F47" s="564">
        <v>0</v>
      </c>
      <c r="G47" s="564">
        <v>0</v>
      </c>
      <c r="H47" s="564">
        <v>0</v>
      </c>
      <c r="I47" s="564">
        <v>0</v>
      </c>
      <c r="J47" s="564">
        <v>0</v>
      </c>
      <c r="K47" s="705">
        <v>0</v>
      </c>
      <c r="L47" s="565">
        <f t="shared" si="0"/>
        <v>0</v>
      </c>
      <c r="M47" s="706">
        <v>0</v>
      </c>
      <c r="N47" s="564">
        <v>0</v>
      </c>
      <c r="O47" s="564">
        <v>0</v>
      </c>
      <c r="P47" s="564">
        <v>0</v>
      </c>
      <c r="Q47" s="564">
        <v>0</v>
      </c>
      <c r="R47" s="564">
        <v>0</v>
      </c>
      <c r="S47" s="564">
        <v>0</v>
      </c>
      <c r="T47" s="564">
        <v>0</v>
      </c>
      <c r="U47" s="564">
        <v>0</v>
      </c>
      <c r="V47" s="564">
        <v>0</v>
      </c>
      <c r="W47" s="564">
        <v>0</v>
      </c>
      <c r="X47" s="705">
        <v>0</v>
      </c>
      <c r="Y47" s="566">
        <f t="shared" si="1"/>
        <v>0</v>
      </c>
    </row>
    <row r="48" spans="1:25" x14ac:dyDescent="0.2">
      <c r="A48" s="1044">
        <v>46</v>
      </c>
      <c r="B48" s="558" t="s">
        <v>1029</v>
      </c>
      <c r="C48" s="962">
        <v>0</v>
      </c>
      <c r="D48" s="564">
        <v>0</v>
      </c>
      <c r="E48" s="564">
        <v>0</v>
      </c>
      <c r="F48" s="564">
        <v>0</v>
      </c>
      <c r="G48" s="564">
        <v>0</v>
      </c>
      <c r="H48" s="564">
        <v>0</v>
      </c>
      <c r="I48" s="564">
        <v>0</v>
      </c>
      <c r="J48" s="564">
        <v>0</v>
      </c>
      <c r="K48" s="705">
        <v>0</v>
      </c>
      <c r="L48" s="565">
        <f t="shared" si="0"/>
        <v>0</v>
      </c>
      <c r="M48" s="706">
        <v>0</v>
      </c>
      <c r="N48" s="564">
        <v>0</v>
      </c>
      <c r="O48" s="564">
        <v>0</v>
      </c>
      <c r="P48" s="564">
        <v>0</v>
      </c>
      <c r="Q48" s="564">
        <v>0</v>
      </c>
      <c r="R48" s="564">
        <v>0</v>
      </c>
      <c r="S48" s="564">
        <v>0</v>
      </c>
      <c r="T48" s="564">
        <v>0</v>
      </c>
      <c r="U48" s="564">
        <v>0</v>
      </c>
      <c r="V48" s="564">
        <v>0</v>
      </c>
      <c r="W48" s="564">
        <v>0</v>
      </c>
      <c r="X48" s="705">
        <v>0</v>
      </c>
      <c r="Y48" s="566">
        <f t="shared" si="1"/>
        <v>0</v>
      </c>
    </row>
    <row r="49" spans="1:25" x14ac:dyDescent="0.2">
      <c r="A49" s="1044">
        <v>47</v>
      </c>
      <c r="B49" s="558" t="s">
        <v>1144</v>
      </c>
      <c r="C49" s="962">
        <v>0</v>
      </c>
      <c r="D49" s="564">
        <v>0</v>
      </c>
      <c r="E49" s="564">
        <v>0</v>
      </c>
      <c r="F49" s="564">
        <v>0</v>
      </c>
      <c r="G49" s="564">
        <v>0</v>
      </c>
      <c r="H49" s="564">
        <v>0</v>
      </c>
      <c r="I49" s="564">
        <v>0</v>
      </c>
      <c r="J49" s="564">
        <v>0</v>
      </c>
      <c r="K49" s="705">
        <v>0</v>
      </c>
      <c r="L49" s="565">
        <f t="shared" si="0"/>
        <v>0</v>
      </c>
      <c r="M49" s="706">
        <v>0</v>
      </c>
      <c r="N49" s="564">
        <v>0</v>
      </c>
      <c r="O49" s="564">
        <v>0</v>
      </c>
      <c r="P49" s="564">
        <v>0</v>
      </c>
      <c r="Q49" s="564">
        <v>0</v>
      </c>
      <c r="R49" s="564">
        <v>0</v>
      </c>
      <c r="S49" s="564">
        <v>0</v>
      </c>
      <c r="T49" s="564">
        <v>0</v>
      </c>
      <c r="U49" s="564">
        <v>0</v>
      </c>
      <c r="V49" s="564">
        <v>0</v>
      </c>
      <c r="W49" s="564">
        <v>0</v>
      </c>
      <c r="X49" s="705">
        <v>0</v>
      </c>
      <c r="Y49" s="566">
        <f t="shared" si="1"/>
        <v>0</v>
      </c>
    </row>
    <row r="50" spans="1:25" ht="12.75" thickBot="1" x14ac:dyDescent="0.25">
      <c r="A50" s="1049">
        <v>48</v>
      </c>
      <c r="B50" s="559" t="s">
        <v>1030</v>
      </c>
      <c r="C50" s="965">
        <v>0</v>
      </c>
      <c r="D50" s="567">
        <v>0</v>
      </c>
      <c r="E50" s="567">
        <v>0</v>
      </c>
      <c r="F50" s="567">
        <v>0</v>
      </c>
      <c r="G50" s="567">
        <v>0</v>
      </c>
      <c r="H50" s="567">
        <v>0</v>
      </c>
      <c r="I50" s="567">
        <v>0</v>
      </c>
      <c r="J50" s="567">
        <v>0</v>
      </c>
      <c r="K50" s="963">
        <v>0</v>
      </c>
      <c r="L50" s="568">
        <f t="shared" si="0"/>
        <v>0</v>
      </c>
      <c r="M50" s="707">
        <v>0</v>
      </c>
      <c r="N50" s="567">
        <v>0</v>
      </c>
      <c r="O50" s="567">
        <v>0</v>
      </c>
      <c r="P50" s="567">
        <v>0</v>
      </c>
      <c r="Q50" s="567">
        <v>0</v>
      </c>
      <c r="R50" s="567">
        <v>0</v>
      </c>
      <c r="S50" s="567">
        <v>0</v>
      </c>
      <c r="T50" s="567">
        <v>0</v>
      </c>
      <c r="U50" s="567">
        <v>0</v>
      </c>
      <c r="V50" s="567">
        <v>0</v>
      </c>
      <c r="W50" s="567">
        <v>0</v>
      </c>
      <c r="X50" s="963">
        <v>0</v>
      </c>
      <c r="Y50" s="569">
        <f t="shared" si="1"/>
        <v>0</v>
      </c>
    </row>
    <row r="51" spans="1:25" ht="12.75" thickBot="1" x14ac:dyDescent="0.25">
      <c r="A51" s="1068">
        <v>49</v>
      </c>
      <c r="B51" s="1055" t="s">
        <v>1145</v>
      </c>
      <c r="C51" s="1056">
        <v>0</v>
      </c>
      <c r="D51" s="1057">
        <v>0</v>
      </c>
      <c r="E51" s="1057">
        <v>0</v>
      </c>
      <c r="F51" s="1057">
        <v>0</v>
      </c>
      <c r="G51" s="1057">
        <v>0</v>
      </c>
      <c r="H51" s="1057">
        <v>0</v>
      </c>
      <c r="I51" s="1057">
        <v>0</v>
      </c>
      <c r="J51" s="1057">
        <v>0</v>
      </c>
      <c r="K51" s="1058">
        <v>0</v>
      </c>
      <c r="L51" s="1059">
        <f t="shared" si="0"/>
        <v>0</v>
      </c>
      <c r="M51" s="1060">
        <v>0</v>
      </c>
      <c r="N51" s="1057">
        <v>0</v>
      </c>
      <c r="O51" s="1057">
        <v>0</v>
      </c>
      <c r="P51" s="1057">
        <v>0</v>
      </c>
      <c r="Q51" s="1057">
        <v>0</v>
      </c>
      <c r="R51" s="1057">
        <v>0</v>
      </c>
      <c r="S51" s="1057">
        <v>0</v>
      </c>
      <c r="T51" s="1057">
        <v>0</v>
      </c>
      <c r="U51" s="1057">
        <v>0</v>
      </c>
      <c r="V51" s="1057">
        <v>0</v>
      </c>
      <c r="W51" s="1057">
        <v>0</v>
      </c>
      <c r="X51" s="1058">
        <v>0</v>
      </c>
      <c r="Y51" s="1061">
        <f t="shared" si="1"/>
        <v>0</v>
      </c>
    </row>
    <row r="52" spans="1:25" ht="24" x14ac:dyDescent="0.2">
      <c r="A52" s="556">
        <v>50</v>
      </c>
      <c r="B52" s="557" t="s">
        <v>1031</v>
      </c>
      <c r="C52" s="969">
        <v>0</v>
      </c>
      <c r="D52" s="561">
        <v>0</v>
      </c>
      <c r="E52" s="561">
        <v>0</v>
      </c>
      <c r="F52" s="561">
        <v>0</v>
      </c>
      <c r="G52" s="561">
        <v>0</v>
      </c>
      <c r="H52" s="561">
        <v>0</v>
      </c>
      <c r="I52" s="561">
        <v>0</v>
      </c>
      <c r="J52" s="561">
        <v>0</v>
      </c>
      <c r="K52" s="968">
        <v>0</v>
      </c>
      <c r="L52" s="562">
        <f t="shared" si="0"/>
        <v>0</v>
      </c>
      <c r="M52" s="708">
        <v>0</v>
      </c>
      <c r="N52" s="561">
        <v>0</v>
      </c>
      <c r="O52" s="561">
        <v>0</v>
      </c>
      <c r="P52" s="561">
        <v>0</v>
      </c>
      <c r="Q52" s="561">
        <v>0</v>
      </c>
      <c r="R52" s="561">
        <v>0</v>
      </c>
      <c r="S52" s="561">
        <v>0</v>
      </c>
      <c r="T52" s="561">
        <v>0</v>
      </c>
      <c r="U52" s="561">
        <v>0</v>
      </c>
      <c r="V52" s="561">
        <v>0</v>
      </c>
      <c r="W52" s="561">
        <v>0</v>
      </c>
      <c r="X52" s="968">
        <v>0</v>
      </c>
      <c r="Y52" s="563">
        <f t="shared" si="1"/>
        <v>0</v>
      </c>
    </row>
    <row r="53" spans="1:25" ht="24" x14ac:dyDescent="0.2">
      <c r="A53" s="1044">
        <v>51</v>
      </c>
      <c r="B53" s="558" t="s">
        <v>1032</v>
      </c>
      <c r="C53" s="962">
        <v>0</v>
      </c>
      <c r="D53" s="564">
        <v>0</v>
      </c>
      <c r="E53" s="564">
        <v>0</v>
      </c>
      <c r="F53" s="564">
        <v>0</v>
      </c>
      <c r="G53" s="564">
        <v>0</v>
      </c>
      <c r="H53" s="564">
        <v>0</v>
      </c>
      <c r="I53" s="564">
        <v>0</v>
      </c>
      <c r="J53" s="564">
        <v>0</v>
      </c>
      <c r="K53" s="705">
        <v>0</v>
      </c>
      <c r="L53" s="565">
        <f t="shared" si="0"/>
        <v>0</v>
      </c>
      <c r="M53" s="706">
        <v>0</v>
      </c>
      <c r="N53" s="564">
        <v>0</v>
      </c>
      <c r="O53" s="564">
        <v>0</v>
      </c>
      <c r="P53" s="564">
        <v>0</v>
      </c>
      <c r="Q53" s="564">
        <v>0</v>
      </c>
      <c r="R53" s="564">
        <v>0</v>
      </c>
      <c r="S53" s="564">
        <v>0</v>
      </c>
      <c r="T53" s="564">
        <v>0</v>
      </c>
      <c r="U53" s="564">
        <v>0</v>
      </c>
      <c r="V53" s="564">
        <v>0</v>
      </c>
      <c r="W53" s="564">
        <v>0</v>
      </c>
      <c r="X53" s="705">
        <v>0</v>
      </c>
      <c r="Y53" s="566">
        <f t="shared" si="1"/>
        <v>0</v>
      </c>
    </row>
    <row r="54" spans="1:25" ht="24" x14ac:dyDescent="0.2">
      <c r="A54" s="1044">
        <v>52</v>
      </c>
      <c r="B54" s="558" t="s">
        <v>1033</v>
      </c>
      <c r="C54" s="962">
        <v>0</v>
      </c>
      <c r="D54" s="564">
        <v>0</v>
      </c>
      <c r="E54" s="564">
        <v>0</v>
      </c>
      <c r="F54" s="564">
        <v>0</v>
      </c>
      <c r="G54" s="564">
        <v>0</v>
      </c>
      <c r="H54" s="564">
        <v>0</v>
      </c>
      <c r="I54" s="564">
        <v>0</v>
      </c>
      <c r="J54" s="564">
        <v>0</v>
      </c>
      <c r="K54" s="705">
        <v>0</v>
      </c>
      <c r="L54" s="565">
        <f t="shared" si="0"/>
        <v>0</v>
      </c>
      <c r="M54" s="706">
        <v>0</v>
      </c>
      <c r="N54" s="564">
        <v>0</v>
      </c>
      <c r="O54" s="564">
        <v>0</v>
      </c>
      <c r="P54" s="564">
        <v>0</v>
      </c>
      <c r="Q54" s="564">
        <v>0</v>
      </c>
      <c r="R54" s="564">
        <v>0</v>
      </c>
      <c r="S54" s="564">
        <v>0</v>
      </c>
      <c r="T54" s="564">
        <v>0</v>
      </c>
      <c r="U54" s="564">
        <v>0</v>
      </c>
      <c r="V54" s="564">
        <v>0</v>
      </c>
      <c r="W54" s="564">
        <v>0</v>
      </c>
      <c r="X54" s="705">
        <v>0</v>
      </c>
      <c r="Y54" s="566">
        <f t="shared" si="1"/>
        <v>0</v>
      </c>
    </row>
    <row r="55" spans="1:25" ht="24" x14ac:dyDescent="0.2">
      <c r="A55" s="1044">
        <v>53</v>
      </c>
      <c r="B55" s="558" t="s">
        <v>1146</v>
      </c>
      <c r="C55" s="962">
        <v>0</v>
      </c>
      <c r="D55" s="564">
        <v>0</v>
      </c>
      <c r="E55" s="564">
        <v>0</v>
      </c>
      <c r="F55" s="564">
        <v>0</v>
      </c>
      <c r="G55" s="564">
        <v>0</v>
      </c>
      <c r="H55" s="564">
        <v>0</v>
      </c>
      <c r="I55" s="564">
        <v>0</v>
      </c>
      <c r="J55" s="564">
        <v>0</v>
      </c>
      <c r="K55" s="705">
        <v>0</v>
      </c>
      <c r="L55" s="565">
        <f t="shared" si="0"/>
        <v>0</v>
      </c>
      <c r="M55" s="706">
        <v>0</v>
      </c>
      <c r="N55" s="564">
        <v>0</v>
      </c>
      <c r="O55" s="564">
        <v>0</v>
      </c>
      <c r="P55" s="564">
        <v>0</v>
      </c>
      <c r="Q55" s="564">
        <v>0</v>
      </c>
      <c r="R55" s="564">
        <v>0</v>
      </c>
      <c r="S55" s="564">
        <v>0</v>
      </c>
      <c r="T55" s="564">
        <v>0</v>
      </c>
      <c r="U55" s="564">
        <v>0</v>
      </c>
      <c r="V55" s="564">
        <v>0</v>
      </c>
      <c r="W55" s="564">
        <v>0</v>
      </c>
      <c r="X55" s="705">
        <v>0</v>
      </c>
      <c r="Y55" s="566">
        <f t="shared" si="1"/>
        <v>0</v>
      </c>
    </row>
    <row r="56" spans="1:25" x14ac:dyDescent="0.2">
      <c r="A56" s="1044">
        <v>54</v>
      </c>
      <c r="B56" s="558" t="s">
        <v>1147</v>
      </c>
      <c r="C56" s="962">
        <v>0</v>
      </c>
      <c r="D56" s="564"/>
      <c r="E56" s="564">
        <v>0</v>
      </c>
      <c r="F56" s="564">
        <v>0</v>
      </c>
      <c r="G56" s="564">
        <v>0</v>
      </c>
      <c r="H56" s="564">
        <v>0</v>
      </c>
      <c r="I56" s="564">
        <v>0</v>
      </c>
      <c r="J56" s="564">
        <v>0</v>
      </c>
      <c r="K56" s="705">
        <v>0</v>
      </c>
      <c r="L56" s="565">
        <f t="shared" si="0"/>
        <v>0</v>
      </c>
      <c r="M56" s="706">
        <v>0</v>
      </c>
      <c r="N56" s="564">
        <v>0</v>
      </c>
      <c r="O56" s="564">
        <v>0</v>
      </c>
      <c r="P56" s="564">
        <v>0</v>
      </c>
      <c r="Q56" s="564">
        <v>0</v>
      </c>
      <c r="R56" s="564">
        <v>0</v>
      </c>
      <c r="S56" s="564">
        <v>0</v>
      </c>
      <c r="T56" s="564">
        <v>0</v>
      </c>
      <c r="U56" s="564">
        <v>0</v>
      </c>
      <c r="V56" s="564">
        <v>0</v>
      </c>
      <c r="W56" s="564">
        <v>0</v>
      </c>
      <c r="X56" s="705">
        <v>0</v>
      </c>
      <c r="Y56" s="566">
        <f t="shared" si="1"/>
        <v>0</v>
      </c>
    </row>
    <row r="57" spans="1:25" x14ac:dyDescent="0.2">
      <c r="A57" s="1044">
        <v>55</v>
      </c>
      <c r="B57" s="558" t="s">
        <v>1148</v>
      </c>
      <c r="C57" s="962">
        <v>0</v>
      </c>
      <c r="D57" s="564">
        <v>0</v>
      </c>
      <c r="E57" s="564">
        <v>0</v>
      </c>
      <c r="F57" s="564">
        <v>0</v>
      </c>
      <c r="G57" s="564">
        <v>0</v>
      </c>
      <c r="H57" s="564">
        <v>0</v>
      </c>
      <c r="I57" s="564">
        <v>0</v>
      </c>
      <c r="J57" s="564">
        <v>0</v>
      </c>
      <c r="K57" s="705">
        <v>0</v>
      </c>
      <c r="L57" s="565">
        <f t="shared" si="0"/>
        <v>0</v>
      </c>
      <c r="M57" s="706">
        <v>0</v>
      </c>
      <c r="N57" s="564">
        <v>0</v>
      </c>
      <c r="O57" s="564">
        <v>0</v>
      </c>
      <c r="P57" s="564">
        <v>0</v>
      </c>
      <c r="Q57" s="564">
        <v>0</v>
      </c>
      <c r="R57" s="564">
        <v>0</v>
      </c>
      <c r="S57" s="564">
        <v>0</v>
      </c>
      <c r="T57" s="564">
        <v>0</v>
      </c>
      <c r="U57" s="564">
        <v>0</v>
      </c>
      <c r="V57" s="564">
        <v>0</v>
      </c>
      <c r="W57" s="564">
        <v>0</v>
      </c>
      <c r="X57" s="705">
        <v>0</v>
      </c>
      <c r="Y57" s="566">
        <f t="shared" si="1"/>
        <v>0</v>
      </c>
    </row>
    <row r="58" spans="1:25" x14ac:dyDescent="0.2">
      <c r="A58" s="1044">
        <v>56</v>
      </c>
      <c r="B58" s="558" t="s">
        <v>1149</v>
      </c>
      <c r="C58" s="962">
        <v>0</v>
      </c>
      <c r="D58" s="564">
        <v>0</v>
      </c>
      <c r="E58" s="564">
        <v>0</v>
      </c>
      <c r="F58" s="564">
        <v>0</v>
      </c>
      <c r="G58" s="564">
        <v>0</v>
      </c>
      <c r="H58" s="564">
        <v>0</v>
      </c>
      <c r="I58" s="564">
        <v>0</v>
      </c>
      <c r="J58" s="564">
        <v>0</v>
      </c>
      <c r="K58" s="705">
        <v>0</v>
      </c>
      <c r="L58" s="565">
        <f t="shared" si="0"/>
        <v>0</v>
      </c>
      <c r="M58" s="706">
        <v>0</v>
      </c>
      <c r="N58" s="564">
        <v>0</v>
      </c>
      <c r="O58" s="564">
        <v>0</v>
      </c>
      <c r="P58" s="564">
        <v>0</v>
      </c>
      <c r="Q58" s="564">
        <v>0</v>
      </c>
      <c r="R58" s="564">
        <v>0</v>
      </c>
      <c r="S58" s="564">
        <v>0</v>
      </c>
      <c r="T58" s="564">
        <v>0</v>
      </c>
      <c r="U58" s="564">
        <v>0</v>
      </c>
      <c r="V58" s="564">
        <v>0</v>
      </c>
      <c r="W58" s="564">
        <v>0</v>
      </c>
      <c r="X58" s="705">
        <v>0</v>
      </c>
      <c r="Y58" s="566">
        <f t="shared" si="1"/>
        <v>0</v>
      </c>
    </row>
    <row r="59" spans="1:25" x14ac:dyDescent="0.2">
      <c r="A59" s="1044">
        <v>57</v>
      </c>
      <c r="B59" s="558" t="s">
        <v>1150</v>
      </c>
      <c r="C59" s="962">
        <v>0</v>
      </c>
      <c r="D59" s="564"/>
      <c r="E59" s="564">
        <v>0</v>
      </c>
      <c r="F59" s="564">
        <v>0</v>
      </c>
      <c r="G59" s="564">
        <v>0</v>
      </c>
      <c r="H59" s="564">
        <v>0</v>
      </c>
      <c r="I59" s="564">
        <v>0</v>
      </c>
      <c r="J59" s="564">
        <v>0</v>
      </c>
      <c r="K59" s="705">
        <v>0</v>
      </c>
      <c r="L59" s="565">
        <f t="shared" si="0"/>
        <v>0</v>
      </c>
      <c r="M59" s="706">
        <v>0</v>
      </c>
      <c r="N59" s="564">
        <v>0</v>
      </c>
      <c r="O59" s="564">
        <v>0</v>
      </c>
      <c r="P59" s="564">
        <v>0</v>
      </c>
      <c r="Q59" s="564">
        <v>0</v>
      </c>
      <c r="R59" s="564">
        <v>0</v>
      </c>
      <c r="S59" s="564">
        <v>0</v>
      </c>
      <c r="T59" s="564">
        <v>0</v>
      </c>
      <c r="U59" s="564">
        <v>0</v>
      </c>
      <c r="V59" s="564">
        <v>0</v>
      </c>
      <c r="W59" s="564">
        <v>0</v>
      </c>
      <c r="X59" s="705">
        <v>0</v>
      </c>
      <c r="Y59" s="566">
        <f t="shared" si="1"/>
        <v>0</v>
      </c>
    </row>
    <row r="60" spans="1:25" x14ac:dyDescent="0.2">
      <c r="A60" s="1044">
        <v>58</v>
      </c>
      <c r="B60" s="558" t="s">
        <v>1151</v>
      </c>
      <c r="C60" s="962">
        <v>0</v>
      </c>
      <c r="D60" s="564">
        <v>0</v>
      </c>
      <c r="E60" s="564">
        <v>0</v>
      </c>
      <c r="F60" s="564">
        <v>0</v>
      </c>
      <c r="G60" s="564">
        <v>0</v>
      </c>
      <c r="H60" s="564">
        <v>0</v>
      </c>
      <c r="I60" s="564">
        <v>0</v>
      </c>
      <c r="J60" s="564">
        <v>0</v>
      </c>
      <c r="K60" s="705">
        <v>0</v>
      </c>
      <c r="L60" s="565">
        <f t="shared" si="0"/>
        <v>0</v>
      </c>
      <c r="M60" s="706">
        <v>0</v>
      </c>
      <c r="N60" s="564">
        <v>0</v>
      </c>
      <c r="O60" s="564">
        <v>0</v>
      </c>
      <c r="P60" s="564">
        <v>0</v>
      </c>
      <c r="Q60" s="564">
        <v>0</v>
      </c>
      <c r="R60" s="564">
        <v>0</v>
      </c>
      <c r="S60" s="564">
        <v>0</v>
      </c>
      <c r="T60" s="564">
        <v>0</v>
      </c>
      <c r="U60" s="564">
        <v>0</v>
      </c>
      <c r="V60" s="564">
        <v>0</v>
      </c>
      <c r="W60" s="564">
        <v>0</v>
      </c>
      <c r="X60" s="705">
        <v>0</v>
      </c>
      <c r="Y60" s="566">
        <f t="shared" si="1"/>
        <v>0</v>
      </c>
    </row>
    <row r="61" spans="1:25" x14ac:dyDescent="0.2">
      <c r="A61" s="1044">
        <v>59</v>
      </c>
      <c r="B61" s="558" t="s">
        <v>1152</v>
      </c>
      <c r="C61" s="962">
        <v>0</v>
      </c>
      <c r="D61" s="564">
        <v>0</v>
      </c>
      <c r="E61" s="564">
        <v>0</v>
      </c>
      <c r="F61" s="564">
        <v>0</v>
      </c>
      <c r="G61" s="564">
        <v>0</v>
      </c>
      <c r="H61" s="564">
        <v>0</v>
      </c>
      <c r="I61" s="564">
        <v>0</v>
      </c>
      <c r="J61" s="564">
        <v>0</v>
      </c>
      <c r="K61" s="705">
        <v>0</v>
      </c>
      <c r="L61" s="565">
        <f t="shared" si="0"/>
        <v>0</v>
      </c>
      <c r="M61" s="706">
        <v>0</v>
      </c>
      <c r="N61" s="564">
        <v>0</v>
      </c>
      <c r="O61" s="564">
        <v>0</v>
      </c>
      <c r="P61" s="564">
        <v>0</v>
      </c>
      <c r="Q61" s="564">
        <v>0</v>
      </c>
      <c r="R61" s="564">
        <v>0</v>
      </c>
      <c r="S61" s="564">
        <v>0</v>
      </c>
      <c r="T61" s="564">
        <v>0</v>
      </c>
      <c r="U61" s="564">
        <v>0</v>
      </c>
      <c r="V61" s="564">
        <v>0</v>
      </c>
      <c r="W61" s="564">
        <v>0</v>
      </c>
      <c r="X61" s="705">
        <v>0</v>
      </c>
      <c r="Y61" s="566">
        <f t="shared" si="1"/>
        <v>0</v>
      </c>
    </row>
    <row r="62" spans="1:25" x14ac:dyDescent="0.2">
      <c r="A62" s="1044">
        <v>60</v>
      </c>
      <c r="B62" s="558" t="s">
        <v>1153</v>
      </c>
      <c r="C62" s="962">
        <v>0</v>
      </c>
      <c r="D62" s="564">
        <v>0</v>
      </c>
      <c r="E62" s="564">
        <v>0</v>
      </c>
      <c r="F62" s="564">
        <v>0</v>
      </c>
      <c r="G62" s="564">
        <v>0</v>
      </c>
      <c r="H62" s="564">
        <v>0</v>
      </c>
      <c r="I62" s="564">
        <v>0</v>
      </c>
      <c r="J62" s="564">
        <v>0</v>
      </c>
      <c r="K62" s="705">
        <v>0</v>
      </c>
      <c r="L62" s="565">
        <f t="shared" si="0"/>
        <v>0</v>
      </c>
      <c r="M62" s="706">
        <v>0</v>
      </c>
      <c r="N62" s="564">
        <v>0</v>
      </c>
      <c r="O62" s="564">
        <v>0</v>
      </c>
      <c r="P62" s="564">
        <v>0</v>
      </c>
      <c r="Q62" s="564">
        <v>0</v>
      </c>
      <c r="R62" s="564">
        <v>0</v>
      </c>
      <c r="S62" s="564">
        <v>0</v>
      </c>
      <c r="T62" s="564">
        <v>0</v>
      </c>
      <c r="U62" s="564">
        <v>0</v>
      </c>
      <c r="V62" s="564">
        <v>0</v>
      </c>
      <c r="W62" s="564">
        <v>0</v>
      </c>
      <c r="X62" s="705">
        <v>0</v>
      </c>
      <c r="Y62" s="566">
        <f t="shared" si="1"/>
        <v>0</v>
      </c>
    </row>
    <row r="63" spans="1:25" x14ac:dyDescent="0.2">
      <c r="A63" s="1044">
        <v>61</v>
      </c>
      <c r="B63" s="558" t="s">
        <v>1154</v>
      </c>
      <c r="C63" s="962">
        <v>0</v>
      </c>
      <c r="D63" s="564">
        <v>0</v>
      </c>
      <c r="E63" s="564">
        <v>0</v>
      </c>
      <c r="F63" s="564">
        <v>0</v>
      </c>
      <c r="G63" s="564">
        <v>0</v>
      </c>
      <c r="H63" s="564">
        <v>0</v>
      </c>
      <c r="I63" s="564">
        <v>0</v>
      </c>
      <c r="J63" s="564">
        <v>0</v>
      </c>
      <c r="K63" s="705">
        <v>0</v>
      </c>
      <c r="L63" s="565">
        <f t="shared" si="0"/>
        <v>0</v>
      </c>
      <c r="M63" s="706">
        <v>0</v>
      </c>
      <c r="N63" s="564">
        <v>0</v>
      </c>
      <c r="O63" s="564">
        <v>0</v>
      </c>
      <c r="P63" s="564">
        <v>0</v>
      </c>
      <c r="Q63" s="564">
        <v>0</v>
      </c>
      <c r="R63" s="564">
        <v>0</v>
      </c>
      <c r="S63" s="564">
        <v>0</v>
      </c>
      <c r="T63" s="564">
        <v>0</v>
      </c>
      <c r="U63" s="564">
        <v>0</v>
      </c>
      <c r="V63" s="564">
        <v>0</v>
      </c>
      <c r="W63" s="564">
        <v>0</v>
      </c>
      <c r="X63" s="705">
        <v>0</v>
      </c>
      <c r="Y63" s="566">
        <f t="shared" si="1"/>
        <v>0</v>
      </c>
    </row>
    <row r="64" spans="1:25" x14ac:dyDescent="0.2">
      <c r="A64" s="1044">
        <v>62</v>
      </c>
      <c r="B64" s="558" t="s">
        <v>1155</v>
      </c>
      <c r="C64" s="962">
        <v>0</v>
      </c>
      <c r="D64" s="564">
        <v>0</v>
      </c>
      <c r="E64" s="564">
        <v>0</v>
      </c>
      <c r="F64" s="564">
        <v>0</v>
      </c>
      <c r="G64" s="564">
        <v>0</v>
      </c>
      <c r="H64" s="564">
        <v>0</v>
      </c>
      <c r="I64" s="564">
        <v>0</v>
      </c>
      <c r="J64" s="564">
        <v>0</v>
      </c>
      <c r="K64" s="705">
        <v>0</v>
      </c>
      <c r="L64" s="565">
        <f t="shared" si="0"/>
        <v>0</v>
      </c>
      <c r="M64" s="706">
        <v>0</v>
      </c>
      <c r="N64" s="564">
        <v>0</v>
      </c>
      <c r="O64" s="564">
        <v>0</v>
      </c>
      <c r="P64" s="564">
        <v>0</v>
      </c>
      <c r="Q64" s="564">
        <v>0</v>
      </c>
      <c r="R64" s="564">
        <v>0</v>
      </c>
      <c r="S64" s="564">
        <v>0</v>
      </c>
      <c r="T64" s="564">
        <v>0</v>
      </c>
      <c r="U64" s="564">
        <v>0</v>
      </c>
      <c r="V64" s="564">
        <v>0</v>
      </c>
      <c r="W64" s="564">
        <v>0</v>
      </c>
      <c r="X64" s="705">
        <v>0</v>
      </c>
      <c r="Y64" s="566">
        <f t="shared" si="1"/>
        <v>0</v>
      </c>
    </row>
    <row r="65" spans="1:25" x14ac:dyDescent="0.2">
      <c r="A65" s="1044">
        <v>63</v>
      </c>
      <c r="B65" s="558" t="s">
        <v>1156</v>
      </c>
      <c r="C65" s="962">
        <v>0</v>
      </c>
      <c r="D65" s="564">
        <v>0</v>
      </c>
      <c r="E65" s="564">
        <v>0</v>
      </c>
      <c r="F65" s="564">
        <v>0</v>
      </c>
      <c r="G65" s="564">
        <v>0</v>
      </c>
      <c r="H65" s="564">
        <v>0</v>
      </c>
      <c r="I65" s="564">
        <v>0</v>
      </c>
      <c r="J65" s="564">
        <v>0</v>
      </c>
      <c r="K65" s="705">
        <v>0</v>
      </c>
      <c r="L65" s="565">
        <f t="shared" si="0"/>
        <v>0</v>
      </c>
      <c r="M65" s="706">
        <v>0</v>
      </c>
      <c r="N65" s="564">
        <v>0</v>
      </c>
      <c r="O65" s="564">
        <v>0</v>
      </c>
      <c r="P65" s="564">
        <v>0</v>
      </c>
      <c r="Q65" s="564">
        <v>0</v>
      </c>
      <c r="R65" s="564">
        <v>0</v>
      </c>
      <c r="S65" s="564">
        <v>0</v>
      </c>
      <c r="T65" s="564">
        <v>0</v>
      </c>
      <c r="U65" s="564">
        <v>0</v>
      </c>
      <c r="V65" s="564">
        <v>0</v>
      </c>
      <c r="W65" s="564">
        <v>0</v>
      </c>
      <c r="X65" s="705">
        <v>0</v>
      </c>
      <c r="Y65" s="566">
        <f t="shared" si="1"/>
        <v>0</v>
      </c>
    </row>
    <row r="66" spans="1:25" x14ac:dyDescent="0.2">
      <c r="A66" s="1044">
        <v>64</v>
      </c>
      <c r="B66" s="558" t="s">
        <v>1157</v>
      </c>
      <c r="C66" s="962">
        <v>0</v>
      </c>
      <c r="D66" s="564">
        <v>0</v>
      </c>
      <c r="E66" s="564">
        <v>0</v>
      </c>
      <c r="F66" s="564">
        <v>0</v>
      </c>
      <c r="G66" s="564">
        <v>0</v>
      </c>
      <c r="H66" s="564">
        <v>0</v>
      </c>
      <c r="I66" s="564">
        <v>0</v>
      </c>
      <c r="J66" s="564">
        <v>0</v>
      </c>
      <c r="K66" s="705">
        <v>0</v>
      </c>
      <c r="L66" s="565">
        <f t="shared" si="0"/>
        <v>0</v>
      </c>
      <c r="M66" s="706">
        <v>0</v>
      </c>
      <c r="N66" s="564">
        <v>0</v>
      </c>
      <c r="O66" s="564">
        <v>0</v>
      </c>
      <c r="P66" s="564">
        <v>0</v>
      </c>
      <c r="Q66" s="564">
        <v>0</v>
      </c>
      <c r="R66" s="564">
        <v>0</v>
      </c>
      <c r="S66" s="564">
        <v>0</v>
      </c>
      <c r="T66" s="564">
        <v>0</v>
      </c>
      <c r="U66" s="564">
        <v>0</v>
      </c>
      <c r="V66" s="564">
        <v>0</v>
      </c>
      <c r="W66" s="564">
        <v>0</v>
      </c>
      <c r="X66" s="705">
        <v>0</v>
      </c>
      <c r="Y66" s="566">
        <f t="shared" si="1"/>
        <v>0</v>
      </c>
    </row>
    <row r="67" spans="1:25" x14ac:dyDescent="0.2">
      <c r="A67" s="1049">
        <v>65</v>
      </c>
      <c r="B67" s="559" t="s">
        <v>1158</v>
      </c>
      <c r="C67" s="965">
        <v>0</v>
      </c>
      <c r="D67" s="567">
        <v>0</v>
      </c>
      <c r="E67" s="567">
        <v>0</v>
      </c>
      <c r="F67" s="567">
        <v>0</v>
      </c>
      <c r="G67" s="567">
        <v>0</v>
      </c>
      <c r="H67" s="567">
        <v>0</v>
      </c>
      <c r="I67" s="567">
        <v>0</v>
      </c>
      <c r="J67" s="567">
        <v>0</v>
      </c>
      <c r="K67" s="963">
        <v>0</v>
      </c>
      <c r="L67" s="568">
        <f t="shared" si="0"/>
        <v>0</v>
      </c>
      <c r="M67" s="707">
        <v>0</v>
      </c>
      <c r="N67" s="567">
        <v>0</v>
      </c>
      <c r="O67" s="567">
        <v>0</v>
      </c>
      <c r="P67" s="567">
        <v>0</v>
      </c>
      <c r="Q67" s="567">
        <v>0</v>
      </c>
      <c r="R67" s="567">
        <v>0</v>
      </c>
      <c r="S67" s="567">
        <v>0</v>
      </c>
      <c r="T67" s="567">
        <v>0</v>
      </c>
      <c r="U67" s="567">
        <v>0</v>
      </c>
      <c r="V67" s="567">
        <v>0</v>
      </c>
      <c r="W67" s="567">
        <v>0</v>
      </c>
      <c r="X67" s="963">
        <v>0</v>
      </c>
      <c r="Y67" s="569">
        <f t="shared" si="1"/>
        <v>0</v>
      </c>
    </row>
    <row r="68" spans="1:25" x14ac:dyDescent="0.2">
      <c r="A68" s="1067">
        <v>66</v>
      </c>
      <c r="B68" s="1054" t="s">
        <v>1159</v>
      </c>
      <c r="C68" s="966">
        <v>0</v>
      </c>
      <c r="D68" s="789"/>
      <c r="E68" s="789">
        <v>0</v>
      </c>
      <c r="F68" s="789">
        <v>0</v>
      </c>
      <c r="G68" s="789">
        <v>0</v>
      </c>
      <c r="H68" s="789">
        <v>0</v>
      </c>
      <c r="I68" s="789">
        <v>0</v>
      </c>
      <c r="J68" s="789">
        <v>0</v>
      </c>
      <c r="K68" s="967">
        <v>0</v>
      </c>
      <c r="L68" s="709">
        <f t="shared" si="0"/>
        <v>0</v>
      </c>
      <c r="M68" s="711">
        <v>0</v>
      </c>
      <c r="N68" s="789">
        <v>0</v>
      </c>
      <c r="O68" s="789">
        <v>0</v>
      </c>
      <c r="P68" s="789">
        <v>0</v>
      </c>
      <c r="Q68" s="789">
        <v>0</v>
      </c>
      <c r="R68" s="789">
        <v>0</v>
      </c>
      <c r="S68" s="789">
        <v>0</v>
      </c>
      <c r="T68" s="789">
        <v>0</v>
      </c>
      <c r="U68" s="789">
        <v>0</v>
      </c>
      <c r="V68" s="789">
        <v>0</v>
      </c>
      <c r="W68" s="789">
        <v>0</v>
      </c>
      <c r="X68" s="967">
        <v>0</v>
      </c>
      <c r="Y68" s="712">
        <f t="shared" si="1"/>
        <v>0</v>
      </c>
    </row>
    <row r="69" spans="1:25" ht="24" x14ac:dyDescent="0.2">
      <c r="A69" s="556">
        <v>67</v>
      </c>
      <c r="B69" s="557" t="s">
        <v>1034</v>
      </c>
      <c r="C69" s="969">
        <v>0</v>
      </c>
      <c r="D69" s="561">
        <v>0</v>
      </c>
      <c r="E69" s="561">
        <v>0</v>
      </c>
      <c r="F69" s="561">
        <v>0</v>
      </c>
      <c r="G69" s="561">
        <v>0</v>
      </c>
      <c r="H69" s="561">
        <v>0</v>
      </c>
      <c r="I69" s="561">
        <v>0</v>
      </c>
      <c r="J69" s="561">
        <v>0</v>
      </c>
      <c r="K69" s="968">
        <v>0</v>
      </c>
      <c r="L69" s="562">
        <f t="shared" ref="L69:L94" si="19">SUM(C69:K69)</f>
        <v>0</v>
      </c>
      <c r="M69" s="708">
        <v>0</v>
      </c>
      <c r="N69" s="561">
        <v>0</v>
      </c>
      <c r="O69" s="561">
        <v>0</v>
      </c>
      <c r="P69" s="561">
        <v>0</v>
      </c>
      <c r="Q69" s="561">
        <v>0</v>
      </c>
      <c r="R69" s="561">
        <v>0</v>
      </c>
      <c r="S69" s="561">
        <v>0</v>
      </c>
      <c r="T69" s="561">
        <v>0</v>
      </c>
      <c r="U69" s="561">
        <v>0</v>
      </c>
      <c r="V69" s="561">
        <v>0</v>
      </c>
      <c r="W69" s="561">
        <v>0</v>
      </c>
      <c r="X69" s="968">
        <v>0</v>
      </c>
      <c r="Y69" s="563">
        <f t="shared" ref="Y69:Y93" si="20">SUM(M69:X69)</f>
        <v>0</v>
      </c>
    </row>
    <row r="70" spans="1:25" ht="24" x14ac:dyDescent="0.2">
      <c r="A70" s="1044">
        <v>68</v>
      </c>
      <c r="B70" s="558" t="s">
        <v>1035</v>
      </c>
      <c r="C70" s="962">
        <v>0</v>
      </c>
      <c r="D70" s="564">
        <v>0</v>
      </c>
      <c r="E70" s="564">
        <v>0</v>
      </c>
      <c r="F70" s="564">
        <v>0</v>
      </c>
      <c r="G70" s="564">
        <v>0</v>
      </c>
      <c r="H70" s="564">
        <v>0</v>
      </c>
      <c r="I70" s="564">
        <v>0</v>
      </c>
      <c r="J70" s="564">
        <v>0</v>
      </c>
      <c r="K70" s="705">
        <v>0</v>
      </c>
      <c r="L70" s="565">
        <f t="shared" si="19"/>
        <v>0</v>
      </c>
      <c r="M70" s="706">
        <v>0</v>
      </c>
      <c r="N70" s="564">
        <v>0</v>
      </c>
      <c r="O70" s="564">
        <v>0</v>
      </c>
      <c r="P70" s="564">
        <v>0</v>
      </c>
      <c r="Q70" s="564">
        <v>0</v>
      </c>
      <c r="R70" s="564">
        <v>0</v>
      </c>
      <c r="S70" s="564">
        <v>0</v>
      </c>
      <c r="T70" s="564">
        <v>0</v>
      </c>
      <c r="U70" s="564">
        <v>0</v>
      </c>
      <c r="V70" s="564">
        <v>0</v>
      </c>
      <c r="W70" s="564">
        <v>0</v>
      </c>
      <c r="X70" s="705">
        <v>0</v>
      </c>
      <c r="Y70" s="566">
        <f t="shared" si="20"/>
        <v>0</v>
      </c>
    </row>
    <row r="71" spans="1:25" ht="24" x14ac:dyDescent="0.2">
      <c r="A71" s="1044">
        <v>69</v>
      </c>
      <c r="B71" s="558" t="s">
        <v>1036</v>
      </c>
      <c r="C71" s="962">
        <v>0</v>
      </c>
      <c r="D71" s="564">
        <v>0</v>
      </c>
      <c r="E71" s="564">
        <v>0</v>
      </c>
      <c r="F71" s="564">
        <v>0</v>
      </c>
      <c r="G71" s="564">
        <v>0</v>
      </c>
      <c r="H71" s="564">
        <v>0</v>
      </c>
      <c r="I71" s="564">
        <v>0</v>
      </c>
      <c r="J71" s="564">
        <v>0</v>
      </c>
      <c r="K71" s="705">
        <v>0</v>
      </c>
      <c r="L71" s="565">
        <f t="shared" si="19"/>
        <v>0</v>
      </c>
      <c r="M71" s="706">
        <v>0</v>
      </c>
      <c r="N71" s="564">
        <v>0</v>
      </c>
      <c r="O71" s="564">
        <v>0</v>
      </c>
      <c r="P71" s="564">
        <v>0</v>
      </c>
      <c r="Q71" s="564">
        <v>0</v>
      </c>
      <c r="R71" s="564">
        <v>0</v>
      </c>
      <c r="S71" s="564">
        <v>0</v>
      </c>
      <c r="T71" s="564">
        <v>0</v>
      </c>
      <c r="U71" s="564">
        <v>0</v>
      </c>
      <c r="V71" s="564">
        <v>0</v>
      </c>
      <c r="W71" s="564">
        <v>0</v>
      </c>
      <c r="X71" s="705">
        <v>0</v>
      </c>
      <c r="Y71" s="566">
        <f t="shared" si="20"/>
        <v>0</v>
      </c>
    </row>
    <row r="72" spans="1:25" ht="24" x14ac:dyDescent="0.2">
      <c r="A72" s="1044">
        <v>70</v>
      </c>
      <c r="B72" s="558" t="s">
        <v>1160</v>
      </c>
      <c r="C72" s="962">
        <v>0</v>
      </c>
      <c r="D72" s="564">
        <v>0</v>
      </c>
      <c r="E72" s="564">
        <v>0</v>
      </c>
      <c r="F72" s="564">
        <v>0</v>
      </c>
      <c r="G72" s="564">
        <v>0</v>
      </c>
      <c r="H72" s="564">
        <v>0</v>
      </c>
      <c r="I72" s="564">
        <v>0</v>
      </c>
      <c r="J72" s="564">
        <v>0</v>
      </c>
      <c r="K72" s="705">
        <v>0</v>
      </c>
      <c r="L72" s="565">
        <f t="shared" si="19"/>
        <v>0</v>
      </c>
      <c r="M72" s="706">
        <v>0</v>
      </c>
      <c r="N72" s="564">
        <v>0</v>
      </c>
      <c r="O72" s="564">
        <v>0</v>
      </c>
      <c r="P72" s="564">
        <v>0</v>
      </c>
      <c r="Q72" s="564">
        <v>0</v>
      </c>
      <c r="R72" s="564">
        <v>0</v>
      </c>
      <c r="S72" s="564">
        <v>0</v>
      </c>
      <c r="T72" s="564">
        <v>0</v>
      </c>
      <c r="U72" s="564">
        <v>0</v>
      </c>
      <c r="V72" s="564">
        <v>0</v>
      </c>
      <c r="W72" s="564">
        <v>0</v>
      </c>
      <c r="X72" s="705">
        <v>0</v>
      </c>
      <c r="Y72" s="566">
        <f t="shared" si="20"/>
        <v>0</v>
      </c>
    </row>
    <row r="73" spans="1:25" x14ac:dyDescent="0.2">
      <c r="A73" s="1049">
        <v>71</v>
      </c>
      <c r="B73" s="559" t="s">
        <v>1161</v>
      </c>
      <c r="C73" s="965">
        <v>0</v>
      </c>
      <c r="D73" s="567">
        <v>0</v>
      </c>
      <c r="E73" s="567">
        <v>0</v>
      </c>
      <c r="F73" s="567">
        <v>0</v>
      </c>
      <c r="G73" s="567">
        <v>0</v>
      </c>
      <c r="H73" s="567">
        <v>0</v>
      </c>
      <c r="I73" s="567">
        <v>0</v>
      </c>
      <c r="J73" s="567">
        <v>0</v>
      </c>
      <c r="K73" s="963">
        <v>0</v>
      </c>
      <c r="L73" s="568">
        <f t="shared" si="19"/>
        <v>0</v>
      </c>
      <c r="M73" s="707">
        <v>0</v>
      </c>
      <c r="N73" s="567">
        <v>0</v>
      </c>
      <c r="O73" s="567">
        <v>0</v>
      </c>
      <c r="P73" s="567">
        <v>0</v>
      </c>
      <c r="Q73" s="567">
        <v>0</v>
      </c>
      <c r="R73" s="567">
        <v>0</v>
      </c>
      <c r="S73" s="567">
        <v>0</v>
      </c>
      <c r="T73" s="567">
        <v>0</v>
      </c>
      <c r="U73" s="567">
        <v>0</v>
      </c>
      <c r="V73" s="567">
        <v>0</v>
      </c>
      <c r="W73" s="567">
        <v>0</v>
      </c>
      <c r="X73" s="963">
        <v>0</v>
      </c>
      <c r="Y73" s="569">
        <f t="shared" si="20"/>
        <v>0</v>
      </c>
    </row>
    <row r="74" spans="1:25" x14ac:dyDescent="0.2">
      <c r="A74" s="1067">
        <v>72</v>
      </c>
      <c r="B74" s="1054" t="s">
        <v>1162</v>
      </c>
      <c r="C74" s="966">
        <v>0</v>
      </c>
      <c r="D74" s="789">
        <v>0</v>
      </c>
      <c r="E74" s="789">
        <v>0</v>
      </c>
      <c r="F74" s="789">
        <v>0</v>
      </c>
      <c r="G74" s="789">
        <v>0</v>
      </c>
      <c r="H74" s="789">
        <v>0</v>
      </c>
      <c r="I74" s="789">
        <v>0</v>
      </c>
      <c r="J74" s="789">
        <v>0</v>
      </c>
      <c r="K74" s="967">
        <v>0</v>
      </c>
      <c r="L74" s="709">
        <f t="shared" si="19"/>
        <v>0</v>
      </c>
      <c r="M74" s="711">
        <v>0</v>
      </c>
      <c r="N74" s="789">
        <v>0</v>
      </c>
      <c r="O74" s="789">
        <v>0</v>
      </c>
      <c r="P74" s="789">
        <v>0</v>
      </c>
      <c r="Q74" s="789">
        <v>0</v>
      </c>
      <c r="R74" s="789">
        <v>0</v>
      </c>
      <c r="S74" s="789">
        <v>0</v>
      </c>
      <c r="T74" s="789">
        <v>0</v>
      </c>
      <c r="U74" s="789">
        <v>0</v>
      </c>
      <c r="V74" s="789">
        <v>0</v>
      </c>
      <c r="W74" s="789">
        <v>0</v>
      </c>
      <c r="X74" s="967">
        <v>0</v>
      </c>
      <c r="Y74" s="712">
        <f t="shared" si="20"/>
        <v>0</v>
      </c>
    </row>
    <row r="75" spans="1:25" x14ac:dyDescent="0.2">
      <c r="A75" s="1067">
        <v>73</v>
      </c>
      <c r="B75" s="1054" t="s">
        <v>1163</v>
      </c>
      <c r="C75" s="966">
        <f>C45+C19</f>
        <v>468</v>
      </c>
      <c r="D75" s="966">
        <f t="shared" ref="D75:K75" si="21">D45+D19</f>
        <v>2211</v>
      </c>
      <c r="E75" s="966">
        <f t="shared" si="21"/>
        <v>12</v>
      </c>
      <c r="F75" s="966">
        <f t="shared" si="21"/>
        <v>8230</v>
      </c>
      <c r="G75" s="966">
        <f t="shared" si="21"/>
        <v>0</v>
      </c>
      <c r="H75" s="966">
        <f t="shared" si="21"/>
        <v>283</v>
      </c>
      <c r="I75" s="966">
        <f t="shared" si="21"/>
        <v>712</v>
      </c>
      <c r="J75" s="966">
        <f t="shared" si="21"/>
        <v>2732</v>
      </c>
      <c r="K75" s="966">
        <f t="shared" si="21"/>
        <v>262</v>
      </c>
      <c r="L75" s="709">
        <f t="shared" si="19"/>
        <v>14910</v>
      </c>
      <c r="M75" s="711">
        <f>M45+M19</f>
        <v>39049</v>
      </c>
      <c r="N75" s="711">
        <f t="shared" ref="N75:X75" si="22">N45+N19</f>
        <v>0</v>
      </c>
      <c r="O75" s="711">
        <f t="shared" si="22"/>
        <v>15000</v>
      </c>
      <c r="P75" s="711">
        <f t="shared" si="22"/>
        <v>2400</v>
      </c>
      <c r="Q75" s="711">
        <f t="shared" si="22"/>
        <v>16861</v>
      </c>
      <c r="R75" s="711">
        <f t="shared" si="22"/>
        <v>2652</v>
      </c>
      <c r="S75" s="711">
        <f t="shared" si="22"/>
        <v>10113</v>
      </c>
      <c r="T75" s="711">
        <f t="shared" si="22"/>
        <v>25468</v>
      </c>
      <c r="U75" s="711">
        <f t="shared" si="22"/>
        <v>30489</v>
      </c>
      <c r="V75" s="711">
        <f t="shared" si="22"/>
        <v>1627</v>
      </c>
      <c r="W75" s="711">
        <f t="shared" si="22"/>
        <v>25871</v>
      </c>
      <c r="X75" s="711">
        <f t="shared" si="22"/>
        <v>7496</v>
      </c>
      <c r="Y75" s="712">
        <f t="shared" si="20"/>
        <v>177026</v>
      </c>
    </row>
    <row r="76" spans="1:25" x14ac:dyDescent="0.2">
      <c r="A76" s="556">
        <v>74</v>
      </c>
      <c r="B76" s="557" t="s">
        <v>1164</v>
      </c>
      <c r="C76" s="969">
        <v>0</v>
      </c>
      <c r="D76" s="561">
        <v>0</v>
      </c>
      <c r="E76" s="561">
        <v>0</v>
      </c>
      <c r="F76" s="561">
        <v>0</v>
      </c>
      <c r="G76" s="561">
        <v>0</v>
      </c>
      <c r="H76" s="561">
        <v>0</v>
      </c>
      <c r="I76" s="561">
        <v>0</v>
      </c>
      <c r="J76" s="561">
        <v>0</v>
      </c>
      <c r="K76" s="968">
        <v>0</v>
      </c>
      <c r="L76" s="562">
        <f t="shared" si="19"/>
        <v>0</v>
      </c>
      <c r="M76" s="708">
        <v>0</v>
      </c>
      <c r="N76" s="561">
        <v>0</v>
      </c>
      <c r="O76" s="561">
        <v>0</v>
      </c>
      <c r="P76" s="561">
        <v>0</v>
      </c>
      <c r="Q76" s="561">
        <v>0</v>
      </c>
      <c r="R76" s="561">
        <v>0</v>
      </c>
      <c r="S76" s="561">
        <v>0</v>
      </c>
      <c r="T76" s="561">
        <v>0</v>
      </c>
      <c r="U76" s="561">
        <v>0</v>
      </c>
      <c r="V76" s="561">
        <v>0</v>
      </c>
      <c r="W76" s="561">
        <v>0</v>
      </c>
      <c r="X76" s="968">
        <v>0</v>
      </c>
      <c r="Y76" s="563">
        <f t="shared" si="20"/>
        <v>0</v>
      </c>
    </row>
    <row r="77" spans="1:25" x14ac:dyDescent="0.2">
      <c r="A77" s="1044">
        <v>75</v>
      </c>
      <c r="B77" s="558" t="s">
        <v>1165</v>
      </c>
      <c r="C77" s="962">
        <v>0</v>
      </c>
      <c r="D77" s="564">
        <v>0</v>
      </c>
      <c r="E77" s="564">
        <v>0</v>
      </c>
      <c r="F77" s="564">
        <v>0</v>
      </c>
      <c r="G77" s="564">
        <v>0</v>
      </c>
      <c r="H77" s="564">
        <v>0</v>
      </c>
      <c r="I77" s="564">
        <v>0</v>
      </c>
      <c r="J77" s="564">
        <v>0</v>
      </c>
      <c r="K77" s="705">
        <v>0</v>
      </c>
      <c r="L77" s="565">
        <f t="shared" si="19"/>
        <v>0</v>
      </c>
      <c r="M77" s="706">
        <v>0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705">
        <v>0</v>
      </c>
      <c r="Y77" s="566">
        <f t="shared" si="20"/>
        <v>0</v>
      </c>
    </row>
    <row r="78" spans="1:25" x14ac:dyDescent="0.2">
      <c r="A78" s="1044">
        <v>76</v>
      </c>
      <c r="B78" s="558" t="s">
        <v>1037</v>
      </c>
      <c r="C78" s="962">
        <v>10965</v>
      </c>
      <c r="D78" s="564">
        <v>0</v>
      </c>
      <c r="E78" s="564">
        <v>0</v>
      </c>
      <c r="F78" s="564">
        <v>0</v>
      </c>
      <c r="G78" s="564">
        <v>0</v>
      </c>
      <c r="H78" s="564">
        <v>0</v>
      </c>
      <c r="I78" s="564">
        <v>0</v>
      </c>
      <c r="J78" s="564">
        <v>0</v>
      </c>
      <c r="K78" s="705">
        <v>0</v>
      </c>
      <c r="L78" s="565">
        <f t="shared" si="19"/>
        <v>10965</v>
      </c>
      <c r="M78" s="706">
        <v>0</v>
      </c>
      <c r="N78" s="564">
        <v>9939</v>
      </c>
      <c r="O78" s="564">
        <v>0</v>
      </c>
      <c r="P78" s="564">
        <v>0</v>
      </c>
      <c r="Q78" s="564">
        <v>0</v>
      </c>
      <c r="R78" s="564">
        <v>0</v>
      </c>
      <c r="S78" s="564">
        <v>0</v>
      </c>
      <c r="T78" s="564">
        <v>0</v>
      </c>
      <c r="U78" s="564">
        <v>0</v>
      </c>
      <c r="V78" s="564">
        <v>0</v>
      </c>
      <c r="W78" s="564">
        <v>0</v>
      </c>
      <c r="X78" s="705">
        <v>0</v>
      </c>
      <c r="Y78" s="566">
        <f t="shared" si="20"/>
        <v>9939</v>
      </c>
    </row>
    <row r="79" spans="1:25" x14ac:dyDescent="0.2">
      <c r="A79" s="1044">
        <v>77</v>
      </c>
      <c r="B79" s="558" t="s">
        <v>1038</v>
      </c>
      <c r="C79" s="962">
        <v>0</v>
      </c>
      <c r="D79" s="564">
        <v>0</v>
      </c>
      <c r="E79" s="564">
        <v>0</v>
      </c>
      <c r="F79" s="564">
        <v>0</v>
      </c>
      <c r="G79" s="564">
        <v>0</v>
      </c>
      <c r="H79" s="564">
        <v>0</v>
      </c>
      <c r="I79" s="564">
        <v>0</v>
      </c>
      <c r="J79" s="564">
        <v>0</v>
      </c>
      <c r="K79" s="705">
        <v>0</v>
      </c>
      <c r="L79" s="565">
        <f t="shared" si="19"/>
        <v>0</v>
      </c>
      <c r="M79" s="706">
        <v>0</v>
      </c>
      <c r="N79" s="564">
        <v>0</v>
      </c>
      <c r="O79" s="564">
        <v>0</v>
      </c>
      <c r="P79" s="564">
        <v>0</v>
      </c>
      <c r="Q79" s="564">
        <v>0</v>
      </c>
      <c r="R79" s="564">
        <v>0</v>
      </c>
      <c r="S79" s="564">
        <v>0</v>
      </c>
      <c r="T79" s="564">
        <v>0</v>
      </c>
      <c r="U79" s="564">
        <v>0</v>
      </c>
      <c r="V79" s="564">
        <v>0</v>
      </c>
      <c r="W79" s="564">
        <v>0</v>
      </c>
      <c r="X79" s="705">
        <v>0</v>
      </c>
      <c r="Y79" s="566">
        <f t="shared" si="20"/>
        <v>0</v>
      </c>
    </row>
    <row r="80" spans="1:25" x14ac:dyDescent="0.2">
      <c r="A80" s="1044">
        <v>78</v>
      </c>
      <c r="B80" s="558" t="s">
        <v>1166</v>
      </c>
      <c r="C80" s="962">
        <f>C78</f>
        <v>10965</v>
      </c>
      <c r="D80" s="564">
        <v>0</v>
      </c>
      <c r="E80" s="564">
        <v>0</v>
      </c>
      <c r="F80" s="564">
        <v>0</v>
      </c>
      <c r="G80" s="564">
        <v>0</v>
      </c>
      <c r="H80" s="564">
        <v>0</v>
      </c>
      <c r="I80" s="564">
        <v>0</v>
      </c>
      <c r="J80" s="564">
        <v>0</v>
      </c>
      <c r="K80" s="705">
        <v>0</v>
      </c>
      <c r="L80" s="565">
        <f t="shared" si="19"/>
        <v>10965</v>
      </c>
      <c r="M80" s="706">
        <f>M78</f>
        <v>0</v>
      </c>
      <c r="N80" s="706">
        <f t="shared" ref="N80:X80" si="23">N78</f>
        <v>9939</v>
      </c>
      <c r="O80" s="706">
        <f t="shared" si="23"/>
        <v>0</v>
      </c>
      <c r="P80" s="706">
        <f t="shared" si="23"/>
        <v>0</v>
      </c>
      <c r="Q80" s="706">
        <f t="shared" si="23"/>
        <v>0</v>
      </c>
      <c r="R80" s="706">
        <f t="shared" si="23"/>
        <v>0</v>
      </c>
      <c r="S80" s="706">
        <f t="shared" si="23"/>
        <v>0</v>
      </c>
      <c r="T80" s="706">
        <f t="shared" si="23"/>
        <v>0</v>
      </c>
      <c r="U80" s="706">
        <f t="shared" si="23"/>
        <v>0</v>
      </c>
      <c r="V80" s="706">
        <f t="shared" si="23"/>
        <v>0</v>
      </c>
      <c r="W80" s="706">
        <f t="shared" si="23"/>
        <v>0</v>
      </c>
      <c r="X80" s="706">
        <f t="shared" si="23"/>
        <v>0</v>
      </c>
      <c r="Y80" s="566">
        <f t="shared" si="20"/>
        <v>9939</v>
      </c>
    </row>
    <row r="81" spans="1:25" x14ac:dyDescent="0.2">
      <c r="A81" s="1044">
        <v>79</v>
      </c>
      <c r="B81" s="558" t="s">
        <v>1039</v>
      </c>
      <c r="C81" s="962">
        <v>0</v>
      </c>
      <c r="D81" s="564">
        <v>0</v>
      </c>
      <c r="E81" s="564">
        <v>0</v>
      </c>
      <c r="F81" s="564">
        <v>0</v>
      </c>
      <c r="G81" s="564">
        <v>0</v>
      </c>
      <c r="H81" s="564">
        <v>0</v>
      </c>
      <c r="I81" s="564">
        <v>0</v>
      </c>
      <c r="J81" s="564">
        <v>0</v>
      </c>
      <c r="K81" s="705">
        <v>0</v>
      </c>
      <c r="L81" s="565">
        <f t="shared" si="19"/>
        <v>0</v>
      </c>
      <c r="M81" s="706">
        <v>0</v>
      </c>
      <c r="N81" s="564">
        <v>0</v>
      </c>
      <c r="O81" s="564">
        <v>0</v>
      </c>
      <c r="P81" s="564">
        <v>0</v>
      </c>
      <c r="Q81" s="564">
        <v>0</v>
      </c>
      <c r="R81" s="564">
        <v>0</v>
      </c>
      <c r="S81" s="564">
        <v>0</v>
      </c>
      <c r="T81" s="564">
        <v>0</v>
      </c>
      <c r="U81" s="564">
        <v>0</v>
      </c>
      <c r="V81" s="564">
        <v>0</v>
      </c>
      <c r="W81" s="564">
        <v>0</v>
      </c>
      <c r="X81" s="705">
        <v>0</v>
      </c>
      <c r="Y81" s="566">
        <f t="shared" si="20"/>
        <v>0</v>
      </c>
    </row>
    <row r="82" spans="1:25" x14ac:dyDescent="0.2">
      <c r="A82" s="1044">
        <v>80</v>
      </c>
      <c r="B82" s="558" t="s">
        <v>1040</v>
      </c>
      <c r="C82" s="962">
        <v>0</v>
      </c>
      <c r="D82" s="564">
        <v>0</v>
      </c>
      <c r="E82" s="564">
        <v>0</v>
      </c>
      <c r="F82" s="564">
        <v>0</v>
      </c>
      <c r="G82" s="564">
        <v>0</v>
      </c>
      <c r="H82" s="564">
        <v>0</v>
      </c>
      <c r="I82" s="564">
        <v>0</v>
      </c>
      <c r="J82" s="564">
        <v>0</v>
      </c>
      <c r="K82" s="705">
        <v>0</v>
      </c>
      <c r="L82" s="565">
        <f t="shared" si="19"/>
        <v>0</v>
      </c>
      <c r="M82" s="706">
        <v>0</v>
      </c>
      <c r="N82" s="564">
        <v>0</v>
      </c>
      <c r="O82" s="564">
        <v>0</v>
      </c>
      <c r="P82" s="564">
        <v>0</v>
      </c>
      <c r="Q82" s="564">
        <v>0</v>
      </c>
      <c r="R82" s="564">
        <v>0</v>
      </c>
      <c r="S82" s="564">
        <v>0</v>
      </c>
      <c r="T82" s="564">
        <v>0</v>
      </c>
      <c r="U82" s="564">
        <v>0</v>
      </c>
      <c r="V82" s="564">
        <v>0</v>
      </c>
      <c r="W82" s="564">
        <v>0</v>
      </c>
      <c r="X82" s="705">
        <v>0</v>
      </c>
      <c r="Y82" s="566">
        <f t="shared" si="20"/>
        <v>0</v>
      </c>
    </row>
    <row r="83" spans="1:25" x14ac:dyDescent="0.2">
      <c r="A83" s="1044">
        <v>81</v>
      </c>
      <c r="B83" s="558" t="s">
        <v>1041</v>
      </c>
      <c r="C83" s="962">
        <v>140955</v>
      </c>
      <c r="D83" s="564">
        <v>0</v>
      </c>
      <c r="E83" s="564">
        <v>0</v>
      </c>
      <c r="F83" s="564">
        <v>0</v>
      </c>
      <c r="G83" s="564">
        <v>0</v>
      </c>
      <c r="H83" s="564">
        <v>0</v>
      </c>
      <c r="I83" s="564">
        <v>0</v>
      </c>
      <c r="J83" s="564">
        <v>0</v>
      </c>
      <c r="K83" s="705">
        <v>0</v>
      </c>
      <c r="L83" s="565">
        <f t="shared" si="19"/>
        <v>140955</v>
      </c>
      <c r="M83" s="706">
        <v>0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705">
        <v>0</v>
      </c>
      <c r="Y83" s="566">
        <f t="shared" si="20"/>
        <v>0</v>
      </c>
    </row>
    <row r="84" spans="1:25" x14ac:dyDescent="0.2">
      <c r="A84" s="1044">
        <v>82</v>
      </c>
      <c r="B84" s="558" t="s">
        <v>1042</v>
      </c>
      <c r="C84" s="962">
        <v>0</v>
      </c>
      <c r="D84" s="564">
        <v>0</v>
      </c>
      <c r="E84" s="564">
        <v>0</v>
      </c>
      <c r="F84" s="564">
        <v>0</v>
      </c>
      <c r="G84" s="564">
        <v>0</v>
      </c>
      <c r="H84" s="564">
        <v>0</v>
      </c>
      <c r="I84" s="564">
        <v>0</v>
      </c>
      <c r="J84" s="564">
        <v>0</v>
      </c>
      <c r="K84" s="705">
        <v>0</v>
      </c>
      <c r="L84" s="565">
        <f t="shared" si="19"/>
        <v>0</v>
      </c>
      <c r="M84" s="706">
        <v>0</v>
      </c>
      <c r="N84" s="564">
        <v>0</v>
      </c>
      <c r="O84" s="564">
        <v>0</v>
      </c>
      <c r="P84" s="564">
        <v>0</v>
      </c>
      <c r="Q84" s="564">
        <v>0</v>
      </c>
      <c r="R84" s="564">
        <v>0</v>
      </c>
      <c r="S84" s="564">
        <v>0</v>
      </c>
      <c r="T84" s="564">
        <v>0</v>
      </c>
      <c r="U84" s="564">
        <v>0</v>
      </c>
      <c r="V84" s="564">
        <v>0</v>
      </c>
      <c r="W84" s="564">
        <v>0</v>
      </c>
      <c r="X84" s="705">
        <v>0</v>
      </c>
      <c r="Y84" s="566">
        <f t="shared" si="20"/>
        <v>0</v>
      </c>
    </row>
    <row r="85" spans="1:25" x14ac:dyDescent="0.2">
      <c r="A85" s="1044">
        <v>83</v>
      </c>
      <c r="B85" s="558" t="s">
        <v>1043</v>
      </c>
      <c r="C85" s="962">
        <v>0</v>
      </c>
      <c r="D85" s="564">
        <v>0</v>
      </c>
      <c r="E85" s="564">
        <v>0</v>
      </c>
      <c r="F85" s="564">
        <v>0</v>
      </c>
      <c r="G85" s="564">
        <v>0</v>
      </c>
      <c r="H85" s="564">
        <v>0</v>
      </c>
      <c r="I85" s="564">
        <v>0</v>
      </c>
      <c r="J85" s="564">
        <v>0</v>
      </c>
      <c r="K85" s="705">
        <v>0</v>
      </c>
      <c r="L85" s="565">
        <f t="shared" si="19"/>
        <v>0</v>
      </c>
      <c r="M85" s="706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705">
        <v>0</v>
      </c>
      <c r="Y85" s="566">
        <f t="shared" si="20"/>
        <v>0</v>
      </c>
    </row>
    <row r="86" spans="1:25" x14ac:dyDescent="0.2">
      <c r="A86" s="1044">
        <v>84</v>
      </c>
      <c r="B86" s="558" t="s">
        <v>1167</v>
      </c>
      <c r="C86" s="962">
        <v>0</v>
      </c>
      <c r="D86" s="564">
        <v>0</v>
      </c>
      <c r="E86" s="564">
        <v>0</v>
      </c>
      <c r="F86" s="564">
        <v>0</v>
      </c>
      <c r="G86" s="564">
        <v>0</v>
      </c>
      <c r="H86" s="564">
        <v>0</v>
      </c>
      <c r="I86" s="564">
        <v>0</v>
      </c>
      <c r="J86" s="564">
        <v>0</v>
      </c>
      <c r="K86" s="705">
        <v>0</v>
      </c>
      <c r="L86" s="565">
        <f t="shared" si="19"/>
        <v>0</v>
      </c>
      <c r="M86" s="706">
        <v>0</v>
      </c>
      <c r="N86" s="564">
        <v>0</v>
      </c>
      <c r="O86" s="564">
        <v>0</v>
      </c>
      <c r="P86" s="564">
        <v>0</v>
      </c>
      <c r="Q86" s="564">
        <v>0</v>
      </c>
      <c r="R86" s="564">
        <v>0</v>
      </c>
      <c r="S86" s="564">
        <v>0</v>
      </c>
      <c r="T86" s="564">
        <v>0</v>
      </c>
      <c r="U86" s="564">
        <v>0</v>
      </c>
      <c r="V86" s="564">
        <v>0</v>
      </c>
      <c r="W86" s="564">
        <v>0</v>
      </c>
      <c r="X86" s="705">
        <v>0</v>
      </c>
      <c r="Y86" s="566">
        <f t="shared" si="20"/>
        <v>0</v>
      </c>
    </row>
    <row r="87" spans="1:25" x14ac:dyDescent="0.2">
      <c r="A87" s="1044">
        <v>85</v>
      </c>
      <c r="B87" s="558" t="s">
        <v>1168</v>
      </c>
      <c r="C87" s="962">
        <v>0</v>
      </c>
      <c r="D87" s="564">
        <v>0</v>
      </c>
      <c r="E87" s="564">
        <v>0</v>
      </c>
      <c r="F87" s="564">
        <v>0</v>
      </c>
      <c r="G87" s="564">
        <v>0</v>
      </c>
      <c r="H87" s="564">
        <v>0</v>
      </c>
      <c r="I87" s="564">
        <v>0</v>
      </c>
      <c r="J87" s="564">
        <v>0</v>
      </c>
      <c r="K87" s="705">
        <v>0</v>
      </c>
      <c r="L87" s="565">
        <f t="shared" si="19"/>
        <v>0</v>
      </c>
      <c r="M87" s="706">
        <v>0</v>
      </c>
      <c r="N87" s="564">
        <v>0</v>
      </c>
      <c r="O87" s="564">
        <v>0</v>
      </c>
      <c r="P87" s="564">
        <v>0</v>
      </c>
      <c r="Q87" s="564">
        <v>0</v>
      </c>
      <c r="R87" s="564">
        <v>0</v>
      </c>
      <c r="S87" s="564">
        <v>0</v>
      </c>
      <c r="T87" s="564">
        <v>0</v>
      </c>
      <c r="U87" s="564">
        <v>0</v>
      </c>
      <c r="V87" s="564">
        <v>0</v>
      </c>
      <c r="W87" s="564">
        <v>0</v>
      </c>
      <c r="X87" s="705">
        <v>0</v>
      </c>
      <c r="Y87" s="566">
        <f t="shared" si="20"/>
        <v>0</v>
      </c>
    </row>
    <row r="88" spans="1:25" x14ac:dyDescent="0.2">
      <c r="A88" s="1044">
        <v>86</v>
      </c>
      <c r="B88" s="558" t="s">
        <v>1169</v>
      </c>
      <c r="C88" s="962">
        <v>0</v>
      </c>
      <c r="D88" s="564">
        <v>0</v>
      </c>
      <c r="E88" s="564">
        <v>0</v>
      </c>
      <c r="F88" s="564">
        <v>0</v>
      </c>
      <c r="G88" s="564">
        <v>0</v>
      </c>
      <c r="H88" s="564">
        <v>0</v>
      </c>
      <c r="I88" s="564">
        <v>0</v>
      </c>
      <c r="J88" s="564">
        <v>0</v>
      </c>
      <c r="K88" s="705">
        <v>0</v>
      </c>
      <c r="L88" s="565">
        <f t="shared" si="19"/>
        <v>0</v>
      </c>
      <c r="M88" s="706">
        <v>0</v>
      </c>
      <c r="N88" s="564">
        <v>0</v>
      </c>
      <c r="O88" s="564">
        <v>0</v>
      </c>
      <c r="P88" s="564">
        <v>0</v>
      </c>
      <c r="Q88" s="564">
        <v>0</v>
      </c>
      <c r="R88" s="564">
        <v>0</v>
      </c>
      <c r="S88" s="564">
        <v>0</v>
      </c>
      <c r="T88" s="564">
        <v>0</v>
      </c>
      <c r="U88" s="564">
        <v>0</v>
      </c>
      <c r="V88" s="564">
        <v>0</v>
      </c>
      <c r="W88" s="564">
        <v>0</v>
      </c>
      <c r="X88" s="705">
        <v>0</v>
      </c>
      <c r="Y88" s="566">
        <f t="shared" si="20"/>
        <v>0</v>
      </c>
    </row>
    <row r="89" spans="1:25" x14ac:dyDescent="0.2">
      <c r="A89" s="1044">
        <v>87</v>
      </c>
      <c r="B89" s="558" t="s">
        <v>1170</v>
      </c>
      <c r="C89" s="962">
        <v>0</v>
      </c>
      <c r="D89" s="564">
        <v>0</v>
      </c>
      <c r="E89" s="564">
        <v>0</v>
      </c>
      <c r="F89" s="564">
        <v>0</v>
      </c>
      <c r="G89" s="564">
        <v>0</v>
      </c>
      <c r="H89" s="564">
        <v>0</v>
      </c>
      <c r="I89" s="564">
        <v>0</v>
      </c>
      <c r="J89" s="564">
        <v>0</v>
      </c>
      <c r="K89" s="705">
        <v>0</v>
      </c>
      <c r="L89" s="565">
        <f t="shared" si="19"/>
        <v>0</v>
      </c>
      <c r="M89" s="706">
        <v>0</v>
      </c>
      <c r="N89" s="564">
        <v>0</v>
      </c>
      <c r="O89" s="564">
        <v>0</v>
      </c>
      <c r="P89" s="564">
        <v>0</v>
      </c>
      <c r="Q89" s="564">
        <v>0</v>
      </c>
      <c r="R89" s="564">
        <v>0</v>
      </c>
      <c r="S89" s="564">
        <v>0</v>
      </c>
      <c r="T89" s="564">
        <v>0</v>
      </c>
      <c r="U89" s="564">
        <v>0</v>
      </c>
      <c r="V89" s="564">
        <v>0</v>
      </c>
      <c r="W89" s="564">
        <v>0</v>
      </c>
      <c r="X89" s="705">
        <v>0</v>
      </c>
      <c r="Y89" s="566">
        <f t="shared" si="20"/>
        <v>0</v>
      </c>
    </row>
    <row r="90" spans="1:25" x14ac:dyDescent="0.2">
      <c r="A90" s="1044">
        <v>88</v>
      </c>
      <c r="B90" s="558" t="s">
        <v>1171</v>
      </c>
      <c r="C90" s="962">
        <v>0</v>
      </c>
      <c r="D90" s="564">
        <v>0</v>
      </c>
      <c r="E90" s="564">
        <v>0</v>
      </c>
      <c r="F90" s="564">
        <v>0</v>
      </c>
      <c r="G90" s="564">
        <v>0</v>
      </c>
      <c r="H90" s="564">
        <v>0</v>
      </c>
      <c r="I90" s="564">
        <v>0</v>
      </c>
      <c r="J90" s="564">
        <v>0</v>
      </c>
      <c r="K90" s="705">
        <v>0</v>
      </c>
      <c r="L90" s="565">
        <f t="shared" si="19"/>
        <v>0</v>
      </c>
      <c r="M90" s="706">
        <v>0</v>
      </c>
      <c r="N90" s="564">
        <v>0</v>
      </c>
      <c r="O90" s="564">
        <v>0</v>
      </c>
      <c r="P90" s="564">
        <v>0</v>
      </c>
      <c r="Q90" s="564">
        <v>0</v>
      </c>
      <c r="R90" s="564">
        <v>0</v>
      </c>
      <c r="S90" s="564">
        <v>0</v>
      </c>
      <c r="T90" s="564">
        <v>0</v>
      </c>
      <c r="U90" s="564">
        <v>0</v>
      </c>
      <c r="V90" s="564">
        <v>0</v>
      </c>
      <c r="W90" s="564">
        <v>0</v>
      </c>
      <c r="X90" s="705">
        <v>0</v>
      </c>
      <c r="Y90" s="566">
        <f t="shared" si="20"/>
        <v>0</v>
      </c>
    </row>
    <row r="91" spans="1:25" x14ac:dyDescent="0.2">
      <c r="A91" s="1044">
        <v>89</v>
      </c>
      <c r="B91" s="558" t="s">
        <v>1044</v>
      </c>
      <c r="C91" s="962">
        <v>0</v>
      </c>
      <c r="D91" s="564">
        <v>0</v>
      </c>
      <c r="E91" s="564">
        <v>0</v>
      </c>
      <c r="F91" s="564">
        <v>0</v>
      </c>
      <c r="G91" s="564">
        <v>0</v>
      </c>
      <c r="H91" s="564">
        <v>0</v>
      </c>
      <c r="I91" s="564">
        <v>0</v>
      </c>
      <c r="J91" s="564">
        <v>0</v>
      </c>
      <c r="K91" s="705">
        <v>0</v>
      </c>
      <c r="L91" s="565">
        <f t="shared" si="19"/>
        <v>0</v>
      </c>
      <c r="M91" s="706">
        <v>0</v>
      </c>
      <c r="N91" s="564">
        <v>0</v>
      </c>
      <c r="O91" s="564">
        <v>0</v>
      </c>
      <c r="P91" s="564">
        <v>0</v>
      </c>
      <c r="Q91" s="564">
        <v>0</v>
      </c>
      <c r="R91" s="564">
        <v>0</v>
      </c>
      <c r="S91" s="564">
        <v>0</v>
      </c>
      <c r="T91" s="564">
        <v>0</v>
      </c>
      <c r="U91" s="564">
        <v>0</v>
      </c>
      <c r="V91" s="564">
        <v>0</v>
      </c>
      <c r="W91" s="564">
        <v>0</v>
      </c>
      <c r="X91" s="705">
        <v>0</v>
      </c>
      <c r="Y91" s="566">
        <f t="shared" si="20"/>
        <v>0</v>
      </c>
    </row>
    <row r="92" spans="1:25" x14ac:dyDescent="0.2">
      <c r="A92" s="1049">
        <v>90</v>
      </c>
      <c r="B92" s="559" t="s">
        <v>1045</v>
      </c>
      <c r="C92" s="965">
        <v>0</v>
      </c>
      <c r="D92" s="567">
        <v>0</v>
      </c>
      <c r="E92" s="567">
        <v>0</v>
      </c>
      <c r="F92" s="567">
        <v>0</v>
      </c>
      <c r="G92" s="567">
        <v>0</v>
      </c>
      <c r="H92" s="567">
        <v>0</v>
      </c>
      <c r="I92" s="567">
        <v>0</v>
      </c>
      <c r="J92" s="567">
        <v>0</v>
      </c>
      <c r="K92" s="963">
        <v>0</v>
      </c>
      <c r="L92" s="568">
        <f t="shared" si="19"/>
        <v>0</v>
      </c>
      <c r="M92" s="707">
        <v>0</v>
      </c>
      <c r="N92" s="567">
        <v>0</v>
      </c>
      <c r="O92" s="567">
        <v>0</v>
      </c>
      <c r="P92" s="567">
        <v>0</v>
      </c>
      <c r="Q92" s="567">
        <v>0</v>
      </c>
      <c r="R92" s="567">
        <v>0</v>
      </c>
      <c r="S92" s="567">
        <v>0</v>
      </c>
      <c r="T92" s="567">
        <v>0</v>
      </c>
      <c r="U92" s="567">
        <v>0</v>
      </c>
      <c r="V92" s="567">
        <v>0</v>
      </c>
      <c r="W92" s="567">
        <v>0</v>
      </c>
      <c r="X92" s="963">
        <v>0</v>
      </c>
      <c r="Y92" s="569">
        <f t="shared" si="20"/>
        <v>0</v>
      </c>
    </row>
    <row r="93" spans="1:25" x14ac:dyDescent="0.2">
      <c r="A93" s="1067">
        <v>91</v>
      </c>
      <c r="B93" s="1054" t="s">
        <v>1172</v>
      </c>
      <c r="C93" s="966">
        <f>C83+C80</f>
        <v>151920</v>
      </c>
      <c r="D93" s="966">
        <f t="shared" ref="D93:K93" si="24">D83+D80</f>
        <v>0</v>
      </c>
      <c r="E93" s="966">
        <f t="shared" si="24"/>
        <v>0</v>
      </c>
      <c r="F93" s="966">
        <f t="shared" si="24"/>
        <v>0</v>
      </c>
      <c r="G93" s="966">
        <f t="shared" si="24"/>
        <v>0</v>
      </c>
      <c r="H93" s="966">
        <f t="shared" si="24"/>
        <v>0</v>
      </c>
      <c r="I93" s="966">
        <f t="shared" si="24"/>
        <v>0</v>
      </c>
      <c r="J93" s="966">
        <f t="shared" si="24"/>
        <v>0</v>
      </c>
      <c r="K93" s="966">
        <f t="shared" si="24"/>
        <v>0</v>
      </c>
      <c r="L93" s="709">
        <f t="shared" si="19"/>
        <v>151920</v>
      </c>
      <c r="M93" s="711">
        <f>M83+M80</f>
        <v>0</v>
      </c>
      <c r="N93" s="711">
        <f t="shared" ref="N93:X93" si="25">N83+N80</f>
        <v>9939</v>
      </c>
      <c r="O93" s="711">
        <f t="shared" si="25"/>
        <v>0</v>
      </c>
      <c r="P93" s="711">
        <f t="shared" si="25"/>
        <v>0</v>
      </c>
      <c r="Q93" s="711">
        <f t="shared" si="25"/>
        <v>0</v>
      </c>
      <c r="R93" s="711">
        <f t="shared" si="25"/>
        <v>0</v>
      </c>
      <c r="S93" s="711">
        <f t="shared" si="25"/>
        <v>0</v>
      </c>
      <c r="T93" s="711">
        <f t="shared" si="25"/>
        <v>0</v>
      </c>
      <c r="U93" s="711">
        <f t="shared" si="25"/>
        <v>0</v>
      </c>
      <c r="V93" s="711">
        <f t="shared" si="25"/>
        <v>0</v>
      </c>
      <c r="W93" s="711">
        <f t="shared" si="25"/>
        <v>0</v>
      </c>
      <c r="X93" s="711">
        <f t="shared" si="25"/>
        <v>0</v>
      </c>
      <c r="Y93" s="712">
        <f t="shared" si="20"/>
        <v>9939</v>
      </c>
    </row>
    <row r="94" spans="1:25" ht="12.75" thickBot="1" x14ac:dyDescent="0.25">
      <c r="A94" s="704">
        <v>92</v>
      </c>
      <c r="B94" s="1062" t="s">
        <v>1173</v>
      </c>
      <c r="C94" s="1063">
        <f>C93+C75</f>
        <v>152388</v>
      </c>
      <c r="D94" s="1063">
        <f t="shared" ref="D94:K94" si="26">D93+D75</f>
        <v>2211</v>
      </c>
      <c r="E94" s="1063">
        <f t="shared" si="26"/>
        <v>12</v>
      </c>
      <c r="F94" s="1063">
        <f t="shared" si="26"/>
        <v>8230</v>
      </c>
      <c r="G94" s="1063">
        <f t="shared" si="26"/>
        <v>0</v>
      </c>
      <c r="H94" s="1063">
        <f t="shared" si="26"/>
        <v>283</v>
      </c>
      <c r="I94" s="1063">
        <f t="shared" si="26"/>
        <v>712</v>
      </c>
      <c r="J94" s="1063">
        <f t="shared" si="26"/>
        <v>2732</v>
      </c>
      <c r="K94" s="1063">
        <f t="shared" si="26"/>
        <v>262</v>
      </c>
      <c r="L94" s="1064">
        <f t="shared" si="19"/>
        <v>166830</v>
      </c>
      <c r="M94" s="1065">
        <f>M93+M75</f>
        <v>39049</v>
      </c>
      <c r="N94" s="1065">
        <f t="shared" ref="N94:X94" si="27">N93+N75</f>
        <v>9939</v>
      </c>
      <c r="O94" s="1065">
        <f t="shared" si="27"/>
        <v>15000</v>
      </c>
      <c r="P94" s="1065">
        <f t="shared" si="27"/>
        <v>2400</v>
      </c>
      <c r="Q94" s="1065">
        <f t="shared" si="27"/>
        <v>16861</v>
      </c>
      <c r="R94" s="1065">
        <f t="shared" si="27"/>
        <v>2652</v>
      </c>
      <c r="S94" s="1065">
        <f t="shared" si="27"/>
        <v>10113</v>
      </c>
      <c r="T94" s="1065">
        <f t="shared" si="27"/>
        <v>25468</v>
      </c>
      <c r="U94" s="1065">
        <f t="shared" si="27"/>
        <v>30489</v>
      </c>
      <c r="V94" s="1065">
        <f t="shared" si="27"/>
        <v>1627</v>
      </c>
      <c r="W94" s="1065">
        <f t="shared" si="27"/>
        <v>25871</v>
      </c>
      <c r="X94" s="1065">
        <f t="shared" si="27"/>
        <v>7496</v>
      </c>
      <c r="Y94" s="1066">
        <f>SUM(M94:X94)</f>
        <v>186965</v>
      </c>
    </row>
  </sheetData>
  <mergeCells count="4">
    <mergeCell ref="A1:A2"/>
    <mergeCell ref="B1:B2"/>
    <mergeCell ref="M1:Y1"/>
    <mergeCell ref="C1:L1"/>
  </mergeCells>
  <printOptions horizontalCentered="1"/>
  <pageMargins left="0.15748031496062992" right="0.15748031496062992" top="1.1023622047244095" bottom="0.51181102362204722" header="0.35433070866141736" footer="0.15748031496062992"/>
  <pageSetup paperSize="8" scale="59" fitToHeight="2" orientation="landscape" r:id="rId1"/>
  <headerFooter alignWithMargins="0">
    <oddHeader>&amp;L&amp;"Times New Roman,Félkövér"&amp;13Szent László Völgye TKT&amp;C&amp;"Times New Roman,Félkövér"&amp;16 2020. ÉVI ZÁRSZÁMADÁSI BESZÁMOLÓ&amp;R2/3. sz. táblázat
TÁRSULÁS ÉS INTÉZMÉNYEK BEVÉTELEK KORMÁNYZATI FUNKCIÓNKÉNT
Adatok: eFt</oddHeader>
    <oddFooter>&amp;L&amp;F&amp;R&amp;P</oddFooter>
  </headerFooter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129"/>
  <sheetViews>
    <sheetView topLeftCell="A106" zoomScaleNormal="100" workbookViewId="0">
      <selection activeCell="E80" sqref="E80"/>
    </sheetView>
  </sheetViews>
  <sheetFormatPr defaultColWidth="8.85546875" defaultRowHeight="12.95" customHeight="1" x14ac:dyDescent="0.2"/>
  <cols>
    <col min="1" max="1" width="10.28515625" style="3" customWidth="1"/>
    <col min="2" max="2" width="55.42578125" style="1" customWidth="1"/>
    <col min="3" max="5" width="10.42578125" style="20" customWidth="1"/>
    <col min="6" max="6" width="9.7109375" style="20" customWidth="1"/>
    <col min="7" max="7" width="11.7109375" style="5" hidden="1" customWidth="1"/>
    <col min="8" max="8" width="10.42578125" style="7" hidden="1" customWidth="1"/>
    <col min="9" max="9" width="24.85546875" style="7" hidden="1" customWidth="1"/>
    <col min="10" max="10" width="10.140625" style="7" hidden="1" customWidth="1"/>
    <col min="11" max="11" width="8.85546875" style="7" hidden="1" customWidth="1"/>
    <col min="12" max="12" width="9.28515625" style="7" hidden="1" customWidth="1"/>
    <col min="13" max="13" width="3.85546875" style="7" customWidth="1"/>
    <col min="14" max="16" width="8.85546875" style="7"/>
    <col min="17" max="17" width="21.28515625" style="7" customWidth="1"/>
    <col min="18" max="18" width="10.7109375" style="7" customWidth="1"/>
    <col min="19" max="19" width="8.85546875" style="7"/>
    <col min="20" max="20" width="10.28515625" style="7" customWidth="1"/>
    <col min="21" max="21" width="8.85546875" style="7"/>
    <col min="22" max="22" width="10.42578125" style="7" customWidth="1"/>
    <col min="23" max="16384" width="8.85546875" style="7"/>
  </cols>
  <sheetData>
    <row r="1" spans="1:23" ht="12.75" customHeight="1" x14ac:dyDescent="0.2">
      <c r="A1" s="1362" t="s">
        <v>87</v>
      </c>
      <c r="B1" s="1364" t="s">
        <v>108</v>
      </c>
      <c r="C1" s="1356" t="s">
        <v>38</v>
      </c>
      <c r="D1" s="1354" t="s">
        <v>39</v>
      </c>
      <c r="E1" s="1360" t="s">
        <v>51</v>
      </c>
      <c r="F1" s="1358" t="s">
        <v>273</v>
      </c>
    </row>
    <row r="2" spans="1:23" ht="31.5" customHeight="1" x14ac:dyDescent="0.2">
      <c r="A2" s="1363"/>
      <c r="B2" s="1365"/>
      <c r="C2" s="1357"/>
      <c r="D2" s="1355"/>
      <c r="E2" s="1361"/>
      <c r="F2" s="1359"/>
    </row>
    <row r="3" spans="1:23" ht="14.25" customHeight="1" x14ac:dyDescent="0.2">
      <c r="A3" s="83"/>
      <c r="B3" s="112"/>
      <c r="C3" s="193"/>
      <c r="D3" s="192"/>
      <c r="E3" s="420"/>
      <c r="F3" s="432"/>
    </row>
    <row r="4" spans="1:23" s="19" customFormat="1" ht="14.25" customHeight="1" x14ac:dyDescent="0.2">
      <c r="A4" s="73" t="s">
        <v>89</v>
      </c>
      <c r="B4" s="74" t="s">
        <v>53</v>
      </c>
      <c r="C4" s="194">
        <f>+C5+C100</f>
        <v>240284</v>
      </c>
      <c r="D4" s="194">
        <f>+D5+D100</f>
        <v>292344</v>
      </c>
      <c r="E4" s="421">
        <f>+E5+E100</f>
        <v>292344</v>
      </c>
      <c r="F4" s="433">
        <f>+E4/D4</f>
        <v>1</v>
      </c>
      <c r="G4" s="21"/>
      <c r="H4" s="843"/>
      <c r="I4" s="7"/>
      <c r="J4" s="7"/>
      <c r="L4" s="7"/>
      <c r="M4" s="7"/>
    </row>
    <row r="5" spans="1:23" s="19" customFormat="1" ht="14.25" customHeight="1" x14ac:dyDescent="0.2">
      <c r="A5" s="75"/>
      <c r="B5" s="222"/>
      <c r="C5" s="195"/>
      <c r="D5" s="70"/>
      <c r="E5" s="422"/>
      <c r="F5" s="433"/>
      <c r="G5" s="21"/>
      <c r="H5" s="843"/>
      <c r="I5" s="7"/>
      <c r="J5" s="7"/>
      <c r="L5" s="7"/>
      <c r="M5" s="7"/>
      <c r="Q5" s="14"/>
      <c r="R5" s="863"/>
      <c r="S5" s="7"/>
      <c r="T5" s="1"/>
      <c r="V5" s="7"/>
      <c r="W5" s="7"/>
    </row>
    <row r="6" spans="1:23" s="19" customFormat="1" ht="14.25" customHeight="1" x14ac:dyDescent="0.2">
      <c r="A6" s="82"/>
      <c r="B6" s="213" t="s">
        <v>254</v>
      </c>
      <c r="C6" s="200"/>
      <c r="D6" s="201"/>
      <c r="E6" s="423"/>
      <c r="F6" s="433"/>
      <c r="G6" s="21"/>
      <c r="H6" s="843"/>
      <c r="I6" s="7"/>
      <c r="J6" s="7"/>
      <c r="L6" s="7"/>
      <c r="M6" s="7"/>
      <c r="Q6" s="14"/>
      <c r="R6" s="863"/>
      <c r="S6" s="7"/>
      <c r="T6" s="1110"/>
      <c r="V6" s="7"/>
      <c r="W6" s="7"/>
    </row>
    <row r="7" spans="1:23" s="19" customFormat="1" ht="14.25" customHeight="1" x14ac:dyDescent="0.2">
      <c r="A7" s="82"/>
      <c r="B7" s="212" t="s">
        <v>248</v>
      </c>
      <c r="C7" s="196">
        <f>SUM(C8:C14)</f>
        <v>21954</v>
      </c>
      <c r="D7" s="196">
        <f t="shared" ref="D7:E7" si="0">SUM(D8:D14)</f>
        <v>37987</v>
      </c>
      <c r="E7" s="424">
        <f t="shared" si="0"/>
        <v>37987</v>
      </c>
      <c r="F7" s="433">
        <f>+E7/D7</f>
        <v>1</v>
      </c>
      <c r="G7" s="5" t="s">
        <v>240</v>
      </c>
      <c r="H7" s="7">
        <v>132</v>
      </c>
      <c r="I7" s="7"/>
      <c r="J7" s="7"/>
      <c r="L7" s="7"/>
      <c r="M7" s="7"/>
      <c r="O7" s="21"/>
      <c r="Q7" s="14"/>
      <c r="R7" s="864"/>
      <c r="S7" s="7"/>
      <c r="T7" s="1110"/>
      <c r="V7" s="7"/>
      <c r="W7" s="7"/>
    </row>
    <row r="8" spans="1:23" s="199" customFormat="1" ht="14.25" customHeight="1" x14ac:dyDescent="0.2">
      <c r="A8" s="82"/>
      <c r="B8" s="844" t="s">
        <v>233</v>
      </c>
      <c r="C8" s="194">
        <v>2489</v>
      </c>
      <c r="D8" s="197">
        <v>4284</v>
      </c>
      <c r="E8" s="197">
        <v>4284</v>
      </c>
      <c r="F8" s="433">
        <f>+E8/D8</f>
        <v>1</v>
      </c>
      <c r="G8" s="198"/>
      <c r="H8" s="843"/>
      <c r="I8" s="845" t="s">
        <v>233</v>
      </c>
      <c r="J8" s="570">
        <v>2755</v>
      </c>
      <c r="K8" s="216">
        <f>+J8/J15</f>
        <v>0.11099025058415922</v>
      </c>
      <c r="L8" s="7">
        <f>+$H$7*K8</f>
        <v>14.650713077109017</v>
      </c>
      <c r="M8" s="25"/>
      <c r="O8" s="21"/>
      <c r="Q8" s="14"/>
      <c r="R8" s="863"/>
      <c r="S8" s="862"/>
      <c r="T8" s="984"/>
      <c r="U8" s="216"/>
      <c r="V8" s="7"/>
      <c r="W8" s="25"/>
    </row>
    <row r="9" spans="1:23" ht="14.25" customHeight="1" x14ac:dyDescent="0.2">
      <c r="A9" s="82"/>
      <c r="B9" s="844" t="s">
        <v>234</v>
      </c>
      <c r="C9" s="194">
        <v>7284</v>
      </c>
      <c r="D9" s="197">
        <v>12536</v>
      </c>
      <c r="E9" s="197">
        <v>12536</v>
      </c>
      <c r="F9" s="433">
        <f t="shared" ref="F9:F77" si="1">+E9/D9</f>
        <v>1</v>
      </c>
      <c r="H9" s="843"/>
      <c r="I9" s="845" t="s">
        <v>234</v>
      </c>
      <c r="J9" s="570">
        <v>8617</v>
      </c>
      <c r="K9" s="216">
        <f>+J9/J15</f>
        <v>0.34715172024816693</v>
      </c>
      <c r="L9" s="7">
        <f>+$H$7*K9</f>
        <v>45.824027072758035</v>
      </c>
      <c r="O9" s="21"/>
      <c r="Q9" s="5"/>
      <c r="R9" s="861"/>
      <c r="S9" s="862"/>
      <c r="T9" s="984"/>
      <c r="U9" s="216"/>
    </row>
    <row r="10" spans="1:23" ht="14.25" customHeight="1" x14ac:dyDescent="0.2">
      <c r="A10" s="82"/>
      <c r="B10" s="844" t="s">
        <v>239</v>
      </c>
      <c r="C10" s="194">
        <v>1155</v>
      </c>
      <c r="D10" s="197">
        <v>2191</v>
      </c>
      <c r="E10" s="197">
        <v>2191</v>
      </c>
      <c r="F10" s="433">
        <f t="shared" si="1"/>
        <v>1</v>
      </c>
      <c r="H10" s="843"/>
      <c r="I10" s="845" t="s">
        <v>239</v>
      </c>
      <c r="J10" s="570">
        <v>1248</v>
      </c>
      <c r="K10" s="216">
        <f>+J10/J15</f>
        <v>5.0277979211989364E-2</v>
      </c>
      <c r="L10" s="7">
        <f t="shared" ref="L10:L14" si="2">+$H$7*K10</f>
        <v>6.6366932559825962</v>
      </c>
      <c r="O10" s="21"/>
      <c r="Q10" s="5"/>
      <c r="R10" s="861"/>
      <c r="S10" s="862"/>
      <c r="T10" s="984"/>
      <c r="U10" s="216"/>
    </row>
    <row r="11" spans="1:23" ht="14.25" customHeight="1" x14ac:dyDescent="0.2">
      <c r="A11" s="82"/>
      <c r="B11" s="844" t="s">
        <v>235</v>
      </c>
      <c r="C11" s="194">
        <v>1031</v>
      </c>
      <c r="D11" s="197">
        <v>1774</v>
      </c>
      <c r="E11" s="197">
        <v>1774</v>
      </c>
      <c r="F11" s="433">
        <f t="shared" si="1"/>
        <v>1</v>
      </c>
      <c r="H11" s="843"/>
      <c r="I11" s="845" t="s">
        <v>235</v>
      </c>
      <c r="J11" s="570">
        <v>1077</v>
      </c>
      <c r="K11" s="216">
        <f>+J11/J15</f>
        <v>4.3388929175731207E-2</v>
      </c>
      <c r="L11" s="7">
        <f t="shared" si="2"/>
        <v>5.7273386511965194</v>
      </c>
      <c r="O11" s="21"/>
      <c r="Q11" s="5"/>
      <c r="R11" s="861"/>
      <c r="S11" s="862"/>
      <c r="T11" s="984"/>
      <c r="U11" s="216"/>
    </row>
    <row r="12" spans="1:23" ht="14.25" customHeight="1" x14ac:dyDescent="0.2">
      <c r="A12" s="82"/>
      <c r="B12" s="844" t="s">
        <v>236</v>
      </c>
      <c r="C12" s="194">
        <v>5005</v>
      </c>
      <c r="D12" s="197">
        <v>8614</v>
      </c>
      <c r="E12" s="197">
        <v>8614</v>
      </c>
      <c r="F12" s="433">
        <f t="shared" si="1"/>
        <v>1</v>
      </c>
      <c r="H12" s="843"/>
      <c r="I12" s="845" t="s">
        <v>236</v>
      </c>
      <c r="J12" s="570">
        <v>5678</v>
      </c>
      <c r="K12" s="216">
        <f>+J12/J15</f>
        <v>0.22874869067762468</v>
      </c>
      <c r="L12" s="7">
        <f t="shared" si="2"/>
        <v>30.194827169446459</v>
      </c>
      <c r="O12" s="21"/>
      <c r="Q12" s="5"/>
      <c r="R12" s="861"/>
      <c r="S12" s="985"/>
      <c r="T12" s="984"/>
      <c r="U12" s="216"/>
    </row>
    <row r="13" spans="1:23" ht="14.25" customHeight="1" x14ac:dyDescent="0.2">
      <c r="A13" s="82"/>
      <c r="B13" s="844" t="s">
        <v>237</v>
      </c>
      <c r="C13" s="194">
        <v>3079</v>
      </c>
      <c r="D13" s="197">
        <v>5299</v>
      </c>
      <c r="E13" s="197">
        <v>5299</v>
      </c>
      <c r="F13" s="433">
        <f t="shared" si="1"/>
        <v>1</v>
      </c>
      <c r="H13" s="843"/>
      <c r="I13" s="845" t="s">
        <v>237</v>
      </c>
      <c r="J13" s="570">
        <v>3400</v>
      </c>
      <c r="K13" s="216">
        <f>+J13/J15</f>
        <v>0.13697526387881717</v>
      </c>
      <c r="L13" s="7">
        <f t="shared" si="2"/>
        <v>18.080734832003866</v>
      </c>
      <c r="O13" s="21"/>
      <c r="Q13" s="5"/>
      <c r="R13" s="861"/>
      <c r="S13" s="985"/>
      <c r="T13" s="984"/>
      <c r="U13" s="216"/>
    </row>
    <row r="14" spans="1:23" ht="14.25" customHeight="1" x14ac:dyDescent="0.2">
      <c r="A14" s="82"/>
      <c r="B14" s="844" t="s">
        <v>238</v>
      </c>
      <c r="C14" s="194">
        <v>1911</v>
      </c>
      <c r="D14" s="197">
        <v>3289</v>
      </c>
      <c r="E14" s="197">
        <v>3289</v>
      </c>
      <c r="F14" s="433">
        <f t="shared" si="1"/>
        <v>1</v>
      </c>
      <c r="H14" s="843"/>
      <c r="I14" s="845" t="s">
        <v>238</v>
      </c>
      <c r="J14" s="570">
        <v>2047</v>
      </c>
      <c r="K14" s="216">
        <f>+J14/J15</f>
        <v>8.2467166223511398E-2</v>
      </c>
      <c r="L14" s="7">
        <f t="shared" si="2"/>
        <v>10.885665941503504</v>
      </c>
      <c r="O14" s="21"/>
      <c r="Q14" s="5"/>
      <c r="R14" s="861"/>
      <c r="S14" s="862"/>
      <c r="T14" s="984"/>
      <c r="U14" s="216"/>
    </row>
    <row r="15" spans="1:23" s="19" customFormat="1" ht="14.25" customHeight="1" x14ac:dyDescent="0.2">
      <c r="A15" s="82"/>
      <c r="B15" s="119"/>
      <c r="C15" s="200"/>
      <c r="D15" s="201"/>
      <c r="E15" s="423"/>
      <c r="F15" s="433"/>
      <c r="G15" s="21"/>
      <c r="H15" s="843"/>
      <c r="J15" s="215">
        <f>SUM(J8:J14)</f>
        <v>24822</v>
      </c>
      <c r="K15" s="217"/>
      <c r="L15" s="218">
        <f>SUM(L8:L14)</f>
        <v>132</v>
      </c>
      <c r="M15" s="7"/>
      <c r="O15" s="21"/>
      <c r="Q15" s="21"/>
      <c r="R15" s="861"/>
      <c r="T15" s="215"/>
      <c r="U15" s="217"/>
      <c r="V15" s="218"/>
      <c r="W15" s="7"/>
    </row>
    <row r="16" spans="1:23" s="19" customFormat="1" ht="14.25" customHeight="1" x14ac:dyDescent="0.2">
      <c r="A16" s="82"/>
      <c r="B16" s="212" t="s">
        <v>1065</v>
      </c>
      <c r="C16" s="412">
        <f>SUM(C17:C22)</f>
        <v>3225</v>
      </c>
      <c r="D16" s="412">
        <f>SUM(D17:D22)</f>
        <v>3225</v>
      </c>
      <c r="E16" s="412">
        <f>SUM(E17:E22)</f>
        <v>3225</v>
      </c>
      <c r="F16" s="433">
        <f t="shared" ref="F16:F22" si="3">+E16/D16</f>
        <v>1</v>
      </c>
      <c r="G16" s="21"/>
      <c r="H16" s="843"/>
      <c r="J16" s="215"/>
      <c r="K16" s="217"/>
      <c r="L16" s="218"/>
      <c r="M16" s="7"/>
      <c r="O16" s="21"/>
      <c r="Q16" s="21"/>
      <c r="R16" s="861"/>
      <c r="T16" s="215"/>
      <c r="U16" s="217"/>
      <c r="V16" s="218"/>
      <c r="W16" s="7"/>
    </row>
    <row r="17" spans="1:23" s="19" customFormat="1" ht="14.25" customHeight="1" x14ac:dyDescent="0.2">
      <c r="A17" s="82"/>
      <c r="B17" s="867" t="s">
        <v>233</v>
      </c>
      <c r="C17" s="194">
        <v>578</v>
      </c>
      <c r="D17" s="197">
        <v>578</v>
      </c>
      <c r="E17" s="197">
        <v>578</v>
      </c>
      <c r="F17" s="433">
        <f t="shared" si="3"/>
        <v>1</v>
      </c>
      <c r="G17" s="21"/>
      <c r="H17" s="843"/>
      <c r="J17" s="215"/>
      <c r="K17" s="217"/>
      <c r="L17" s="218"/>
      <c r="M17" s="7"/>
      <c r="O17" s="21"/>
      <c r="Q17" s="21"/>
      <c r="R17" s="861"/>
      <c r="T17" s="215"/>
      <c r="U17" s="217"/>
      <c r="V17" s="218"/>
      <c r="W17" s="7"/>
    </row>
    <row r="18" spans="1:23" s="19" customFormat="1" ht="14.25" customHeight="1" x14ac:dyDescent="0.2">
      <c r="A18" s="82"/>
      <c r="B18" s="867" t="s">
        <v>239</v>
      </c>
      <c r="C18" s="194">
        <v>268</v>
      </c>
      <c r="D18" s="197">
        <v>268</v>
      </c>
      <c r="E18" s="197">
        <v>268</v>
      </c>
      <c r="F18" s="433">
        <f t="shared" si="3"/>
        <v>1</v>
      </c>
      <c r="G18" s="21"/>
      <c r="H18" s="843"/>
      <c r="J18" s="215"/>
      <c r="K18" s="217"/>
      <c r="L18" s="218"/>
      <c r="M18" s="7"/>
      <c r="O18" s="21"/>
      <c r="Q18" s="21"/>
      <c r="R18" s="861"/>
      <c r="T18" s="215"/>
      <c r="U18" s="217"/>
      <c r="V18" s="218"/>
      <c r="W18" s="7"/>
    </row>
    <row r="19" spans="1:23" s="19" customFormat="1" ht="14.25" customHeight="1" x14ac:dyDescent="0.2">
      <c r="A19" s="82"/>
      <c r="B19" s="867" t="s">
        <v>235</v>
      </c>
      <c r="C19" s="194">
        <v>239</v>
      </c>
      <c r="D19" s="197">
        <v>239</v>
      </c>
      <c r="E19" s="197">
        <v>239</v>
      </c>
      <c r="F19" s="433">
        <f t="shared" si="3"/>
        <v>1</v>
      </c>
      <c r="G19" s="21"/>
      <c r="H19" s="843"/>
      <c r="J19" s="215"/>
      <c r="K19" s="217"/>
      <c r="L19" s="218"/>
      <c r="M19" s="7"/>
      <c r="O19" s="21"/>
      <c r="Q19" s="21"/>
      <c r="R19" s="861"/>
      <c r="T19" s="215"/>
      <c r="U19" s="217"/>
      <c r="V19" s="218"/>
      <c r="W19" s="7"/>
    </row>
    <row r="20" spans="1:23" s="19" customFormat="1" ht="14.25" customHeight="1" x14ac:dyDescent="0.2">
      <c r="A20" s="82"/>
      <c r="B20" s="867" t="s">
        <v>236</v>
      </c>
      <c r="C20" s="194">
        <v>1161</v>
      </c>
      <c r="D20" s="197">
        <v>1161</v>
      </c>
      <c r="E20" s="197">
        <v>1161</v>
      </c>
      <c r="F20" s="433">
        <f t="shared" si="3"/>
        <v>1</v>
      </c>
      <c r="G20" s="21"/>
      <c r="H20" s="843"/>
      <c r="J20" s="215"/>
      <c r="K20" s="217"/>
      <c r="L20" s="218"/>
      <c r="M20" s="7"/>
      <c r="O20" s="21"/>
      <c r="Q20" s="21"/>
      <c r="R20" s="861"/>
      <c r="T20" s="215"/>
      <c r="U20" s="217"/>
      <c r="V20" s="218"/>
      <c r="W20" s="7"/>
    </row>
    <row r="21" spans="1:23" s="19" customFormat="1" ht="14.25" customHeight="1" x14ac:dyDescent="0.2">
      <c r="A21" s="82"/>
      <c r="B21" s="867" t="s">
        <v>10</v>
      </c>
      <c r="C21" s="194">
        <v>443</v>
      </c>
      <c r="D21" s="197">
        <v>443</v>
      </c>
      <c r="E21" s="197">
        <v>443</v>
      </c>
      <c r="F21" s="433">
        <f t="shared" si="3"/>
        <v>1</v>
      </c>
      <c r="G21" s="21"/>
      <c r="H21" s="843"/>
      <c r="J21" s="215"/>
      <c r="K21" s="217"/>
      <c r="L21" s="218"/>
      <c r="M21" s="7"/>
      <c r="O21" s="21"/>
      <c r="Q21" s="21"/>
      <c r="R21" s="861"/>
      <c r="T21" s="215"/>
      <c r="U21" s="217"/>
      <c r="V21" s="218"/>
      <c r="W21" s="7"/>
    </row>
    <row r="22" spans="1:23" s="19" customFormat="1" ht="14.25" customHeight="1" x14ac:dyDescent="0.2">
      <c r="A22" s="82"/>
      <c r="B22" s="867" t="s">
        <v>225</v>
      </c>
      <c r="C22" s="194">
        <v>536</v>
      </c>
      <c r="D22" s="197">
        <v>536</v>
      </c>
      <c r="E22" s="197">
        <v>536</v>
      </c>
      <c r="F22" s="433">
        <f t="shared" si="3"/>
        <v>1</v>
      </c>
      <c r="G22" s="21"/>
      <c r="H22" s="843"/>
      <c r="J22" s="215"/>
      <c r="K22" s="217"/>
      <c r="L22" s="218"/>
      <c r="M22" s="7"/>
      <c r="O22" s="21"/>
      <c r="Q22" s="21"/>
      <c r="R22" s="861"/>
      <c r="T22" s="215"/>
      <c r="U22" s="217"/>
      <c r="V22" s="218"/>
      <c r="W22" s="7"/>
    </row>
    <row r="23" spans="1:23" s="19" customFormat="1" ht="14.25" customHeight="1" x14ac:dyDescent="0.2">
      <c r="A23" s="82"/>
      <c r="B23" s="868"/>
      <c r="C23" s="194"/>
      <c r="D23" s="865"/>
      <c r="E23" s="866"/>
      <c r="F23" s="433"/>
      <c r="G23" s="21"/>
      <c r="H23" s="843"/>
      <c r="J23" s="215"/>
      <c r="K23" s="217"/>
      <c r="L23" s="218"/>
      <c r="M23" s="7"/>
      <c r="O23" s="21"/>
      <c r="Q23" s="21"/>
      <c r="R23" s="861"/>
      <c r="T23" s="215"/>
      <c r="U23" s="217"/>
      <c r="V23" s="218"/>
      <c r="W23" s="7"/>
    </row>
    <row r="24" spans="1:23" ht="14.25" customHeight="1" x14ac:dyDescent="0.2">
      <c r="A24" s="84"/>
      <c r="B24" s="212" t="s">
        <v>1072</v>
      </c>
      <c r="C24" s="196">
        <f>+SUM(C25:C31)</f>
        <v>55907</v>
      </c>
      <c r="D24" s="196">
        <f t="shared" ref="D24" si="4">+SUM(D25:D31)</f>
        <v>39087</v>
      </c>
      <c r="E24" s="424">
        <f>+SUM(E25:E31)</f>
        <v>39087</v>
      </c>
      <c r="F24" s="433">
        <f t="shared" si="1"/>
        <v>1</v>
      </c>
      <c r="O24" s="21"/>
    </row>
    <row r="25" spans="1:23" ht="14.25" customHeight="1" x14ac:dyDescent="0.2">
      <c r="A25" s="84"/>
      <c r="B25" s="844" t="s">
        <v>233</v>
      </c>
      <c r="C25" s="412">
        <f>+'4.SZ.TÁBL. SEGÍTŐ SZOLGÁLAT'!AD33</f>
        <v>16998</v>
      </c>
      <c r="D25" s="412">
        <f>+'4.SZ.TÁBL. SEGÍTŐ SZOLGÁLAT'!AE33</f>
        <v>14061</v>
      </c>
      <c r="E25" s="412">
        <f>+'4.SZ.TÁBL. SEGÍTŐ SZOLGÁLAT'!AF33</f>
        <v>14061</v>
      </c>
      <c r="F25" s="433">
        <f t="shared" si="1"/>
        <v>1</v>
      </c>
      <c r="O25" s="21"/>
    </row>
    <row r="26" spans="1:23" ht="14.25" customHeight="1" x14ac:dyDescent="0.2">
      <c r="A26" s="84"/>
      <c r="B26" s="844" t="s">
        <v>239</v>
      </c>
      <c r="C26" s="412">
        <f>+'4.SZ.TÁBL. SEGÍTŐ SZOLGÁLAT'!AD34</f>
        <v>3100</v>
      </c>
      <c r="D26" s="412">
        <f>+'4.SZ.TÁBL. SEGÍTŐ SZOLGÁLAT'!AE34</f>
        <v>1984</v>
      </c>
      <c r="E26" s="412">
        <f>+'4.SZ.TÁBL. SEGÍTŐ SZOLGÁLAT'!AF34</f>
        <v>1984</v>
      </c>
      <c r="F26" s="433">
        <f t="shared" si="1"/>
        <v>1</v>
      </c>
      <c r="O26" s="21"/>
    </row>
    <row r="27" spans="1:23" ht="14.25" customHeight="1" x14ac:dyDescent="0.2">
      <c r="A27" s="84"/>
      <c r="B27" s="844" t="s">
        <v>235</v>
      </c>
      <c r="C27" s="412">
        <f>+'4.SZ.TÁBL. SEGÍTŐ SZOLGÁLAT'!AD35</f>
        <v>2767</v>
      </c>
      <c r="D27" s="412">
        <f>+'4.SZ.TÁBL. SEGÍTŐ SZOLGÁLAT'!AE35</f>
        <v>1770</v>
      </c>
      <c r="E27" s="412">
        <f>+'4.SZ.TÁBL. SEGÍTŐ SZOLGÁLAT'!AF35</f>
        <v>1770</v>
      </c>
      <c r="F27" s="433">
        <f t="shared" si="1"/>
        <v>1</v>
      </c>
      <c r="I27" s="214"/>
      <c r="J27" s="214"/>
      <c r="O27" s="21"/>
    </row>
    <row r="28" spans="1:23" ht="14.25" customHeight="1" x14ac:dyDescent="0.2">
      <c r="A28" s="84"/>
      <c r="B28" s="844" t="s">
        <v>236</v>
      </c>
      <c r="C28" s="412">
        <f>+'4.SZ.TÁBL. SEGÍTŐ SZOLGÁLAT'!AD36</f>
        <v>15348</v>
      </c>
      <c r="D28" s="412">
        <f>+'4.SZ.TÁBL. SEGÍTŐ SZOLGÁLAT'!AE36</f>
        <v>10422</v>
      </c>
      <c r="E28" s="412">
        <f>+'4.SZ.TÁBL. SEGÍTŐ SZOLGÁLAT'!AF36</f>
        <v>10422</v>
      </c>
      <c r="F28" s="433">
        <f t="shared" si="1"/>
        <v>1</v>
      </c>
      <c r="H28" s="214"/>
      <c r="K28" s="214"/>
      <c r="O28" s="21"/>
    </row>
    <row r="29" spans="1:23" ht="14.25" customHeight="1" x14ac:dyDescent="0.2">
      <c r="A29" s="84"/>
      <c r="B29" s="844" t="s">
        <v>237</v>
      </c>
      <c r="C29" s="412">
        <f>+'4.SZ.TÁBL. SEGÍTŐ SZOLGÁLAT'!AD37</f>
        <v>8263</v>
      </c>
      <c r="D29" s="412">
        <f>+'4.SZ.TÁBL. SEGÍTŐ SZOLGÁLAT'!AE37</f>
        <v>5287</v>
      </c>
      <c r="E29" s="412">
        <f>+'4.SZ.TÁBL. SEGÍTŐ SZOLGÁLAT'!AF37</f>
        <v>5287</v>
      </c>
      <c r="F29" s="433">
        <f t="shared" si="1"/>
        <v>1</v>
      </c>
      <c r="O29" s="21"/>
    </row>
    <row r="30" spans="1:23" s="214" customFormat="1" ht="14.25" customHeight="1" x14ac:dyDescent="0.2">
      <c r="A30" s="84"/>
      <c r="B30" s="844" t="s">
        <v>238</v>
      </c>
      <c r="C30" s="412">
        <f>+'4.SZ.TÁBL. SEGÍTŐ SZOLGÁLAT'!AD38</f>
        <v>5129</v>
      </c>
      <c r="D30" s="412">
        <f>+'4.SZ.TÁBL. SEGÍTŐ SZOLGÁLAT'!AE38</f>
        <v>3281</v>
      </c>
      <c r="E30" s="412">
        <f>+'4.SZ.TÁBL. SEGÍTŐ SZOLGÁLAT'!AF38</f>
        <v>3281</v>
      </c>
      <c r="F30" s="433">
        <f t="shared" si="1"/>
        <v>1</v>
      </c>
      <c r="G30" s="6"/>
      <c r="H30" s="7"/>
      <c r="I30" s="7"/>
      <c r="J30" s="7"/>
      <c r="K30" s="7"/>
      <c r="L30" s="7"/>
      <c r="M30" s="7"/>
      <c r="O30" s="21"/>
    </row>
    <row r="31" spans="1:23" s="214" customFormat="1" ht="14.25" customHeight="1" x14ac:dyDescent="0.2">
      <c r="A31" s="84"/>
      <c r="B31" s="846" t="s">
        <v>225</v>
      </c>
      <c r="C31" s="412">
        <f>+'4.SZ.TÁBL. SEGÍTŐ SZOLGÁLAT'!AD39</f>
        <v>4302</v>
      </c>
      <c r="D31" s="412">
        <f>+'4.SZ.TÁBL. SEGÍTŐ SZOLGÁLAT'!AE39</f>
        <v>2282</v>
      </c>
      <c r="E31" s="412">
        <f>+'4.SZ.TÁBL. SEGÍTŐ SZOLGÁLAT'!AF39</f>
        <v>2282</v>
      </c>
      <c r="F31" s="433">
        <f t="shared" si="1"/>
        <v>1</v>
      </c>
      <c r="G31" s="6"/>
      <c r="H31" s="7"/>
      <c r="I31" s="7"/>
      <c r="J31" s="7"/>
      <c r="K31" s="7"/>
      <c r="L31" s="7"/>
      <c r="M31" s="7"/>
      <c r="O31" s="21"/>
    </row>
    <row r="32" spans="1:23" s="211" customFormat="1" ht="14.25" customHeight="1" x14ac:dyDescent="0.25">
      <c r="A32" s="82"/>
      <c r="B32" s="846"/>
      <c r="C32" s="200"/>
      <c r="D32" s="201"/>
      <c r="E32" s="423"/>
      <c r="F32" s="433"/>
      <c r="G32" s="6"/>
      <c r="H32" s="7"/>
      <c r="I32" s="7"/>
      <c r="J32" s="7"/>
      <c r="K32" s="7"/>
      <c r="L32" s="7"/>
      <c r="M32" s="7"/>
      <c r="O32" s="21"/>
    </row>
    <row r="33" spans="1:15" s="211" customFormat="1" ht="14.25" customHeight="1" x14ac:dyDescent="0.25">
      <c r="A33" s="82"/>
      <c r="B33" s="212" t="s">
        <v>1186</v>
      </c>
      <c r="C33" s="196">
        <f>SUM(C34:C41)</f>
        <v>2824</v>
      </c>
      <c r="D33" s="196">
        <f t="shared" ref="D33:E33" si="5">SUM(D34:D41)</f>
        <v>2824</v>
      </c>
      <c r="E33" s="424">
        <f t="shared" si="5"/>
        <v>2824</v>
      </c>
      <c r="F33" s="433">
        <f t="shared" si="1"/>
        <v>1</v>
      </c>
      <c r="G33" s="210"/>
      <c r="H33" s="7"/>
      <c r="I33" s="7"/>
      <c r="J33" s="7"/>
      <c r="K33" s="7"/>
      <c r="L33" s="7"/>
      <c r="M33" s="7"/>
      <c r="O33" s="21"/>
    </row>
    <row r="34" spans="1:15" s="211" customFormat="1" ht="14.25" customHeight="1" x14ac:dyDescent="0.25">
      <c r="A34" s="82"/>
      <c r="B34" s="844" t="s">
        <v>1187</v>
      </c>
      <c r="C34" s="194">
        <v>290</v>
      </c>
      <c r="D34" s="197">
        <v>290</v>
      </c>
      <c r="E34" s="197">
        <v>290</v>
      </c>
      <c r="F34" s="433">
        <f t="shared" si="1"/>
        <v>1</v>
      </c>
      <c r="G34" s="5" t="s">
        <v>241</v>
      </c>
      <c r="H34" s="7">
        <v>100</v>
      </c>
      <c r="I34" s="7" t="s">
        <v>4</v>
      </c>
      <c r="J34" s="570">
        <v>2755</v>
      </c>
      <c r="K34" s="5">
        <f>+$H$34*J34</f>
        <v>275500</v>
      </c>
      <c r="L34" s="7">
        <v>275</v>
      </c>
      <c r="M34" s="7"/>
      <c r="O34" s="21"/>
    </row>
    <row r="35" spans="1:15" s="211" customFormat="1" ht="14.25" customHeight="1" x14ac:dyDescent="0.25">
      <c r="A35" s="82"/>
      <c r="B35" s="844" t="s">
        <v>1188</v>
      </c>
      <c r="C35" s="194">
        <v>848</v>
      </c>
      <c r="D35" s="197">
        <v>848</v>
      </c>
      <c r="E35" s="197">
        <v>848</v>
      </c>
      <c r="F35" s="433">
        <f t="shared" si="1"/>
        <v>1</v>
      </c>
      <c r="G35" s="5"/>
      <c r="H35" s="7"/>
      <c r="I35" s="7" t="s">
        <v>5</v>
      </c>
      <c r="J35" s="570">
        <v>8617</v>
      </c>
      <c r="K35" s="5">
        <f t="shared" ref="K35:K41" si="6">+$H$34*J35</f>
        <v>861700</v>
      </c>
      <c r="L35" s="7">
        <v>862</v>
      </c>
      <c r="M35" s="7"/>
      <c r="O35" s="21"/>
    </row>
    <row r="36" spans="1:15" s="211" customFormat="1" ht="14.25" customHeight="1" x14ac:dyDescent="0.25">
      <c r="A36" s="82"/>
      <c r="B36" s="844" t="s">
        <v>1189</v>
      </c>
      <c r="C36" s="194">
        <v>134</v>
      </c>
      <c r="D36" s="197">
        <v>134</v>
      </c>
      <c r="E36" s="197">
        <v>134</v>
      </c>
      <c r="F36" s="433">
        <f t="shared" si="1"/>
        <v>1</v>
      </c>
      <c r="G36" s="5"/>
      <c r="H36" s="7"/>
      <c r="I36" s="7" t="s">
        <v>6</v>
      </c>
      <c r="J36" s="570">
        <v>1248</v>
      </c>
      <c r="K36" s="5">
        <f t="shared" si="6"/>
        <v>124800</v>
      </c>
      <c r="L36" s="7">
        <v>125</v>
      </c>
      <c r="M36" s="7"/>
      <c r="O36" s="21"/>
    </row>
    <row r="37" spans="1:15" s="211" customFormat="1" ht="14.25" customHeight="1" x14ac:dyDescent="0.25">
      <c r="A37" s="82"/>
      <c r="B37" s="844" t="s">
        <v>1190</v>
      </c>
      <c r="C37" s="194">
        <v>120</v>
      </c>
      <c r="D37" s="197">
        <v>120</v>
      </c>
      <c r="E37" s="197">
        <v>120</v>
      </c>
      <c r="F37" s="433">
        <f t="shared" si="1"/>
        <v>1</v>
      </c>
      <c r="G37" s="5"/>
      <c r="H37" s="7"/>
      <c r="I37" s="7" t="s">
        <v>7</v>
      </c>
      <c r="J37" s="570">
        <v>1077</v>
      </c>
      <c r="K37" s="5">
        <f t="shared" si="6"/>
        <v>107700</v>
      </c>
      <c r="L37" s="7">
        <v>107</v>
      </c>
      <c r="M37" s="7"/>
      <c r="O37" s="21"/>
    </row>
    <row r="38" spans="1:15" s="211" customFormat="1" ht="14.25" customHeight="1" x14ac:dyDescent="0.25">
      <c r="A38" s="82"/>
      <c r="B38" s="844" t="s">
        <v>1191</v>
      </c>
      <c r="C38" s="194">
        <v>583</v>
      </c>
      <c r="D38" s="197">
        <v>583</v>
      </c>
      <c r="E38" s="197">
        <v>583</v>
      </c>
      <c r="F38" s="433">
        <f t="shared" si="1"/>
        <v>1</v>
      </c>
      <c r="G38" s="5"/>
      <c r="H38" s="7"/>
      <c r="I38" s="7" t="s">
        <v>8</v>
      </c>
      <c r="J38" s="570">
        <v>5678</v>
      </c>
      <c r="K38" s="5">
        <f t="shared" si="6"/>
        <v>567800</v>
      </c>
      <c r="L38" s="7">
        <v>568</v>
      </c>
      <c r="M38" s="7"/>
      <c r="O38" s="21"/>
    </row>
    <row r="39" spans="1:15" s="211" customFormat="1" ht="14.25" customHeight="1" x14ac:dyDescent="0.25">
      <c r="A39" s="82"/>
      <c r="B39" s="844" t="s">
        <v>1192</v>
      </c>
      <c r="C39" s="194">
        <v>358</v>
      </c>
      <c r="D39" s="197">
        <v>358</v>
      </c>
      <c r="E39" s="197">
        <v>358</v>
      </c>
      <c r="F39" s="433">
        <f t="shared" si="1"/>
        <v>1</v>
      </c>
      <c r="G39" s="5"/>
      <c r="H39" s="7"/>
      <c r="I39" s="7" t="s">
        <v>9</v>
      </c>
      <c r="J39" s="570">
        <v>3400</v>
      </c>
      <c r="K39" s="5">
        <f t="shared" si="6"/>
        <v>340000</v>
      </c>
      <c r="L39" s="7">
        <v>340</v>
      </c>
      <c r="M39" s="7"/>
      <c r="O39" s="21"/>
    </row>
    <row r="40" spans="1:15" s="211" customFormat="1" ht="14.25" customHeight="1" x14ac:dyDescent="0.25">
      <c r="A40" s="82"/>
      <c r="B40" s="844" t="s">
        <v>1193</v>
      </c>
      <c r="C40" s="194">
        <v>222</v>
      </c>
      <c r="D40" s="197">
        <v>222</v>
      </c>
      <c r="E40" s="197">
        <v>222</v>
      </c>
      <c r="F40" s="433">
        <f t="shared" si="1"/>
        <v>1</v>
      </c>
      <c r="G40" s="5"/>
      <c r="H40" s="7"/>
      <c r="I40" s="7" t="s">
        <v>10</v>
      </c>
      <c r="J40" s="570">
        <v>2047</v>
      </c>
      <c r="K40" s="5">
        <f t="shared" si="6"/>
        <v>204700</v>
      </c>
      <c r="L40" s="7">
        <v>205</v>
      </c>
      <c r="M40" s="7"/>
      <c r="O40" s="21"/>
    </row>
    <row r="41" spans="1:15" s="211" customFormat="1" ht="14.25" customHeight="1" x14ac:dyDescent="0.25">
      <c r="A41" s="82"/>
      <c r="B41" s="846" t="s">
        <v>1194</v>
      </c>
      <c r="C41" s="194">
        <v>269</v>
      </c>
      <c r="D41" s="197">
        <v>269</v>
      </c>
      <c r="E41" s="197">
        <v>269</v>
      </c>
      <c r="F41" s="433">
        <f t="shared" si="1"/>
        <v>1</v>
      </c>
      <c r="G41" s="210"/>
      <c r="H41" s="7"/>
      <c r="I41" s="25" t="s">
        <v>225</v>
      </c>
      <c r="J41" s="190">
        <v>2539</v>
      </c>
      <c r="K41" s="5">
        <f t="shared" si="6"/>
        <v>253900</v>
      </c>
      <c r="L41" s="190">
        <v>254</v>
      </c>
      <c r="M41" s="7"/>
      <c r="O41" s="21"/>
    </row>
    <row r="42" spans="1:15" s="211" customFormat="1" ht="14.25" customHeight="1" x14ac:dyDescent="0.25">
      <c r="A42" s="82"/>
      <c r="B42" s="846"/>
      <c r="C42" s="196"/>
      <c r="D42" s="197"/>
      <c r="E42" s="412"/>
      <c r="F42" s="433"/>
      <c r="G42" s="210"/>
      <c r="H42" s="7"/>
      <c r="I42" s="25"/>
      <c r="J42" s="190"/>
      <c r="K42" s="5"/>
      <c r="L42" s="190"/>
      <c r="M42" s="7"/>
      <c r="O42" s="21"/>
    </row>
    <row r="43" spans="1:15" s="211" customFormat="1" ht="14.25" customHeight="1" x14ac:dyDescent="0.25">
      <c r="A43" s="82"/>
      <c r="B43" s="212" t="s">
        <v>1195</v>
      </c>
      <c r="C43" s="196">
        <f>SUM(C44:C48)</f>
        <v>1825</v>
      </c>
      <c r="D43" s="196">
        <f t="shared" ref="D43:E43" si="7">SUM(D44:D48)</f>
        <v>1825</v>
      </c>
      <c r="E43" s="196">
        <f t="shared" si="7"/>
        <v>1825</v>
      </c>
      <c r="F43" s="433">
        <f t="shared" si="1"/>
        <v>1</v>
      </c>
      <c r="G43" s="210"/>
      <c r="H43" s="7"/>
      <c r="I43" s="25"/>
      <c r="J43" s="190"/>
      <c r="K43" s="5"/>
      <c r="L43" s="190"/>
      <c r="M43" s="7"/>
      <c r="O43" s="21"/>
    </row>
    <row r="44" spans="1:15" s="211" customFormat="1" ht="14.25" customHeight="1" x14ac:dyDescent="0.25">
      <c r="A44" s="82"/>
      <c r="B44" s="844" t="s">
        <v>4</v>
      </c>
      <c r="C44" s="196">
        <v>257</v>
      </c>
      <c r="D44" s="197">
        <v>257</v>
      </c>
      <c r="E44" s="197">
        <v>257</v>
      </c>
      <c r="F44" s="433">
        <f t="shared" si="1"/>
        <v>1</v>
      </c>
      <c r="G44" s="210"/>
      <c r="H44" s="7"/>
      <c r="I44" s="25"/>
      <c r="J44" s="190"/>
      <c r="K44" s="5"/>
      <c r="L44" s="190"/>
      <c r="M44" s="7"/>
      <c r="O44" s="21"/>
    </row>
    <row r="45" spans="1:15" s="211" customFormat="1" ht="14.25" customHeight="1" x14ac:dyDescent="0.25">
      <c r="A45" s="82"/>
      <c r="B45" s="844" t="s">
        <v>1196</v>
      </c>
      <c r="C45" s="196">
        <v>119</v>
      </c>
      <c r="D45" s="197">
        <v>119</v>
      </c>
      <c r="E45" s="197">
        <v>119</v>
      </c>
      <c r="F45" s="433">
        <f t="shared" si="1"/>
        <v>1</v>
      </c>
      <c r="G45" s="210"/>
      <c r="H45" s="7"/>
      <c r="I45" s="25"/>
      <c r="J45" s="190"/>
      <c r="K45" s="5"/>
      <c r="L45" s="190"/>
      <c r="M45" s="7"/>
      <c r="O45" s="21"/>
    </row>
    <row r="46" spans="1:15" s="211" customFormat="1" ht="14.25" customHeight="1" x14ac:dyDescent="0.25">
      <c r="A46" s="82"/>
      <c r="B46" s="844" t="s">
        <v>1197</v>
      </c>
      <c r="C46" s="196">
        <v>775</v>
      </c>
      <c r="D46" s="197">
        <v>775</v>
      </c>
      <c r="E46" s="197">
        <v>775</v>
      </c>
      <c r="F46" s="433">
        <f t="shared" si="1"/>
        <v>1</v>
      </c>
      <c r="G46" s="210"/>
      <c r="H46" s="7"/>
      <c r="I46" s="25"/>
      <c r="J46" s="190"/>
      <c r="K46" s="5"/>
      <c r="L46" s="190"/>
      <c r="M46" s="7"/>
      <c r="O46" s="21"/>
    </row>
    <row r="47" spans="1:15" s="211" customFormat="1" ht="14.25" customHeight="1" x14ac:dyDescent="0.25">
      <c r="A47" s="82"/>
      <c r="B47" s="844" t="s">
        <v>1198</v>
      </c>
      <c r="C47" s="196">
        <v>477</v>
      </c>
      <c r="D47" s="197">
        <v>477</v>
      </c>
      <c r="E47" s="197">
        <v>477</v>
      </c>
      <c r="F47" s="433">
        <f t="shared" si="1"/>
        <v>1</v>
      </c>
      <c r="G47" s="210"/>
      <c r="H47" s="7"/>
      <c r="I47" s="25"/>
      <c r="J47" s="190"/>
      <c r="K47" s="5"/>
      <c r="L47" s="190"/>
      <c r="M47" s="7"/>
      <c r="O47" s="21"/>
    </row>
    <row r="48" spans="1:15" s="211" customFormat="1" ht="14.25" customHeight="1" x14ac:dyDescent="0.25">
      <c r="A48" s="82"/>
      <c r="B48" s="844" t="s">
        <v>1199</v>
      </c>
      <c r="C48" s="196">
        <v>197</v>
      </c>
      <c r="D48" s="197">
        <v>197</v>
      </c>
      <c r="E48" s="197">
        <v>197</v>
      </c>
      <c r="F48" s="433">
        <f t="shared" si="1"/>
        <v>1</v>
      </c>
      <c r="G48" s="210"/>
      <c r="H48" s="7"/>
      <c r="I48" s="25"/>
      <c r="J48" s="190"/>
      <c r="K48" s="5"/>
      <c r="L48" s="190"/>
      <c r="M48" s="7"/>
      <c r="O48" s="21"/>
    </row>
    <row r="49" spans="1:19" s="211" customFormat="1" ht="14.25" customHeight="1" x14ac:dyDescent="0.25">
      <c r="A49" s="82"/>
      <c r="B49" s="847"/>
      <c r="C49" s="196"/>
      <c r="D49" s="197"/>
      <c r="E49" s="412"/>
      <c r="F49" s="433"/>
      <c r="G49" s="210"/>
      <c r="H49" s="7"/>
      <c r="I49" s="25"/>
      <c r="J49" s="190"/>
      <c r="K49" s="5"/>
      <c r="L49" s="190"/>
      <c r="M49" s="7"/>
      <c r="O49" s="21"/>
    </row>
    <row r="50" spans="1:19" s="211" customFormat="1" ht="14.25" customHeight="1" x14ac:dyDescent="0.25">
      <c r="A50" s="82"/>
      <c r="B50" s="212" t="s">
        <v>1200</v>
      </c>
      <c r="C50" s="196">
        <f>SUM(C51:C55)</f>
        <v>803</v>
      </c>
      <c r="D50" s="196">
        <f t="shared" ref="D50:E50" si="8">SUM(D51:D55)</f>
        <v>803</v>
      </c>
      <c r="E50" s="196">
        <f t="shared" si="8"/>
        <v>803</v>
      </c>
      <c r="F50" s="433">
        <f t="shared" si="1"/>
        <v>1</v>
      </c>
      <c r="G50" s="210"/>
      <c r="H50" s="7"/>
      <c r="I50" s="25"/>
      <c r="J50" s="190"/>
      <c r="K50" s="5"/>
      <c r="L50" s="190"/>
      <c r="M50" s="7"/>
      <c r="O50" s="21"/>
    </row>
    <row r="51" spans="1:19" s="211" customFormat="1" ht="14.25" customHeight="1" x14ac:dyDescent="0.25">
      <c r="A51" s="82"/>
      <c r="B51" s="844" t="s">
        <v>4</v>
      </c>
      <c r="C51" s="196">
        <v>128</v>
      </c>
      <c r="D51" s="197">
        <v>128</v>
      </c>
      <c r="E51" s="197">
        <v>128</v>
      </c>
      <c r="F51" s="433">
        <f t="shared" si="1"/>
        <v>1</v>
      </c>
      <c r="G51" s="210"/>
      <c r="H51" s="7"/>
      <c r="I51" s="25"/>
      <c r="J51" s="190"/>
      <c r="K51" s="5"/>
      <c r="L51" s="190"/>
      <c r="M51" s="7"/>
      <c r="O51" s="21"/>
    </row>
    <row r="52" spans="1:19" s="211" customFormat="1" ht="14.25" customHeight="1" x14ac:dyDescent="0.25">
      <c r="A52" s="82"/>
      <c r="B52" s="844" t="s">
        <v>1196</v>
      </c>
      <c r="C52" s="196">
        <v>60</v>
      </c>
      <c r="D52" s="197">
        <v>60</v>
      </c>
      <c r="E52" s="197">
        <v>60</v>
      </c>
      <c r="F52" s="433">
        <f t="shared" si="1"/>
        <v>1</v>
      </c>
      <c r="G52" s="210"/>
      <c r="H52" s="7"/>
      <c r="I52" s="25"/>
      <c r="J52" s="190"/>
      <c r="K52" s="5"/>
      <c r="L52" s="190"/>
      <c r="M52" s="7"/>
      <c r="O52" s="21"/>
    </row>
    <row r="53" spans="1:19" s="211" customFormat="1" ht="14.25" customHeight="1" x14ac:dyDescent="0.25">
      <c r="A53" s="82"/>
      <c r="B53" s="844" t="s">
        <v>1201</v>
      </c>
      <c r="C53" s="196">
        <v>160</v>
      </c>
      <c r="D53" s="197">
        <v>160</v>
      </c>
      <c r="E53" s="197">
        <v>160</v>
      </c>
      <c r="F53" s="433">
        <f t="shared" si="1"/>
        <v>1</v>
      </c>
      <c r="G53" s="210"/>
      <c r="H53" s="7"/>
      <c r="I53" s="25"/>
      <c r="J53" s="190"/>
      <c r="K53" s="5"/>
      <c r="L53" s="190"/>
      <c r="M53" s="7"/>
      <c r="O53" s="21"/>
    </row>
    <row r="54" spans="1:19" s="211" customFormat="1" ht="14.25" customHeight="1" x14ac:dyDescent="0.25">
      <c r="A54" s="82"/>
      <c r="B54" s="844" t="s">
        <v>1199</v>
      </c>
      <c r="C54" s="196">
        <v>98</v>
      </c>
      <c r="D54" s="197">
        <v>98</v>
      </c>
      <c r="E54" s="197">
        <v>98</v>
      </c>
      <c r="F54" s="433">
        <f t="shared" si="1"/>
        <v>1</v>
      </c>
      <c r="G54" s="210"/>
      <c r="H54" s="7"/>
      <c r="I54" s="25"/>
      <c r="J54" s="190"/>
      <c r="K54" s="5"/>
      <c r="L54" s="190"/>
      <c r="M54" s="7"/>
      <c r="O54" s="21"/>
    </row>
    <row r="55" spans="1:19" s="211" customFormat="1" ht="14.25" customHeight="1" x14ac:dyDescent="0.25">
      <c r="A55" s="82"/>
      <c r="B55" s="846" t="s">
        <v>1202</v>
      </c>
      <c r="C55" s="196">
        <v>357</v>
      </c>
      <c r="D55" s="197">
        <v>357</v>
      </c>
      <c r="E55" s="197">
        <v>357</v>
      </c>
      <c r="F55" s="433">
        <f t="shared" si="1"/>
        <v>1</v>
      </c>
      <c r="G55" s="210"/>
      <c r="H55" s="7"/>
      <c r="I55" s="25"/>
      <c r="J55" s="190"/>
      <c r="K55" s="5"/>
      <c r="L55" s="190"/>
      <c r="M55" s="7"/>
      <c r="O55" s="21"/>
    </row>
    <row r="56" spans="1:19" s="211" customFormat="1" ht="14.25" customHeight="1" x14ac:dyDescent="0.25">
      <c r="A56" s="82"/>
      <c r="B56" s="846"/>
      <c r="C56" s="196"/>
      <c r="D56" s="197"/>
      <c r="E56" s="412"/>
      <c r="F56" s="433"/>
      <c r="G56" s="210"/>
      <c r="H56" s="7"/>
      <c r="I56" s="25"/>
      <c r="J56" s="190"/>
      <c r="K56" s="5"/>
      <c r="L56" s="190"/>
      <c r="M56" s="7"/>
      <c r="O56" s="21"/>
    </row>
    <row r="57" spans="1:19" s="211" customFormat="1" ht="14.25" customHeight="1" x14ac:dyDescent="0.25">
      <c r="A57" s="82"/>
      <c r="B57" s="212" t="s">
        <v>1073</v>
      </c>
      <c r="C57" s="196">
        <f>+SUM(C58:C64)</f>
        <v>2880</v>
      </c>
      <c r="D57" s="196">
        <f t="shared" ref="D57:E57" si="9">+SUM(D58:D64)</f>
        <v>2880</v>
      </c>
      <c r="E57" s="424">
        <f t="shared" si="9"/>
        <v>2880</v>
      </c>
      <c r="F57" s="433">
        <f t="shared" si="1"/>
        <v>1</v>
      </c>
      <c r="G57" s="210"/>
      <c r="H57" s="7"/>
      <c r="I57" s="7"/>
      <c r="J57" s="215"/>
      <c r="K57" s="5"/>
      <c r="L57" s="5"/>
      <c r="M57" s="7"/>
      <c r="O57" s="21"/>
      <c r="Q57" s="7"/>
      <c r="R57" s="7"/>
    </row>
    <row r="58" spans="1:19" s="211" customFormat="1" ht="14.25" customHeight="1" x14ac:dyDescent="0.25">
      <c r="A58" s="82"/>
      <c r="B58" s="844" t="s">
        <v>233</v>
      </c>
      <c r="C58" s="194">
        <v>228</v>
      </c>
      <c r="D58" s="197">
        <v>228</v>
      </c>
      <c r="E58" s="197">
        <v>228</v>
      </c>
      <c r="F58" s="433">
        <f t="shared" si="1"/>
        <v>1</v>
      </c>
      <c r="G58" s="5" t="s">
        <v>251</v>
      </c>
      <c r="H58" s="7" t="s">
        <v>253</v>
      </c>
      <c r="I58" s="7"/>
      <c r="J58" s="215" t="s">
        <v>252</v>
      </c>
      <c r="K58" s="5"/>
      <c r="L58" s="5"/>
      <c r="M58" s="7"/>
      <c r="O58" s="21"/>
      <c r="Q58" s="5"/>
      <c r="R58" s="5"/>
      <c r="S58" s="5"/>
    </row>
    <row r="59" spans="1:19" s="211" customFormat="1" ht="14.25" customHeight="1" x14ac:dyDescent="0.25">
      <c r="A59" s="82"/>
      <c r="B59" s="844" t="s">
        <v>239</v>
      </c>
      <c r="C59" s="194">
        <v>343</v>
      </c>
      <c r="D59" s="197">
        <v>343</v>
      </c>
      <c r="E59" s="197">
        <v>343</v>
      </c>
      <c r="F59" s="433">
        <f t="shared" si="1"/>
        <v>1</v>
      </c>
      <c r="G59" s="5"/>
      <c r="H59" s="7">
        <v>8641</v>
      </c>
      <c r="I59" s="7" t="s">
        <v>4</v>
      </c>
      <c r="J59" s="215">
        <v>40</v>
      </c>
      <c r="K59" s="5">
        <f>+H59*J59</f>
        <v>345640</v>
      </c>
      <c r="L59" s="5">
        <v>346</v>
      </c>
      <c r="M59" s="7"/>
      <c r="O59" s="21"/>
      <c r="Q59" s="5"/>
      <c r="R59" s="5"/>
      <c r="S59" s="5"/>
    </row>
    <row r="60" spans="1:19" s="211" customFormat="1" ht="14.25" customHeight="1" x14ac:dyDescent="0.25">
      <c r="A60" s="82"/>
      <c r="B60" s="844" t="s">
        <v>235</v>
      </c>
      <c r="C60" s="194">
        <v>228</v>
      </c>
      <c r="D60" s="197">
        <v>228</v>
      </c>
      <c r="E60" s="197">
        <v>228</v>
      </c>
      <c r="F60" s="433">
        <f t="shared" si="1"/>
        <v>1</v>
      </c>
      <c r="G60" s="5"/>
      <c r="H60" s="7"/>
      <c r="I60" s="7" t="s">
        <v>6</v>
      </c>
      <c r="J60" s="215">
        <v>40</v>
      </c>
      <c r="K60" s="5">
        <f>+H59*J60</f>
        <v>345640</v>
      </c>
      <c r="L60" s="5">
        <v>346</v>
      </c>
      <c r="M60" s="7"/>
      <c r="O60" s="21"/>
      <c r="Q60" s="5"/>
      <c r="R60" s="5"/>
      <c r="S60" s="5"/>
    </row>
    <row r="61" spans="1:19" s="211" customFormat="1" ht="14.25" customHeight="1" x14ac:dyDescent="0.25">
      <c r="A61" s="82"/>
      <c r="B61" s="844" t="s">
        <v>236</v>
      </c>
      <c r="C61" s="194">
        <v>983</v>
      </c>
      <c r="D61" s="197">
        <v>983</v>
      </c>
      <c r="E61" s="197">
        <v>983</v>
      </c>
      <c r="F61" s="433">
        <f t="shared" si="1"/>
        <v>1</v>
      </c>
      <c r="G61" s="5"/>
      <c r="H61" s="7"/>
      <c r="I61" s="7" t="s">
        <v>7</v>
      </c>
      <c r="J61" s="215">
        <v>40</v>
      </c>
      <c r="K61" s="5">
        <f>+H59*J61</f>
        <v>345640</v>
      </c>
      <c r="L61" s="5">
        <v>346</v>
      </c>
      <c r="M61" s="7"/>
      <c r="O61" s="21"/>
      <c r="Q61" s="5"/>
      <c r="R61" s="5"/>
      <c r="S61" s="5"/>
    </row>
    <row r="62" spans="1:19" s="211" customFormat="1" ht="14.25" customHeight="1" x14ac:dyDescent="0.25">
      <c r="A62" s="82"/>
      <c r="B62" s="844" t="s">
        <v>237</v>
      </c>
      <c r="C62" s="194">
        <v>229</v>
      </c>
      <c r="D62" s="197">
        <v>229</v>
      </c>
      <c r="E62" s="197">
        <v>229</v>
      </c>
      <c r="F62" s="433">
        <f t="shared" si="1"/>
        <v>1</v>
      </c>
      <c r="G62" s="5"/>
      <c r="H62" s="7">
        <v>20320</v>
      </c>
      <c r="I62" s="7" t="s">
        <v>8</v>
      </c>
      <c r="J62" s="215">
        <v>39</v>
      </c>
      <c r="K62" s="5">
        <f>+H62*J62</f>
        <v>792480</v>
      </c>
      <c r="L62" s="5">
        <v>790</v>
      </c>
      <c r="M62" s="7"/>
      <c r="O62" s="21"/>
      <c r="Q62" s="5"/>
      <c r="R62" s="5"/>
      <c r="S62" s="5"/>
    </row>
    <row r="63" spans="1:19" s="211" customFormat="1" ht="14.25" customHeight="1" x14ac:dyDescent="0.25">
      <c r="A63" s="82"/>
      <c r="B63" s="844" t="s">
        <v>238</v>
      </c>
      <c r="C63" s="194">
        <v>526</v>
      </c>
      <c r="D63" s="197">
        <v>526</v>
      </c>
      <c r="E63" s="197">
        <v>526</v>
      </c>
      <c r="F63" s="433">
        <f t="shared" si="1"/>
        <v>1</v>
      </c>
      <c r="G63" s="5"/>
      <c r="H63" s="7"/>
      <c r="I63" s="7" t="s">
        <v>9</v>
      </c>
      <c r="J63" s="215">
        <v>40</v>
      </c>
      <c r="K63" s="5">
        <f>+H59*J63</f>
        <v>345640</v>
      </c>
      <c r="L63" s="5">
        <v>346</v>
      </c>
      <c r="M63" s="7"/>
      <c r="O63" s="21"/>
      <c r="Q63" s="5"/>
      <c r="R63" s="5"/>
      <c r="S63" s="5"/>
    </row>
    <row r="64" spans="1:19" s="211" customFormat="1" ht="14.25" customHeight="1" x14ac:dyDescent="0.25">
      <c r="A64" s="82"/>
      <c r="B64" s="846" t="s">
        <v>225</v>
      </c>
      <c r="C64" s="194">
        <v>343</v>
      </c>
      <c r="D64" s="197">
        <v>343</v>
      </c>
      <c r="E64" s="197">
        <v>343</v>
      </c>
      <c r="F64" s="433">
        <f t="shared" si="1"/>
        <v>1</v>
      </c>
      <c r="G64" s="5"/>
      <c r="H64" s="7"/>
      <c r="I64" s="7" t="s">
        <v>10</v>
      </c>
      <c r="J64" s="215">
        <v>40</v>
      </c>
      <c r="K64" s="5">
        <f>+H59*J64</f>
        <v>345640</v>
      </c>
      <c r="L64" s="5">
        <v>346</v>
      </c>
      <c r="M64" s="7"/>
      <c r="O64" s="21"/>
      <c r="Q64" s="5"/>
      <c r="R64" s="5"/>
      <c r="S64" s="5"/>
    </row>
    <row r="65" spans="1:19" s="211" customFormat="1" ht="14.25" customHeight="1" x14ac:dyDescent="0.25">
      <c r="A65" s="82"/>
      <c r="B65" s="847"/>
      <c r="C65" s="200"/>
      <c r="D65" s="201"/>
      <c r="E65" s="423"/>
      <c r="F65" s="433"/>
      <c r="G65" s="5"/>
      <c r="H65" s="7"/>
      <c r="I65" s="25" t="s">
        <v>225</v>
      </c>
      <c r="J65" s="215">
        <v>40</v>
      </c>
      <c r="K65" s="5">
        <f>+H59*J65</f>
        <v>345640</v>
      </c>
      <c r="L65" s="5">
        <v>346</v>
      </c>
      <c r="M65" s="7"/>
      <c r="O65" s="21"/>
      <c r="Q65" s="210"/>
      <c r="R65" s="210"/>
      <c r="S65" s="210"/>
    </row>
    <row r="66" spans="1:19" s="211" customFormat="1" ht="14.25" customHeight="1" x14ac:dyDescent="0.25">
      <c r="A66" s="82"/>
      <c r="B66" s="212" t="s">
        <v>1074</v>
      </c>
      <c r="C66" s="196">
        <f>+SUM(C67:C73)</f>
        <v>7000</v>
      </c>
      <c r="D66" s="196">
        <f t="shared" ref="D66:E66" si="10">+SUM(D67:D73)</f>
        <v>7000</v>
      </c>
      <c r="E66" s="424">
        <f t="shared" si="10"/>
        <v>7000</v>
      </c>
      <c r="F66" s="433">
        <f t="shared" si="1"/>
        <v>1</v>
      </c>
      <c r="G66" s="5"/>
      <c r="H66" s="7"/>
      <c r="I66" s="25"/>
      <c r="J66" s="215"/>
      <c r="K66" s="5">
        <f>SUM(K59:K65)</f>
        <v>2866320</v>
      </c>
      <c r="L66" s="5">
        <f>SUM(L59:L65)</f>
        <v>2866</v>
      </c>
      <c r="M66" s="7"/>
      <c r="O66" s="21"/>
    </row>
    <row r="67" spans="1:19" s="211" customFormat="1" ht="14.25" customHeight="1" x14ac:dyDescent="0.25">
      <c r="A67" s="82"/>
      <c r="B67" s="844" t="s">
        <v>233</v>
      </c>
      <c r="C67" s="194">
        <v>905</v>
      </c>
      <c r="D67" s="197">
        <v>905</v>
      </c>
      <c r="E67" s="197">
        <v>905</v>
      </c>
      <c r="F67" s="433">
        <f t="shared" si="1"/>
        <v>1</v>
      </c>
      <c r="G67" s="5"/>
      <c r="H67" s="7"/>
      <c r="I67" s="7"/>
      <c r="J67" s="215"/>
      <c r="K67" s="5"/>
      <c r="L67" s="5"/>
      <c r="M67" s="7"/>
      <c r="O67" s="21"/>
    </row>
    <row r="68" spans="1:19" s="211" customFormat="1" ht="14.25" customHeight="1" x14ac:dyDescent="0.25">
      <c r="A68" s="82"/>
      <c r="B68" s="844" t="s">
        <v>234</v>
      </c>
      <c r="C68" s="194">
        <v>2647</v>
      </c>
      <c r="D68" s="197">
        <v>2647</v>
      </c>
      <c r="E68" s="197">
        <v>2647</v>
      </c>
      <c r="F68" s="433">
        <f t="shared" si="1"/>
        <v>1</v>
      </c>
      <c r="G68" s="5" t="s">
        <v>242</v>
      </c>
      <c r="H68" s="7"/>
      <c r="I68" s="7" t="s">
        <v>243</v>
      </c>
      <c r="J68" s="7" t="s">
        <v>244</v>
      </c>
      <c r="K68" s="5">
        <v>160709</v>
      </c>
      <c r="L68" s="7"/>
      <c r="M68" s="7"/>
      <c r="O68" s="21"/>
    </row>
    <row r="69" spans="1:19" ht="12.75" x14ac:dyDescent="0.2">
      <c r="A69" s="82"/>
      <c r="B69" s="844" t="s">
        <v>239</v>
      </c>
      <c r="C69" s="194">
        <v>420</v>
      </c>
      <c r="D69" s="197">
        <v>420</v>
      </c>
      <c r="E69" s="197">
        <v>420</v>
      </c>
      <c r="F69" s="433">
        <f t="shared" si="1"/>
        <v>1</v>
      </c>
      <c r="I69" s="7" t="s">
        <v>4</v>
      </c>
      <c r="J69" s="219">
        <v>0.4</v>
      </c>
      <c r="K69" s="27">
        <f>+$K$68*J69*0.02</f>
        <v>1285.6720000000003</v>
      </c>
      <c r="L69" s="7">
        <v>1285</v>
      </c>
      <c r="O69" s="21"/>
    </row>
    <row r="70" spans="1:19" ht="12.95" customHeight="1" x14ac:dyDescent="0.2">
      <c r="A70" s="82"/>
      <c r="B70" s="844" t="s">
        <v>235</v>
      </c>
      <c r="C70" s="194">
        <v>375</v>
      </c>
      <c r="D70" s="197">
        <v>375</v>
      </c>
      <c r="E70" s="197">
        <v>375</v>
      </c>
      <c r="F70" s="433">
        <f t="shared" si="1"/>
        <v>1</v>
      </c>
      <c r="I70" s="7" t="s">
        <v>6</v>
      </c>
      <c r="J70" s="219">
        <v>0.2</v>
      </c>
      <c r="K70" s="27">
        <f>+$K$68*J70*0.02</f>
        <v>642.83600000000013</v>
      </c>
      <c r="L70" s="7">
        <v>643</v>
      </c>
      <c r="O70" s="21"/>
    </row>
    <row r="71" spans="1:19" ht="12.95" customHeight="1" x14ac:dyDescent="0.2">
      <c r="A71" s="82"/>
      <c r="B71" s="844" t="s">
        <v>237</v>
      </c>
      <c r="C71" s="194">
        <v>1119</v>
      </c>
      <c r="D71" s="197">
        <v>1119</v>
      </c>
      <c r="E71" s="197">
        <v>1119</v>
      </c>
      <c r="F71" s="433">
        <f t="shared" si="1"/>
        <v>1</v>
      </c>
      <c r="I71" s="7" t="s">
        <v>10</v>
      </c>
      <c r="J71" s="219">
        <v>0.4</v>
      </c>
      <c r="K71" s="27">
        <f>+$K$68*J71*0.02</f>
        <v>1285.6720000000003</v>
      </c>
      <c r="L71" s="7">
        <v>1285</v>
      </c>
      <c r="O71" s="21"/>
    </row>
    <row r="72" spans="1:19" ht="12.95" customHeight="1" x14ac:dyDescent="0.2">
      <c r="A72" s="82"/>
      <c r="B72" s="844" t="s">
        <v>238</v>
      </c>
      <c r="C72" s="194">
        <v>695</v>
      </c>
      <c r="D72" s="197">
        <v>695</v>
      </c>
      <c r="E72" s="197">
        <v>695</v>
      </c>
      <c r="F72" s="433">
        <f t="shared" si="1"/>
        <v>1</v>
      </c>
      <c r="J72" s="219">
        <f>SUM(J69:J71)</f>
        <v>1</v>
      </c>
      <c r="K72" s="27">
        <f>SUM(K69:K71)</f>
        <v>3214.1800000000003</v>
      </c>
      <c r="L72" s="7">
        <f>SUM(L69:L71)</f>
        <v>3213</v>
      </c>
      <c r="O72" s="21"/>
    </row>
    <row r="73" spans="1:19" ht="12.95" customHeight="1" x14ac:dyDescent="0.2">
      <c r="A73" s="82"/>
      <c r="B73" s="846" t="s">
        <v>225</v>
      </c>
      <c r="C73" s="194">
        <v>839</v>
      </c>
      <c r="D73" s="197">
        <v>839</v>
      </c>
      <c r="E73" s="197">
        <v>839</v>
      </c>
      <c r="F73" s="433">
        <f t="shared" si="1"/>
        <v>1</v>
      </c>
      <c r="K73" s="5"/>
      <c r="O73" s="21"/>
    </row>
    <row r="74" spans="1:19" ht="12.95" customHeight="1" x14ac:dyDescent="0.2">
      <c r="A74" s="82"/>
      <c r="B74" s="846"/>
      <c r="C74" s="200"/>
      <c r="D74" s="201"/>
      <c r="E74" s="423"/>
      <c r="F74" s="433"/>
      <c r="I74" s="7" t="s">
        <v>245</v>
      </c>
      <c r="J74" s="7" t="s">
        <v>244</v>
      </c>
      <c r="K74" s="5">
        <v>88973</v>
      </c>
      <c r="O74" s="21"/>
    </row>
    <row r="75" spans="1:19" ht="12.95" customHeight="1" x14ac:dyDescent="0.2">
      <c r="A75" s="82"/>
      <c r="B75" s="212" t="s">
        <v>1075</v>
      </c>
      <c r="C75" s="196">
        <f>+SUM(C76:C79)</f>
        <v>139331</v>
      </c>
      <c r="D75" s="196">
        <f>+SUM(D76:D79)</f>
        <v>192178</v>
      </c>
      <c r="E75" s="196">
        <f>+SUM(E76:E79)</f>
        <v>192178</v>
      </c>
      <c r="F75" s="433">
        <f t="shared" si="1"/>
        <v>1</v>
      </c>
      <c r="I75" s="220" t="s">
        <v>246</v>
      </c>
      <c r="J75" s="570">
        <v>3400</v>
      </c>
      <c r="K75" s="216" t="e">
        <f>+J75/#REF!</f>
        <v>#REF!</v>
      </c>
      <c r="L75" s="27" t="e">
        <f t="shared" ref="L75:L76" si="11">+$K$74*K75*0.02</f>
        <v>#REF!</v>
      </c>
      <c r="M75" s="215"/>
      <c r="O75" s="21"/>
    </row>
    <row r="76" spans="1:19" ht="12.95" customHeight="1" x14ac:dyDescent="0.2">
      <c r="A76" s="82"/>
      <c r="B76" s="846" t="s">
        <v>249</v>
      </c>
      <c r="C76" s="194">
        <v>139331</v>
      </c>
      <c r="D76" s="197">
        <v>137746</v>
      </c>
      <c r="E76" s="412">
        <v>137746</v>
      </c>
      <c r="F76" s="433">
        <f t="shared" si="1"/>
        <v>1</v>
      </c>
      <c r="I76" s="220" t="s">
        <v>225</v>
      </c>
      <c r="J76" s="190">
        <v>2539</v>
      </c>
      <c r="K76" s="216" t="e">
        <f>+J76/#REF!</f>
        <v>#REF!</v>
      </c>
      <c r="L76" s="27" t="e">
        <f t="shared" si="11"/>
        <v>#REF!</v>
      </c>
      <c r="M76" s="215"/>
      <c r="O76" s="21"/>
    </row>
    <row r="77" spans="1:19" ht="12.95" customHeight="1" x14ac:dyDescent="0.2">
      <c r="A77" s="82"/>
      <c r="B77" s="846" t="s">
        <v>1284</v>
      </c>
      <c r="C77" s="196"/>
      <c r="D77" s="197">
        <v>1808</v>
      </c>
      <c r="E77" s="412">
        <v>1808</v>
      </c>
      <c r="F77" s="433">
        <f t="shared" si="1"/>
        <v>1</v>
      </c>
      <c r="I77" s="220"/>
      <c r="J77" s="190"/>
      <c r="K77" s="216"/>
      <c r="L77" s="27"/>
      <c r="M77" s="215"/>
      <c r="O77" s="21"/>
    </row>
    <row r="78" spans="1:19" ht="12.95" customHeight="1" x14ac:dyDescent="0.2">
      <c r="A78" s="82"/>
      <c r="B78" s="846" t="s">
        <v>280</v>
      </c>
      <c r="C78" s="196"/>
      <c r="D78" s="197">
        <v>32675</v>
      </c>
      <c r="E78" s="412">
        <v>32675</v>
      </c>
      <c r="F78" s="433">
        <f>+E78/D78</f>
        <v>1</v>
      </c>
      <c r="O78" s="21"/>
    </row>
    <row r="79" spans="1:19" ht="12.95" customHeight="1" x14ac:dyDescent="0.2">
      <c r="A79" s="82"/>
      <c r="B79" s="846" t="s">
        <v>1283</v>
      </c>
      <c r="C79" s="196"/>
      <c r="D79" s="197">
        <v>19949</v>
      </c>
      <c r="E79" s="412">
        <v>19949</v>
      </c>
      <c r="F79" s="433">
        <f>+E79/D79</f>
        <v>1</v>
      </c>
      <c r="O79" s="21"/>
    </row>
    <row r="80" spans="1:19" ht="12.95" customHeight="1" x14ac:dyDescent="0.2">
      <c r="A80" s="82"/>
      <c r="B80" s="869"/>
      <c r="C80" s="196"/>
      <c r="D80" s="197"/>
      <c r="E80" s="412"/>
      <c r="F80" s="433"/>
      <c r="O80" s="21"/>
    </row>
    <row r="81" spans="1:15" ht="12.95" customHeight="1" x14ac:dyDescent="0.2">
      <c r="A81" s="82"/>
      <c r="B81" s="212" t="s">
        <v>1230</v>
      </c>
      <c r="C81" s="196">
        <f>SUM(C82:C89)</f>
        <v>535</v>
      </c>
      <c r="D81" s="197">
        <f>SUM(D82:D89)</f>
        <v>535</v>
      </c>
      <c r="E81" s="197">
        <f>SUM(E82:E89)</f>
        <v>535</v>
      </c>
      <c r="F81" s="433">
        <f t="shared" ref="F81:F88" si="12">+E81/D81</f>
        <v>1</v>
      </c>
      <c r="O81" s="21"/>
    </row>
    <row r="82" spans="1:15" ht="12.95" customHeight="1" x14ac:dyDescent="0.2">
      <c r="A82" s="82"/>
      <c r="B82" s="846" t="s">
        <v>4</v>
      </c>
      <c r="C82" s="196">
        <v>55</v>
      </c>
      <c r="D82" s="197">
        <v>55</v>
      </c>
      <c r="E82" s="197">
        <v>55</v>
      </c>
      <c r="F82" s="433">
        <f t="shared" si="12"/>
        <v>1</v>
      </c>
      <c r="O82" s="21"/>
    </row>
    <row r="83" spans="1:15" ht="12.95" customHeight="1" x14ac:dyDescent="0.2">
      <c r="A83" s="82"/>
      <c r="B83" s="846" t="s">
        <v>1231</v>
      </c>
      <c r="C83" s="196">
        <v>161</v>
      </c>
      <c r="D83" s="197">
        <v>161</v>
      </c>
      <c r="E83" s="197">
        <v>161</v>
      </c>
      <c r="F83" s="433">
        <f t="shared" si="12"/>
        <v>1</v>
      </c>
      <c r="O83" s="21"/>
    </row>
    <row r="84" spans="1:15" ht="12.95" customHeight="1" x14ac:dyDescent="0.2">
      <c r="A84" s="82"/>
      <c r="B84" s="846" t="s">
        <v>1196</v>
      </c>
      <c r="C84" s="196">
        <v>25</v>
      </c>
      <c r="D84" s="197">
        <v>25</v>
      </c>
      <c r="E84" s="197">
        <v>25</v>
      </c>
      <c r="F84" s="433">
        <f t="shared" si="12"/>
        <v>1</v>
      </c>
      <c r="O84" s="21"/>
    </row>
    <row r="85" spans="1:15" ht="12.95" customHeight="1" x14ac:dyDescent="0.2">
      <c r="A85" s="82"/>
      <c r="B85" s="846" t="s">
        <v>1201</v>
      </c>
      <c r="C85" s="196">
        <v>23</v>
      </c>
      <c r="D85" s="197">
        <v>23</v>
      </c>
      <c r="E85" s="197">
        <v>23</v>
      </c>
      <c r="F85" s="433">
        <f t="shared" si="12"/>
        <v>1</v>
      </c>
      <c r="O85" s="21"/>
    </row>
    <row r="86" spans="1:15" ht="12.95" customHeight="1" x14ac:dyDescent="0.2">
      <c r="A86" s="82"/>
      <c r="B86" s="846" t="s">
        <v>1197</v>
      </c>
      <c r="C86" s="196">
        <v>110</v>
      </c>
      <c r="D86" s="197">
        <v>110</v>
      </c>
      <c r="E86" s="197">
        <v>110</v>
      </c>
      <c r="F86" s="433">
        <f t="shared" si="12"/>
        <v>1</v>
      </c>
      <c r="O86" s="21"/>
    </row>
    <row r="87" spans="1:15" ht="12.95" customHeight="1" x14ac:dyDescent="0.2">
      <c r="A87" s="82"/>
      <c r="B87" s="846" t="s">
        <v>1198</v>
      </c>
      <c r="C87" s="196">
        <v>68</v>
      </c>
      <c r="D87" s="197">
        <v>68</v>
      </c>
      <c r="E87" s="197">
        <v>68</v>
      </c>
      <c r="F87" s="433">
        <f t="shared" si="12"/>
        <v>1</v>
      </c>
      <c r="O87" s="21"/>
    </row>
    <row r="88" spans="1:15" ht="12.95" customHeight="1" x14ac:dyDescent="0.2">
      <c r="A88" s="82"/>
      <c r="B88" s="846" t="s">
        <v>1199</v>
      </c>
      <c r="C88" s="196">
        <v>42</v>
      </c>
      <c r="D88" s="197">
        <v>42</v>
      </c>
      <c r="E88" s="197">
        <v>42</v>
      </c>
      <c r="F88" s="433">
        <f t="shared" si="12"/>
        <v>1</v>
      </c>
      <c r="O88" s="21"/>
    </row>
    <row r="89" spans="1:15" ht="12.95" customHeight="1" x14ac:dyDescent="0.2">
      <c r="A89" s="82"/>
      <c r="B89" s="846" t="s">
        <v>1202</v>
      </c>
      <c r="C89" s="196">
        <v>51</v>
      </c>
      <c r="D89" s="197">
        <v>51</v>
      </c>
      <c r="E89" s="197">
        <v>51</v>
      </c>
      <c r="F89" s="433">
        <f>+E89/D89</f>
        <v>1</v>
      </c>
      <c r="O89" s="21"/>
    </row>
    <row r="90" spans="1:15" ht="12.95" customHeight="1" x14ac:dyDescent="0.2">
      <c r="A90" s="82"/>
      <c r="B90" s="846"/>
      <c r="C90" s="196"/>
      <c r="D90" s="197"/>
      <c r="E90" s="412"/>
      <c r="F90" s="433"/>
      <c r="O90" s="21"/>
    </row>
    <row r="91" spans="1:15" ht="12.95" customHeight="1" x14ac:dyDescent="0.2">
      <c r="A91" s="82"/>
      <c r="B91" s="212" t="s">
        <v>1285</v>
      </c>
      <c r="C91" s="196">
        <f>SUM(C92:C97)</f>
        <v>4000</v>
      </c>
      <c r="D91" s="196">
        <f t="shared" ref="D91" si="13">SUM(D92:D97)</f>
        <v>4000</v>
      </c>
      <c r="E91" s="196">
        <f>SUM(E92:E97)</f>
        <v>4000</v>
      </c>
      <c r="F91" s="433">
        <f>+E91/D91</f>
        <v>1</v>
      </c>
      <c r="O91" s="21"/>
    </row>
    <row r="92" spans="1:15" ht="12.95" customHeight="1" x14ac:dyDescent="0.2">
      <c r="A92" s="82"/>
      <c r="B92" s="846" t="s">
        <v>4</v>
      </c>
      <c r="C92" s="196">
        <v>832</v>
      </c>
      <c r="D92" s="197">
        <v>832</v>
      </c>
      <c r="E92" s="197">
        <v>832</v>
      </c>
      <c r="F92" s="433">
        <f t="shared" ref="F92:F97" si="14">+E92/D92</f>
        <v>1</v>
      </c>
      <c r="O92" s="21"/>
    </row>
    <row r="93" spans="1:15" ht="12.95" customHeight="1" x14ac:dyDescent="0.2">
      <c r="A93" s="82"/>
      <c r="B93" s="846" t="s">
        <v>1196</v>
      </c>
      <c r="C93" s="196">
        <v>386</v>
      </c>
      <c r="D93" s="197">
        <v>386</v>
      </c>
      <c r="E93" s="197">
        <v>386</v>
      </c>
      <c r="F93" s="433">
        <f t="shared" si="14"/>
        <v>1</v>
      </c>
      <c r="O93" s="21"/>
    </row>
    <row r="94" spans="1:15" ht="12.95" customHeight="1" x14ac:dyDescent="0.2">
      <c r="A94" s="82"/>
      <c r="B94" s="846" t="s">
        <v>1201</v>
      </c>
      <c r="C94" s="196">
        <v>344</v>
      </c>
      <c r="D94" s="197">
        <v>344</v>
      </c>
      <c r="E94" s="197">
        <v>344</v>
      </c>
      <c r="F94" s="433">
        <f t="shared" si="14"/>
        <v>1</v>
      </c>
      <c r="O94" s="21"/>
    </row>
    <row r="95" spans="1:15" ht="12.95" customHeight="1" x14ac:dyDescent="0.2">
      <c r="A95" s="82"/>
      <c r="B95" s="846" t="s">
        <v>1198</v>
      </c>
      <c r="C95" s="196">
        <v>1029</v>
      </c>
      <c r="D95" s="197">
        <v>1029</v>
      </c>
      <c r="E95" s="197">
        <v>1029</v>
      </c>
      <c r="F95" s="433">
        <f t="shared" si="14"/>
        <v>1</v>
      </c>
      <c r="O95" s="21"/>
    </row>
    <row r="96" spans="1:15" ht="12.95" customHeight="1" x14ac:dyDescent="0.2">
      <c r="A96" s="82"/>
      <c r="B96" s="846" t="s">
        <v>1199</v>
      </c>
      <c r="C96" s="196">
        <v>638</v>
      </c>
      <c r="D96" s="197">
        <v>638</v>
      </c>
      <c r="E96" s="197">
        <v>638</v>
      </c>
      <c r="F96" s="433">
        <f t="shared" si="14"/>
        <v>1</v>
      </c>
      <c r="O96" s="21"/>
    </row>
    <row r="97" spans="1:15" ht="12.95" customHeight="1" x14ac:dyDescent="0.2">
      <c r="A97" s="82"/>
      <c r="B97" s="846" t="s">
        <v>1202</v>
      </c>
      <c r="C97" s="196">
        <v>771</v>
      </c>
      <c r="D97" s="197">
        <v>771</v>
      </c>
      <c r="E97" s="197">
        <v>771</v>
      </c>
      <c r="F97" s="433">
        <f t="shared" si="14"/>
        <v>1</v>
      </c>
      <c r="I97" s="7" t="s">
        <v>247</v>
      </c>
      <c r="J97" s="7" t="s">
        <v>244</v>
      </c>
      <c r="K97" s="7">
        <v>44632</v>
      </c>
      <c r="O97" s="21"/>
    </row>
    <row r="98" spans="1:15" ht="12.95" customHeight="1" x14ac:dyDescent="0.2">
      <c r="A98" s="82"/>
      <c r="B98" s="846"/>
      <c r="C98" s="196"/>
      <c r="D98" s="411"/>
      <c r="E98" s="1262"/>
      <c r="F98" s="433"/>
      <c r="O98" s="21"/>
    </row>
    <row r="99" spans="1:15" ht="12.95" customHeight="1" x14ac:dyDescent="0.2">
      <c r="A99" s="82"/>
      <c r="B99" s="846"/>
      <c r="C99" s="196"/>
      <c r="D99" s="411"/>
      <c r="E99" s="1262"/>
      <c r="F99" s="433"/>
      <c r="O99" s="21"/>
    </row>
    <row r="100" spans="1:15" ht="12.95" customHeight="1" x14ac:dyDescent="0.2">
      <c r="A100" s="1103" t="s">
        <v>1203</v>
      </c>
      <c r="B100" s="1104" t="s">
        <v>250</v>
      </c>
      <c r="C100" s="1114">
        <f>+C7+C24+C33+C57+C66+C75+C16+C81+C43+C50+C91</f>
        <v>240284</v>
      </c>
      <c r="D100" s="1114">
        <f>+D7+D24+D33+D57+D66+D75+D16+D81+D43+D50+D91</f>
        <v>292344</v>
      </c>
      <c r="E100" s="1114">
        <f>+E7+E24+E33+E57+E66+E75+E16+E81+E43+E50+E91</f>
        <v>292344</v>
      </c>
      <c r="F100" s="1115">
        <f t="shared" ref="F100" si="15">+E100/D100</f>
        <v>1</v>
      </c>
      <c r="O100" s="21"/>
    </row>
    <row r="101" spans="1:15" ht="12.95" customHeight="1" x14ac:dyDescent="0.2">
      <c r="A101" s="82"/>
      <c r="B101" s="221"/>
      <c r="C101" s="196"/>
      <c r="D101" s="196"/>
      <c r="E101" s="424"/>
      <c r="F101" s="1115"/>
      <c r="O101" s="21"/>
    </row>
    <row r="102" spans="1:15" ht="12.95" customHeight="1" x14ac:dyDescent="0.2">
      <c r="A102" s="82"/>
      <c r="B102" s="221"/>
      <c r="C102" s="196"/>
      <c r="D102" s="196"/>
      <c r="E102" s="424"/>
      <c r="F102" s="434"/>
      <c r="O102" s="21"/>
    </row>
    <row r="103" spans="1:15" ht="12.95" customHeight="1" x14ac:dyDescent="0.2">
      <c r="A103" s="348"/>
      <c r="B103" s="349"/>
      <c r="C103" s="350"/>
      <c r="D103" s="351"/>
      <c r="E103" s="425"/>
      <c r="F103" s="434"/>
      <c r="O103" s="21"/>
    </row>
    <row r="104" spans="1:15" ht="12.95" customHeight="1" x14ac:dyDescent="0.2">
      <c r="A104" s="66" t="s">
        <v>90</v>
      </c>
      <c r="B104" s="127" t="s">
        <v>55</v>
      </c>
      <c r="C104" s="203">
        <f>+C3+C5+C100</f>
        <v>240284</v>
      </c>
      <c r="D104" s="203">
        <f>+D3+D5+D100</f>
        <v>292344</v>
      </c>
      <c r="E104" s="203">
        <f>+E3+E5+E100</f>
        <v>292344</v>
      </c>
      <c r="F104" s="435">
        <f t="shared" ref="F104:F129" si="16">+E104/D104</f>
        <v>1</v>
      </c>
    </row>
    <row r="105" spans="1:15" ht="12.95" customHeight="1" x14ac:dyDescent="0.2">
      <c r="A105" s="83" t="s">
        <v>91</v>
      </c>
      <c r="B105" s="112" t="s">
        <v>86</v>
      </c>
      <c r="C105" s="193"/>
      <c r="D105" s="197"/>
      <c r="E105" s="415"/>
      <c r="F105" s="432"/>
    </row>
    <row r="106" spans="1:15" ht="12.95" customHeight="1" x14ac:dyDescent="0.2">
      <c r="A106" s="73" t="s">
        <v>92</v>
      </c>
      <c r="B106" s="74" t="s">
        <v>56</v>
      </c>
      <c r="C106" s="194"/>
      <c r="D106" s="194"/>
      <c r="E106" s="421"/>
      <c r="F106" s="433"/>
    </row>
    <row r="107" spans="1:15" ht="12.95" customHeight="1" x14ac:dyDescent="0.2">
      <c r="A107" s="82"/>
      <c r="B107" s="119"/>
      <c r="C107" s="196"/>
      <c r="D107" s="197"/>
      <c r="E107" s="412"/>
      <c r="F107" s="434"/>
    </row>
    <row r="108" spans="1:15" ht="12.95" customHeight="1" x14ac:dyDescent="0.2">
      <c r="A108" s="66" t="s">
        <v>93</v>
      </c>
      <c r="B108" s="127" t="s">
        <v>57</v>
      </c>
      <c r="C108" s="204">
        <f>+C105+C106</f>
        <v>0</v>
      </c>
      <c r="D108" s="204">
        <f t="shared" ref="D108:E108" si="17">+D105+D106</f>
        <v>0</v>
      </c>
      <c r="E108" s="426">
        <f t="shared" si="17"/>
        <v>0</v>
      </c>
      <c r="F108" s="848"/>
    </row>
    <row r="109" spans="1:15" ht="12.95" customHeight="1" x14ac:dyDescent="0.2">
      <c r="A109" s="83" t="s">
        <v>94</v>
      </c>
      <c r="B109" s="112" t="s">
        <v>58</v>
      </c>
      <c r="C109" s="193"/>
      <c r="D109" s="202"/>
      <c r="E109" s="415"/>
      <c r="F109" s="432"/>
    </row>
    <row r="110" spans="1:15" ht="12.95" customHeight="1" x14ac:dyDescent="0.2">
      <c r="A110" s="73" t="s">
        <v>95</v>
      </c>
      <c r="B110" s="74" t="s">
        <v>59</v>
      </c>
      <c r="C110" s="194">
        <v>1000</v>
      </c>
      <c r="D110" s="13">
        <f>+'2.1.SZ.TÁBL. BEV - KIAD'!L12</f>
        <v>4149</v>
      </c>
      <c r="E110" s="418">
        <f>+'2.1.SZ.TÁBL. BEV - KIAD'!M12</f>
        <v>4148</v>
      </c>
      <c r="F110" s="433">
        <f t="shared" si="16"/>
        <v>0.99975897806700409</v>
      </c>
    </row>
    <row r="111" spans="1:15" ht="12.95" customHeight="1" x14ac:dyDescent="0.2">
      <c r="A111" s="73" t="s">
        <v>96</v>
      </c>
      <c r="B111" s="74" t="s">
        <v>60</v>
      </c>
      <c r="C111" s="194"/>
      <c r="D111" s="13"/>
      <c r="E111" s="418"/>
      <c r="F111" s="433"/>
    </row>
    <row r="112" spans="1:15" ht="12.95" customHeight="1" x14ac:dyDescent="0.2">
      <c r="A112" s="73" t="s">
        <v>97</v>
      </c>
      <c r="B112" s="74" t="s">
        <v>61</v>
      </c>
      <c r="C112" s="194"/>
      <c r="D112" s="197"/>
      <c r="E112" s="412"/>
      <c r="F112" s="433"/>
    </row>
    <row r="113" spans="1:6" ht="12.95" customHeight="1" x14ac:dyDescent="0.2">
      <c r="A113" s="73" t="s">
        <v>98</v>
      </c>
      <c r="B113" s="74" t="s">
        <v>62</v>
      </c>
      <c r="C113" s="194">
        <v>13300</v>
      </c>
      <c r="D113" s="197">
        <f>+'2.1.SZ.TÁBL. BEV - KIAD'!L15</f>
        <v>17900</v>
      </c>
      <c r="E113" s="412">
        <f>+'2.1.SZ.TÁBL. BEV - KIAD'!M15</f>
        <v>17895</v>
      </c>
      <c r="F113" s="433">
        <f t="shared" si="16"/>
        <v>0.99972067039106149</v>
      </c>
    </row>
    <row r="114" spans="1:6" ht="12.95" customHeight="1" x14ac:dyDescent="0.2">
      <c r="A114" s="73" t="s">
        <v>98</v>
      </c>
      <c r="B114" s="74" t="s">
        <v>1255</v>
      </c>
      <c r="C114" s="194">
        <v>3538</v>
      </c>
      <c r="D114" s="197">
        <f>+'2.1.SZ.TÁBL. BEV - KIAD'!L16</f>
        <v>3538</v>
      </c>
      <c r="E114" s="412">
        <f>+'2.1.SZ.TÁBL. BEV - KIAD'!M16</f>
        <v>3417</v>
      </c>
      <c r="F114" s="433">
        <f t="shared" si="16"/>
        <v>0.96579988694177499</v>
      </c>
    </row>
    <row r="115" spans="1:6" ht="46.9" customHeight="1" x14ac:dyDescent="0.2">
      <c r="A115" s="73" t="s">
        <v>99</v>
      </c>
      <c r="B115" s="74" t="s">
        <v>1256</v>
      </c>
      <c r="C115" s="194">
        <v>1630</v>
      </c>
      <c r="D115" s="197">
        <f>+'2.1.SZ.TÁBL. BEV - KIAD'!L17</f>
        <v>2785</v>
      </c>
      <c r="E115" s="418">
        <f>+'2.1.SZ.TÁBL. BEV - KIAD'!M17</f>
        <v>2752</v>
      </c>
      <c r="F115" s="433">
        <f t="shared" si="16"/>
        <v>0.98815080789946141</v>
      </c>
    </row>
    <row r="116" spans="1:6" ht="39.6" customHeight="1" x14ac:dyDescent="0.2">
      <c r="A116" s="73" t="s">
        <v>100</v>
      </c>
      <c r="B116" s="74" t="s">
        <v>1257</v>
      </c>
      <c r="C116" s="194">
        <v>0</v>
      </c>
      <c r="D116" s="197">
        <f>+'2.1.SZ.TÁBL. BEV - KIAD'!L18</f>
        <v>0</v>
      </c>
      <c r="E116" s="418"/>
      <c r="F116" s="433"/>
    </row>
    <row r="117" spans="1:6" ht="12.95" customHeight="1" x14ac:dyDescent="0.2">
      <c r="A117" s="73" t="s">
        <v>1281</v>
      </c>
      <c r="B117" s="74" t="s">
        <v>1282</v>
      </c>
      <c r="C117" s="194"/>
      <c r="D117" s="197">
        <v>200</v>
      </c>
      <c r="E117" s="418">
        <v>200</v>
      </c>
      <c r="F117" s="433">
        <f t="shared" si="16"/>
        <v>1</v>
      </c>
    </row>
    <row r="118" spans="1:6" ht="12.95" customHeight="1" x14ac:dyDescent="0.2">
      <c r="A118" s="84" t="s">
        <v>1219</v>
      </c>
      <c r="B118" s="128" t="s">
        <v>63</v>
      </c>
      <c r="C118" s="194"/>
      <c r="D118" s="197">
        <f>+'2.1.SZ.TÁBL. BEV - KIAD'!L20</f>
        <v>2</v>
      </c>
      <c r="E118" s="412">
        <f>+'2.1.SZ.TÁBL. BEV - KIAD'!M20</f>
        <v>2</v>
      </c>
      <c r="F118" s="433">
        <f t="shared" si="16"/>
        <v>1</v>
      </c>
    </row>
    <row r="119" spans="1:6" ht="12.95" customHeight="1" x14ac:dyDescent="0.2">
      <c r="A119" s="66" t="s">
        <v>101</v>
      </c>
      <c r="B119" s="127" t="s">
        <v>64</v>
      </c>
      <c r="C119" s="204">
        <f>SUM(C109:C118)</f>
        <v>19468</v>
      </c>
      <c r="D119" s="204">
        <f>SUM(D109:D118)</f>
        <v>28574</v>
      </c>
      <c r="E119" s="426">
        <f>SUM(E109:E118)</f>
        <v>28414</v>
      </c>
      <c r="F119" s="435">
        <f t="shared" si="16"/>
        <v>0.99440050395464408</v>
      </c>
    </row>
    <row r="120" spans="1:6" ht="12.95" customHeight="1" x14ac:dyDescent="0.2">
      <c r="A120" s="66" t="s">
        <v>102</v>
      </c>
      <c r="B120" s="127" t="s">
        <v>65</v>
      </c>
      <c r="C120" s="204"/>
      <c r="D120" s="205"/>
      <c r="E120" s="427"/>
      <c r="F120" s="848"/>
    </row>
    <row r="121" spans="1:6" ht="12.95" customHeight="1" x14ac:dyDescent="0.2">
      <c r="A121" s="85" t="s">
        <v>1217</v>
      </c>
      <c r="B121" s="129" t="s">
        <v>66</v>
      </c>
      <c r="C121" s="206"/>
      <c r="D121" s="197"/>
      <c r="E121" s="428"/>
      <c r="F121" s="432"/>
    </row>
    <row r="122" spans="1:6" ht="12.95" customHeight="1" x14ac:dyDescent="0.2">
      <c r="A122" s="66" t="s">
        <v>103</v>
      </c>
      <c r="B122" s="127" t="s">
        <v>220</v>
      </c>
      <c r="C122" s="204">
        <f>+C121</f>
        <v>0</v>
      </c>
      <c r="D122" s="204">
        <f t="shared" ref="D122:E122" si="18">+D121</f>
        <v>0</v>
      </c>
      <c r="E122" s="426">
        <f t="shared" si="18"/>
        <v>0</v>
      </c>
      <c r="F122" s="439"/>
    </row>
    <row r="123" spans="1:6" ht="12.95" customHeight="1" x14ac:dyDescent="0.2">
      <c r="A123" s="85" t="s">
        <v>1218</v>
      </c>
      <c r="B123" s="129" t="s">
        <v>67</v>
      </c>
      <c r="C123" s="206"/>
      <c r="D123" s="197"/>
      <c r="E123" s="428"/>
      <c r="F123" s="439"/>
    </row>
    <row r="124" spans="1:6" ht="12.95" customHeight="1" x14ac:dyDescent="0.2">
      <c r="A124" s="66" t="s">
        <v>104</v>
      </c>
      <c r="B124" s="127" t="s">
        <v>221</v>
      </c>
      <c r="C124" s="204">
        <f>+C123</f>
        <v>0</v>
      </c>
      <c r="D124" s="204">
        <f t="shared" ref="D124:E124" si="19">+D123</f>
        <v>0</v>
      </c>
      <c r="E124" s="426">
        <f t="shared" si="19"/>
        <v>0</v>
      </c>
      <c r="F124" s="436"/>
    </row>
    <row r="125" spans="1:6" ht="12.95" customHeight="1" x14ac:dyDescent="0.2">
      <c r="A125" s="66" t="s">
        <v>105</v>
      </c>
      <c r="B125" s="127" t="s">
        <v>68</v>
      </c>
      <c r="C125" s="204">
        <f>+C104+C108+C119+C120+C122+C124</f>
        <v>259752</v>
      </c>
      <c r="D125" s="204">
        <f t="shared" ref="D125" si="20">+D104+D108+D119+D120+D122+D124</f>
        <v>320918</v>
      </c>
      <c r="E125" s="426">
        <f>+E104+E108+E119+E120+E122+E124</f>
        <v>320758</v>
      </c>
      <c r="F125" s="435">
        <f t="shared" si="16"/>
        <v>0.99950143027190752</v>
      </c>
    </row>
    <row r="126" spans="1:6" ht="12.95" customHeight="1" x14ac:dyDescent="0.2">
      <c r="A126" s="135" t="s">
        <v>106</v>
      </c>
      <c r="B126" s="127" t="s">
        <v>69</v>
      </c>
      <c r="C126" s="204"/>
      <c r="D126" s="980">
        <f>+'2.1.SZ.TÁBL. BEV - KIAD'!L28</f>
        <v>45544</v>
      </c>
      <c r="E126" s="429">
        <f>+'2.1.SZ.TÁBL. BEV - KIAD'!M28</f>
        <v>45544</v>
      </c>
      <c r="F126" s="435">
        <f t="shared" si="16"/>
        <v>1</v>
      </c>
    </row>
    <row r="127" spans="1:6" ht="12.95" customHeight="1" x14ac:dyDescent="0.2">
      <c r="A127" s="135" t="s">
        <v>218</v>
      </c>
      <c r="B127" s="127" t="s">
        <v>219</v>
      </c>
      <c r="C127" s="204"/>
      <c r="D127" s="979"/>
      <c r="E127" s="427"/>
      <c r="F127" s="436"/>
    </row>
    <row r="128" spans="1:6" ht="12.95" customHeight="1" thickBot="1" x14ac:dyDescent="0.25">
      <c r="A128" s="156" t="s">
        <v>107</v>
      </c>
      <c r="B128" s="207" t="s">
        <v>70</v>
      </c>
      <c r="C128" s="208"/>
      <c r="D128" s="208">
        <f t="shared" ref="D128:E128" si="21">+SUM(D126:D127)</f>
        <v>45544</v>
      </c>
      <c r="E128" s="430">
        <f t="shared" si="21"/>
        <v>45544</v>
      </c>
      <c r="F128" s="437">
        <f t="shared" si="16"/>
        <v>1</v>
      </c>
    </row>
    <row r="129" spans="1:6" ht="12.95" customHeight="1" thickBot="1" x14ac:dyDescent="0.25">
      <c r="A129" s="1334" t="s">
        <v>0</v>
      </c>
      <c r="B129" s="1335"/>
      <c r="C129" s="209">
        <f>+C125+C128+C126</f>
        <v>259752</v>
      </c>
      <c r="D129" s="209">
        <f t="shared" ref="D129" si="22">+D125+D128</f>
        <v>366462</v>
      </c>
      <c r="E129" s="431">
        <f>+E125+E128</f>
        <v>366302</v>
      </c>
      <c r="F129" s="438">
        <f t="shared" si="16"/>
        <v>0.99956339265735605</v>
      </c>
    </row>
  </sheetData>
  <mergeCells count="7">
    <mergeCell ref="A129:B129"/>
    <mergeCell ref="D1:D2"/>
    <mergeCell ref="C1:C2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85" fitToHeight="2" orientation="portrait" r:id="rId1"/>
  <headerFooter alignWithMargins="0">
    <oddHeader>&amp;L&amp;"Times New Roman,Félkövér"&amp;13Szent László Völgye TKT&amp;C&amp;"Times New Roman,Félkövér"&amp;16 2023. ÉVI ZÁRSZÁMADÁSI BESZÁMOLÓ&amp;R3. sz. táblázat
BEVÉTELEK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165"/>
  <sheetViews>
    <sheetView topLeftCell="Q94" zoomScaleNormal="100" zoomScaleSheetLayoutView="50" workbookViewId="0">
      <selection activeCell="AF121" sqref="AF121"/>
    </sheetView>
  </sheetViews>
  <sheetFormatPr defaultColWidth="8.85546875" defaultRowHeight="15" customHeight="1" x14ac:dyDescent="0.2"/>
  <cols>
    <col min="1" max="1" width="8.85546875" style="2"/>
    <col min="2" max="2" width="56" style="22" customWidth="1"/>
    <col min="3" max="13" width="10.42578125" style="23" customWidth="1"/>
    <col min="14" max="14" width="10.42578125" style="24" customWidth="1"/>
    <col min="15" max="19" width="10.42578125" style="23" customWidth="1"/>
    <col min="20" max="20" width="10.42578125" style="24" customWidth="1"/>
    <col min="21" max="22" width="10.42578125" style="23" customWidth="1"/>
    <col min="23" max="25" width="10.42578125" style="24" customWidth="1"/>
    <col min="26" max="26" width="10.42578125" style="1149" customWidth="1"/>
    <col min="27" max="27" width="10.42578125" style="1150" customWidth="1"/>
    <col min="28" max="28" width="10.42578125" style="24" customWidth="1"/>
    <col min="29" max="29" width="10.42578125" style="1132" customWidth="1"/>
    <col min="30" max="30" width="10.42578125" style="1131" customWidth="1"/>
    <col min="31" max="31" width="13" style="23" customWidth="1"/>
    <col min="32" max="32" width="10.42578125" style="23" customWidth="1"/>
    <col min="33" max="34" width="11.5703125" style="2" bestFit="1" customWidth="1"/>
    <col min="35" max="16384" width="8.85546875" style="2"/>
  </cols>
  <sheetData>
    <row r="1" spans="1:32" s="792" customFormat="1" ht="30" customHeight="1" x14ac:dyDescent="0.2">
      <c r="A1" s="1362" t="s">
        <v>87</v>
      </c>
      <c r="B1" s="1375" t="s">
        <v>108</v>
      </c>
      <c r="C1" s="1366" t="s">
        <v>1227</v>
      </c>
      <c r="D1" s="1367"/>
      <c r="E1" s="1368"/>
      <c r="F1" s="1378" t="s">
        <v>1046</v>
      </c>
      <c r="G1" s="1379"/>
      <c r="H1" s="1380"/>
      <c r="I1" s="1366" t="s">
        <v>11</v>
      </c>
      <c r="J1" s="1367"/>
      <c r="K1" s="1368"/>
      <c r="L1" s="1366" t="s">
        <v>1049</v>
      </c>
      <c r="M1" s="1367"/>
      <c r="N1" s="1368"/>
      <c r="O1" s="1366" t="s">
        <v>1228</v>
      </c>
      <c r="P1" s="1367"/>
      <c r="Q1" s="1368"/>
      <c r="R1" s="1371" t="s">
        <v>1280</v>
      </c>
      <c r="S1" s="1372"/>
      <c r="T1" s="1373"/>
      <c r="U1" s="1374" t="s">
        <v>1064</v>
      </c>
      <c r="V1" s="1372"/>
      <c r="W1" s="1373"/>
      <c r="X1" s="1374" t="s">
        <v>1047</v>
      </c>
      <c r="Y1" s="1372"/>
      <c r="Z1" s="1381"/>
      <c r="AA1" s="1382" t="s">
        <v>1232</v>
      </c>
      <c r="AB1" s="1383"/>
      <c r="AC1" s="1384"/>
      <c r="AD1" s="1369" t="s">
        <v>12</v>
      </c>
      <c r="AE1" s="1367"/>
      <c r="AF1" s="1370"/>
    </row>
    <row r="2" spans="1:32" s="4" customFormat="1" ht="29.25" customHeight="1" x14ac:dyDescent="0.2">
      <c r="A2" s="1363"/>
      <c r="B2" s="1376"/>
      <c r="C2" s="849" t="s">
        <v>38</v>
      </c>
      <c r="D2" s="850" t="s">
        <v>39</v>
      </c>
      <c r="E2" s="337" t="s">
        <v>51</v>
      </c>
      <c r="F2" s="851" t="s">
        <v>38</v>
      </c>
      <c r="G2" s="850" t="s">
        <v>39</v>
      </c>
      <c r="H2" s="144" t="s">
        <v>51</v>
      </c>
      <c r="I2" s="849" t="s">
        <v>38</v>
      </c>
      <c r="J2" s="850" t="s">
        <v>39</v>
      </c>
      <c r="K2" s="337" t="s">
        <v>51</v>
      </c>
      <c r="L2" s="851" t="s">
        <v>38</v>
      </c>
      <c r="M2" s="850" t="s">
        <v>39</v>
      </c>
      <c r="N2" s="144" t="s">
        <v>51</v>
      </c>
      <c r="O2" s="849" t="s">
        <v>38</v>
      </c>
      <c r="P2" s="850" t="s">
        <v>39</v>
      </c>
      <c r="Q2" s="337" t="s">
        <v>51</v>
      </c>
      <c r="R2" s="851" t="s">
        <v>38</v>
      </c>
      <c r="S2" s="850" t="s">
        <v>39</v>
      </c>
      <c r="T2" s="144" t="s">
        <v>51</v>
      </c>
      <c r="U2" s="849" t="s">
        <v>38</v>
      </c>
      <c r="V2" s="850" t="s">
        <v>39</v>
      </c>
      <c r="W2" s="782" t="s">
        <v>51</v>
      </c>
      <c r="X2" s="849" t="s">
        <v>38</v>
      </c>
      <c r="Y2" s="850" t="s">
        <v>39</v>
      </c>
      <c r="Z2" s="337" t="s">
        <v>51</v>
      </c>
      <c r="AA2" s="1140" t="s">
        <v>38</v>
      </c>
      <c r="AB2" s="1120" t="s">
        <v>39</v>
      </c>
      <c r="AC2" s="1122" t="s">
        <v>51</v>
      </c>
      <c r="AD2" s="1123" t="s">
        <v>38</v>
      </c>
      <c r="AE2" s="842" t="s">
        <v>39</v>
      </c>
      <c r="AF2" s="68" t="s">
        <v>51</v>
      </c>
    </row>
    <row r="3" spans="1:32" ht="13.5" customHeight="1" x14ac:dyDescent="0.2">
      <c r="A3" s="83" t="s">
        <v>88</v>
      </c>
      <c r="B3" s="91" t="s">
        <v>52</v>
      </c>
      <c r="C3" s="115"/>
      <c r="D3" s="113"/>
      <c r="E3" s="116"/>
      <c r="F3" s="115"/>
      <c r="G3" s="113"/>
      <c r="H3" s="114"/>
      <c r="I3" s="115"/>
      <c r="J3" s="113"/>
      <c r="K3" s="116"/>
      <c r="L3" s="115"/>
      <c r="M3" s="113"/>
      <c r="N3" s="114"/>
      <c r="O3" s="115"/>
      <c r="P3" s="113"/>
      <c r="Q3" s="116"/>
      <c r="R3" s="115"/>
      <c r="S3" s="113"/>
      <c r="T3" s="114"/>
      <c r="U3" s="115"/>
      <c r="V3" s="113"/>
      <c r="W3" s="114"/>
      <c r="X3" s="115"/>
      <c r="Y3" s="113"/>
      <c r="Z3" s="116"/>
      <c r="AA3" s="1141"/>
      <c r="AB3" s="1118"/>
      <c r="AC3" s="1124"/>
      <c r="AD3" s="148"/>
      <c r="AE3" s="147"/>
      <c r="AF3" s="149"/>
    </row>
    <row r="4" spans="1:32" ht="13.5" customHeight="1" x14ac:dyDescent="0.2">
      <c r="A4" s="73" t="s">
        <v>89</v>
      </c>
      <c r="B4" s="90" t="s">
        <v>53</v>
      </c>
      <c r="C4" s="109"/>
      <c r="D4" s="109"/>
      <c r="E4" s="109"/>
      <c r="F4" s="109"/>
      <c r="G4" s="106"/>
      <c r="H4" s="108"/>
      <c r="I4" s="109"/>
      <c r="J4" s="106"/>
      <c r="K4" s="110"/>
      <c r="L4" s="109"/>
      <c r="M4" s="106"/>
      <c r="N4" s="108"/>
      <c r="O4" s="109"/>
      <c r="P4" s="106"/>
      <c r="Q4" s="110"/>
      <c r="R4" s="109"/>
      <c r="S4" s="106"/>
      <c r="T4" s="108"/>
      <c r="U4" s="109"/>
      <c r="V4" s="106">
        <f>V5</f>
        <v>0</v>
      </c>
      <c r="W4" s="108">
        <f>W5</f>
        <v>0</v>
      </c>
      <c r="X4" s="109"/>
      <c r="Y4" s="106"/>
      <c r="Z4" s="110"/>
      <c r="AA4" s="1142"/>
      <c r="AB4" s="1119"/>
      <c r="AC4" s="1125"/>
      <c r="AD4" s="111"/>
      <c r="AE4" s="106">
        <f>AE5</f>
        <v>0</v>
      </c>
      <c r="AF4" s="107">
        <f>AF5</f>
        <v>0</v>
      </c>
    </row>
    <row r="5" spans="1:32" ht="13.5" customHeight="1" x14ac:dyDescent="0.2">
      <c r="A5" s="82"/>
      <c r="B5" s="227" t="s">
        <v>54</v>
      </c>
      <c r="C5" s="123"/>
      <c r="D5" s="121"/>
      <c r="E5" s="124"/>
      <c r="F5" s="123"/>
      <c r="G5" s="121"/>
      <c r="H5" s="122"/>
      <c r="I5" s="123"/>
      <c r="J5" s="121"/>
      <c r="K5" s="124"/>
      <c r="L5" s="123"/>
      <c r="M5" s="121"/>
      <c r="N5" s="122"/>
      <c r="O5" s="123"/>
      <c r="P5" s="121"/>
      <c r="Q5" s="124"/>
      <c r="R5" s="123"/>
      <c r="S5" s="121"/>
      <c r="T5" s="122"/>
      <c r="U5" s="123"/>
      <c r="V5" s="121"/>
      <c r="W5" s="122"/>
      <c r="X5" s="123"/>
      <c r="Y5" s="121"/>
      <c r="Z5" s="124"/>
      <c r="AA5" s="1143"/>
      <c r="AB5" s="448"/>
      <c r="AC5" s="449"/>
      <c r="AD5" s="125"/>
      <c r="AE5" s="121">
        <f>+D5+G5+J5+M5+P5+S5+V5+Y5</f>
        <v>0</v>
      </c>
      <c r="AF5" s="126">
        <f>+E5+H5+K5+N5+Q5+T5+W5+Z5</f>
        <v>0</v>
      </c>
    </row>
    <row r="6" spans="1:32" s="180" customFormat="1" ht="13.5" customHeight="1" x14ac:dyDescent="0.2">
      <c r="A6" s="66" t="s">
        <v>90</v>
      </c>
      <c r="B6" s="65" t="s">
        <v>55</v>
      </c>
      <c r="C6" s="178">
        <f t="shared" ref="C6:AF6" si="0">SUM(C3:C4)</f>
        <v>0</v>
      </c>
      <c r="D6" s="163">
        <f t="shared" si="0"/>
        <v>0</v>
      </c>
      <c r="E6" s="343">
        <f t="shared" si="0"/>
        <v>0</v>
      </c>
      <c r="F6" s="178">
        <f t="shared" si="0"/>
        <v>0</v>
      </c>
      <c r="G6" s="163">
        <f t="shared" si="0"/>
        <v>0</v>
      </c>
      <c r="H6" s="443">
        <f t="shared" si="0"/>
        <v>0</v>
      </c>
      <c r="I6" s="178">
        <f t="shared" si="0"/>
        <v>0</v>
      </c>
      <c r="J6" s="163">
        <f t="shared" si="0"/>
        <v>0</v>
      </c>
      <c r="K6" s="343">
        <f t="shared" si="0"/>
        <v>0</v>
      </c>
      <c r="L6" s="178">
        <f t="shared" si="0"/>
        <v>0</v>
      </c>
      <c r="M6" s="163">
        <f t="shared" si="0"/>
        <v>0</v>
      </c>
      <c r="N6" s="443">
        <f t="shared" si="0"/>
        <v>0</v>
      </c>
      <c r="O6" s="178">
        <f t="shared" si="0"/>
        <v>0</v>
      </c>
      <c r="P6" s="163">
        <f t="shared" si="0"/>
        <v>0</v>
      </c>
      <c r="Q6" s="343">
        <f t="shared" si="0"/>
        <v>0</v>
      </c>
      <c r="R6" s="178">
        <f t="shared" si="0"/>
        <v>0</v>
      </c>
      <c r="S6" s="163">
        <f t="shared" si="0"/>
        <v>0</v>
      </c>
      <c r="T6" s="443">
        <f t="shared" si="0"/>
        <v>0</v>
      </c>
      <c r="U6" s="178">
        <f t="shared" si="0"/>
        <v>0</v>
      </c>
      <c r="V6" s="163">
        <f t="shared" si="0"/>
        <v>0</v>
      </c>
      <c r="W6" s="443">
        <f t="shared" si="0"/>
        <v>0</v>
      </c>
      <c r="X6" s="178">
        <f t="shared" si="0"/>
        <v>0</v>
      </c>
      <c r="Y6" s="163">
        <f t="shared" si="0"/>
        <v>0</v>
      </c>
      <c r="Z6" s="343">
        <f t="shared" si="0"/>
        <v>0</v>
      </c>
      <c r="AA6" s="444"/>
      <c r="AB6" s="443"/>
      <c r="AC6" s="1126"/>
      <c r="AD6" s="941">
        <f t="shared" si="0"/>
        <v>0</v>
      </c>
      <c r="AE6" s="161">
        <f t="shared" si="0"/>
        <v>0</v>
      </c>
      <c r="AF6" s="162">
        <f t="shared" si="0"/>
        <v>0</v>
      </c>
    </row>
    <row r="7" spans="1:32" ht="13.5" customHeight="1" x14ac:dyDescent="0.2">
      <c r="A7" s="83" t="s">
        <v>91</v>
      </c>
      <c r="B7" s="91" t="s">
        <v>86</v>
      </c>
      <c r="C7" s="115"/>
      <c r="D7" s="113"/>
      <c r="E7" s="116"/>
      <c r="F7" s="115"/>
      <c r="G7" s="113"/>
      <c r="H7" s="114"/>
      <c r="I7" s="115"/>
      <c r="J7" s="113"/>
      <c r="K7" s="116"/>
      <c r="L7" s="115"/>
      <c r="M7" s="113"/>
      <c r="N7" s="114"/>
      <c r="O7" s="115"/>
      <c r="P7" s="113"/>
      <c r="Q7" s="116"/>
      <c r="R7" s="115"/>
      <c r="S7" s="113"/>
      <c r="T7" s="114"/>
      <c r="U7" s="115"/>
      <c r="V7" s="113"/>
      <c r="W7" s="114"/>
      <c r="X7" s="115"/>
      <c r="Y7" s="113"/>
      <c r="Z7" s="116"/>
      <c r="AA7" s="1141"/>
      <c r="AB7" s="1118"/>
      <c r="AC7" s="1124"/>
      <c r="AD7" s="117"/>
      <c r="AE7" s="113"/>
      <c r="AF7" s="118"/>
    </row>
    <row r="8" spans="1:32" ht="13.5" customHeight="1" x14ac:dyDescent="0.2">
      <c r="A8" s="73" t="s">
        <v>92</v>
      </c>
      <c r="B8" s="90" t="s">
        <v>56</v>
      </c>
      <c r="C8" s="109"/>
      <c r="D8" s="106"/>
      <c r="E8" s="110"/>
      <c r="F8" s="109"/>
      <c r="G8" s="106"/>
      <c r="H8" s="108"/>
      <c r="I8" s="109"/>
      <c r="J8" s="106"/>
      <c r="K8" s="110"/>
      <c r="L8" s="109"/>
      <c r="M8" s="106"/>
      <c r="N8" s="108"/>
      <c r="O8" s="109"/>
      <c r="P8" s="106"/>
      <c r="Q8" s="110"/>
      <c r="R8" s="109"/>
      <c r="S8" s="106"/>
      <c r="T8" s="108"/>
      <c r="U8" s="109"/>
      <c r="V8" s="106"/>
      <c r="W8" s="108"/>
      <c r="X8" s="109"/>
      <c r="Y8" s="106"/>
      <c r="Z8" s="110"/>
      <c r="AA8" s="1142"/>
      <c r="AB8" s="1119"/>
      <c r="AC8" s="1125"/>
      <c r="AD8" s="111"/>
      <c r="AE8" s="106"/>
      <c r="AF8" s="107"/>
    </row>
    <row r="9" spans="1:32" ht="13.5" customHeight="1" x14ac:dyDescent="0.2">
      <c r="A9" s="82"/>
      <c r="B9" s="227" t="s">
        <v>54</v>
      </c>
      <c r="C9" s="123"/>
      <c r="D9" s="121"/>
      <c r="E9" s="124"/>
      <c r="F9" s="123"/>
      <c r="G9" s="121"/>
      <c r="H9" s="122"/>
      <c r="I9" s="123"/>
      <c r="J9" s="121"/>
      <c r="K9" s="124"/>
      <c r="L9" s="123"/>
      <c r="M9" s="121"/>
      <c r="N9" s="122"/>
      <c r="O9" s="123"/>
      <c r="P9" s="121"/>
      <c r="Q9" s="124"/>
      <c r="R9" s="123"/>
      <c r="S9" s="121"/>
      <c r="T9" s="122"/>
      <c r="U9" s="123"/>
      <c r="V9" s="121"/>
      <c r="W9" s="122"/>
      <c r="X9" s="123"/>
      <c r="Y9" s="121"/>
      <c r="Z9" s="124"/>
      <c r="AA9" s="1143"/>
      <c r="AB9" s="448"/>
      <c r="AC9" s="449"/>
      <c r="AD9" s="125"/>
      <c r="AE9" s="121"/>
      <c r="AF9" s="126"/>
    </row>
    <row r="10" spans="1:32" s="180" customFormat="1" ht="13.5" customHeight="1" x14ac:dyDescent="0.2">
      <c r="A10" s="66" t="s">
        <v>93</v>
      </c>
      <c r="B10" s="65" t="s">
        <v>57</v>
      </c>
      <c r="C10" s="178">
        <f>SUM(C7:C8)</f>
        <v>0</v>
      </c>
      <c r="D10" s="163">
        <f t="shared" ref="D10:E10" si="1">SUM(D7:D8)</f>
        <v>0</v>
      </c>
      <c r="E10" s="343">
        <f t="shared" si="1"/>
        <v>0</v>
      </c>
      <c r="F10" s="178">
        <f>SUM(F7:F8)</f>
        <v>0</v>
      </c>
      <c r="G10" s="163">
        <f t="shared" ref="G10" si="2">SUM(G7:G8)</f>
        <v>0</v>
      </c>
      <c r="H10" s="443">
        <f t="shared" ref="H10" si="3">SUM(H7:H8)</f>
        <v>0</v>
      </c>
      <c r="I10" s="178">
        <f>SUM(I7:I8)</f>
        <v>0</v>
      </c>
      <c r="J10" s="163">
        <f t="shared" ref="J10" si="4">SUM(J7:J8)</f>
        <v>0</v>
      </c>
      <c r="K10" s="343">
        <f t="shared" ref="K10" si="5">SUM(K7:K8)</f>
        <v>0</v>
      </c>
      <c r="L10" s="178">
        <f>SUM(L7:L8)</f>
        <v>0</v>
      </c>
      <c r="M10" s="163">
        <f t="shared" ref="M10" si="6">SUM(M7:M8)</f>
        <v>0</v>
      </c>
      <c r="N10" s="443">
        <f t="shared" ref="N10" si="7">SUM(N7:N8)</f>
        <v>0</v>
      </c>
      <c r="O10" s="178">
        <f>SUM(O7:O8)</f>
        <v>0</v>
      </c>
      <c r="P10" s="163">
        <f t="shared" ref="P10" si="8">SUM(P7:P8)</f>
        <v>0</v>
      </c>
      <c r="Q10" s="343">
        <f t="shared" ref="Q10" si="9">SUM(Q7:Q8)</f>
        <v>0</v>
      </c>
      <c r="R10" s="178">
        <f>SUM(R7:R8)</f>
        <v>0</v>
      </c>
      <c r="S10" s="163">
        <f t="shared" ref="S10" si="10">SUM(S7:S8)</f>
        <v>0</v>
      </c>
      <c r="T10" s="443">
        <f t="shared" ref="T10" si="11">SUM(T7:T8)</f>
        <v>0</v>
      </c>
      <c r="U10" s="178">
        <f>SUM(U7:U8)</f>
        <v>0</v>
      </c>
      <c r="V10" s="163">
        <f t="shared" ref="V10" si="12">SUM(V7:V8)</f>
        <v>0</v>
      </c>
      <c r="W10" s="443">
        <f t="shared" ref="W10" si="13">SUM(W7:W8)</f>
        <v>0</v>
      </c>
      <c r="X10" s="178">
        <f>SUM(X7:X8)</f>
        <v>0</v>
      </c>
      <c r="Y10" s="163">
        <f t="shared" ref="Y10" si="14">SUM(Y7:Y8)</f>
        <v>0</v>
      </c>
      <c r="Z10" s="343">
        <f t="shared" ref="Z10" si="15">SUM(Z7:Z8)</f>
        <v>0</v>
      </c>
      <c r="AA10" s="444"/>
      <c r="AB10" s="443"/>
      <c r="AC10" s="1126"/>
      <c r="AD10" s="941">
        <f>SUM(AD7:AD8)</f>
        <v>0</v>
      </c>
      <c r="AE10" s="161">
        <f t="shared" ref="AE10:AF10" si="16">SUM(AE7:AE8)</f>
        <v>0</v>
      </c>
      <c r="AF10" s="162">
        <f t="shared" si="16"/>
        <v>0</v>
      </c>
    </row>
    <row r="11" spans="1:32" ht="13.5" customHeight="1" x14ac:dyDescent="0.2">
      <c r="A11" s="83" t="s">
        <v>94</v>
      </c>
      <c r="B11" s="91" t="s">
        <v>58</v>
      </c>
      <c r="C11" s="115"/>
      <c r="D11" s="113"/>
      <c r="E11" s="116"/>
      <c r="F11" s="115"/>
      <c r="G11" s="113"/>
      <c r="H11" s="114"/>
      <c r="I11" s="115"/>
      <c r="J11" s="113"/>
      <c r="K11" s="116"/>
      <c r="L11" s="115"/>
      <c r="M11" s="113"/>
      <c r="N11" s="114"/>
      <c r="O11" s="115"/>
      <c r="P11" s="113"/>
      <c r="Q11" s="116"/>
      <c r="R11" s="115"/>
      <c r="S11" s="113"/>
      <c r="T11" s="114"/>
      <c r="U11" s="115"/>
      <c r="V11" s="113"/>
      <c r="W11" s="114"/>
      <c r="X11" s="115"/>
      <c r="Y11" s="113"/>
      <c r="Z11" s="116"/>
      <c r="AA11" s="1141"/>
      <c r="AB11" s="1118"/>
      <c r="AC11" s="1124"/>
      <c r="AD11" s="117"/>
      <c r="AE11" s="113"/>
      <c r="AF11" s="118">
        <f t="shared" ref="AF11:AF17" si="17">+E11+H11+K11+N11+Q11+T11+W11+Z11</f>
        <v>0</v>
      </c>
    </row>
    <row r="12" spans="1:32" ht="13.5" customHeight="1" x14ac:dyDescent="0.2">
      <c r="A12" s="73" t="s">
        <v>95</v>
      </c>
      <c r="B12" s="90" t="s">
        <v>59</v>
      </c>
      <c r="C12" s="109"/>
      <c r="D12" s="106"/>
      <c r="E12" s="110"/>
      <c r="F12" s="109"/>
      <c r="G12" s="106">
        <v>13</v>
      </c>
      <c r="H12" s="108">
        <v>13</v>
      </c>
      <c r="I12" s="109"/>
      <c r="J12" s="106">
        <v>4</v>
      </c>
      <c r="K12" s="110">
        <v>4</v>
      </c>
      <c r="L12" s="109"/>
      <c r="M12" s="106"/>
      <c r="N12" s="108"/>
      <c r="O12" s="109"/>
      <c r="P12" s="106">
        <v>350</v>
      </c>
      <c r="Q12" s="110">
        <v>350</v>
      </c>
      <c r="R12" s="109">
        <v>1000</v>
      </c>
      <c r="S12" s="106">
        <v>2866</v>
      </c>
      <c r="T12" s="108">
        <v>2865</v>
      </c>
      <c r="U12" s="109"/>
      <c r="V12" s="106"/>
      <c r="W12" s="108"/>
      <c r="X12" s="109"/>
      <c r="Y12" s="106"/>
      <c r="Z12" s="110"/>
      <c r="AA12" s="1141"/>
      <c r="AB12" s="1118"/>
      <c r="AC12" s="1124"/>
      <c r="AD12" s="117">
        <f>+C12+F12+I12+L12+O12+R12+U12+X12</f>
        <v>1000</v>
      </c>
      <c r="AE12" s="113">
        <f>+D12+G12+J12+M12+P12+S12+V12+Y12</f>
        <v>3233</v>
      </c>
      <c r="AF12" s="118">
        <f t="shared" si="17"/>
        <v>3232</v>
      </c>
    </row>
    <row r="13" spans="1:32" ht="13.5" customHeight="1" x14ac:dyDescent="0.2">
      <c r="A13" s="73" t="s">
        <v>96</v>
      </c>
      <c r="B13" s="90" t="s">
        <v>60</v>
      </c>
      <c r="C13" s="109"/>
      <c r="D13" s="106"/>
      <c r="E13" s="110"/>
      <c r="F13" s="109"/>
      <c r="G13" s="106"/>
      <c r="H13" s="108"/>
      <c r="I13" s="109"/>
      <c r="J13" s="106"/>
      <c r="K13" s="110"/>
      <c r="L13" s="109"/>
      <c r="M13" s="106"/>
      <c r="N13" s="108"/>
      <c r="O13" s="109"/>
      <c r="P13" s="106"/>
      <c r="Q13" s="110"/>
      <c r="R13" s="109"/>
      <c r="S13" s="106"/>
      <c r="T13" s="108"/>
      <c r="U13" s="109"/>
      <c r="V13" s="106"/>
      <c r="W13" s="108"/>
      <c r="X13" s="109"/>
      <c r="Y13" s="106"/>
      <c r="Z13" s="110"/>
      <c r="AA13" s="1141"/>
      <c r="AB13" s="1118"/>
      <c r="AC13" s="1124"/>
      <c r="AD13" s="117"/>
      <c r="AE13" s="113"/>
      <c r="AF13" s="118">
        <f t="shared" si="17"/>
        <v>0</v>
      </c>
    </row>
    <row r="14" spans="1:32" ht="13.5" customHeight="1" x14ac:dyDescent="0.2">
      <c r="A14" s="73" t="s">
        <v>97</v>
      </c>
      <c r="B14" s="90" t="s">
        <v>61</v>
      </c>
      <c r="C14" s="109"/>
      <c r="D14" s="106"/>
      <c r="E14" s="110"/>
      <c r="F14" s="109"/>
      <c r="G14" s="106"/>
      <c r="H14" s="108"/>
      <c r="I14" s="109"/>
      <c r="J14" s="106"/>
      <c r="K14" s="110"/>
      <c r="L14" s="109"/>
      <c r="M14" s="106"/>
      <c r="N14" s="108"/>
      <c r="O14" s="109"/>
      <c r="P14" s="106"/>
      <c r="Q14" s="110"/>
      <c r="R14" s="109"/>
      <c r="S14" s="106"/>
      <c r="T14" s="108"/>
      <c r="U14" s="109"/>
      <c r="V14" s="106"/>
      <c r="W14" s="108"/>
      <c r="X14" s="109"/>
      <c r="Y14" s="106"/>
      <c r="Z14" s="110"/>
      <c r="AA14" s="1141"/>
      <c r="AB14" s="1118"/>
      <c r="AC14" s="1124"/>
      <c r="AD14" s="117"/>
      <c r="AE14" s="113"/>
      <c r="AF14" s="118">
        <f t="shared" si="17"/>
        <v>0</v>
      </c>
    </row>
    <row r="15" spans="1:32" ht="33" customHeight="1" x14ac:dyDescent="0.2">
      <c r="A15" s="73" t="s">
        <v>98</v>
      </c>
      <c r="B15" s="74" t="s">
        <v>62</v>
      </c>
      <c r="C15" s="109"/>
      <c r="D15" s="106"/>
      <c r="E15" s="110"/>
      <c r="F15" s="109"/>
      <c r="G15" s="106"/>
      <c r="H15" s="108"/>
      <c r="I15" s="109">
        <v>2500</v>
      </c>
      <c r="J15" s="106">
        <v>3320</v>
      </c>
      <c r="K15" s="110">
        <v>3320</v>
      </c>
      <c r="L15" s="109"/>
      <c r="M15" s="106"/>
      <c r="N15" s="108"/>
      <c r="O15" s="109">
        <v>1800</v>
      </c>
      <c r="P15" s="106">
        <v>2093</v>
      </c>
      <c r="Q15" s="110">
        <v>2093</v>
      </c>
      <c r="R15" s="109"/>
      <c r="S15" s="106"/>
      <c r="T15" s="108"/>
      <c r="U15" s="109">
        <v>7500</v>
      </c>
      <c r="V15" s="106">
        <v>9858</v>
      </c>
      <c r="W15" s="108">
        <v>9853</v>
      </c>
      <c r="X15" s="109">
        <v>1500</v>
      </c>
      <c r="Y15" s="106">
        <v>2629</v>
      </c>
      <c r="Z15" s="110">
        <v>2629</v>
      </c>
      <c r="AA15" s="1141"/>
      <c r="AB15" s="1118"/>
      <c r="AC15" s="1124"/>
      <c r="AD15" s="117">
        <f>+C15+F15+I15+L15+O15+R15+U15+X15</f>
        <v>13300</v>
      </c>
      <c r="AE15" s="113">
        <f>+D15+G15+J15+M15+P15+S15+V15+Y15</f>
        <v>17900</v>
      </c>
      <c r="AF15" s="118">
        <f t="shared" si="17"/>
        <v>17895</v>
      </c>
    </row>
    <row r="16" spans="1:32" ht="13.15" customHeight="1" x14ac:dyDescent="0.2">
      <c r="A16" s="73" t="s">
        <v>98</v>
      </c>
      <c r="B16" s="74" t="s">
        <v>1255</v>
      </c>
      <c r="C16" s="109"/>
      <c r="D16" s="106"/>
      <c r="E16" s="110"/>
      <c r="F16" s="109"/>
      <c r="G16" s="106"/>
      <c r="H16" s="108"/>
      <c r="I16" s="109"/>
      <c r="J16" s="106"/>
      <c r="K16" s="110"/>
      <c r="L16" s="109"/>
      <c r="M16" s="106"/>
      <c r="N16" s="108"/>
      <c r="O16" s="109"/>
      <c r="P16" s="106"/>
      <c r="Q16" s="110"/>
      <c r="R16" s="109"/>
      <c r="S16" s="106"/>
      <c r="T16" s="108"/>
      <c r="U16" s="109">
        <v>3538</v>
      </c>
      <c r="V16" s="106">
        <v>3538</v>
      </c>
      <c r="W16" s="108">
        <v>3417</v>
      </c>
      <c r="X16" s="109"/>
      <c r="Y16" s="106"/>
      <c r="Z16" s="110"/>
      <c r="AA16" s="1141"/>
      <c r="AB16" s="1118"/>
      <c r="AC16" s="1124"/>
      <c r="AD16" s="117">
        <f t="shared" ref="AD16:AD17" si="18">+C16+F16+I16+L16+O16+R16+U16+X16</f>
        <v>3538</v>
      </c>
      <c r="AE16" s="113">
        <f t="shared" ref="AE16" si="19">+D16+G16+J16+M16+P16+S16+V16+Y16</f>
        <v>3538</v>
      </c>
      <c r="AF16" s="118">
        <f t="shared" si="17"/>
        <v>3417</v>
      </c>
    </row>
    <row r="17" spans="1:35" ht="37.15" customHeight="1" x14ac:dyDescent="0.2">
      <c r="A17" s="73" t="s">
        <v>99</v>
      </c>
      <c r="B17" s="74" t="s">
        <v>1256</v>
      </c>
      <c r="C17" s="109"/>
      <c r="D17" s="106"/>
      <c r="E17" s="110"/>
      <c r="F17" s="109"/>
      <c r="G17" s="106">
        <v>3</v>
      </c>
      <c r="H17" s="108">
        <v>3</v>
      </c>
      <c r="I17" s="109"/>
      <c r="J17" s="106">
        <v>1</v>
      </c>
      <c r="K17" s="110">
        <v>1</v>
      </c>
      <c r="L17" s="109"/>
      <c r="M17" s="106"/>
      <c r="N17" s="108"/>
      <c r="O17" s="109"/>
      <c r="P17" s="106">
        <v>95</v>
      </c>
      <c r="Q17" s="110">
        <v>95</v>
      </c>
      <c r="R17" s="109">
        <v>270</v>
      </c>
      <c r="S17" s="106">
        <v>774</v>
      </c>
      <c r="T17" s="108">
        <v>774</v>
      </c>
      <c r="U17" s="109">
        <v>955</v>
      </c>
      <c r="V17" s="106">
        <v>955</v>
      </c>
      <c r="W17" s="108">
        <v>922</v>
      </c>
      <c r="X17" s="109">
        <v>405</v>
      </c>
      <c r="Y17" s="106">
        <v>710</v>
      </c>
      <c r="Z17" s="110">
        <v>710</v>
      </c>
      <c r="AA17" s="1141"/>
      <c r="AB17" s="1118"/>
      <c r="AC17" s="1124"/>
      <c r="AD17" s="117">
        <f t="shared" si="18"/>
        <v>1630</v>
      </c>
      <c r="AE17" s="113">
        <f>+D17+G17+J17+M17+P17+S17+V17+Y17</f>
        <v>2538</v>
      </c>
      <c r="AF17" s="118">
        <f t="shared" si="17"/>
        <v>2505</v>
      </c>
    </row>
    <row r="18" spans="1:35" ht="39.6" customHeight="1" x14ac:dyDescent="0.2">
      <c r="A18" s="73" t="s">
        <v>100</v>
      </c>
      <c r="B18" s="74" t="s">
        <v>1257</v>
      </c>
      <c r="C18" s="109"/>
      <c r="D18" s="106"/>
      <c r="E18" s="110"/>
      <c r="F18" s="109"/>
      <c r="G18" s="106"/>
      <c r="H18" s="108"/>
      <c r="I18" s="109"/>
      <c r="J18" s="106"/>
      <c r="K18" s="110"/>
      <c r="L18" s="109"/>
      <c r="M18" s="106"/>
      <c r="N18" s="108"/>
      <c r="O18" s="109"/>
      <c r="P18" s="106"/>
      <c r="Q18" s="110"/>
      <c r="R18" s="109"/>
      <c r="S18" s="106"/>
      <c r="T18" s="108"/>
      <c r="U18" s="109"/>
      <c r="V18" s="106"/>
      <c r="W18" s="108"/>
      <c r="X18" s="109"/>
      <c r="Y18" s="106"/>
      <c r="Z18" s="110"/>
      <c r="AA18" s="1141"/>
      <c r="AB18" s="1118"/>
      <c r="AC18" s="1124"/>
      <c r="AD18" s="117">
        <f t="shared" ref="AD18:AD20" si="20">+C18+F18+I18+L18+O18+R18+U18+X18</f>
        <v>0</v>
      </c>
      <c r="AE18" s="113">
        <f t="shared" ref="AE18:AE20" si="21">+D18+G18+J18+M18+P18+S18+V18+Y18</f>
        <v>0</v>
      </c>
      <c r="AF18" s="118">
        <f t="shared" ref="AF18:AF20" si="22">+E18+H18+K18+N18+Q18+T18+W18+Z18</f>
        <v>0</v>
      </c>
    </row>
    <row r="19" spans="1:35" ht="39.6" customHeight="1" x14ac:dyDescent="0.2">
      <c r="A19" s="84" t="s">
        <v>1281</v>
      </c>
      <c r="B19" s="92" t="s">
        <v>1282</v>
      </c>
      <c r="C19" s="109"/>
      <c r="D19" s="106"/>
      <c r="E19" s="124"/>
      <c r="F19" s="109"/>
      <c r="G19" s="106"/>
      <c r="H19" s="122"/>
      <c r="I19" s="109"/>
      <c r="J19" s="106"/>
      <c r="K19" s="124"/>
      <c r="L19" s="109"/>
      <c r="M19" s="106"/>
      <c r="N19" s="122"/>
      <c r="O19" s="109"/>
      <c r="P19" s="106"/>
      <c r="Q19" s="124"/>
      <c r="R19" s="109"/>
      <c r="S19" s="106">
        <v>200</v>
      </c>
      <c r="T19" s="122">
        <v>200</v>
      </c>
      <c r="U19" s="109"/>
      <c r="V19" s="106"/>
      <c r="W19" s="122"/>
      <c r="X19" s="109"/>
      <c r="Y19" s="106"/>
      <c r="Z19" s="124"/>
      <c r="AA19" s="1144"/>
      <c r="AB19" s="341"/>
      <c r="AC19" s="1127"/>
      <c r="AD19" s="117">
        <f t="shared" si="20"/>
        <v>0</v>
      </c>
      <c r="AE19" s="113">
        <f t="shared" si="21"/>
        <v>200</v>
      </c>
      <c r="AF19" s="118">
        <f t="shared" si="22"/>
        <v>200</v>
      </c>
    </row>
    <row r="20" spans="1:35" ht="13.5" customHeight="1" x14ac:dyDescent="0.2">
      <c r="A20" s="84" t="s">
        <v>1219</v>
      </c>
      <c r="B20" s="92" t="s">
        <v>63</v>
      </c>
      <c r="C20" s="109"/>
      <c r="D20" s="106"/>
      <c r="E20" s="124"/>
      <c r="F20" s="109"/>
      <c r="G20" s="106">
        <v>2</v>
      </c>
      <c r="H20" s="122">
        <v>2</v>
      </c>
      <c r="I20" s="109"/>
      <c r="J20" s="106"/>
      <c r="K20" s="124"/>
      <c r="L20" s="109"/>
      <c r="M20" s="106"/>
      <c r="N20" s="122"/>
      <c r="O20" s="109"/>
      <c r="P20" s="106"/>
      <c r="Q20" s="124"/>
      <c r="R20" s="109"/>
      <c r="S20" s="106"/>
      <c r="T20" s="122"/>
      <c r="U20" s="109"/>
      <c r="V20" s="106"/>
      <c r="W20" s="122"/>
      <c r="X20" s="109"/>
      <c r="Y20" s="106"/>
      <c r="Z20" s="124"/>
      <c r="AA20" s="1144"/>
      <c r="AB20" s="341"/>
      <c r="AC20" s="1127"/>
      <c r="AD20" s="117">
        <f t="shared" si="20"/>
        <v>0</v>
      </c>
      <c r="AE20" s="113">
        <f t="shared" si="21"/>
        <v>2</v>
      </c>
      <c r="AF20" s="118">
        <f t="shared" si="22"/>
        <v>2</v>
      </c>
    </row>
    <row r="21" spans="1:35" s="180" customFormat="1" ht="13.5" customHeight="1" x14ac:dyDescent="0.2">
      <c r="A21" s="66" t="s">
        <v>101</v>
      </c>
      <c r="B21" s="65" t="s">
        <v>64</v>
      </c>
      <c r="C21" s="178">
        <f t="shared" ref="C21:Z21" si="23">SUM(C11:C20)</f>
        <v>0</v>
      </c>
      <c r="D21" s="163">
        <f t="shared" si="23"/>
        <v>0</v>
      </c>
      <c r="E21" s="343">
        <f t="shared" si="23"/>
        <v>0</v>
      </c>
      <c r="F21" s="178">
        <f t="shared" si="23"/>
        <v>0</v>
      </c>
      <c r="G21" s="163">
        <f t="shared" si="23"/>
        <v>18</v>
      </c>
      <c r="H21" s="443">
        <f t="shared" si="23"/>
        <v>18</v>
      </c>
      <c r="I21" s="178">
        <f t="shared" si="23"/>
        <v>2500</v>
      </c>
      <c r="J21" s="163">
        <f t="shared" si="23"/>
        <v>3325</v>
      </c>
      <c r="K21" s="343">
        <f t="shared" si="23"/>
        <v>3325</v>
      </c>
      <c r="L21" s="178">
        <f t="shared" si="23"/>
        <v>0</v>
      </c>
      <c r="M21" s="163">
        <f t="shared" si="23"/>
        <v>0</v>
      </c>
      <c r="N21" s="443">
        <f t="shared" si="23"/>
        <v>0</v>
      </c>
      <c r="O21" s="178">
        <f t="shared" si="23"/>
        <v>1800</v>
      </c>
      <c r="P21" s="163">
        <f t="shared" si="23"/>
        <v>2538</v>
      </c>
      <c r="Q21" s="343">
        <f t="shared" si="23"/>
        <v>2538</v>
      </c>
      <c r="R21" s="178">
        <f t="shared" si="23"/>
        <v>1270</v>
      </c>
      <c r="S21" s="163">
        <f t="shared" si="23"/>
        <v>3840</v>
      </c>
      <c r="T21" s="443">
        <f t="shared" si="23"/>
        <v>3839</v>
      </c>
      <c r="U21" s="178">
        <f t="shared" si="23"/>
        <v>11993</v>
      </c>
      <c r="V21" s="163">
        <f t="shared" si="23"/>
        <v>14351</v>
      </c>
      <c r="W21" s="443">
        <f t="shared" si="23"/>
        <v>14192</v>
      </c>
      <c r="X21" s="178">
        <f t="shared" si="23"/>
        <v>1905</v>
      </c>
      <c r="Y21" s="163">
        <f t="shared" si="23"/>
        <v>3339</v>
      </c>
      <c r="Z21" s="343">
        <f t="shared" si="23"/>
        <v>3339</v>
      </c>
      <c r="AA21" s="444"/>
      <c r="AB21" s="443"/>
      <c r="AC21" s="1126">
        <f>SUM(AC11:AC20)</f>
        <v>0</v>
      </c>
      <c r="AD21" s="941">
        <f>SUM(AD11:AD20)</f>
        <v>19468</v>
      </c>
      <c r="AE21" s="161">
        <f>SUM(AE11:AE20)</f>
        <v>27411</v>
      </c>
      <c r="AF21" s="162">
        <f>SUM(AF11:AF20)</f>
        <v>27251</v>
      </c>
    </row>
    <row r="22" spans="1:35" s="180" customFormat="1" ht="13.5" customHeight="1" x14ac:dyDescent="0.2">
      <c r="A22" s="66" t="s">
        <v>102</v>
      </c>
      <c r="B22" s="65" t="s">
        <v>65</v>
      </c>
      <c r="C22" s="178">
        <v>0</v>
      </c>
      <c r="D22" s="161">
        <v>0</v>
      </c>
      <c r="E22" s="179">
        <v>0</v>
      </c>
      <c r="F22" s="178"/>
      <c r="G22" s="161"/>
      <c r="H22" s="164"/>
      <c r="I22" s="178"/>
      <c r="J22" s="161"/>
      <c r="K22" s="179"/>
      <c r="L22" s="178"/>
      <c r="M22" s="161"/>
      <c r="N22" s="164"/>
      <c r="O22" s="178"/>
      <c r="P22" s="161"/>
      <c r="Q22" s="179"/>
      <c r="R22" s="178"/>
      <c r="S22" s="161"/>
      <c r="T22" s="164"/>
      <c r="U22" s="178"/>
      <c r="V22" s="161"/>
      <c r="W22" s="783"/>
      <c r="X22" s="178"/>
      <c r="Y22" s="161"/>
      <c r="Z22" s="179"/>
      <c r="AA22" s="444"/>
      <c r="AB22" s="443"/>
      <c r="AC22" s="1126"/>
      <c r="AD22" s="941"/>
      <c r="AE22" s="161"/>
      <c r="AF22" s="162"/>
    </row>
    <row r="23" spans="1:35" ht="13.5" customHeight="1" x14ac:dyDescent="0.2">
      <c r="A23" s="85" t="s">
        <v>1217</v>
      </c>
      <c r="B23" s="93" t="s">
        <v>66</v>
      </c>
      <c r="C23" s="109"/>
      <c r="D23" s="106"/>
      <c r="E23" s="132"/>
      <c r="F23" s="109"/>
      <c r="G23" s="106"/>
      <c r="H23" s="131"/>
      <c r="I23" s="109"/>
      <c r="J23" s="106">
        <f>+'[4]3.SZ.TÁBL. SEGÍTŐ SZOLGÁLAT'!$K23</f>
        <v>0</v>
      </c>
      <c r="K23" s="132"/>
      <c r="L23" s="109"/>
      <c r="M23" s="106"/>
      <c r="N23" s="131"/>
      <c r="O23" s="109"/>
      <c r="P23" s="106"/>
      <c r="Q23" s="132"/>
      <c r="R23" s="109"/>
      <c r="S23" s="106"/>
      <c r="T23" s="131"/>
      <c r="U23" s="109"/>
      <c r="V23" s="106"/>
      <c r="W23" s="131"/>
      <c r="X23" s="109"/>
      <c r="Y23" s="106"/>
      <c r="Z23" s="132"/>
      <c r="AA23" s="1144"/>
      <c r="AB23" s="341"/>
      <c r="AC23" s="1127"/>
      <c r="AD23" s="117"/>
      <c r="AE23" s="113"/>
      <c r="AF23" s="118">
        <f>+E23+H23+K23+N23+Q23+T23+W23+Z23</f>
        <v>0</v>
      </c>
    </row>
    <row r="24" spans="1:35" s="180" customFormat="1" ht="13.5" customHeight="1" x14ac:dyDescent="0.2">
      <c r="A24" s="66" t="s">
        <v>103</v>
      </c>
      <c r="B24" s="65" t="s">
        <v>1210</v>
      </c>
      <c r="C24" s="178">
        <f>+C23</f>
        <v>0</v>
      </c>
      <c r="D24" s="163">
        <f t="shared" ref="D24:E24" si="24">+D23</f>
        <v>0</v>
      </c>
      <c r="E24" s="343">
        <f t="shared" si="24"/>
        <v>0</v>
      </c>
      <c r="F24" s="178">
        <f>+F23</f>
        <v>0</v>
      </c>
      <c r="G24" s="163">
        <f t="shared" ref="G24" si="25">+G23</f>
        <v>0</v>
      </c>
      <c r="H24" s="443">
        <f t="shared" ref="H24" si="26">+H23</f>
        <v>0</v>
      </c>
      <c r="I24" s="178">
        <f>+I23</f>
        <v>0</v>
      </c>
      <c r="J24" s="163">
        <f t="shared" ref="J24" si="27">+J23</f>
        <v>0</v>
      </c>
      <c r="K24" s="343">
        <f t="shared" ref="K24" si="28">+K23</f>
        <v>0</v>
      </c>
      <c r="L24" s="178">
        <f>+L23</f>
        <v>0</v>
      </c>
      <c r="M24" s="163">
        <f t="shared" ref="M24" si="29">+M23</f>
        <v>0</v>
      </c>
      <c r="N24" s="443">
        <f t="shared" ref="N24" si="30">+N23</f>
        <v>0</v>
      </c>
      <c r="O24" s="178">
        <f>+O23</f>
        <v>0</v>
      </c>
      <c r="P24" s="163">
        <f t="shared" ref="P24" si="31">+P23</f>
        <v>0</v>
      </c>
      <c r="Q24" s="343">
        <f t="shared" ref="Q24" si="32">+Q23</f>
        <v>0</v>
      </c>
      <c r="R24" s="178">
        <f>+R23</f>
        <v>0</v>
      </c>
      <c r="S24" s="163">
        <f t="shared" ref="S24" si="33">+S23</f>
        <v>0</v>
      </c>
      <c r="T24" s="443">
        <f t="shared" ref="T24" si="34">+T23</f>
        <v>0</v>
      </c>
      <c r="U24" s="178">
        <f>+U23</f>
        <v>0</v>
      </c>
      <c r="V24" s="163">
        <f t="shared" ref="V24" si="35">+V23</f>
        <v>0</v>
      </c>
      <c r="W24" s="443">
        <f t="shared" ref="W24" si="36">+W23</f>
        <v>0</v>
      </c>
      <c r="X24" s="178">
        <f>+X23</f>
        <v>0</v>
      </c>
      <c r="Y24" s="163">
        <f t="shared" ref="Y24" si="37">+Y23</f>
        <v>0</v>
      </c>
      <c r="Z24" s="343">
        <f t="shared" ref="Z24" si="38">+Z23</f>
        <v>0</v>
      </c>
      <c r="AA24" s="444"/>
      <c r="AB24" s="443"/>
      <c r="AC24" s="1126"/>
      <c r="AD24" s="941">
        <f>+AD23</f>
        <v>0</v>
      </c>
      <c r="AE24" s="161">
        <f t="shared" ref="AE24:AF24" si="39">+AE23</f>
        <v>0</v>
      </c>
      <c r="AF24" s="162">
        <f t="shared" si="39"/>
        <v>0</v>
      </c>
    </row>
    <row r="25" spans="1:35" ht="13.5" customHeight="1" x14ac:dyDescent="0.2">
      <c r="A25" s="85" t="s">
        <v>1218</v>
      </c>
      <c r="B25" s="93" t="s">
        <v>67</v>
      </c>
      <c r="C25" s="109"/>
      <c r="D25" s="106"/>
      <c r="E25" s="132"/>
      <c r="F25" s="109"/>
      <c r="G25" s="106"/>
      <c r="H25" s="131"/>
      <c r="I25" s="109"/>
      <c r="J25" s="106">
        <f>+'[4]3.SZ.TÁBL. SEGÍTŐ SZOLGÁLAT'!$K25</f>
        <v>0</v>
      </c>
      <c r="K25" s="132"/>
      <c r="L25" s="109"/>
      <c r="M25" s="106"/>
      <c r="N25" s="131"/>
      <c r="O25" s="109"/>
      <c r="P25" s="106">
        <f>+'[4]3.SZ.TÁBL. SEGÍTŐ SZOLGÁLAT'!$Q25</f>
        <v>0</v>
      </c>
      <c r="Q25" s="132"/>
      <c r="R25" s="109"/>
      <c r="S25" s="106"/>
      <c r="T25" s="131"/>
      <c r="U25" s="109"/>
      <c r="V25" s="106"/>
      <c r="W25" s="131"/>
      <c r="X25" s="109"/>
      <c r="Y25" s="106"/>
      <c r="Z25" s="132"/>
      <c r="AA25" s="1144"/>
      <c r="AB25" s="341"/>
      <c r="AC25" s="1127"/>
      <c r="AD25" s="133"/>
      <c r="AE25" s="130"/>
      <c r="AF25" s="134"/>
    </row>
    <row r="26" spans="1:35" s="180" customFormat="1" ht="13.5" customHeight="1" x14ac:dyDescent="0.2">
      <c r="A26" s="66" t="s">
        <v>104</v>
      </c>
      <c r="B26" s="65" t="s">
        <v>1215</v>
      </c>
      <c r="C26" s="178">
        <f t="shared" ref="C26:AD26" si="40">+C25</f>
        <v>0</v>
      </c>
      <c r="D26" s="163">
        <f t="shared" si="40"/>
        <v>0</v>
      </c>
      <c r="E26" s="343">
        <f t="shared" si="40"/>
        <v>0</v>
      </c>
      <c r="F26" s="178">
        <f t="shared" ref="F26:G26" si="41">+F25</f>
        <v>0</v>
      </c>
      <c r="G26" s="163">
        <f t="shared" si="41"/>
        <v>0</v>
      </c>
      <c r="H26" s="443">
        <f t="shared" ref="H26:J26" si="42">+H25</f>
        <v>0</v>
      </c>
      <c r="I26" s="178">
        <f t="shared" si="42"/>
        <v>0</v>
      </c>
      <c r="J26" s="163">
        <f t="shared" si="42"/>
        <v>0</v>
      </c>
      <c r="K26" s="343">
        <f t="shared" ref="K26:M26" si="43">+K25</f>
        <v>0</v>
      </c>
      <c r="L26" s="178">
        <f t="shared" si="43"/>
        <v>0</v>
      </c>
      <c r="M26" s="163">
        <f t="shared" si="43"/>
        <v>0</v>
      </c>
      <c r="N26" s="443">
        <f t="shared" ref="N26:P26" si="44">+N25</f>
        <v>0</v>
      </c>
      <c r="O26" s="178">
        <f t="shared" si="44"/>
        <v>0</v>
      </c>
      <c r="P26" s="163">
        <f t="shared" si="44"/>
        <v>0</v>
      </c>
      <c r="Q26" s="343">
        <f t="shared" ref="Q26:S26" si="45">+Q25</f>
        <v>0</v>
      </c>
      <c r="R26" s="178">
        <f t="shared" si="45"/>
        <v>0</v>
      </c>
      <c r="S26" s="163">
        <f t="shared" si="45"/>
        <v>0</v>
      </c>
      <c r="T26" s="443">
        <f t="shared" ref="T26:V26" si="46">+T25</f>
        <v>0</v>
      </c>
      <c r="U26" s="178">
        <f t="shared" si="46"/>
        <v>0</v>
      </c>
      <c r="V26" s="163">
        <f t="shared" si="46"/>
        <v>0</v>
      </c>
      <c r="W26" s="443">
        <f t="shared" ref="W26:Y26" si="47">+W25</f>
        <v>0</v>
      </c>
      <c r="X26" s="178">
        <f t="shared" si="47"/>
        <v>0</v>
      </c>
      <c r="Y26" s="163">
        <f t="shared" si="47"/>
        <v>0</v>
      </c>
      <c r="Z26" s="343">
        <f t="shared" ref="Z26" si="48">+Z25</f>
        <v>0</v>
      </c>
      <c r="AA26" s="444"/>
      <c r="AB26" s="443"/>
      <c r="AC26" s="1126"/>
      <c r="AD26" s="941">
        <f t="shared" si="40"/>
        <v>0</v>
      </c>
      <c r="AE26" s="161">
        <f t="shared" ref="AE26:AF26" si="49">+AE25</f>
        <v>0</v>
      </c>
      <c r="AF26" s="162">
        <f t="shared" si="49"/>
        <v>0</v>
      </c>
    </row>
    <row r="27" spans="1:35" s="180" customFormat="1" ht="13.5" customHeight="1" x14ac:dyDescent="0.2">
      <c r="A27" s="66" t="s">
        <v>105</v>
      </c>
      <c r="B27" s="65" t="s">
        <v>68</v>
      </c>
      <c r="C27" s="178">
        <f t="shared" ref="C27:Z27" si="50">+C6+C10+C21+C22+C24+C26</f>
        <v>0</v>
      </c>
      <c r="D27" s="163">
        <f t="shared" si="50"/>
        <v>0</v>
      </c>
      <c r="E27" s="343">
        <f t="shared" si="50"/>
        <v>0</v>
      </c>
      <c r="F27" s="178">
        <f t="shared" si="50"/>
        <v>0</v>
      </c>
      <c r="G27" s="163">
        <f t="shared" si="50"/>
        <v>18</v>
      </c>
      <c r="H27" s="443">
        <f t="shared" si="50"/>
        <v>18</v>
      </c>
      <c r="I27" s="178">
        <f t="shared" si="50"/>
        <v>2500</v>
      </c>
      <c r="J27" s="163">
        <f t="shared" si="50"/>
        <v>3325</v>
      </c>
      <c r="K27" s="343">
        <f t="shared" si="50"/>
        <v>3325</v>
      </c>
      <c r="L27" s="178">
        <f t="shared" si="50"/>
        <v>0</v>
      </c>
      <c r="M27" s="163">
        <f t="shared" si="50"/>
        <v>0</v>
      </c>
      <c r="N27" s="443">
        <f t="shared" si="50"/>
        <v>0</v>
      </c>
      <c r="O27" s="178">
        <f t="shared" si="50"/>
        <v>1800</v>
      </c>
      <c r="P27" s="163">
        <f t="shared" si="50"/>
        <v>2538</v>
      </c>
      <c r="Q27" s="343">
        <f t="shared" si="50"/>
        <v>2538</v>
      </c>
      <c r="R27" s="178">
        <f t="shared" si="50"/>
        <v>1270</v>
      </c>
      <c r="S27" s="163">
        <f t="shared" si="50"/>
        <v>3840</v>
      </c>
      <c r="T27" s="443">
        <f t="shared" si="50"/>
        <v>3839</v>
      </c>
      <c r="U27" s="178">
        <f t="shared" si="50"/>
        <v>11993</v>
      </c>
      <c r="V27" s="163">
        <f t="shared" si="50"/>
        <v>14351</v>
      </c>
      <c r="W27" s="443">
        <f t="shared" si="50"/>
        <v>14192</v>
      </c>
      <c r="X27" s="178">
        <f t="shared" si="50"/>
        <v>1905</v>
      </c>
      <c r="Y27" s="163">
        <f t="shared" si="50"/>
        <v>3339</v>
      </c>
      <c r="Z27" s="343">
        <f t="shared" si="50"/>
        <v>3339</v>
      </c>
      <c r="AA27" s="444"/>
      <c r="AB27" s="443"/>
      <c r="AC27" s="1126">
        <f>+AC6+AC10+AC21+AC22+AC24+AC26</f>
        <v>0</v>
      </c>
      <c r="AD27" s="941">
        <f>+AD6+AD10+AD21+AD22+AD24+AD26</f>
        <v>19468</v>
      </c>
      <c r="AE27" s="161">
        <f>+AE6+AE10+AE21+AE22+AE24+AE26</f>
        <v>27411</v>
      </c>
      <c r="AF27" s="162">
        <f>+AF6+AF10+AF21+AF22+AF24+AF26</f>
        <v>27251</v>
      </c>
    </row>
    <row r="28" spans="1:35" s="180" customFormat="1" ht="13.5" customHeight="1" x14ac:dyDescent="0.2">
      <c r="A28" s="135" t="s">
        <v>106</v>
      </c>
      <c r="B28" s="65" t="s">
        <v>69</v>
      </c>
      <c r="C28" s="109"/>
      <c r="D28" s="1106"/>
      <c r="E28" s="179"/>
      <c r="F28" s="1107"/>
      <c r="G28" s="1106">
        <v>13029</v>
      </c>
      <c r="H28" s="164">
        <v>13029</v>
      </c>
      <c r="I28" s="1107"/>
      <c r="J28" s="1106">
        <v>1204</v>
      </c>
      <c r="K28" s="179">
        <v>1204</v>
      </c>
      <c r="L28" s="109"/>
      <c r="M28" s="106">
        <f>+'[5]3.SZ.TÁBL. SEGÍTŐ SZOLGÁLAT'!$N$27</f>
        <v>0</v>
      </c>
      <c r="N28" s="164"/>
      <c r="O28" s="109"/>
      <c r="P28" s="106">
        <f>+'[6]3.SZ.TÁBL. SEGÍTŐ SZOLGÁLAT'!$Q$27</f>
        <v>0</v>
      </c>
      <c r="Q28" s="179"/>
      <c r="R28" s="109"/>
      <c r="S28" s="106"/>
      <c r="T28" s="164"/>
      <c r="U28" s="109"/>
      <c r="V28" s="1106"/>
      <c r="W28" s="783"/>
      <c r="X28" s="109"/>
      <c r="Y28" s="106"/>
      <c r="Z28" s="179"/>
      <c r="AA28" s="1145"/>
      <c r="AB28" s="224"/>
      <c r="AC28" s="1128"/>
      <c r="AD28" s="784">
        <f>+C28+F28+I28+L28+O28+R28+U28+X28</f>
        <v>0</v>
      </c>
      <c r="AE28" s="785">
        <f>+D28+G28+J28+M28+P28+S28+V28+Y28</f>
        <v>14233</v>
      </c>
      <c r="AF28" s="786">
        <f>+E28+H28+K28+N28+Q28+T28+W28+Z28</f>
        <v>14233</v>
      </c>
    </row>
    <row r="29" spans="1:35" s="180" customFormat="1" ht="13.5" customHeight="1" x14ac:dyDescent="0.2">
      <c r="A29" s="135" t="s">
        <v>218</v>
      </c>
      <c r="B29" s="65" t="s">
        <v>219</v>
      </c>
      <c r="C29" s="178">
        <f t="shared" ref="C29:AE29" si="51">+SUM(C30:C32)+SUM(C40:C40)</f>
        <v>0</v>
      </c>
      <c r="D29" s="163">
        <f t="shared" si="51"/>
        <v>0</v>
      </c>
      <c r="E29" s="343">
        <f t="shared" si="51"/>
        <v>0</v>
      </c>
      <c r="F29" s="178">
        <f t="shared" ref="F29" si="52">+SUM(F30:F32)+SUM(F40:F40)</f>
        <v>49343</v>
      </c>
      <c r="G29" s="163">
        <f t="shared" ref="G29" si="53">+SUM(G30:G32)+SUM(G40:G40)</f>
        <v>49514</v>
      </c>
      <c r="H29" s="443">
        <f t="shared" si="51"/>
        <v>49514</v>
      </c>
      <c r="I29" s="178">
        <f t="shared" si="51"/>
        <v>40346</v>
      </c>
      <c r="J29" s="163">
        <f t="shared" si="51"/>
        <v>41288</v>
      </c>
      <c r="K29" s="343">
        <f t="shared" si="51"/>
        <v>41288</v>
      </c>
      <c r="L29" s="178">
        <f t="shared" ref="L29" si="54">+SUM(L30:L32)+SUM(L40:L40)</f>
        <v>32890</v>
      </c>
      <c r="M29" s="163">
        <f t="shared" ref="M29" si="55">+SUM(M30:M32)+SUM(M40:M40)</f>
        <v>39865</v>
      </c>
      <c r="N29" s="443">
        <f t="shared" si="51"/>
        <v>39865</v>
      </c>
      <c r="O29" s="178">
        <f t="shared" si="51"/>
        <v>26290</v>
      </c>
      <c r="P29" s="163">
        <f t="shared" si="51"/>
        <v>28072</v>
      </c>
      <c r="Q29" s="343">
        <f t="shared" si="51"/>
        <v>28072</v>
      </c>
      <c r="R29" s="178">
        <f t="shared" ref="R29" si="56">+SUM(R30:R32)+SUM(R40:R40)</f>
        <v>14181</v>
      </c>
      <c r="S29" s="163">
        <f t="shared" ref="S29" si="57">+SUM(S30:S32)+SUM(S40:S40)</f>
        <v>14899</v>
      </c>
      <c r="T29" s="443">
        <f t="shared" si="51"/>
        <v>14899</v>
      </c>
      <c r="U29" s="178">
        <f t="shared" si="51"/>
        <v>25057</v>
      </c>
      <c r="V29" s="163">
        <f t="shared" si="51"/>
        <v>36162</v>
      </c>
      <c r="W29" s="443">
        <f t="shared" si="51"/>
        <v>36162</v>
      </c>
      <c r="X29" s="178">
        <f t="shared" ref="X29" si="58">+SUM(X30:X32)+SUM(X40:X40)</f>
        <v>5062</v>
      </c>
      <c r="Y29" s="163">
        <f t="shared" ref="Y29" si="59">+SUM(Y30:Y32)+SUM(Y40:Y40)</f>
        <v>5326</v>
      </c>
      <c r="Z29" s="343">
        <f t="shared" si="51"/>
        <v>5326</v>
      </c>
      <c r="AA29" s="444"/>
      <c r="AB29" s="443"/>
      <c r="AC29" s="1126">
        <f t="shared" si="51"/>
        <v>0</v>
      </c>
      <c r="AD29" s="941">
        <f t="shared" si="51"/>
        <v>193169</v>
      </c>
      <c r="AE29" s="161">
        <f t="shared" si="51"/>
        <v>215126</v>
      </c>
      <c r="AF29" s="162">
        <f>+SUM(AF30:AF32)+SUM(AF40:AF40)</f>
        <v>215126</v>
      </c>
      <c r="AG29" s="2">
        <v>215126</v>
      </c>
      <c r="AH29" s="224">
        <f>AG29-AF29</f>
        <v>0</v>
      </c>
      <c r="AI29" s="224"/>
    </row>
    <row r="30" spans="1:35" ht="13.5" customHeight="1" x14ac:dyDescent="0.2">
      <c r="A30" s="150"/>
      <c r="B30" s="89" t="s">
        <v>223</v>
      </c>
      <c r="C30" s="109"/>
      <c r="D30" s="106"/>
      <c r="E30" s="110"/>
      <c r="F30" s="109">
        <v>33363</v>
      </c>
      <c r="G30" s="106">
        <v>51726</v>
      </c>
      <c r="H30" s="108">
        <f>+'5.SZ.TÁBL. SZOCIÁLIS NORMATÍVA'!H4+'5.SZ.TÁBL. SZOCIÁLIS NORMATÍVA'!H20+'5.SZ.TÁBL. SZOCIÁLIS NORMATÍVA'!H32+'5.SZ.TÁBL. SZOCIÁLIS NORMATÍVA'!H5+'5.SZ.TÁBL. SZOCIÁLIS NORMATÍVA'!H21</f>
        <v>51726</v>
      </c>
      <c r="I30" s="109">
        <v>31935</v>
      </c>
      <c r="J30" s="106">
        <v>38527</v>
      </c>
      <c r="K30" s="110">
        <f>++'5.SZ.TÁBL. SZOCIÁLIS NORMATÍVA'!H8+'5.SZ.TÁBL. SZOCIÁLIS NORMATÍVA'!H22+'5.SZ.TÁBL. SZOCIÁLIS NORMATÍVA'!H33</f>
        <v>38527</v>
      </c>
      <c r="L30" s="109">
        <v>25645</v>
      </c>
      <c r="M30" s="106">
        <v>36190</v>
      </c>
      <c r="N30" s="108">
        <f>+'5.SZ.TÁBL. SZOCIÁLIS NORMATÍVA'!H3+'5.SZ.TÁBL. SZOCIÁLIS NORMATÍVA'!H34+'5.SZ.TÁBL. SZOCIÁLIS NORMATÍVA'!H23</f>
        <v>36190</v>
      </c>
      <c r="O30" s="109">
        <v>14253</v>
      </c>
      <c r="P30" s="106">
        <v>17188</v>
      </c>
      <c r="Q30" s="110">
        <f>+'5.SZ.TÁBL. SZOCIÁLIS NORMATÍVA'!H12+'5.SZ.TÁBL. SZOCIÁLIS NORMATÍVA'!H24+'5.SZ.TÁBL. SZOCIÁLIS NORMATÍVA'!H35</f>
        <v>17188</v>
      </c>
      <c r="R30" s="109">
        <v>5142</v>
      </c>
      <c r="S30" s="106">
        <v>6230</v>
      </c>
      <c r="T30" s="108">
        <f>+'5.SZ.TÁBL. SZOCIÁLIS NORMATÍVA'!H10+'5.SZ.TÁBL. SZOCIÁLIS NORMATÍVA'!H36+'5.SZ.TÁBL. SZOCIÁLIS NORMATÍVA'!H25</f>
        <v>6230</v>
      </c>
      <c r="U30" s="109">
        <v>27126</v>
      </c>
      <c r="V30" s="106">
        <v>40039</v>
      </c>
      <c r="W30" s="108">
        <f>+'5.SZ.TÁBL. SZOCIÁLIS NORMATÍVA'!H11+'5.SZ.TÁBL. SZOCIÁLIS NORMATÍVA'!H19+'5.SZ.TÁBL. SZOCIÁLIS NORMATÍVA'!H31+'5.SZ.TÁBL. SZOCIÁLIS NORMATÍVA'!H16</f>
        <v>40039</v>
      </c>
      <c r="X30" s="109">
        <v>1867</v>
      </c>
      <c r="Y30" s="106">
        <v>2278</v>
      </c>
      <c r="Z30" s="110">
        <f>+'5.SZ.TÁBL. SZOCIÁLIS NORMATÍVA'!H6+'5.SZ.TÁBL. SZOCIÁLIS NORMATÍVA'!H26</f>
        <v>2278</v>
      </c>
      <c r="AA30" s="1141"/>
      <c r="AB30" s="1118"/>
      <c r="AC30" s="1124"/>
      <c r="AD30" s="117">
        <f t="shared" ref="AD30:AF31" si="60">+C30+F30+I30+L30+O30+R30+U30+X30</f>
        <v>139331</v>
      </c>
      <c r="AE30" s="113">
        <f t="shared" si="60"/>
        <v>192178</v>
      </c>
      <c r="AF30" s="118">
        <f>+E30+H30+K30+N30+Q30+T30+W30+Z30</f>
        <v>192178</v>
      </c>
    </row>
    <row r="31" spans="1:35" ht="13.5" customHeight="1" x14ac:dyDescent="0.2">
      <c r="A31" s="736"/>
      <c r="B31" s="74" t="s">
        <v>1080</v>
      </c>
      <c r="C31" s="109"/>
      <c r="D31" s="106"/>
      <c r="E31" s="110"/>
      <c r="F31" s="109">
        <v>0</v>
      </c>
      <c r="G31" s="106">
        <v>-12429</v>
      </c>
      <c r="H31" s="108">
        <v>-12429</v>
      </c>
      <c r="I31" s="109">
        <v>0</v>
      </c>
      <c r="J31" s="106">
        <v>-558</v>
      </c>
      <c r="K31" s="110">
        <v>-558</v>
      </c>
      <c r="L31" s="109">
        <v>0</v>
      </c>
      <c r="M31" s="106">
        <v>425</v>
      </c>
      <c r="N31" s="108">
        <v>425</v>
      </c>
      <c r="O31" s="109">
        <v>0</v>
      </c>
      <c r="P31" s="106">
        <v>200</v>
      </c>
      <c r="Q31" s="110">
        <v>200</v>
      </c>
      <c r="R31" s="109"/>
      <c r="S31" s="106">
        <v>100</v>
      </c>
      <c r="T31" s="108">
        <v>100</v>
      </c>
      <c r="U31" s="109">
        <v>-2069</v>
      </c>
      <c r="V31" s="106">
        <v>-3877</v>
      </c>
      <c r="W31" s="108">
        <v>-3877</v>
      </c>
      <c r="X31" s="109"/>
      <c r="Y31" s="106"/>
      <c r="Z31" s="110"/>
      <c r="AA31" s="1141"/>
      <c r="AB31" s="1118"/>
      <c r="AC31" s="1124"/>
      <c r="AD31" s="117">
        <f t="shared" si="60"/>
        <v>-2069</v>
      </c>
      <c r="AE31" s="113">
        <f t="shared" si="60"/>
        <v>-16139</v>
      </c>
      <c r="AF31" s="118">
        <f t="shared" si="60"/>
        <v>-16139</v>
      </c>
    </row>
    <row r="32" spans="1:35" ht="13.5" customHeight="1" x14ac:dyDescent="0.2">
      <c r="A32" s="151"/>
      <c r="B32" s="90" t="s">
        <v>224</v>
      </c>
      <c r="C32" s="109">
        <f t="shared" ref="C32:Z32" si="61">+SUM(C33:C39)</f>
        <v>0</v>
      </c>
      <c r="D32" s="106">
        <f t="shared" ref="D32" si="62">+SUM(D33:D39)</f>
        <v>0</v>
      </c>
      <c r="E32" s="110">
        <f t="shared" si="61"/>
        <v>0</v>
      </c>
      <c r="F32" s="109">
        <f>+SUM(F33:F39)</f>
        <v>15980</v>
      </c>
      <c r="G32" s="106">
        <f t="shared" ref="G32" si="63">+SUM(G33:G39)</f>
        <v>10217</v>
      </c>
      <c r="H32" s="108">
        <f t="shared" si="61"/>
        <v>10217</v>
      </c>
      <c r="I32" s="109">
        <f t="shared" si="61"/>
        <v>8411</v>
      </c>
      <c r="J32" s="106">
        <f t="shared" ref="J32" si="64">+SUM(J33:J39)</f>
        <v>3319</v>
      </c>
      <c r="K32" s="110">
        <f t="shared" si="61"/>
        <v>3319</v>
      </c>
      <c r="L32" s="109">
        <f t="shared" ref="L32:N32" si="65">+SUM(L33:L39)</f>
        <v>7245</v>
      </c>
      <c r="M32" s="109">
        <f t="shared" si="65"/>
        <v>3250</v>
      </c>
      <c r="N32" s="109">
        <f t="shared" si="65"/>
        <v>3250</v>
      </c>
      <c r="O32" s="109">
        <f t="shared" si="61"/>
        <v>12037</v>
      </c>
      <c r="P32" s="106">
        <f t="shared" ref="P32:Q32" si="66">+SUM(P33:P39)</f>
        <v>10684</v>
      </c>
      <c r="Q32" s="110">
        <f t="shared" si="66"/>
        <v>10684</v>
      </c>
      <c r="R32" s="109">
        <f t="shared" ref="R32" si="67">+SUM(R33:R39)</f>
        <v>9039</v>
      </c>
      <c r="S32" s="106">
        <f t="shared" ref="S32" si="68">+SUM(S33:S39)</f>
        <v>8569</v>
      </c>
      <c r="T32" s="108">
        <f t="shared" si="61"/>
        <v>8569</v>
      </c>
      <c r="U32" s="109"/>
      <c r="V32" s="106"/>
      <c r="W32" s="108"/>
      <c r="X32" s="109">
        <f t="shared" ref="X32" si="69">+SUM(X33:X39)</f>
        <v>3195</v>
      </c>
      <c r="Y32" s="106">
        <f t="shared" ref="Y32" si="70">+SUM(Y33:Y39)</f>
        <v>3048</v>
      </c>
      <c r="Z32" s="110">
        <f t="shared" si="61"/>
        <v>3048</v>
      </c>
      <c r="AA32" s="1142"/>
      <c r="AB32" s="1119"/>
      <c r="AC32" s="1125"/>
      <c r="AD32" s="111">
        <f>+SUM(AD33:AD39)</f>
        <v>55907</v>
      </c>
      <c r="AE32" s="106">
        <f t="shared" ref="AE32" si="71">+SUM(AE33:AE39)</f>
        <v>39087</v>
      </c>
      <c r="AF32" s="107">
        <f>+SUM(AF33:AF39)</f>
        <v>39087</v>
      </c>
    </row>
    <row r="33" spans="1:34" s="155" customFormat="1" ht="13.5" customHeight="1" x14ac:dyDescent="0.2">
      <c r="A33" s="152"/>
      <c r="B33" s="226" t="s">
        <v>4</v>
      </c>
      <c r="C33" s="109"/>
      <c r="D33" s="106"/>
      <c r="E33" s="110"/>
      <c r="F33" s="109">
        <v>2343</v>
      </c>
      <c r="G33" s="106">
        <v>1498</v>
      </c>
      <c r="H33" s="106">
        <v>1498</v>
      </c>
      <c r="I33" s="109">
        <v>1233</v>
      </c>
      <c r="J33" s="106">
        <v>486</v>
      </c>
      <c r="K33" s="106">
        <v>486</v>
      </c>
      <c r="L33" s="109">
        <v>1062</v>
      </c>
      <c r="M33" s="106">
        <v>476</v>
      </c>
      <c r="N33" s="106">
        <v>476</v>
      </c>
      <c r="O33" s="109">
        <v>2043</v>
      </c>
      <c r="P33" s="106">
        <v>1813</v>
      </c>
      <c r="Q33" s="106">
        <v>1813</v>
      </c>
      <c r="R33" s="109">
        <v>9039</v>
      </c>
      <c r="S33" s="106">
        <v>8569</v>
      </c>
      <c r="T33" s="106">
        <v>8569</v>
      </c>
      <c r="U33" s="109"/>
      <c r="V33" s="106"/>
      <c r="W33" s="108"/>
      <c r="X33" s="109">
        <v>1278</v>
      </c>
      <c r="Y33" s="106">
        <v>1219</v>
      </c>
      <c r="Z33" s="106">
        <v>1219</v>
      </c>
      <c r="AA33" s="1141"/>
      <c r="AB33" s="1118"/>
      <c r="AC33" s="1124"/>
      <c r="AD33" s="172">
        <f t="shared" ref="AD33:AF39" si="72">+C33+F33+I33+L33+O33+R33+U33+X33</f>
        <v>16998</v>
      </c>
      <c r="AE33" s="173">
        <f t="shared" si="72"/>
        <v>14061</v>
      </c>
      <c r="AF33" s="174">
        <f t="shared" si="72"/>
        <v>14061</v>
      </c>
    </row>
    <row r="34" spans="1:34" s="155" customFormat="1" ht="13.5" customHeight="1" x14ac:dyDescent="0.2">
      <c r="A34" s="152"/>
      <c r="B34" s="226" t="s">
        <v>6</v>
      </c>
      <c r="C34" s="109"/>
      <c r="D34" s="106"/>
      <c r="E34" s="110"/>
      <c r="F34" s="109">
        <v>1087</v>
      </c>
      <c r="G34" s="106">
        <v>695</v>
      </c>
      <c r="H34" s="106">
        <v>695</v>
      </c>
      <c r="I34" s="109">
        <v>572</v>
      </c>
      <c r="J34" s="106">
        <v>226</v>
      </c>
      <c r="K34" s="106">
        <v>226</v>
      </c>
      <c r="L34" s="109">
        <v>493</v>
      </c>
      <c r="M34" s="106">
        <v>221</v>
      </c>
      <c r="N34" s="106">
        <v>221</v>
      </c>
      <c r="O34" s="109">
        <v>948</v>
      </c>
      <c r="P34" s="106">
        <v>842</v>
      </c>
      <c r="Q34" s="106">
        <v>842</v>
      </c>
      <c r="R34" s="109"/>
      <c r="S34" s="106"/>
      <c r="T34" s="108"/>
      <c r="U34" s="109"/>
      <c r="V34" s="106"/>
      <c r="W34" s="108"/>
      <c r="X34" s="109"/>
      <c r="Y34" s="106"/>
      <c r="Z34" s="106"/>
      <c r="AA34" s="1141"/>
      <c r="AB34" s="1118"/>
      <c r="AC34" s="1124"/>
      <c r="AD34" s="172">
        <f t="shared" si="72"/>
        <v>3100</v>
      </c>
      <c r="AE34" s="173">
        <f t="shared" si="72"/>
        <v>1984</v>
      </c>
      <c r="AF34" s="174">
        <f t="shared" si="72"/>
        <v>1984</v>
      </c>
    </row>
    <row r="35" spans="1:34" s="155" customFormat="1" ht="13.5" customHeight="1" x14ac:dyDescent="0.2">
      <c r="A35" s="152"/>
      <c r="B35" s="226" t="s">
        <v>7</v>
      </c>
      <c r="C35" s="109"/>
      <c r="D35" s="106"/>
      <c r="E35" s="110"/>
      <c r="F35" s="109">
        <v>970</v>
      </c>
      <c r="G35" s="106">
        <v>620</v>
      </c>
      <c r="H35" s="106">
        <v>620</v>
      </c>
      <c r="I35" s="109">
        <v>511</v>
      </c>
      <c r="J35" s="106">
        <v>202</v>
      </c>
      <c r="K35" s="106">
        <v>202</v>
      </c>
      <c r="L35" s="109">
        <v>440</v>
      </c>
      <c r="M35" s="106">
        <v>197</v>
      </c>
      <c r="N35" s="106">
        <v>197</v>
      </c>
      <c r="O35" s="109">
        <v>846</v>
      </c>
      <c r="P35" s="106">
        <v>751</v>
      </c>
      <c r="Q35" s="106">
        <v>751</v>
      </c>
      <c r="R35" s="109"/>
      <c r="S35" s="106"/>
      <c r="T35" s="108"/>
      <c r="U35" s="109"/>
      <c r="V35" s="106"/>
      <c r="W35" s="108"/>
      <c r="X35" s="109"/>
      <c r="Y35" s="106"/>
      <c r="Z35" s="106"/>
      <c r="AA35" s="1141"/>
      <c r="AB35" s="1118"/>
      <c r="AC35" s="1124"/>
      <c r="AD35" s="172">
        <f t="shared" si="72"/>
        <v>2767</v>
      </c>
      <c r="AE35" s="173">
        <f t="shared" si="72"/>
        <v>1770</v>
      </c>
      <c r="AF35" s="174">
        <f t="shared" si="72"/>
        <v>1770</v>
      </c>
    </row>
    <row r="36" spans="1:34" s="155" customFormat="1" ht="13.5" customHeight="1" x14ac:dyDescent="0.2">
      <c r="A36" s="152"/>
      <c r="B36" s="226" t="s">
        <v>8</v>
      </c>
      <c r="C36" s="109"/>
      <c r="D36" s="106"/>
      <c r="E36" s="110"/>
      <c r="F36" s="109">
        <v>4710</v>
      </c>
      <c r="G36" s="106">
        <v>3012</v>
      </c>
      <c r="H36" s="106">
        <v>3012</v>
      </c>
      <c r="I36" s="109">
        <v>2479</v>
      </c>
      <c r="J36" s="106">
        <v>978</v>
      </c>
      <c r="K36" s="106">
        <v>978</v>
      </c>
      <c r="L36" s="109">
        <v>2136</v>
      </c>
      <c r="M36" s="106">
        <v>959</v>
      </c>
      <c r="N36" s="106">
        <v>959</v>
      </c>
      <c r="O36" s="109">
        <v>4106</v>
      </c>
      <c r="P36" s="106">
        <v>3644</v>
      </c>
      <c r="Q36" s="106">
        <v>3644</v>
      </c>
      <c r="R36" s="109"/>
      <c r="S36" s="106"/>
      <c r="T36" s="108"/>
      <c r="U36" s="109"/>
      <c r="V36" s="106"/>
      <c r="W36" s="108"/>
      <c r="X36" s="109">
        <v>1917</v>
      </c>
      <c r="Y36" s="106">
        <v>1829</v>
      </c>
      <c r="Z36" s="106">
        <v>1829</v>
      </c>
      <c r="AA36" s="1141"/>
      <c r="AB36" s="1118"/>
      <c r="AC36" s="1124"/>
      <c r="AD36" s="172">
        <f t="shared" si="72"/>
        <v>15348</v>
      </c>
      <c r="AE36" s="173">
        <f t="shared" si="72"/>
        <v>10422</v>
      </c>
      <c r="AF36" s="174">
        <f t="shared" si="72"/>
        <v>10422</v>
      </c>
    </row>
    <row r="37" spans="1:34" s="155" customFormat="1" ht="13.5" customHeight="1" x14ac:dyDescent="0.2">
      <c r="A37" s="152"/>
      <c r="B37" s="226" t="s">
        <v>9</v>
      </c>
      <c r="C37" s="109"/>
      <c r="D37" s="106"/>
      <c r="E37" s="110"/>
      <c r="F37" s="109">
        <v>2898</v>
      </c>
      <c r="G37" s="106">
        <v>1853</v>
      </c>
      <c r="H37" s="106">
        <v>1853</v>
      </c>
      <c r="I37" s="109">
        <v>1525</v>
      </c>
      <c r="J37" s="106">
        <v>602</v>
      </c>
      <c r="K37" s="106">
        <v>602</v>
      </c>
      <c r="L37" s="109">
        <v>1314</v>
      </c>
      <c r="M37" s="106">
        <v>590</v>
      </c>
      <c r="N37" s="106">
        <v>590</v>
      </c>
      <c r="O37" s="109">
        <v>2526</v>
      </c>
      <c r="P37" s="106">
        <v>2242</v>
      </c>
      <c r="Q37" s="106">
        <v>2242</v>
      </c>
      <c r="R37" s="109"/>
      <c r="S37" s="106"/>
      <c r="T37" s="108"/>
      <c r="U37" s="109"/>
      <c r="V37" s="106"/>
      <c r="W37" s="108"/>
      <c r="X37" s="109"/>
      <c r="Y37" s="106"/>
      <c r="Z37" s="110"/>
      <c r="AA37" s="1141"/>
      <c r="AB37" s="1118"/>
      <c r="AC37" s="1124"/>
      <c r="AD37" s="172">
        <f t="shared" si="72"/>
        <v>8263</v>
      </c>
      <c r="AE37" s="173">
        <f t="shared" si="72"/>
        <v>5287</v>
      </c>
      <c r="AF37" s="174">
        <f t="shared" si="72"/>
        <v>5287</v>
      </c>
    </row>
    <row r="38" spans="1:34" s="155" customFormat="1" ht="13.5" customHeight="1" x14ac:dyDescent="0.2">
      <c r="A38" s="152"/>
      <c r="B38" s="226" t="s">
        <v>10</v>
      </c>
      <c r="C38" s="109"/>
      <c r="D38" s="106"/>
      <c r="E38" s="110"/>
      <c r="F38" s="109">
        <v>1799</v>
      </c>
      <c r="G38" s="106">
        <v>1150</v>
      </c>
      <c r="H38" s="106">
        <v>1150</v>
      </c>
      <c r="I38" s="109">
        <v>947</v>
      </c>
      <c r="J38" s="106">
        <v>374</v>
      </c>
      <c r="K38" s="106">
        <v>374</v>
      </c>
      <c r="L38" s="109">
        <v>815</v>
      </c>
      <c r="M38" s="106">
        <v>365</v>
      </c>
      <c r="N38" s="106">
        <v>365</v>
      </c>
      <c r="O38" s="109">
        <v>1568</v>
      </c>
      <c r="P38" s="106">
        <v>1392</v>
      </c>
      <c r="Q38" s="106">
        <v>1392</v>
      </c>
      <c r="R38" s="109"/>
      <c r="S38" s="106"/>
      <c r="T38" s="108"/>
      <c r="U38" s="109"/>
      <c r="V38" s="106"/>
      <c r="W38" s="108"/>
      <c r="X38" s="109"/>
      <c r="Y38" s="106"/>
      <c r="Z38" s="110"/>
      <c r="AA38" s="1141"/>
      <c r="AB38" s="1118"/>
      <c r="AC38" s="1124"/>
      <c r="AD38" s="172">
        <f t="shared" si="72"/>
        <v>5129</v>
      </c>
      <c r="AE38" s="173">
        <f t="shared" si="72"/>
        <v>3281</v>
      </c>
      <c r="AF38" s="174">
        <f t="shared" si="72"/>
        <v>3281</v>
      </c>
    </row>
    <row r="39" spans="1:34" s="155" customFormat="1" ht="13.5" customHeight="1" x14ac:dyDescent="0.2">
      <c r="A39" s="364"/>
      <c r="B39" s="227" t="s">
        <v>225</v>
      </c>
      <c r="C39" s="109"/>
      <c r="D39" s="106"/>
      <c r="E39" s="124"/>
      <c r="F39" s="109">
        <v>2173</v>
      </c>
      <c r="G39" s="106">
        <v>1389</v>
      </c>
      <c r="H39" s="106">
        <v>1389</v>
      </c>
      <c r="I39" s="109">
        <v>1144</v>
      </c>
      <c r="J39" s="106">
        <v>451</v>
      </c>
      <c r="K39" s="106">
        <v>451</v>
      </c>
      <c r="L39" s="109">
        <v>985</v>
      </c>
      <c r="M39" s="106">
        <v>442</v>
      </c>
      <c r="N39" s="106">
        <v>442</v>
      </c>
      <c r="O39" s="109"/>
      <c r="P39" s="106"/>
      <c r="Q39" s="124"/>
      <c r="R39" s="109"/>
      <c r="S39" s="106"/>
      <c r="T39" s="122"/>
      <c r="U39" s="109"/>
      <c r="V39" s="106"/>
      <c r="W39" s="122"/>
      <c r="X39" s="109"/>
      <c r="Y39" s="106"/>
      <c r="Z39" s="124"/>
      <c r="AA39" s="1144"/>
      <c r="AB39" s="341"/>
      <c r="AC39" s="1127"/>
      <c r="AD39" s="172">
        <f t="shared" si="72"/>
        <v>4302</v>
      </c>
      <c r="AE39" s="173">
        <f t="shared" si="72"/>
        <v>2282</v>
      </c>
      <c r="AF39" s="174">
        <f t="shared" si="72"/>
        <v>2282</v>
      </c>
    </row>
    <row r="40" spans="1:34" s="155" customFormat="1" ht="13.5" customHeight="1" x14ac:dyDescent="0.2">
      <c r="A40" s="364"/>
      <c r="B40" s="92" t="s">
        <v>327</v>
      </c>
      <c r="C40" s="446"/>
      <c r="D40" s="120"/>
      <c r="E40" s="447"/>
      <c r="F40" s="446"/>
      <c r="G40" s="120"/>
      <c r="H40" s="448"/>
      <c r="I40" s="446"/>
      <c r="J40" s="120"/>
      <c r="K40" s="447"/>
      <c r="L40" s="446"/>
      <c r="M40" s="120"/>
      <c r="N40" s="448"/>
      <c r="O40" s="446"/>
      <c r="P40" s="120"/>
      <c r="Q40" s="447"/>
      <c r="R40" s="446"/>
      <c r="S40" s="120"/>
      <c r="T40" s="448"/>
      <c r="U40" s="446"/>
      <c r="V40" s="120"/>
      <c r="W40" s="448"/>
      <c r="X40" s="446"/>
      <c r="Y40" s="120"/>
      <c r="Z40" s="447"/>
      <c r="AA40" s="1144"/>
      <c r="AB40" s="341"/>
      <c r="AC40" s="1127"/>
      <c r="AD40" s="117"/>
      <c r="AE40" s="113">
        <f>+D40+G40+J40+M40+P40+S40+V40+Y40</f>
        <v>0</v>
      </c>
      <c r="AF40" s="118">
        <f>+E40+H40+K40+N40+Q40+T40+W40+Z40+AC40</f>
        <v>0</v>
      </c>
    </row>
    <row r="41" spans="1:34" s="180" customFormat="1" ht="13.5" customHeight="1" thickBot="1" x14ac:dyDescent="0.25">
      <c r="A41" s="156" t="s">
        <v>107</v>
      </c>
      <c r="B41" s="157" t="s">
        <v>70</v>
      </c>
      <c r="C41" s="462">
        <f>SUM(C28:C29)</f>
        <v>0</v>
      </c>
      <c r="D41" s="462">
        <f t="shared" ref="D41" si="73">SUM(D28:D29)</f>
        <v>0</v>
      </c>
      <c r="E41" s="463">
        <f>SUM(E28:E29)</f>
        <v>0</v>
      </c>
      <c r="F41" s="462">
        <f>SUM(F28:F29)</f>
        <v>49343</v>
      </c>
      <c r="G41" s="462">
        <f t="shared" ref="G41" si="74">SUM(G28:G29)</f>
        <v>62543</v>
      </c>
      <c r="H41" s="464">
        <f>SUM(H28:H29)</f>
        <v>62543</v>
      </c>
      <c r="I41" s="462">
        <f>SUM(I28:I29)</f>
        <v>40346</v>
      </c>
      <c r="J41" s="462">
        <f t="shared" ref="J41" si="75">SUM(J28:J29)</f>
        <v>42492</v>
      </c>
      <c r="K41" s="463">
        <f t="shared" ref="K41" si="76">SUM(K28:K29)</f>
        <v>42492</v>
      </c>
      <c r="L41" s="462">
        <f>SUM(L28:L29)</f>
        <v>32890</v>
      </c>
      <c r="M41" s="462">
        <f t="shared" ref="M41" si="77">SUM(M28:M29)</f>
        <v>39865</v>
      </c>
      <c r="N41" s="464">
        <f t="shared" ref="N41" si="78">SUM(N28:N29)</f>
        <v>39865</v>
      </c>
      <c r="O41" s="462">
        <f>SUM(O28:O29)</f>
        <v>26290</v>
      </c>
      <c r="P41" s="462">
        <f t="shared" ref="P41" si="79">SUM(P28:P29)</f>
        <v>28072</v>
      </c>
      <c r="Q41" s="463">
        <f t="shared" ref="Q41" si="80">SUM(Q28:Q29)</f>
        <v>28072</v>
      </c>
      <c r="R41" s="462">
        <f>SUM(R28:R29)</f>
        <v>14181</v>
      </c>
      <c r="S41" s="462">
        <f t="shared" ref="S41" si="81">SUM(S28:S29)</f>
        <v>14899</v>
      </c>
      <c r="T41" s="464">
        <f t="shared" ref="T41" si="82">SUM(T28:T29)</f>
        <v>14899</v>
      </c>
      <c r="U41" s="462">
        <f>SUM(U28:U29)</f>
        <v>25057</v>
      </c>
      <c r="V41" s="462">
        <f t="shared" ref="V41" si="83">SUM(V28:V29)</f>
        <v>36162</v>
      </c>
      <c r="W41" s="464">
        <f t="shared" ref="W41" si="84">SUM(W28:W29)</f>
        <v>36162</v>
      </c>
      <c r="X41" s="462">
        <f>SUM(X28:X29)</f>
        <v>5062</v>
      </c>
      <c r="Y41" s="462">
        <f t="shared" ref="Y41" si="85">SUM(Y28:Y29)</f>
        <v>5326</v>
      </c>
      <c r="Z41" s="463">
        <f t="shared" ref="Z41" si="86">SUM(Z28:Z29)</f>
        <v>5326</v>
      </c>
      <c r="AA41" s="464"/>
      <c r="AB41" s="1121"/>
      <c r="AC41" s="1129">
        <f t="shared" ref="AC41" si="87">SUM(AC28:AC29)</f>
        <v>0</v>
      </c>
      <c r="AD41" s="165">
        <f>SUM(AD28:AD29)</f>
        <v>193169</v>
      </c>
      <c r="AE41" s="166">
        <f t="shared" ref="AE41:AF41" si="88">SUM(AE28:AE29)</f>
        <v>229359</v>
      </c>
      <c r="AF41" s="167">
        <f t="shared" si="88"/>
        <v>229359</v>
      </c>
      <c r="AH41" s="224"/>
    </row>
    <row r="42" spans="1:34" s="180" customFormat="1" ht="13.5" customHeight="1" thickBot="1" x14ac:dyDescent="0.25">
      <c r="A42" s="1334" t="s">
        <v>0</v>
      </c>
      <c r="B42" s="1377"/>
      <c r="C42" s="183">
        <f t="shared" ref="C42:AF42" si="89">+C27+C41</f>
        <v>0</v>
      </c>
      <c r="D42" s="171">
        <f t="shared" si="89"/>
        <v>0</v>
      </c>
      <c r="E42" s="344">
        <f t="shared" si="89"/>
        <v>0</v>
      </c>
      <c r="F42" s="183">
        <f t="shared" ref="F42:G42" si="90">+F27+F41</f>
        <v>49343</v>
      </c>
      <c r="G42" s="171">
        <f t="shared" si="90"/>
        <v>62561</v>
      </c>
      <c r="H42" s="365">
        <f>+H27+H41</f>
        <v>62561</v>
      </c>
      <c r="I42" s="183">
        <f t="shared" si="89"/>
        <v>42846</v>
      </c>
      <c r="J42" s="171">
        <f t="shared" si="89"/>
        <v>45817</v>
      </c>
      <c r="K42" s="344">
        <f t="shared" si="89"/>
        <v>45817</v>
      </c>
      <c r="L42" s="183">
        <f t="shared" ref="L42:M42" si="91">+L27+L41</f>
        <v>32890</v>
      </c>
      <c r="M42" s="171">
        <f t="shared" si="91"/>
        <v>39865</v>
      </c>
      <c r="N42" s="365">
        <f t="shared" si="89"/>
        <v>39865</v>
      </c>
      <c r="O42" s="183">
        <f t="shared" si="89"/>
        <v>28090</v>
      </c>
      <c r="P42" s="171">
        <f t="shared" si="89"/>
        <v>30610</v>
      </c>
      <c r="Q42" s="344">
        <f t="shared" si="89"/>
        <v>30610</v>
      </c>
      <c r="R42" s="183">
        <f t="shared" ref="R42:S42" si="92">+R27+R41</f>
        <v>15451</v>
      </c>
      <c r="S42" s="171">
        <f t="shared" si="92"/>
        <v>18739</v>
      </c>
      <c r="T42" s="365">
        <f t="shared" si="89"/>
        <v>18738</v>
      </c>
      <c r="U42" s="183">
        <f t="shared" si="89"/>
        <v>37050</v>
      </c>
      <c r="V42" s="171">
        <f t="shared" si="89"/>
        <v>50513</v>
      </c>
      <c r="W42" s="365">
        <f t="shared" si="89"/>
        <v>50354</v>
      </c>
      <c r="X42" s="183">
        <f t="shared" ref="X42:Y42" si="93">+X27+X41</f>
        <v>6967</v>
      </c>
      <c r="Y42" s="171">
        <f t="shared" si="93"/>
        <v>8665</v>
      </c>
      <c r="Z42" s="344">
        <f t="shared" si="89"/>
        <v>8665</v>
      </c>
      <c r="AA42" s="1146"/>
      <c r="AB42" s="365"/>
      <c r="AC42" s="1130">
        <f t="shared" si="89"/>
        <v>0</v>
      </c>
      <c r="AD42" s="168">
        <f t="shared" si="89"/>
        <v>212637</v>
      </c>
      <c r="AE42" s="169">
        <f t="shared" si="89"/>
        <v>256770</v>
      </c>
      <c r="AF42" s="170">
        <f t="shared" si="89"/>
        <v>256610</v>
      </c>
    </row>
    <row r="43" spans="1:34" ht="13.5" customHeight="1" x14ac:dyDescent="0.2">
      <c r="A43" s="98" t="s">
        <v>125</v>
      </c>
      <c r="B43" s="137" t="s">
        <v>126</v>
      </c>
      <c r="C43" s="109"/>
      <c r="D43" s="106"/>
      <c r="E43" s="110"/>
      <c r="F43" s="109">
        <v>28088</v>
      </c>
      <c r="G43" s="106">
        <v>38127</v>
      </c>
      <c r="H43" s="108">
        <v>36554</v>
      </c>
      <c r="I43" s="109">
        <v>31006</v>
      </c>
      <c r="J43" s="106">
        <v>29655</v>
      </c>
      <c r="K43" s="110">
        <v>29174</v>
      </c>
      <c r="L43" s="109">
        <v>22106</v>
      </c>
      <c r="M43" s="106">
        <v>26578</v>
      </c>
      <c r="N43" s="108">
        <v>21641</v>
      </c>
      <c r="O43" s="109">
        <v>13376</v>
      </c>
      <c r="P43" s="106">
        <v>10569</v>
      </c>
      <c r="Q43" s="110">
        <v>9190</v>
      </c>
      <c r="R43" s="109">
        <v>3996</v>
      </c>
      <c r="S43" s="106">
        <v>4595</v>
      </c>
      <c r="T43" s="108">
        <v>4548</v>
      </c>
      <c r="U43" s="109">
        <v>23388</v>
      </c>
      <c r="V43" s="106">
        <v>33414</v>
      </c>
      <c r="W43" s="108">
        <v>26166</v>
      </c>
      <c r="X43" s="109"/>
      <c r="Y43" s="106"/>
      <c r="Z43" s="110"/>
      <c r="AA43" s="1141"/>
      <c r="AB43" s="1118"/>
      <c r="AC43" s="1124"/>
      <c r="AD43" s="117">
        <f>+C43+F43+I43+L43+O43+R43+U43+X43</f>
        <v>121960</v>
      </c>
      <c r="AE43" s="113">
        <f>+D43+G43+J43+M43+P43+S43+V43+Y43</f>
        <v>142938</v>
      </c>
      <c r="AF43" s="118">
        <f>+E43+H43+K43+N43+Q43+T43+W43+Z43</f>
        <v>127273</v>
      </c>
    </row>
    <row r="44" spans="1:34" ht="13.5" customHeight="1" x14ac:dyDescent="0.2">
      <c r="A44" s="99" t="s">
        <v>127</v>
      </c>
      <c r="B44" s="138" t="s">
        <v>128</v>
      </c>
      <c r="C44" s="109"/>
      <c r="D44" s="106"/>
      <c r="E44" s="110"/>
      <c r="F44" s="109"/>
      <c r="G44" s="106">
        <v>750</v>
      </c>
      <c r="H44" s="108">
        <v>750</v>
      </c>
      <c r="I44" s="109"/>
      <c r="J44" s="106">
        <v>931</v>
      </c>
      <c r="K44" s="110">
        <v>931</v>
      </c>
      <c r="L44" s="109"/>
      <c r="M44" s="106">
        <v>731</v>
      </c>
      <c r="N44" s="108">
        <v>731</v>
      </c>
      <c r="O44" s="109"/>
      <c r="P44" s="106">
        <v>300</v>
      </c>
      <c r="Q44" s="110">
        <v>300</v>
      </c>
      <c r="R44" s="109"/>
      <c r="S44" s="106">
        <v>150</v>
      </c>
      <c r="T44" s="108">
        <v>150</v>
      </c>
      <c r="U44" s="109"/>
      <c r="V44" s="106">
        <v>731</v>
      </c>
      <c r="W44" s="108">
        <v>731</v>
      </c>
      <c r="X44" s="109"/>
      <c r="Y44" s="106"/>
      <c r="Z44" s="110"/>
      <c r="AA44" s="1141"/>
      <c r="AB44" s="1118"/>
      <c r="AC44" s="1124"/>
      <c r="AD44" s="117"/>
      <c r="AE44" s="113">
        <f t="shared" ref="AE44:AE56" si="94">+D44+G44+J44+M44+P44+S44+V44+Y44</f>
        <v>3593</v>
      </c>
      <c r="AF44" s="118">
        <f t="shared" ref="AF44:AF55" si="95">+E44+H44+K44+N44+Q44+T44+W44+Z44</f>
        <v>3593</v>
      </c>
    </row>
    <row r="45" spans="1:34" ht="13.5" customHeight="1" x14ac:dyDescent="0.2">
      <c r="A45" s="99" t="s">
        <v>129</v>
      </c>
      <c r="B45" s="138" t="s">
        <v>130</v>
      </c>
      <c r="C45" s="109"/>
      <c r="D45" s="106"/>
      <c r="E45" s="110"/>
      <c r="F45" s="109"/>
      <c r="G45" s="106"/>
      <c r="H45" s="108"/>
      <c r="I45" s="109"/>
      <c r="J45" s="106"/>
      <c r="K45" s="110"/>
      <c r="L45" s="109"/>
      <c r="M45" s="106"/>
      <c r="N45" s="108"/>
      <c r="O45" s="109"/>
      <c r="P45" s="106"/>
      <c r="Q45" s="110"/>
      <c r="R45" s="109"/>
      <c r="S45" s="106"/>
      <c r="T45" s="108"/>
      <c r="U45" s="109"/>
      <c r="V45" s="106"/>
      <c r="W45" s="108"/>
      <c r="X45" s="109"/>
      <c r="Y45" s="106"/>
      <c r="Z45" s="110"/>
      <c r="AA45" s="1141"/>
      <c r="AB45" s="1118"/>
      <c r="AC45" s="1124"/>
      <c r="AD45" s="117"/>
      <c r="AE45" s="113">
        <f t="shared" si="94"/>
        <v>0</v>
      </c>
      <c r="AF45" s="118">
        <f t="shared" si="95"/>
        <v>0</v>
      </c>
    </row>
    <row r="46" spans="1:34" ht="13.5" customHeight="1" x14ac:dyDescent="0.2">
      <c r="A46" s="99" t="s">
        <v>131</v>
      </c>
      <c r="B46" s="138" t="s">
        <v>132</v>
      </c>
      <c r="C46" s="109"/>
      <c r="D46" s="106"/>
      <c r="E46" s="110"/>
      <c r="F46" s="109">
        <v>1000</v>
      </c>
      <c r="G46" s="106">
        <v>1000</v>
      </c>
      <c r="H46" s="108">
        <v>987</v>
      </c>
      <c r="I46" s="109">
        <v>300</v>
      </c>
      <c r="J46" s="106">
        <v>300</v>
      </c>
      <c r="K46" s="110">
        <v>249</v>
      </c>
      <c r="L46" s="109">
        <v>150</v>
      </c>
      <c r="M46" s="106">
        <v>150</v>
      </c>
      <c r="N46" s="108">
        <v>100</v>
      </c>
      <c r="O46" s="109"/>
      <c r="P46" s="106"/>
      <c r="Q46" s="110"/>
      <c r="R46" s="109"/>
      <c r="S46" s="106"/>
      <c r="T46" s="108"/>
      <c r="U46" s="109">
        <v>100</v>
      </c>
      <c r="V46" s="106">
        <v>100</v>
      </c>
      <c r="W46" s="108">
        <v>100</v>
      </c>
      <c r="X46" s="109"/>
      <c r="Y46" s="106"/>
      <c r="Z46" s="110"/>
      <c r="AA46" s="1141"/>
      <c r="AB46" s="1118"/>
      <c r="AC46" s="1124"/>
      <c r="AD46" s="117">
        <f>+C46+F46+I46+L46+O46+R46+U46+X46</f>
        <v>1550</v>
      </c>
      <c r="AE46" s="113">
        <f t="shared" si="94"/>
        <v>1550</v>
      </c>
      <c r="AF46" s="118">
        <f t="shared" si="95"/>
        <v>1436</v>
      </c>
    </row>
    <row r="47" spans="1:34" ht="13.5" customHeight="1" x14ac:dyDescent="0.2">
      <c r="A47" s="99" t="s">
        <v>133</v>
      </c>
      <c r="B47" s="138" t="s">
        <v>134</v>
      </c>
      <c r="C47" s="109"/>
      <c r="D47" s="106"/>
      <c r="E47" s="110"/>
      <c r="F47" s="109"/>
      <c r="G47" s="106"/>
      <c r="H47" s="108"/>
      <c r="I47" s="109"/>
      <c r="J47" s="106"/>
      <c r="K47" s="110"/>
      <c r="L47" s="109"/>
      <c r="M47" s="106"/>
      <c r="N47" s="108"/>
      <c r="O47" s="109"/>
      <c r="P47" s="106"/>
      <c r="Q47" s="110"/>
      <c r="R47" s="109"/>
      <c r="S47" s="106"/>
      <c r="T47" s="108"/>
      <c r="U47" s="109"/>
      <c r="V47" s="106"/>
      <c r="W47" s="108"/>
      <c r="X47" s="109"/>
      <c r="Y47" s="106"/>
      <c r="Z47" s="110"/>
      <c r="AA47" s="1141"/>
      <c r="AB47" s="1118"/>
      <c r="AC47" s="1124"/>
      <c r="AD47" s="117">
        <f t="shared" ref="AD47:AD48" si="96">+C47+F47+I47+L47+O47+R47+U47+X47</f>
        <v>0</v>
      </c>
      <c r="AE47" s="113">
        <f t="shared" si="94"/>
        <v>0</v>
      </c>
      <c r="AF47" s="118">
        <f t="shared" si="95"/>
        <v>0</v>
      </c>
    </row>
    <row r="48" spans="1:34" ht="13.5" customHeight="1" x14ac:dyDescent="0.2">
      <c r="A48" s="99" t="s">
        <v>135</v>
      </c>
      <c r="B48" s="138" t="s">
        <v>1</v>
      </c>
      <c r="C48" s="109"/>
      <c r="D48" s="106"/>
      <c r="E48" s="110"/>
      <c r="F48" s="109">
        <v>998</v>
      </c>
      <c r="G48" s="106">
        <v>0</v>
      </c>
      <c r="H48" s="108">
        <v>0</v>
      </c>
      <c r="I48" s="109"/>
      <c r="J48" s="106"/>
      <c r="K48" s="110"/>
      <c r="L48" s="109"/>
      <c r="M48" s="106"/>
      <c r="N48" s="108"/>
      <c r="O48" s="109"/>
      <c r="P48" s="106"/>
      <c r="Q48" s="110"/>
      <c r="R48" s="109">
        <v>805</v>
      </c>
      <c r="S48" s="106">
        <v>805</v>
      </c>
      <c r="T48" s="108">
        <v>765</v>
      </c>
      <c r="U48" s="109"/>
      <c r="V48" s="106"/>
      <c r="W48" s="108"/>
      <c r="X48" s="109"/>
      <c r="Y48" s="106"/>
      <c r="Z48" s="110"/>
      <c r="AA48" s="1141"/>
      <c r="AB48" s="1118"/>
      <c r="AC48" s="1124"/>
      <c r="AD48" s="117">
        <f t="shared" si="96"/>
        <v>1803</v>
      </c>
      <c r="AE48" s="113">
        <f t="shared" si="94"/>
        <v>805</v>
      </c>
      <c r="AF48" s="118">
        <f t="shared" si="95"/>
        <v>765</v>
      </c>
    </row>
    <row r="49" spans="1:32" ht="13.5" customHeight="1" x14ac:dyDescent="0.2">
      <c r="A49" s="99" t="s">
        <v>136</v>
      </c>
      <c r="B49" s="138" t="s">
        <v>137</v>
      </c>
      <c r="C49" s="109"/>
      <c r="D49" s="106"/>
      <c r="E49" s="110"/>
      <c r="F49" s="109">
        <v>420</v>
      </c>
      <c r="G49" s="106">
        <v>889</v>
      </c>
      <c r="H49" s="108">
        <v>882</v>
      </c>
      <c r="I49" s="109">
        <v>540</v>
      </c>
      <c r="J49" s="106">
        <v>1045</v>
      </c>
      <c r="K49" s="110">
        <v>942</v>
      </c>
      <c r="L49" s="109">
        <v>390</v>
      </c>
      <c r="M49" s="106">
        <v>722</v>
      </c>
      <c r="N49" s="108">
        <v>674</v>
      </c>
      <c r="O49" s="109">
        <v>240</v>
      </c>
      <c r="P49" s="106">
        <v>396</v>
      </c>
      <c r="Q49" s="110">
        <v>277</v>
      </c>
      <c r="R49" s="109">
        <v>60</v>
      </c>
      <c r="S49" s="106">
        <v>138</v>
      </c>
      <c r="T49" s="108">
        <v>138</v>
      </c>
      <c r="U49" s="109">
        <v>390</v>
      </c>
      <c r="V49" s="106">
        <v>872</v>
      </c>
      <c r="W49" s="108">
        <v>872</v>
      </c>
      <c r="X49" s="109"/>
      <c r="Y49" s="106"/>
      <c r="Z49" s="110"/>
      <c r="AA49" s="1141"/>
      <c r="AB49" s="1118"/>
      <c r="AC49" s="1124"/>
      <c r="AD49" s="117">
        <f>+C49+F49+I49+L49+O49+R49+U49+X49</f>
        <v>2040</v>
      </c>
      <c r="AE49" s="113">
        <f t="shared" si="94"/>
        <v>4062</v>
      </c>
      <c r="AF49" s="118">
        <f t="shared" si="95"/>
        <v>3785</v>
      </c>
    </row>
    <row r="50" spans="1:32" ht="13.5" customHeight="1" x14ac:dyDescent="0.2">
      <c r="A50" s="99" t="s">
        <v>138</v>
      </c>
      <c r="B50" s="138" t="s">
        <v>139</v>
      </c>
      <c r="C50" s="109"/>
      <c r="D50" s="106"/>
      <c r="E50" s="110"/>
      <c r="F50" s="109"/>
      <c r="G50" s="106"/>
      <c r="H50" s="108"/>
      <c r="I50" s="109"/>
      <c r="J50" s="106"/>
      <c r="K50" s="110"/>
      <c r="L50" s="109"/>
      <c r="M50" s="106"/>
      <c r="N50" s="108"/>
      <c r="O50" s="109"/>
      <c r="P50" s="106"/>
      <c r="Q50" s="110"/>
      <c r="R50" s="109"/>
      <c r="S50" s="106"/>
      <c r="T50" s="108"/>
      <c r="U50" s="109"/>
      <c r="V50" s="106"/>
      <c r="W50" s="108"/>
      <c r="X50" s="109"/>
      <c r="Y50" s="106"/>
      <c r="Z50" s="110"/>
      <c r="AA50" s="1141"/>
      <c r="AB50" s="1118"/>
      <c r="AC50" s="1124"/>
      <c r="AD50" s="117"/>
      <c r="AE50" s="113">
        <f t="shared" si="94"/>
        <v>0</v>
      </c>
      <c r="AF50" s="118">
        <f t="shared" si="95"/>
        <v>0</v>
      </c>
    </row>
    <row r="51" spans="1:32" ht="13.5" customHeight="1" x14ac:dyDescent="0.2">
      <c r="A51" s="99" t="s">
        <v>140</v>
      </c>
      <c r="B51" s="138" t="s">
        <v>2</v>
      </c>
      <c r="C51" s="109"/>
      <c r="D51" s="106"/>
      <c r="E51" s="110"/>
      <c r="F51" s="109">
        <v>340</v>
      </c>
      <c r="G51" s="106">
        <v>261</v>
      </c>
      <c r="H51" s="108">
        <v>156</v>
      </c>
      <c r="I51" s="109"/>
      <c r="J51" s="106"/>
      <c r="K51" s="110"/>
      <c r="L51" s="109">
        <v>1130</v>
      </c>
      <c r="M51" s="106">
        <v>1130</v>
      </c>
      <c r="N51" s="108">
        <v>418</v>
      </c>
      <c r="O51" s="109">
        <v>250</v>
      </c>
      <c r="P51" s="106">
        <v>250</v>
      </c>
      <c r="Q51" s="110">
        <v>98</v>
      </c>
      <c r="R51" s="109">
        <v>70</v>
      </c>
      <c r="S51" s="106">
        <v>113</v>
      </c>
      <c r="T51" s="108">
        <v>114</v>
      </c>
      <c r="U51" s="109">
        <v>995</v>
      </c>
      <c r="V51" s="106">
        <v>995</v>
      </c>
      <c r="W51" s="108">
        <v>816</v>
      </c>
      <c r="X51" s="109"/>
      <c r="Y51" s="106"/>
      <c r="Z51" s="110"/>
      <c r="AA51" s="1141"/>
      <c r="AB51" s="1118"/>
      <c r="AC51" s="1124"/>
      <c r="AD51" s="117">
        <f>+C51+F51+I51+L51+O51+R51+U51+X51</f>
        <v>2785</v>
      </c>
      <c r="AE51" s="113">
        <f t="shared" si="94"/>
        <v>2749</v>
      </c>
      <c r="AF51" s="118">
        <f t="shared" si="95"/>
        <v>1602</v>
      </c>
    </row>
    <row r="52" spans="1:32" ht="13.5" customHeight="1" x14ac:dyDescent="0.2">
      <c r="A52" s="99" t="s">
        <v>141</v>
      </c>
      <c r="B52" s="138" t="s">
        <v>142</v>
      </c>
      <c r="C52" s="109"/>
      <c r="D52" s="106"/>
      <c r="E52" s="110"/>
      <c r="F52" s="109"/>
      <c r="G52" s="106"/>
      <c r="H52" s="108"/>
      <c r="I52" s="109"/>
      <c r="J52" s="106"/>
      <c r="K52" s="110"/>
      <c r="L52" s="109"/>
      <c r="M52" s="106"/>
      <c r="N52" s="108"/>
      <c r="O52" s="109"/>
      <c r="P52" s="106"/>
      <c r="Q52" s="110"/>
      <c r="R52" s="109"/>
      <c r="S52" s="106"/>
      <c r="T52" s="108"/>
      <c r="U52" s="109"/>
      <c r="V52" s="106"/>
      <c r="W52" s="108"/>
      <c r="X52" s="109"/>
      <c r="Y52" s="106"/>
      <c r="Z52" s="110"/>
      <c r="AA52" s="1141"/>
      <c r="AB52" s="1118"/>
      <c r="AC52" s="1124"/>
      <c r="AD52" s="117"/>
      <c r="AE52" s="113">
        <f t="shared" si="94"/>
        <v>0</v>
      </c>
      <c r="AF52" s="118">
        <f t="shared" si="95"/>
        <v>0</v>
      </c>
    </row>
    <row r="53" spans="1:32" ht="13.5" customHeight="1" x14ac:dyDescent="0.2">
      <c r="A53" s="99" t="s">
        <v>143</v>
      </c>
      <c r="B53" s="138" t="s">
        <v>144</v>
      </c>
      <c r="C53" s="109"/>
      <c r="D53" s="106"/>
      <c r="E53" s="110"/>
      <c r="F53" s="109"/>
      <c r="G53" s="106"/>
      <c r="H53" s="108"/>
      <c r="I53" s="109"/>
      <c r="J53" s="106"/>
      <c r="K53" s="110"/>
      <c r="L53" s="109"/>
      <c r="M53" s="106"/>
      <c r="N53" s="108"/>
      <c r="O53" s="109"/>
      <c r="P53" s="106"/>
      <c r="Q53" s="110"/>
      <c r="R53" s="109"/>
      <c r="S53" s="106"/>
      <c r="T53" s="108"/>
      <c r="U53" s="109"/>
      <c r="V53" s="106"/>
      <c r="W53" s="108"/>
      <c r="X53" s="109"/>
      <c r="Y53" s="106"/>
      <c r="Z53" s="110"/>
      <c r="AA53" s="1141"/>
      <c r="AB53" s="1118"/>
      <c r="AC53" s="1124"/>
      <c r="AD53" s="117"/>
      <c r="AE53" s="113">
        <f t="shared" si="94"/>
        <v>0</v>
      </c>
      <c r="AF53" s="118">
        <f t="shared" si="95"/>
        <v>0</v>
      </c>
    </row>
    <row r="54" spans="1:32" ht="13.5" customHeight="1" x14ac:dyDescent="0.2">
      <c r="A54" s="99" t="s">
        <v>145</v>
      </c>
      <c r="B54" s="138" t="s">
        <v>146</v>
      </c>
      <c r="C54" s="109"/>
      <c r="D54" s="106"/>
      <c r="E54" s="110"/>
      <c r="F54" s="109"/>
      <c r="G54" s="106"/>
      <c r="H54" s="108"/>
      <c r="I54" s="109"/>
      <c r="J54" s="106"/>
      <c r="K54" s="110"/>
      <c r="L54" s="109"/>
      <c r="M54" s="106"/>
      <c r="N54" s="108"/>
      <c r="O54" s="109"/>
      <c r="P54" s="106"/>
      <c r="Q54" s="110"/>
      <c r="R54" s="109"/>
      <c r="S54" s="106"/>
      <c r="T54" s="108"/>
      <c r="U54" s="109"/>
      <c r="V54" s="106"/>
      <c r="W54" s="108"/>
      <c r="X54" s="109"/>
      <c r="Y54" s="106"/>
      <c r="Z54" s="110"/>
      <c r="AA54" s="1141"/>
      <c r="AB54" s="1118"/>
      <c r="AC54" s="1124"/>
      <c r="AD54" s="117"/>
      <c r="AE54" s="113">
        <f t="shared" si="94"/>
        <v>0</v>
      </c>
      <c r="AF54" s="118">
        <f t="shared" si="95"/>
        <v>0</v>
      </c>
    </row>
    <row r="55" spans="1:32" ht="13.5" customHeight="1" x14ac:dyDescent="0.2">
      <c r="A55" s="99" t="s">
        <v>147</v>
      </c>
      <c r="B55" s="138" t="s">
        <v>281</v>
      </c>
      <c r="C55" s="109"/>
      <c r="D55" s="106"/>
      <c r="E55" s="110"/>
      <c r="F55" s="109"/>
      <c r="G55" s="106">
        <v>464</v>
      </c>
      <c r="H55" s="108">
        <v>464</v>
      </c>
      <c r="I55" s="109"/>
      <c r="J55" s="106">
        <v>278</v>
      </c>
      <c r="K55" s="110">
        <v>278</v>
      </c>
      <c r="L55" s="109"/>
      <c r="M55" s="106">
        <v>466</v>
      </c>
      <c r="N55" s="108">
        <v>466</v>
      </c>
      <c r="O55" s="109"/>
      <c r="P55" s="106">
        <v>190</v>
      </c>
      <c r="Q55" s="110">
        <v>190</v>
      </c>
      <c r="R55" s="109"/>
      <c r="S55" s="106">
        <v>133</v>
      </c>
      <c r="T55" s="108">
        <v>133</v>
      </c>
      <c r="U55" s="109"/>
      <c r="V55" s="106">
        <v>730</v>
      </c>
      <c r="W55" s="108">
        <v>730</v>
      </c>
      <c r="X55" s="109"/>
      <c r="Y55" s="106"/>
      <c r="Z55" s="110"/>
      <c r="AA55" s="1141"/>
      <c r="AB55" s="1118"/>
      <c r="AC55" s="1124"/>
      <c r="AD55" s="117"/>
      <c r="AE55" s="113">
        <f t="shared" si="94"/>
        <v>2261</v>
      </c>
      <c r="AF55" s="118">
        <f t="shared" si="95"/>
        <v>2261</v>
      </c>
    </row>
    <row r="56" spans="1:32" ht="13.5" customHeight="1" x14ac:dyDescent="0.2">
      <c r="A56" s="100" t="s">
        <v>147</v>
      </c>
      <c r="B56" s="139" t="s">
        <v>148</v>
      </c>
      <c r="C56" s="109"/>
      <c r="D56" s="106"/>
      <c r="E56" s="110"/>
      <c r="F56" s="109"/>
      <c r="G56" s="106"/>
      <c r="H56" s="108"/>
      <c r="I56" s="109"/>
      <c r="J56" s="106"/>
      <c r="K56" s="110"/>
      <c r="L56" s="109"/>
      <c r="M56" s="106"/>
      <c r="N56" s="108"/>
      <c r="O56" s="109"/>
      <c r="P56" s="106"/>
      <c r="Q56" s="110"/>
      <c r="R56" s="109"/>
      <c r="S56" s="106"/>
      <c r="T56" s="108"/>
      <c r="U56" s="109"/>
      <c r="V56" s="106"/>
      <c r="W56" s="108"/>
      <c r="X56" s="109"/>
      <c r="Y56" s="106"/>
      <c r="Z56" s="110"/>
      <c r="AA56" s="1141"/>
      <c r="AB56" s="1118"/>
      <c r="AC56" s="1124"/>
      <c r="AD56" s="117"/>
      <c r="AE56" s="113">
        <f t="shared" si="94"/>
        <v>0</v>
      </c>
      <c r="AF56" s="118">
        <f>+E56+H56+K56+N56+Q56+T56+W56+Z56</f>
        <v>0</v>
      </c>
    </row>
    <row r="57" spans="1:32" s="180" customFormat="1" ht="13.5" customHeight="1" x14ac:dyDescent="0.2">
      <c r="A57" s="101" t="s">
        <v>109</v>
      </c>
      <c r="B57" s="140" t="s">
        <v>71</v>
      </c>
      <c r="C57" s="178">
        <f>+SUM(C43:C55)</f>
        <v>0</v>
      </c>
      <c r="D57" s="163">
        <f t="shared" ref="D57:E57" si="97">+SUM(D43:D55)</f>
        <v>0</v>
      </c>
      <c r="E57" s="343">
        <f t="shared" si="97"/>
        <v>0</v>
      </c>
      <c r="F57" s="178">
        <f>+SUM(F43:F55)</f>
        <v>30846</v>
      </c>
      <c r="G57" s="163">
        <f t="shared" ref="G57" si="98">+SUM(G43:G55)</f>
        <v>41491</v>
      </c>
      <c r="H57" s="443">
        <f t="shared" ref="H57" si="99">+SUM(H43:H55)</f>
        <v>39793</v>
      </c>
      <c r="I57" s="178">
        <f>+SUM(I43:I55)</f>
        <v>31846</v>
      </c>
      <c r="J57" s="163">
        <f t="shared" ref="J57" si="100">+SUM(J43:J55)</f>
        <v>32209</v>
      </c>
      <c r="K57" s="343">
        <f t="shared" ref="K57" si="101">+SUM(K43:K55)</f>
        <v>31574</v>
      </c>
      <c r="L57" s="178">
        <f>+SUM(L43:L55)</f>
        <v>23776</v>
      </c>
      <c r="M57" s="163">
        <f t="shared" ref="M57" si="102">+SUM(M43:M55)</f>
        <v>29777</v>
      </c>
      <c r="N57" s="443">
        <f t="shared" ref="N57" si="103">+SUM(N43:N55)</f>
        <v>24030</v>
      </c>
      <c r="O57" s="178">
        <f>+SUM(O43:O55)</f>
        <v>13866</v>
      </c>
      <c r="P57" s="163">
        <f t="shared" ref="P57" si="104">+SUM(P43:P55)</f>
        <v>11705</v>
      </c>
      <c r="Q57" s="343">
        <f t="shared" ref="Q57" si="105">+SUM(Q43:Q55)</f>
        <v>10055</v>
      </c>
      <c r="R57" s="178">
        <f>+SUM(R43:R55)</f>
        <v>4931</v>
      </c>
      <c r="S57" s="163">
        <f t="shared" ref="S57" si="106">+SUM(S43:S55)</f>
        <v>5934</v>
      </c>
      <c r="T57" s="443">
        <f t="shared" ref="T57" si="107">+SUM(T43:T55)</f>
        <v>5848</v>
      </c>
      <c r="U57" s="178">
        <f>+SUM(U43:U55)</f>
        <v>24873</v>
      </c>
      <c r="V57" s="163">
        <f t="shared" ref="V57" si="108">+SUM(V43:V55)</f>
        <v>36842</v>
      </c>
      <c r="W57" s="443">
        <f t="shared" ref="W57" si="109">+SUM(W43:W55)</f>
        <v>29415</v>
      </c>
      <c r="X57" s="178">
        <f>+SUM(X43:X55)</f>
        <v>0</v>
      </c>
      <c r="Y57" s="163">
        <f t="shared" ref="Y57" si="110">+SUM(Y43:Y55)</f>
        <v>0</v>
      </c>
      <c r="Z57" s="343">
        <f t="shared" ref="Z57" si="111">+SUM(Z43:Z55)</f>
        <v>0</v>
      </c>
      <c r="AA57" s="444"/>
      <c r="AB57" s="443"/>
      <c r="AC57" s="1126"/>
      <c r="AD57" s="941">
        <f>+SUM(AD43:AD55)</f>
        <v>130138</v>
      </c>
      <c r="AE57" s="161">
        <f t="shared" ref="AE57:AF57" si="112">+SUM(AE43:AE55)</f>
        <v>157958</v>
      </c>
      <c r="AF57" s="162">
        <f t="shared" si="112"/>
        <v>140715</v>
      </c>
    </row>
    <row r="58" spans="1:32" ht="13.5" customHeight="1" x14ac:dyDescent="0.2">
      <c r="A58" s="98" t="s">
        <v>149</v>
      </c>
      <c r="B58" s="137" t="s">
        <v>150</v>
      </c>
      <c r="C58" s="109"/>
      <c r="D58" s="106"/>
      <c r="E58" s="110"/>
      <c r="F58" s="109"/>
      <c r="G58" s="106">
        <f>+'[4]3.SZ.TÁBL. SEGÍTŐ SZOLGÁLAT'!$H57</f>
        <v>0</v>
      </c>
      <c r="H58" s="108"/>
      <c r="I58" s="109"/>
      <c r="J58" s="106">
        <f>+'[4]3.SZ.TÁBL. SEGÍTŐ SZOLGÁLAT'!$K57</f>
        <v>0</v>
      </c>
      <c r="K58" s="110"/>
      <c r="L58" s="109"/>
      <c r="M58" s="106">
        <f>+'[4]3.SZ.TÁBL. SEGÍTŐ SZOLGÁLAT'!$N57</f>
        <v>0</v>
      </c>
      <c r="N58" s="108"/>
      <c r="O58" s="109"/>
      <c r="P58" s="106"/>
      <c r="Q58" s="110"/>
      <c r="R58" s="109"/>
      <c r="S58" s="106"/>
      <c r="T58" s="108"/>
      <c r="U58" s="109"/>
      <c r="V58" s="106"/>
      <c r="W58" s="108"/>
      <c r="X58" s="109"/>
      <c r="Y58" s="106"/>
      <c r="Z58" s="110"/>
      <c r="AA58" s="1141"/>
      <c r="AB58" s="1118"/>
      <c r="AC58" s="1124"/>
      <c r="AD58" s="117"/>
      <c r="AE58" s="113">
        <f t="shared" ref="AE58:AF60" si="113">+D58+G58+J58+M58+P58+S58+V58+Y58</f>
        <v>0</v>
      </c>
      <c r="AF58" s="118">
        <f t="shared" si="113"/>
        <v>0</v>
      </c>
    </row>
    <row r="59" spans="1:32" ht="23.25" customHeight="1" x14ac:dyDescent="0.2">
      <c r="A59" s="99" t="s">
        <v>151</v>
      </c>
      <c r="B59" s="138" t="s">
        <v>152</v>
      </c>
      <c r="C59" s="109"/>
      <c r="D59" s="106"/>
      <c r="E59" s="110"/>
      <c r="F59" s="109">
        <v>4800</v>
      </c>
      <c r="G59" s="106">
        <v>5348</v>
      </c>
      <c r="H59" s="108">
        <v>5348</v>
      </c>
      <c r="I59" s="109"/>
      <c r="J59" s="106">
        <v>1775</v>
      </c>
      <c r="K59" s="110">
        <v>1775</v>
      </c>
      <c r="L59" s="109"/>
      <c r="M59" s="106">
        <v>127</v>
      </c>
      <c r="N59" s="108">
        <v>127</v>
      </c>
      <c r="O59" s="109">
        <v>800</v>
      </c>
      <c r="P59" s="106">
        <v>4695</v>
      </c>
      <c r="Q59" s="110">
        <v>4696</v>
      </c>
      <c r="R59" s="109">
        <v>1200</v>
      </c>
      <c r="S59" s="106">
        <v>3526</v>
      </c>
      <c r="T59" s="108">
        <v>3524</v>
      </c>
      <c r="U59" s="109">
        <v>1000</v>
      </c>
      <c r="V59" s="106">
        <v>1000</v>
      </c>
      <c r="W59" s="108">
        <v>578</v>
      </c>
      <c r="X59" s="109"/>
      <c r="Y59" s="106"/>
      <c r="Z59" s="110"/>
      <c r="AA59" s="1141"/>
      <c r="AB59" s="1118"/>
      <c r="AC59" s="1124"/>
      <c r="AD59" s="117">
        <f>+C59+F59+I59+L59+O59+R59+U59+X59</f>
        <v>7800</v>
      </c>
      <c r="AE59" s="113">
        <f t="shared" si="113"/>
        <v>16471</v>
      </c>
      <c r="AF59" s="118">
        <f t="shared" si="113"/>
        <v>16048</v>
      </c>
    </row>
    <row r="60" spans="1:32" ht="13.5" customHeight="1" x14ac:dyDescent="0.2">
      <c r="A60" s="100" t="s">
        <v>153</v>
      </c>
      <c r="B60" s="139" t="s">
        <v>154</v>
      </c>
      <c r="C60" s="109"/>
      <c r="D60" s="106"/>
      <c r="E60" s="110"/>
      <c r="F60" s="109">
        <v>50</v>
      </c>
      <c r="G60" s="106">
        <v>184</v>
      </c>
      <c r="H60" s="108">
        <v>184</v>
      </c>
      <c r="I60" s="109">
        <v>30</v>
      </c>
      <c r="J60" s="106">
        <v>30</v>
      </c>
      <c r="K60" s="110">
        <v>18</v>
      </c>
      <c r="L60" s="109">
        <v>50</v>
      </c>
      <c r="M60" s="106">
        <v>50</v>
      </c>
      <c r="N60" s="108">
        <v>13</v>
      </c>
      <c r="O60" s="109">
        <v>20</v>
      </c>
      <c r="P60" s="106">
        <v>20</v>
      </c>
      <c r="Q60" s="110">
        <v>0</v>
      </c>
      <c r="R60" s="109"/>
      <c r="S60" s="106"/>
      <c r="T60" s="108"/>
      <c r="U60" s="109"/>
      <c r="V60" s="106">
        <v>3</v>
      </c>
      <c r="W60" s="108">
        <v>3</v>
      </c>
      <c r="X60" s="109"/>
      <c r="Y60" s="106"/>
      <c r="Z60" s="110"/>
      <c r="AA60" s="1141"/>
      <c r="AB60" s="1118"/>
      <c r="AC60" s="1124"/>
      <c r="AD60" s="117">
        <f>+C60+F60+I60+L60+O60+R60+U60+X60</f>
        <v>150</v>
      </c>
      <c r="AE60" s="113">
        <f t="shared" si="113"/>
        <v>287</v>
      </c>
      <c r="AF60" s="118">
        <f t="shared" si="113"/>
        <v>218</v>
      </c>
    </row>
    <row r="61" spans="1:32" s="180" customFormat="1" ht="13.5" customHeight="1" x14ac:dyDescent="0.2">
      <c r="A61" s="101" t="s">
        <v>110</v>
      </c>
      <c r="B61" s="140" t="s">
        <v>72</v>
      </c>
      <c r="C61" s="178">
        <f>SUM(C58:C60)</f>
        <v>0</v>
      </c>
      <c r="D61" s="163">
        <f t="shared" ref="D61:E61" si="114">SUM(D58:D60)</f>
        <v>0</v>
      </c>
      <c r="E61" s="343">
        <f t="shared" si="114"/>
        <v>0</v>
      </c>
      <c r="F61" s="178">
        <f>SUM(F58:F60)</f>
        <v>4850</v>
      </c>
      <c r="G61" s="163">
        <f t="shared" ref="G61" si="115">SUM(G58:G60)</f>
        <v>5532</v>
      </c>
      <c r="H61" s="443">
        <f t="shared" ref="H61" si="116">SUM(H58:H60)</f>
        <v>5532</v>
      </c>
      <c r="I61" s="178">
        <f>SUM(I58:I60)</f>
        <v>30</v>
      </c>
      <c r="J61" s="163">
        <f t="shared" ref="J61" si="117">SUM(J58:J60)</f>
        <v>1805</v>
      </c>
      <c r="K61" s="343">
        <f t="shared" ref="K61" si="118">SUM(K58:K60)</f>
        <v>1793</v>
      </c>
      <c r="L61" s="178">
        <f>SUM(L58:L60)</f>
        <v>50</v>
      </c>
      <c r="M61" s="163">
        <f t="shared" ref="M61" si="119">SUM(M58:M60)</f>
        <v>177</v>
      </c>
      <c r="N61" s="443">
        <f t="shared" ref="N61" si="120">SUM(N58:N60)</f>
        <v>140</v>
      </c>
      <c r="O61" s="178">
        <f>SUM(O58:O60)</f>
        <v>820</v>
      </c>
      <c r="P61" s="163">
        <f t="shared" ref="P61" si="121">SUM(P58:P60)</f>
        <v>4715</v>
      </c>
      <c r="Q61" s="343">
        <f t="shared" ref="Q61" si="122">SUM(Q58:Q60)</f>
        <v>4696</v>
      </c>
      <c r="R61" s="178">
        <f>SUM(R58:R60)</f>
        <v>1200</v>
      </c>
      <c r="S61" s="163">
        <f t="shared" ref="S61" si="123">SUM(S58:S60)</f>
        <v>3526</v>
      </c>
      <c r="T61" s="443">
        <f t="shared" ref="T61" si="124">SUM(T58:T60)</f>
        <v>3524</v>
      </c>
      <c r="U61" s="178">
        <f>SUM(U58:U60)</f>
        <v>1000</v>
      </c>
      <c r="V61" s="163">
        <f t="shared" ref="V61" si="125">SUM(V58:V60)</f>
        <v>1003</v>
      </c>
      <c r="W61" s="443">
        <f t="shared" ref="W61" si="126">SUM(W58:W60)</f>
        <v>581</v>
      </c>
      <c r="X61" s="178">
        <f>SUM(X58:X60)</f>
        <v>0</v>
      </c>
      <c r="Y61" s="163">
        <f t="shared" ref="Y61" si="127">SUM(Y58:Y60)</f>
        <v>0</v>
      </c>
      <c r="Z61" s="343">
        <f t="shared" ref="Z61" si="128">SUM(Z58:Z60)</f>
        <v>0</v>
      </c>
      <c r="AA61" s="444"/>
      <c r="AB61" s="443"/>
      <c r="AC61" s="1126"/>
      <c r="AD61" s="941">
        <f>SUM(AD58:AD60)</f>
        <v>7950</v>
      </c>
      <c r="AE61" s="161">
        <f t="shared" ref="AE61:AF61" si="129">SUM(AE58:AE60)</f>
        <v>16758</v>
      </c>
      <c r="AF61" s="162">
        <f t="shared" si="129"/>
        <v>16266</v>
      </c>
    </row>
    <row r="62" spans="1:32" s="180" customFormat="1" ht="13.5" customHeight="1" x14ac:dyDescent="0.2">
      <c r="A62" s="101" t="s">
        <v>111</v>
      </c>
      <c r="B62" s="140" t="s">
        <v>73</v>
      </c>
      <c r="C62" s="178">
        <f>+C57+C61</f>
        <v>0</v>
      </c>
      <c r="D62" s="163">
        <f t="shared" ref="D62" si="130">+D57+D61</f>
        <v>0</v>
      </c>
      <c r="E62" s="343">
        <f>+E57+E61</f>
        <v>0</v>
      </c>
      <c r="F62" s="178">
        <f>+F57+F61</f>
        <v>35696</v>
      </c>
      <c r="G62" s="163">
        <f t="shared" ref="G62" si="131">+G57+G61</f>
        <v>47023</v>
      </c>
      <c r="H62" s="443">
        <f t="shared" ref="H62" si="132">+H57+H61</f>
        <v>45325</v>
      </c>
      <c r="I62" s="178">
        <f>+I57+I61</f>
        <v>31876</v>
      </c>
      <c r="J62" s="163">
        <f t="shared" ref="J62" si="133">+J57+J61</f>
        <v>34014</v>
      </c>
      <c r="K62" s="343">
        <f t="shared" ref="K62" si="134">+K57+K61</f>
        <v>33367</v>
      </c>
      <c r="L62" s="178">
        <f>+L57+L61</f>
        <v>23826</v>
      </c>
      <c r="M62" s="163">
        <f t="shared" ref="M62" si="135">+M57+M61</f>
        <v>29954</v>
      </c>
      <c r="N62" s="443">
        <f t="shared" ref="N62" si="136">+N57+N61</f>
        <v>24170</v>
      </c>
      <c r="O62" s="178">
        <f>+O57+O61</f>
        <v>14686</v>
      </c>
      <c r="P62" s="163">
        <f t="shared" ref="P62" si="137">+P57+P61</f>
        <v>16420</v>
      </c>
      <c r="Q62" s="343">
        <f t="shared" ref="Q62" si="138">+Q57+Q61</f>
        <v>14751</v>
      </c>
      <c r="R62" s="178">
        <f>+R57+R61</f>
        <v>6131</v>
      </c>
      <c r="S62" s="163">
        <f t="shared" ref="S62" si="139">+S57+S61</f>
        <v>9460</v>
      </c>
      <c r="T62" s="443">
        <f t="shared" ref="T62" si="140">+T57+T61</f>
        <v>9372</v>
      </c>
      <c r="U62" s="178">
        <f>+U57+U61</f>
        <v>25873</v>
      </c>
      <c r="V62" s="163">
        <f t="shared" ref="V62" si="141">+V57+V61</f>
        <v>37845</v>
      </c>
      <c r="W62" s="443">
        <f t="shared" ref="W62" si="142">+W57+W61</f>
        <v>29996</v>
      </c>
      <c r="X62" s="178">
        <f>+X57+X61</f>
        <v>0</v>
      </c>
      <c r="Y62" s="163">
        <f t="shared" ref="Y62" si="143">+Y57+Y61</f>
        <v>0</v>
      </c>
      <c r="Z62" s="343">
        <f t="shared" ref="Z62" si="144">+Z57+Z61</f>
        <v>0</v>
      </c>
      <c r="AA62" s="444"/>
      <c r="AB62" s="443"/>
      <c r="AC62" s="1126"/>
      <c r="AD62" s="941">
        <f>+AD57+AD61</f>
        <v>138088</v>
      </c>
      <c r="AE62" s="161">
        <f t="shared" ref="AE62:AF62" si="145">+AE57+AE61</f>
        <v>174716</v>
      </c>
      <c r="AF62" s="162">
        <f t="shared" si="145"/>
        <v>156981</v>
      </c>
    </row>
    <row r="63" spans="1:32" s="180" customFormat="1" ht="13.5" customHeight="1" x14ac:dyDescent="0.2">
      <c r="A63" s="101" t="s">
        <v>112</v>
      </c>
      <c r="B63" s="140" t="s">
        <v>74</v>
      </c>
      <c r="C63" s="178">
        <f>+SUM(C64:C68)</f>
        <v>0</v>
      </c>
      <c r="D63" s="178">
        <f t="shared" ref="D63:E63" si="146">+SUM(D64:D68)</f>
        <v>0</v>
      </c>
      <c r="E63" s="345">
        <f t="shared" si="146"/>
        <v>0</v>
      </c>
      <c r="F63" s="178">
        <f>+SUM(F64:F68)</f>
        <v>5545</v>
      </c>
      <c r="G63" s="178">
        <f t="shared" ref="G63" si="147">+SUM(G64:G68)</f>
        <v>7038</v>
      </c>
      <c r="H63" s="444">
        <f t="shared" ref="H63" si="148">+SUM(H64:H68)</f>
        <v>6472</v>
      </c>
      <c r="I63" s="178">
        <f>+SUM(I64:I68)</f>
        <v>5363</v>
      </c>
      <c r="J63" s="178">
        <f t="shared" ref="J63" si="149">+SUM(J64:J68)</f>
        <v>6161</v>
      </c>
      <c r="K63" s="345">
        <f t="shared" ref="K63" si="150">+SUM(K64:K68)</f>
        <v>5543</v>
      </c>
      <c r="L63" s="178">
        <f>+SUM(L64:L68)</f>
        <v>3768</v>
      </c>
      <c r="M63" s="178">
        <f t="shared" ref="M63" si="151">+SUM(M64:M68)</f>
        <v>4615</v>
      </c>
      <c r="N63" s="444">
        <f t="shared" ref="N63" si="152">+SUM(N64:N68)</f>
        <v>3730</v>
      </c>
      <c r="O63" s="178">
        <f>+SUM(O64:O68)</f>
        <v>2355</v>
      </c>
      <c r="P63" s="178">
        <f t="shared" ref="P63" si="153">+SUM(P64:P68)</f>
        <v>2580</v>
      </c>
      <c r="Q63" s="345">
        <f t="shared" ref="Q63" si="154">+SUM(Q64:Q68)</f>
        <v>1570</v>
      </c>
      <c r="R63" s="178">
        <f>+SUM(R64:R68)</f>
        <v>924</v>
      </c>
      <c r="S63" s="178">
        <f t="shared" ref="S63" si="155">+SUM(S64:S68)</f>
        <v>1017</v>
      </c>
      <c r="T63" s="444">
        <f t="shared" ref="T63" si="156">+SUM(T64:T68)</f>
        <v>878</v>
      </c>
      <c r="U63" s="178">
        <f>+SUM(U64:U68)</f>
        <v>4051</v>
      </c>
      <c r="V63" s="178">
        <f t="shared" ref="V63" si="157">+SUM(V64:V68)</f>
        <v>4824</v>
      </c>
      <c r="W63" s="444">
        <f t="shared" ref="W63" si="158">+SUM(W64:W68)</f>
        <v>4532</v>
      </c>
      <c r="X63" s="178">
        <f>+SUM(X64:X68)</f>
        <v>0</v>
      </c>
      <c r="Y63" s="178">
        <f t="shared" ref="Y63" si="159">+SUM(Y64:Y68)</f>
        <v>0</v>
      </c>
      <c r="Z63" s="1147">
        <f t="shared" ref="Z63" si="160">+SUM(Z64:Z68)</f>
        <v>0</v>
      </c>
      <c r="AA63" s="444"/>
      <c r="AB63" s="443"/>
      <c r="AC63" s="1126"/>
      <c r="AD63" s="941">
        <f>+SUM(AD64:AD68)</f>
        <v>22006</v>
      </c>
      <c r="AE63" s="161">
        <f t="shared" ref="AE63:AF63" si="161">+SUM(AE64:AE68)</f>
        <v>26235</v>
      </c>
      <c r="AF63" s="162">
        <f t="shared" si="161"/>
        <v>22725</v>
      </c>
    </row>
    <row r="64" spans="1:32" ht="13.5" customHeight="1" x14ac:dyDescent="0.2">
      <c r="A64" s="102" t="s">
        <v>112</v>
      </c>
      <c r="B64" s="141" t="s">
        <v>212</v>
      </c>
      <c r="C64" s="109"/>
      <c r="D64" s="106"/>
      <c r="E64" s="110"/>
      <c r="F64" s="109">
        <v>4590</v>
      </c>
      <c r="G64" s="106">
        <v>6083</v>
      </c>
      <c r="H64" s="108">
        <v>5807</v>
      </c>
      <c r="I64" s="109">
        <v>4140</v>
      </c>
      <c r="J64" s="106">
        <v>4938</v>
      </c>
      <c r="K64" s="110">
        <v>4229</v>
      </c>
      <c r="L64" s="109">
        <v>2944</v>
      </c>
      <c r="M64" s="106">
        <v>3791</v>
      </c>
      <c r="N64" s="108">
        <v>3005</v>
      </c>
      <c r="O64" s="109">
        <v>1874</v>
      </c>
      <c r="P64" s="106">
        <v>2099</v>
      </c>
      <c r="Q64" s="110">
        <v>1327</v>
      </c>
      <c r="R64" s="109">
        <v>788</v>
      </c>
      <c r="S64" s="106">
        <v>881</v>
      </c>
      <c r="T64" s="108">
        <v>756</v>
      </c>
      <c r="U64" s="109">
        <v>3234</v>
      </c>
      <c r="V64" s="106">
        <v>4007</v>
      </c>
      <c r="W64" s="108">
        <v>3710</v>
      </c>
      <c r="X64" s="109"/>
      <c r="Y64" s="106"/>
      <c r="Z64" s="110"/>
      <c r="AA64" s="1141"/>
      <c r="AB64" s="1118"/>
      <c r="AC64" s="1124"/>
      <c r="AD64" s="117">
        <f t="shared" ref="AD64:AF67" si="162">+C64+F64+I64+L64+O64+R64+U64+X64</f>
        <v>17570</v>
      </c>
      <c r="AE64" s="113">
        <f t="shared" si="162"/>
        <v>21799</v>
      </c>
      <c r="AF64" s="118">
        <f t="shared" si="162"/>
        <v>18834</v>
      </c>
    </row>
    <row r="65" spans="1:32" ht="13.5" customHeight="1" x14ac:dyDescent="0.2">
      <c r="A65" s="103" t="s">
        <v>112</v>
      </c>
      <c r="B65" s="142" t="s">
        <v>213</v>
      </c>
      <c r="C65" s="109"/>
      <c r="D65" s="106"/>
      <c r="E65" s="110"/>
      <c r="F65" s="109">
        <v>884</v>
      </c>
      <c r="G65" s="106">
        <v>884</v>
      </c>
      <c r="H65" s="108">
        <v>495</v>
      </c>
      <c r="I65" s="109">
        <v>1137</v>
      </c>
      <c r="J65" s="106">
        <v>1137</v>
      </c>
      <c r="K65" s="110">
        <v>922</v>
      </c>
      <c r="L65" s="109">
        <v>758</v>
      </c>
      <c r="M65" s="106">
        <v>758</v>
      </c>
      <c r="N65" s="108">
        <v>441</v>
      </c>
      <c r="O65" s="109">
        <v>442</v>
      </c>
      <c r="P65" s="106">
        <v>442</v>
      </c>
      <c r="Q65" s="110">
        <v>202</v>
      </c>
      <c r="R65" s="109">
        <v>127</v>
      </c>
      <c r="S65" s="106">
        <v>127</v>
      </c>
      <c r="T65" s="108">
        <v>101</v>
      </c>
      <c r="U65" s="109">
        <v>758</v>
      </c>
      <c r="V65" s="106">
        <v>758</v>
      </c>
      <c r="W65" s="108">
        <v>656</v>
      </c>
      <c r="X65" s="109"/>
      <c r="Y65" s="106"/>
      <c r="Z65" s="110"/>
      <c r="AA65" s="1141"/>
      <c r="AB65" s="1118"/>
      <c r="AC65" s="1124"/>
      <c r="AD65" s="117">
        <f t="shared" si="162"/>
        <v>4106</v>
      </c>
      <c r="AE65" s="113">
        <f t="shared" si="162"/>
        <v>4106</v>
      </c>
      <c r="AF65" s="118">
        <f t="shared" si="162"/>
        <v>2817</v>
      </c>
    </row>
    <row r="66" spans="1:32" ht="13.5" customHeight="1" x14ac:dyDescent="0.2">
      <c r="A66" s="103" t="s">
        <v>112</v>
      </c>
      <c r="B66" s="142" t="s">
        <v>214</v>
      </c>
      <c r="C66" s="109"/>
      <c r="D66" s="106"/>
      <c r="E66" s="110"/>
      <c r="F66" s="109"/>
      <c r="G66" s="106"/>
      <c r="H66" s="108"/>
      <c r="I66" s="109"/>
      <c r="J66" s="106"/>
      <c r="K66" s="110"/>
      <c r="L66" s="109"/>
      <c r="M66" s="106"/>
      <c r="N66" s="108"/>
      <c r="O66" s="109"/>
      <c r="P66" s="106">
        <f>+'[7]3.SZ.TÁBL. SEGÍTŐ SZOLGÁLAT'!$Q65</f>
        <v>0</v>
      </c>
      <c r="Q66" s="110"/>
      <c r="R66" s="109"/>
      <c r="S66" s="106"/>
      <c r="T66" s="108"/>
      <c r="U66" s="109"/>
      <c r="V66" s="106"/>
      <c r="W66" s="108"/>
      <c r="X66" s="109"/>
      <c r="Y66" s="106"/>
      <c r="Z66" s="110"/>
      <c r="AA66" s="1141"/>
      <c r="AB66" s="1118"/>
      <c r="AC66" s="1124"/>
      <c r="AD66" s="117">
        <f t="shared" si="162"/>
        <v>0</v>
      </c>
      <c r="AE66" s="113">
        <f t="shared" si="162"/>
        <v>0</v>
      </c>
      <c r="AF66" s="118">
        <f t="shared" si="162"/>
        <v>0</v>
      </c>
    </row>
    <row r="67" spans="1:32" ht="13.5" customHeight="1" x14ac:dyDescent="0.2">
      <c r="A67" s="103" t="s">
        <v>112</v>
      </c>
      <c r="B67" s="77" t="s">
        <v>283</v>
      </c>
      <c r="C67" s="109"/>
      <c r="D67" s="106"/>
      <c r="E67" s="110"/>
      <c r="F67" s="109"/>
      <c r="G67" s="106"/>
      <c r="H67" s="108"/>
      <c r="I67" s="109"/>
      <c r="J67" s="106"/>
      <c r="K67" s="110">
        <v>246</v>
      </c>
      <c r="L67" s="109"/>
      <c r="M67" s="106"/>
      <c r="N67" s="108">
        <v>176</v>
      </c>
      <c r="O67" s="109"/>
      <c r="P67" s="106">
        <f>+'[7]3.SZ.TÁBL. SEGÍTŐ SZOLGÁLAT'!$Q66</f>
        <v>0</v>
      </c>
      <c r="Q67" s="110"/>
      <c r="R67" s="109"/>
      <c r="S67" s="106"/>
      <c r="T67" s="108"/>
      <c r="U67" s="109"/>
      <c r="V67" s="106"/>
      <c r="W67" s="108">
        <v>39</v>
      </c>
      <c r="X67" s="109"/>
      <c r="Y67" s="106"/>
      <c r="Z67" s="110"/>
      <c r="AA67" s="1141"/>
      <c r="AB67" s="1118"/>
      <c r="AC67" s="1124"/>
      <c r="AD67" s="117">
        <f t="shared" si="162"/>
        <v>0</v>
      </c>
      <c r="AE67" s="113">
        <f t="shared" si="162"/>
        <v>0</v>
      </c>
      <c r="AF67" s="118">
        <f t="shared" si="162"/>
        <v>461</v>
      </c>
    </row>
    <row r="68" spans="1:32" ht="13.5" customHeight="1" x14ac:dyDescent="0.2">
      <c r="A68" s="103" t="s">
        <v>112</v>
      </c>
      <c r="B68" s="142" t="s">
        <v>215</v>
      </c>
      <c r="C68" s="109"/>
      <c r="D68" s="106"/>
      <c r="E68" s="110"/>
      <c r="F68" s="109">
        <v>71</v>
      </c>
      <c r="G68" s="106">
        <v>71</v>
      </c>
      <c r="H68" s="108">
        <v>170</v>
      </c>
      <c r="I68" s="109">
        <v>86</v>
      </c>
      <c r="J68" s="106">
        <v>86</v>
      </c>
      <c r="K68" s="110">
        <v>146</v>
      </c>
      <c r="L68" s="109">
        <v>66</v>
      </c>
      <c r="M68" s="106">
        <v>66</v>
      </c>
      <c r="N68" s="108">
        <v>108</v>
      </c>
      <c r="O68" s="109">
        <v>39</v>
      </c>
      <c r="P68" s="106">
        <v>39</v>
      </c>
      <c r="Q68" s="110">
        <v>41</v>
      </c>
      <c r="R68" s="109">
        <v>9</v>
      </c>
      <c r="S68" s="106">
        <v>9</v>
      </c>
      <c r="T68" s="108">
        <v>21</v>
      </c>
      <c r="U68" s="109">
        <v>59</v>
      </c>
      <c r="V68" s="106">
        <v>59</v>
      </c>
      <c r="W68" s="108">
        <v>127</v>
      </c>
      <c r="X68" s="109"/>
      <c r="Y68" s="106"/>
      <c r="Z68" s="110"/>
      <c r="AA68" s="1141"/>
      <c r="AB68" s="1118"/>
      <c r="AC68" s="1124"/>
      <c r="AD68" s="117">
        <f>+C68+F68+I68+L68+O68+R68+U68+X68</f>
        <v>330</v>
      </c>
      <c r="AE68" s="113">
        <f>+D68+G68+J68+M68+P68+S68+V68+Y68+AB68</f>
        <v>330</v>
      </c>
      <c r="AF68" s="118">
        <f>+E68+H68+K68+N68+Q68+T68+W68+Z68</f>
        <v>613</v>
      </c>
    </row>
    <row r="69" spans="1:32" ht="13.5" customHeight="1" x14ac:dyDescent="0.2">
      <c r="A69" s="98" t="s">
        <v>155</v>
      </c>
      <c r="B69" s="137" t="s">
        <v>156</v>
      </c>
      <c r="C69" s="109"/>
      <c r="D69" s="106"/>
      <c r="E69" s="110"/>
      <c r="F69" s="109">
        <v>114</v>
      </c>
      <c r="G69" s="106">
        <v>100</v>
      </c>
      <c r="H69" s="108">
        <v>77</v>
      </c>
      <c r="I69" s="109">
        <v>101</v>
      </c>
      <c r="J69" s="106">
        <v>101</v>
      </c>
      <c r="K69" s="110">
        <v>19</v>
      </c>
      <c r="L69" s="109">
        <v>19</v>
      </c>
      <c r="M69" s="106">
        <v>30</v>
      </c>
      <c r="N69" s="108">
        <v>30</v>
      </c>
      <c r="O69" s="109">
        <v>16</v>
      </c>
      <c r="P69" s="106">
        <v>16</v>
      </c>
      <c r="Q69" s="110">
        <v>16</v>
      </c>
      <c r="R69" s="109"/>
      <c r="S69" s="106"/>
      <c r="T69" s="108"/>
      <c r="U69" s="109">
        <v>1000</v>
      </c>
      <c r="V69" s="106">
        <v>800</v>
      </c>
      <c r="W69" s="108">
        <v>422</v>
      </c>
      <c r="X69" s="109"/>
      <c r="Y69" s="106"/>
      <c r="Z69" s="110"/>
      <c r="AA69" s="1141"/>
      <c r="AB69" s="1118"/>
      <c r="AC69" s="1124"/>
      <c r="AD69" s="117">
        <f>+C69+F69+I69+L69+O69+R69+U69+X69</f>
        <v>1250</v>
      </c>
      <c r="AE69" s="113">
        <f>+D69+G69+J69+M69+P69+S69+V69+Y69+AB69</f>
        <v>1047</v>
      </c>
      <c r="AF69" s="118">
        <f>+E69+H69+K69+N69+Q69+T69+W69+Z69+AC69</f>
        <v>564</v>
      </c>
    </row>
    <row r="70" spans="1:32" ht="15.75" customHeight="1" x14ac:dyDescent="0.2">
      <c r="A70" s="99" t="s">
        <v>157</v>
      </c>
      <c r="B70" s="138" t="s">
        <v>279</v>
      </c>
      <c r="C70" s="109"/>
      <c r="D70" s="106"/>
      <c r="E70" s="110"/>
      <c r="F70" s="109">
        <v>490</v>
      </c>
      <c r="G70" s="106">
        <v>556</v>
      </c>
      <c r="H70" s="108">
        <v>556</v>
      </c>
      <c r="I70" s="109">
        <v>689</v>
      </c>
      <c r="J70" s="106">
        <v>689</v>
      </c>
      <c r="K70" s="110">
        <v>454</v>
      </c>
      <c r="L70" s="109">
        <v>95</v>
      </c>
      <c r="M70" s="106">
        <v>252</v>
      </c>
      <c r="N70" s="108">
        <v>252</v>
      </c>
      <c r="O70" s="109">
        <v>3108</v>
      </c>
      <c r="P70" s="106">
        <v>3108</v>
      </c>
      <c r="Q70" s="110">
        <v>2039</v>
      </c>
      <c r="R70" s="109">
        <v>2457</v>
      </c>
      <c r="S70" s="106">
        <v>2457</v>
      </c>
      <c r="T70" s="108">
        <v>2076</v>
      </c>
      <c r="U70" s="109">
        <v>143</v>
      </c>
      <c r="V70" s="106">
        <v>480</v>
      </c>
      <c r="W70" s="108">
        <v>340</v>
      </c>
      <c r="X70" s="109"/>
      <c r="Y70" s="106"/>
      <c r="Z70" s="110"/>
      <c r="AA70" s="1141"/>
      <c r="AB70" s="1118"/>
      <c r="AC70" s="1124"/>
      <c r="AD70" s="117">
        <f>+C70+F70+I70+L70+O70+R70+U70+X70</f>
        <v>6982</v>
      </c>
      <c r="AE70" s="113">
        <f>+D70+G70+J70+M70+P70+S70+V70+Y70+AB70</f>
        <v>7542</v>
      </c>
      <c r="AF70" s="118">
        <f>+E70+H70+K70+N70+Q70+T70+W70+Z70+AC70</f>
        <v>5717</v>
      </c>
    </row>
    <row r="71" spans="1:32" ht="13.5" customHeight="1" x14ac:dyDescent="0.2">
      <c r="A71" s="100" t="s">
        <v>159</v>
      </c>
      <c r="B71" s="139" t="s">
        <v>160</v>
      </c>
      <c r="C71" s="109"/>
      <c r="D71" s="106"/>
      <c r="E71" s="110"/>
      <c r="F71" s="109"/>
      <c r="G71" s="106"/>
      <c r="H71" s="108"/>
      <c r="I71" s="109"/>
      <c r="J71" s="106"/>
      <c r="K71" s="110"/>
      <c r="L71" s="109"/>
      <c r="M71" s="106">
        <f>+'[4]3.SZ.TÁBL. SEGÍTŐ SZOLGÁLAT'!$N70</f>
        <v>0</v>
      </c>
      <c r="N71" s="108"/>
      <c r="O71" s="109"/>
      <c r="P71" s="106"/>
      <c r="Q71" s="110"/>
      <c r="R71" s="109">
        <f>+'[8]3.SZ.TÁBL. SEGÍTŐ SZOLGÁLAT'!$S69</f>
        <v>0</v>
      </c>
      <c r="S71" s="106"/>
      <c r="T71" s="108"/>
      <c r="U71" s="109"/>
      <c r="V71" s="106"/>
      <c r="W71" s="108"/>
      <c r="X71" s="109"/>
      <c r="Y71" s="106"/>
      <c r="Z71" s="110"/>
      <c r="AA71" s="1141"/>
      <c r="AB71" s="1118"/>
      <c r="AC71" s="1124"/>
      <c r="AD71" s="117">
        <f>+C71+F71+I71+L71+O71+R71+U71+X71</f>
        <v>0</v>
      </c>
      <c r="AE71" s="113">
        <f>+D71+G71+J71+M71+P71+S71+V71+Y71</f>
        <v>0</v>
      </c>
      <c r="AF71" s="118">
        <f>+E71+H71+K71+N71+Q71+T71+W71+Z71</f>
        <v>0</v>
      </c>
    </row>
    <row r="72" spans="1:32" s="180" customFormat="1" ht="13.5" customHeight="1" x14ac:dyDescent="0.2">
      <c r="A72" s="101" t="s">
        <v>113</v>
      </c>
      <c r="B72" s="140" t="s">
        <v>75</v>
      </c>
      <c r="C72" s="178">
        <f>SUM(C69:C71)</f>
        <v>0</v>
      </c>
      <c r="D72" s="163">
        <f t="shared" ref="D72:E72" si="163">SUM(D69:D71)</f>
        <v>0</v>
      </c>
      <c r="E72" s="343">
        <f t="shared" si="163"/>
        <v>0</v>
      </c>
      <c r="F72" s="178">
        <f>SUM(F69:F71)</f>
        <v>604</v>
      </c>
      <c r="G72" s="163">
        <f t="shared" ref="G72" si="164">SUM(G69:G71)</f>
        <v>656</v>
      </c>
      <c r="H72" s="443">
        <f t="shared" ref="H72" si="165">SUM(H69:H71)</f>
        <v>633</v>
      </c>
      <c r="I72" s="178">
        <f>SUM(I69:I71)</f>
        <v>790</v>
      </c>
      <c r="J72" s="163">
        <f t="shared" ref="J72" si="166">SUM(J69:J71)</f>
        <v>790</v>
      </c>
      <c r="K72" s="343">
        <f t="shared" ref="K72" si="167">SUM(K69:K71)</f>
        <v>473</v>
      </c>
      <c r="L72" s="178">
        <f>SUM(L69:L71)</f>
        <v>114</v>
      </c>
      <c r="M72" s="163">
        <f t="shared" ref="M72" si="168">SUM(M69:M71)</f>
        <v>282</v>
      </c>
      <c r="N72" s="443">
        <f t="shared" ref="N72" si="169">SUM(N69:N71)</f>
        <v>282</v>
      </c>
      <c r="O72" s="178">
        <f>SUM(O69:O71)</f>
        <v>3124</v>
      </c>
      <c r="P72" s="163">
        <f t="shared" ref="P72" si="170">SUM(P69:P71)</f>
        <v>3124</v>
      </c>
      <c r="Q72" s="343">
        <f t="shared" ref="Q72" si="171">SUM(Q69:Q71)</f>
        <v>2055</v>
      </c>
      <c r="R72" s="178">
        <f>SUM(R69:R71)</f>
        <v>2457</v>
      </c>
      <c r="S72" s="163">
        <f t="shared" ref="S72" si="172">SUM(S69:S71)</f>
        <v>2457</v>
      </c>
      <c r="T72" s="443">
        <f t="shared" ref="T72" si="173">SUM(T69:T71)</f>
        <v>2076</v>
      </c>
      <c r="U72" s="178">
        <f>SUM(U69:U71)</f>
        <v>1143</v>
      </c>
      <c r="V72" s="163">
        <f t="shared" ref="V72" si="174">SUM(V69:V71)</f>
        <v>1280</v>
      </c>
      <c r="W72" s="443">
        <f t="shared" ref="W72" si="175">SUM(W69:W71)</f>
        <v>762</v>
      </c>
      <c r="X72" s="178">
        <f>SUM(X69:X71)</f>
        <v>0</v>
      </c>
      <c r="Y72" s="163">
        <f t="shared" ref="Y72" si="176">SUM(Y69:Y71)</f>
        <v>0</v>
      </c>
      <c r="Z72" s="343">
        <f t="shared" ref="Z72" si="177">SUM(Z69:Z71)</f>
        <v>0</v>
      </c>
      <c r="AA72" s="444"/>
      <c r="AB72" s="443">
        <f t="shared" ref="AB72:AC72" si="178">SUM(AB69:AB71)</f>
        <v>0</v>
      </c>
      <c r="AC72" s="1126">
        <f t="shared" si="178"/>
        <v>0</v>
      </c>
      <c r="AD72" s="941">
        <f>SUM(AD69:AD71)</f>
        <v>8232</v>
      </c>
      <c r="AE72" s="161">
        <f t="shared" ref="AE72:AF72" si="179">SUM(AE69:AE71)</f>
        <v>8589</v>
      </c>
      <c r="AF72" s="162">
        <f t="shared" si="179"/>
        <v>6281</v>
      </c>
    </row>
    <row r="73" spans="1:32" ht="13.5" customHeight="1" x14ac:dyDescent="0.2">
      <c r="A73" s="98" t="s">
        <v>161</v>
      </c>
      <c r="B73" s="137" t="s">
        <v>162</v>
      </c>
      <c r="C73" s="109"/>
      <c r="D73" s="106"/>
      <c r="E73" s="110"/>
      <c r="F73" s="109">
        <v>55</v>
      </c>
      <c r="G73" s="106">
        <v>74</v>
      </c>
      <c r="H73" s="108">
        <v>74</v>
      </c>
      <c r="I73" s="109">
        <v>29</v>
      </c>
      <c r="J73" s="106">
        <v>29</v>
      </c>
      <c r="K73" s="110">
        <v>26</v>
      </c>
      <c r="L73" s="109">
        <v>954</v>
      </c>
      <c r="M73" s="106">
        <v>935</v>
      </c>
      <c r="N73" s="108">
        <v>881</v>
      </c>
      <c r="O73" s="109">
        <v>40</v>
      </c>
      <c r="P73" s="106">
        <v>40</v>
      </c>
      <c r="Q73" s="110">
        <v>34</v>
      </c>
      <c r="R73" s="109"/>
      <c r="S73" s="106"/>
      <c r="T73" s="108"/>
      <c r="U73" s="109">
        <v>24</v>
      </c>
      <c r="V73" s="106">
        <v>24</v>
      </c>
      <c r="W73" s="108">
        <v>8</v>
      </c>
      <c r="X73" s="109"/>
      <c r="Y73" s="106"/>
      <c r="Z73" s="110"/>
      <c r="AA73" s="1141"/>
      <c r="AB73" s="1118"/>
      <c r="AC73" s="1124"/>
      <c r="AD73" s="117">
        <f t="shared" ref="AD73:AF74" si="180">+C73+F73+I73+L73+O73+R73+U73+X73</f>
        <v>1102</v>
      </c>
      <c r="AE73" s="113">
        <f t="shared" si="180"/>
        <v>1102</v>
      </c>
      <c r="AF73" s="118">
        <f t="shared" si="180"/>
        <v>1023</v>
      </c>
    </row>
    <row r="74" spans="1:32" ht="13.5" customHeight="1" x14ac:dyDescent="0.2">
      <c r="A74" s="100" t="s">
        <v>163</v>
      </c>
      <c r="B74" s="139" t="s">
        <v>164</v>
      </c>
      <c r="C74" s="109"/>
      <c r="D74" s="106"/>
      <c r="E74" s="110"/>
      <c r="F74" s="109">
        <v>123</v>
      </c>
      <c r="G74" s="106">
        <v>110</v>
      </c>
      <c r="H74" s="108">
        <v>91</v>
      </c>
      <c r="I74" s="109">
        <v>59</v>
      </c>
      <c r="J74" s="106">
        <v>59</v>
      </c>
      <c r="K74" s="110">
        <v>24</v>
      </c>
      <c r="L74" s="109">
        <v>34</v>
      </c>
      <c r="M74" s="106">
        <v>34</v>
      </c>
      <c r="N74" s="108">
        <v>24</v>
      </c>
      <c r="O74" s="109">
        <v>59</v>
      </c>
      <c r="P74" s="106">
        <v>59</v>
      </c>
      <c r="Q74" s="110">
        <v>36</v>
      </c>
      <c r="R74" s="109">
        <v>48</v>
      </c>
      <c r="S74" s="106">
        <v>48</v>
      </c>
      <c r="T74" s="108">
        <v>0</v>
      </c>
      <c r="U74" s="109">
        <v>48</v>
      </c>
      <c r="V74" s="106">
        <v>48</v>
      </c>
      <c r="W74" s="108">
        <v>11</v>
      </c>
      <c r="X74" s="109">
        <f>+'[9]3.SZ.TÁBL. SEGÍTŐ SZOLGÁLAT'!$Y$72</f>
        <v>0</v>
      </c>
      <c r="Y74" s="106">
        <v>0</v>
      </c>
      <c r="Z74" s="110"/>
      <c r="AA74" s="1141"/>
      <c r="AB74" s="1118"/>
      <c r="AC74" s="1124"/>
      <c r="AD74" s="117">
        <f t="shared" si="180"/>
        <v>371</v>
      </c>
      <c r="AE74" s="113">
        <f t="shared" si="180"/>
        <v>358</v>
      </c>
      <c r="AF74" s="118">
        <f t="shared" si="180"/>
        <v>186</v>
      </c>
    </row>
    <row r="75" spans="1:32" s="180" customFormat="1" ht="13.5" customHeight="1" x14ac:dyDescent="0.2">
      <c r="A75" s="101" t="s">
        <v>114</v>
      </c>
      <c r="B75" s="140" t="s">
        <v>76</v>
      </c>
      <c r="C75" s="178">
        <f>SUM(C73:C74)</f>
        <v>0</v>
      </c>
      <c r="D75" s="163">
        <f t="shared" ref="D75:E75" si="181">SUM(D73:D74)</f>
        <v>0</v>
      </c>
      <c r="E75" s="343">
        <f t="shared" si="181"/>
        <v>0</v>
      </c>
      <c r="F75" s="178">
        <f>SUM(F73:F74)</f>
        <v>178</v>
      </c>
      <c r="G75" s="163">
        <f t="shared" ref="G75" si="182">SUM(G73:G74)</f>
        <v>184</v>
      </c>
      <c r="H75" s="443">
        <f t="shared" ref="H75" si="183">SUM(H73:H74)</f>
        <v>165</v>
      </c>
      <c r="I75" s="178">
        <f>SUM(I73:I74)</f>
        <v>88</v>
      </c>
      <c r="J75" s="163">
        <f t="shared" ref="J75" si="184">SUM(J73:J74)</f>
        <v>88</v>
      </c>
      <c r="K75" s="343">
        <f t="shared" ref="K75" si="185">SUM(K73:K74)</f>
        <v>50</v>
      </c>
      <c r="L75" s="178">
        <f>SUM(L73:L74)</f>
        <v>988</v>
      </c>
      <c r="M75" s="163">
        <f t="shared" ref="M75" si="186">SUM(M73:M74)</f>
        <v>969</v>
      </c>
      <c r="N75" s="443">
        <f t="shared" ref="N75" si="187">SUM(N73:N74)</f>
        <v>905</v>
      </c>
      <c r="O75" s="178">
        <f>SUM(O73:O74)</f>
        <v>99</v>
      </c>
      <c r="P75" s="163">
        <f t="shared" ref="P75" si="188">SUM(P73:P74)</f>
        <v>99</v>
      </c>
      <c r="Q75" s="343">
        <f t="shared" ref="Q75" si="189">SUM(Q73:Q74)</f>
        <v>70</v>
      </c>
      <c r="R75" s="178">
        <f>SUM(R73:R74)</f>
        <v>48</v>
      </c>
      <c r="S75" s="163">
        <f t="shared" ref="S75" si="190">SUM(S73:S74)</f>
        <v>48</v>
      </c>
      <c r="T75" s="443">
        <f t="shared" ref="T75" si="191">SUM(T73:T74)</f>
        <v>0</v>
      </c>
      <c r="U75" s="178">
        <f>SUM(U73:U74)</f>
        <v>72</v>
      </c>
      <c r="V75" s="163">
        <f t="shared" ref="V75" si="192">SUM(V73:V74)</f>
        <v>72</v>
      </c>
      <c r="W75" s="443">
        <f t="shared" ref="W75" si="193">SUM(W73:W74)</f>
        <v>19</v>
      </c>
      <c r="X75" s="178">
        <f>SUM(X73:X74)</f>
        <v>0</v>
      </c>
      <c r="Y75" s="163">
        <f t="shared" ref="Y75" si="194">SUM(Y73:Y74)</f>
        <v>0</v>
      </c>
      <c r="Z75" s="343">
        <f t="shared" ref="Z75" si="195">SUM(Z73:Z74)</f>
        <v>0</v>
      </c>
      <c r="AA75" s="444"/>
      <c r="AB75" s="443"/>
      <c r="AC75" s="1126"/>
      <c r="AD75" s="941">
        <f>SUM(AD73:AD74)</f>
        <v>1473</v>
      </c>
      <c r="AE75" s="161">
        <f t="shared" ref="AE75:AF75" si="196">SUM(AE73:AE74)</f>
        <v>1460</v>
      </c>
      <c r="AF75" s="162">
        <f t="shared" si="196"/>
        <v>1209</v>
      </c>
    </row>
    <row r="76" spans="1:32" ht="13.5" customHeight="1" x14ac:dyDescent="0.2">
      <c r="A76" s="98" t="s">
        <v>165</v>
      </c>
      <c r="B76" s="137" t="s">
        <v>166</v>
      </c>
      <c r="C76" s="109"/>
      <c r="D76" s="106"/>
      <c r="E76" s="110"/>
      <c r="F76" s="109">
        <f>F77+F78+F79</f>
        <v>853</v>
      </c>
      <c r="G76" s="106">
        <f t="shared" ref="G76:W76" si="197">G77+G78+G79</f>
        <v>853</v>
      </c>
      <c r="H76" s="108">
        <f t="shared" si="197"/>
        <v>411</v>
      </c>
      <c r="I76" s="109">
        <f t="shared" si="197"/>
        <v>1038</v>
      </c>
      <c r="J76" s="106">
        <f t="shared" si="197"/>
        <v>1038</v>
      </c>
      <c r="K76" s="110">
        <f t="shared" si="197"/>
        <v>498</v>
      </c>
      <c r="L76" s="109">
        <f t="shared" si="197"/>
        <v>855</v>
      </c>
      <c r="M76" s="106">
        <f t="shared" si="197"/>
        <v>855</v>
      </c>
      <c r="N76" s="108">
        <f t="shared" si="197"/>
        <v>411</v>
      </c>
      <c r="O76" s="109">
        <f t="shared" si="197"/>
        <v>968</v>
      </c>
      <c r="P76" s="106">
        <f t="shared" si="197"/>
        <v>968</v>
      </c>
      <c r="Q76" s="110">
        <f t="shared" si="197"/>
        <v>462</v>
      </c>
      <c r="R76" s="109">
        <f t="shared" si="197"/>
        <v>0</v>
      </c>
      <c r="S76" s="106">
        <f t="shared" si="197"/>
        <v>0</v>
      </c>
      <c r="T76" s="108">
        <f t="shared" si="197"/>
        <v>0</v>
      </c>
      <c r="U76" s="109">
        <f t="shared" si="197"/>
        <v>318</v>
      </c>
      <c r="V76" s="106">
        <f>V77+V78+V79</f>
        <v>318</v>
      </c>
      <c r="W76" s="108">
        <f t="shared" si="197"/>
        <v>146</v>
      </c>
      <c r="X76" s="109"/>
      <c r="Y76" s="106"/>
      <c r="Z76" s="110"/>
      <c r="AA76" s="1141"/>
      <c r="AB76" s="1118"/>
      <c r="AC76" s="1124"/>
      <c r="AD76" s="148">
        <f>AD77+AD78+AD79</f>
        <v>4032</v>
      </c>
      <c r="AE76" s="147">
        <f t="shared" ref="AE76" si="198">AE77+AE78+AE79</f>
        <v>4032</v>
      </c>
      <c r="AF76" s="149">
        <f t="shared" ref="AF76" si="199">AF77+AF78+AF79</f>
        <v>1928</v>
      </c>
    </row>
    <row r="77" spans="1:32" ht="13.5" customHeight="1" x14ac:dyDescent="0.2">
      <c r="A77" s="102" t="s">
        <v>1291</v>
      </c>
      <c r="B77" s="1283" t="s">
        <v>1289</v>
      </c>
      <c r="C77" s="109"/>
      <c r="D77" s="106"/>
      <c r="E77" s="110"/>
      <c r="F77" s="109">
        <v>88</v>
      </c>
      <c r="G77" s="106">
        <v>92</v>
      </c>
      <c r="H77" s="108">
        <v>79</v>
      </c>
      <c r="I77" s="109">
        <v>107</v>
      </c>
      <c r="J77" s="106">
        <v>111</v>
      </c>
      <c r="K77" s="110">
        <v>96</v>
      </c>
      <c r="L77" s="109">
        <v>88</v>
      </c>
      <c r="M77" s="106">
        <v>92</v>
      </c>
      <c r="N77" s="108">
        <v>79</v>
      </c>
      <c r="O77" s="109">
        <v>100</v>
      </c>
      <c r="P77" s="106">
        <v>103</v>
      </c>
      <c r="Q77" s="110">
        <v>89</v>
      </c>
      <c r="R77" s="109"/>
      <c r="S77" s="106"/>
      <c r="T77" s="108"/>
      <c r="U77" s="109">
        <v>32</v>
      </c>
      <c r="V77" s="106">
        <v>33</v>
      </c>
      <c r="W77" s="108">
        <v>28</v>
      </c>
      <c r="X77" s="109"/>
      <c r="Y77" s="106"/>
      <c r="Z77" s="110"/>
      <c r="AA77" s="1141"/>
      <c r="AB77" s="1118"/>
      <c r="AC77" s="1124"/>
      <c r="AD77" s="117">
        <f t="shared" ref="AD77:AF80" si="200">+C77+F77+I77+L77+O77+R77+U77+X77</f>
        <v>415</v>
      </c>
      <c r="AE77" s="113">
        <f>+D77+G77+J77+M77+P77+S77+V77+Y77+AB77</f>
        <v>431</v>
      </c>
      <c r="AF77" s="118">
        <f t="shared" si="200"/>
        <v>371</v>
      </c>
    </row>
    <row r="78" spans="1:32" ht="13.5" customHeight="1" x14ac:dyDescent="0.2">
      <c r="A78" s="102" t="s">
        <v>1292</v>
      </c>
      <c r="B78" s="1283" t="s">
        <v>1288</v>
      </c>
      <c r="C78" s="109"/>
      <c r="D78" s="106"/>
      <c r="E78" s="110"/>
      <c r="F78" s="109">
        <v>700</v>
      </c>
      <c r="G78" s="106">
        <v>696</v>
      </c>
      <c r="H78" s="108">
        <v>332</v>
      </c>
      <c r="I78" s="109">
        <v>848</v>
      </c>
      <c r="J78" s="106">
        <v>844</v>
      </c>
      <c r="K78" s="110">
        <v>402</v>
      </c>
      <c r="L78" s="109">
        <v>700</v>
      </c>
      <c r="M78" s="106">
        <v>696</v>
      </c>
      <c r="N78" s="108">
        <v>332</v>
      </c>
      <c r="O78" s="109">
        <v>789</v>
      </c>
      <c r="P78" s="106">
        <v>786</v>
      </c>
      <c r="Q78" s="110">
        <v>373</v>
      </c>
      <c r="R78" s="109"/>
      <c r="S78" s="106"/>
      <c r="T78" s="108"/>
      <c r="U78" s="109">
        <v>250</v>
      </c>
      <c r="V78" s="106">
        <v>249</v>
      </c>
      <c r="W78" s="108">
        <v>118</v>
      </c>
      <c r="X78" s="109"/>
      <c r="Y78" s="106"/>
      <c r="Z78" s="110"/>
      <c r="AA78" s="1141"/>
      <c r="AB78" s="1118"/>
      <c r="AC78" s="1124"/>
      <c r="AD78" s="117">
        <f t="shared" si="200"/>
        <v>3287</v>
      </c>
      <c r="AE78" s="113">
        <f t="shared" ref="AE78:AE79" si="201">+D78+G78+J78+M78+P78+S78+V78+Y78+AB78</f>
        <v>3271</v>
      </c>
      <c r="AF78" s="118">
        <f t="shared" si="200"/>
        <v>1557</v>
      </c>
    </row>
    <row r="79" spans="1:32" ht="13.5" customHeight="1" x14ac:dyDescent="0.2">
      <c r="A79" s="102" t="s">
        <v>1293</v>
      </c>
      <c r="B79" s="1283" t="s">
        <v>1290</v>
      </c>
      <c r="C79" s="109"/>
      <c r="D79" s="106"/>
      <c r="E79" s="110"/>
      <c r="F79" s="109">
        <v>65</v>
      </c>
      <c r="G79" s="106">
        <v>65</v>
      </c>
      <c r="H79" s="108">
        <v>0</v>
      </c>
      <c r="I79" s="109">
        <v>83</v>
      </c>
      <c r="J79" s="106">
        <v>83</v>
      </c>
      <c r="K79" s="110">
        <v>0</v>
      </c>
      <c r="L79" s="109">
        <v>67</v>
      </c>
      <c r="M79" s="106">
        <v>67</v>
      </c>
      <c r="N79" s="108">
        <v>0</v>
      </c>
      <c r="O79" s="109">
        <v>79</v>
      </c>
      <c r="P79" s="106">
        <v>79</v>
      </c>
      <c r="Q79" s="110">
        <v>0</v>
      </c>
      <c r="R79" s="109"/>
      <c r="S79" s="106"/>
      <c r="T79" s="108"/>
      <c r="U79" s="109">
        <v>36</v>
      </c>
      <c r="V79" s="106">
        <v>36</v>
      </c>
      <c r="W79" s="108">
        <v>0</v>
      </c>
      <c r="X79" s="109"/>
      <c r="Y79" s="106"/>
      <c r="Z79" s="110"/>
      <c r="AA79" s="1141"/>
      <c r="AB79" s="1118"/>
      <c r="AC79" s="1124"/>
      <c r="AD79" s="117">
        <f t="shared" si="200"/>
        <v>330</v>
      </c>
      <c r="AE79" s="113">
        <f t="shared" si="201"/>
        <v>330</v>
      </c>
      <c r="AF79" s="118">
        <f t="shared" si="200"/>
        <v>0</v>
      </c>
    </row>
    <row r="80" spans="1:32" ht="13.5" customHeight="1" x14ac:dyDescent="0.2">
      <c r="A80" s="99" t="s">
        <v>167</v>
      </c>
      <c r="B80" s="138" t="s">
        <v>3</v>
      </c>
      <c r="C80" s="109"/>
      <c r="D80" s="106"/>
      <c r="E80" s="110"/>
      <c r="F80" s="109"/>
      <c r="G80" s="106"/>
      <c r="H80" s="108"/>
      <c r="I80" s="109"/>
      <c r="J80" s="106"/>
      <c r="K80" s="110"/>
      <c r="L80" s="109">
        <v>135</v>
      </c>
      <c r="M80" s="106">
        <v>96</v>
      </c>
      <c r="N80" s="108">
        <v>0</v>
      </c>
      <c r="O80" s="109"/>
      <c r="P80" s="106"/>
      <c r="Q80" s="110"/>
      <c r="R80" s="109"/>
      <c r="S80" s="106">
        <v>4</v>
      </c>
      <c r="T80" s="108">
        <v>4</v>
      </c>
      <c r="U80" s="109">
        <v>3538</v>
      </c>
      <c r="V80" s="106">
        <v>3538</v>
      </c>
      <c r="W80" s="108">
        <v>3349</v>
      </c>
      <c r="X80" s="109">
        <v>5407</v>
      </c>
      <c r="Y80" s="106">
        <v>6858</v>
      </c>
      <c r="Z80" s="110">
        <v>6093</v>
      </c>
      <c r="AA80" s="1141"/>
      <c r="AB80" s="1118"/>
      <c r="AC80" s="1124"/>
      <c r="AD80" s="117">
        <f t="shared" si="200"/>
        <v>9080</v>
      </c>
      <c r="AE80" s="113">
        <f t="shared" si="200"/>
        <v>10496</v>
      </c>
      <c r="AF80" s="118">
        <f t="shared" si="200"/>
        <v>9446</v>
      </c>
    </row>
    <row r="81" spans="1:32" ht="13.5" customHeight="1" x14ac:dyDescent="0.2">
      <c r="A81" s="99" t="s">
        <v>168</v>
      </c>
      <c r="B81" s="138" t="s">
        <v>169</v>
      </c>
      <c r="C81" s="109"/>
      <c r="D81" s="106"/>
      <c r="E81" s="110"/>
      <c r="F81" s="109"/>
      <c r="G81" s="106"/>
      <c r="H81" s="108"/>
      <c r="I81" s="109"/>
      <c r="J81" s="106"/>
      <c r="K81" s="110"/>
      <c r="L81" s="109"/>
      <c r="M81" s="106"/>
      <c r="N81" s="108"/>
      <c r="O81" s="109"/>
      <c r="P81" s="106"/>
      <c r="Q81" s="110"/>
      <c r="R81" s="109"/>
      <c r="S81" s="106"/>
      <c r="T81" s="108"/>
      <c r="U81" s="109"/>
      <c r="V81" s="106"/>
      <c r="W81" s="108"/>
      <c r="X81" s="109"/>
      <c r="Y81" s="106"/>
      <c r="Z81" s="110"/>
      <c r="AA81" s="1141"/>
      <c r="AB81" s="1118"/>
      <c r="AC81" s="1124"/>
      <c r="AD81" s="117"/>
      <c r="AE81" s="113"/>
      <c r="AF81" s="118">
        <f>+E81+H81+K81+N81+Q81+T81+W81+Z81</f>
        <v>0</v>
      </c>
    </row>
    <row r="82" spans="1:32" ht="13.5" customHeight="1" x14ac:dyDescent="0.2">
      <c r="A82" s="99" t="s">
        <v>170</v>
      </c>
      <c r="B82" s="138" t="s">
        <v>171</v>
      </c>
      <c r="C82" s="109"/>
      <c r="D82" s="106"/>
      <c r="E82" s="110"/>
      <c r="F82" s="109">
        <v>746</v>
      </c>
      <c r="G82" s="106">
        <v>680</v>
      </c>
      <c r="H82" s="108">
        <v>588</v>
      </c>
      <c r="I82" s="109">
        <v>533</v>
      </c>
      <c r="J82" s="106">
        <v>533</v>
      </c>
      <c r="K82" s="110">
        <v>269</v>
      </c>
      <c r="L82" s="109"/>
      <c r="M82" s="106"/>
      <c r="N82" s="108"/>
      <c r="O82" s="109">
        <v>2550</v>
      </c>
      <c r="P82" s="106">
        <v>3351</v>
      </c>
      <c r="Q82" s="110">
        <v>3351</v>
      </c>
      <c r="R82" s="109">
        <v>2850</v>
      </c>
      <c r="S82" s="106">
        <v>2513</v>
      </c>
      <c r="T82" s="108">
        <v>1103</v>
      </c>
      <c r="U82" s="109"/>
      <c r="V82" s="106"/>
      <c r="W82" s="108"/>
      <c r="X82" s="109"/>
      <c r="Y82" s="106"/>
      <c r="Z82" s="110"/>
      <c r="AA82" s="1141"/>
      <c r="AB82" s="1118"/>
      <c r="AC82" s="1124"/>
      <c r="AD82" s="117">
        <f>+C82+F82+I82+L82+O82+R82+U82+X82</f>
        <v>6679</v>
      </c>
      <c r="AE82" s="113">
        <f>+D82+G82+J82+M82+P82+S82+V82+Y82</f>
        <v>7077</v>
      </c>
      <c r="AF82" s="118">
        <f>+E82+H82+K82+N82+Q82+T82+W82+Z82</f>
        <v>5311</v>
      </c>
    </row>
    <row r="83" spans="1:32" ht="13.5" customHeight="1" x14ac:dyDescent="0.2">
      <c r="A83" s="99" t="s">
        <v>172</v>
      </c>
      <c r="B83" s="138" t="s">
        <v>173</v>
      </c>
      <c r="C83" s="109"/>
      <c r="D83" s="106"/>
      <c r="E83" s="110"/>
      <c r="F83" s="109"/>
      <c r="G83" s="106"/>
      <c r="H83" s="108"/>
      <c r="I83" s="109"/>
      <c r="J83" s="106"/>
      <c r="K83" s="110"/>
      <c r="L83" s="109"/>
      <c r="M83" s="106"/>
      <c r="N83" s="108"/>
      <c r="O83" s="109"/>
      <c r="P83" s="106"/>
      <c r="Q83" s="110"/>
      <c r="R83" s="109"/>
      <c r="S83" s="106"/>
      <c r="T83" s="108"/>
      <c r="U83" s="109"/>
      <c r="V83" s="106"/>
      <c r="W83" s="108"/>
      <c r="X83" s="109"/>
      <c r="Y83" s="106"/>
      <c r="Z83" s="110"/>
      <c r="AA83" s="1142"/>
      <c r="AB83" s="1119"/>
      <c r="AC83" s="1125"/>
      <c r="AD83" s="111"/>
      <c r="AE83" s="106"/>
      <c r="AF83" s="107">
        <f>+SUM(AF84:AF85)</f>
        <v>0</v>
      </c>
    </row>
    <row r="84" spans="1:32" ht="13.5" customHeight="1" x14ac:dyDescent="0.2">
      <c r="A84" s="103" t="s">
        <v>172</v>
      </c>
      <c r="B84" s="142" t="s">
        <v>216</v>
      </c>
      <c r="C84" s="109"/>
      <c r="D84" s="106"/>
      <c r="E84" s="110"/>
      <c r="F84" s="109"/>
      <c r="G84" s="106"/>
      <c r="H84" s="108"/>
      <c r="I84" s="109"/>
      <c r="J84" s="106"/>
      <c r="K84" s="110"/>
      <c r="L84" s="109"/>
      <c r="M84" s="106"/>
      <c r="N84" s="108"/>
      <c r="O84" s="109"/>
      <c r="P84" s="106"/>
      <c r="Q84" s="110"/>
      <c r="R84" s="109"/>
      <c r="S84" s="106"/>
      <c r="T84" s="108"/>
      <c r="U84" s="109"/>
      <c r="V84" s="106"/>
      <c r="W84" s="108"/>
      <c r="X84" s="109"/>
      <c r="Y84" s="106"/>
      <c r="Z84" s="110"/>
      <c r="AA84" s="1141"/>
      <c r="AB84" s="1118"/>
      <c r="AC84" s="1124"/>
      <c r="AD84" s="117"/>
      <c r="AE84" s="113"/>
      <c r="AF84" s="118">
        <f>+E84+H84+K84+N84+Q84+T84+W84+Z84</f>
        <v>0</v>
      </c>
    </row>
    <row r="85" spans="1:32" ht="13.5" customHeight="1" x14ac:dyDescent="0.2">
      <c r="A85" s="103" t="s">
        <v>172</v>
      </c>
      <c r="B85" s="142" t="s">
        <v>217</v>
      </c>
      <c r="C85" s="109"/>
      <c r="D85" s="106"/>
      <c r="E85" s="110"/>
      <c r="F85" s="109"/>
      <c r="G85" s="106"/>
      <c r="H85" s="108"/>
      <c r="I85" s="109"/>
      <c r="J85" s="106"/>
      <c r="K85" s="110"/>
      <c r="L85" s="109"/>
      <c r="M85" s="106"/>
      <c r="N85" s="108"/>
      <c r="O85" s="109"/>
      <c r="P85" s="106"/>
      <c r="Q85" s="110"/>
      <c r="R85" s="109"/>
      <c r="S85" s="106"/>
      <c r="T85" s="108"/>
      <c r="U85" s="109"/>
      <c r="V85" s="106"/>
      <c r="W85" s="108"/>
      <c r="X85" s="109"/>
      <c r="Y85" s="106"/>
      <c r="Z85" s="110"/>
      <c r="AA85" s="1141"/>
      <c r="AB85" s="1118"/>
      <c r="AC85" s="1124"/>
      <c r="AD85" s="117"/>
      <c r="AE85" s="113"/>
      <c r="AF85" s="118">
        <f>+E85+H85+K85+N85+Q85+T85+W85+Z85</f>
        <v>0</v>
      </c>
    </row>
    <row r="86" spans="1:32" ht="13.5" customHeight="1" x14ac:dyDescent="0.2">
      <c r="A86" s="99" t="s">
        <v>174</v>
      </c>
      <c r="B86" s="138" t="s">
        <v>175</v>
      </c>
      <c r="C86" s="109"/>
      <c r="D86" s="106"/>
      <c r="E86" s="110"/>
      <c r="F86" s="109">
        <v>312</v>
      </c>
      <c r="G86" s="106">
        <v>203</v>
      </c>
      <c r="H86" s="108">
        <v>203</v>
      </c>
      <c r="I86" s="109"/>
      <c r="J86" s="106">
        <v>17</v>
      </c>
      <c r="K86" s="110">
        <v>17</v>
      </c>
      <c r="L86" s="109">
        <v>520</v>
      </c>
      <c r="M86" s="106">
        <v>224</v>
      </c>
      <c r="N86" s="108">
        <v>15</v>
      </c>
      <c r="O86" s="109">
        <v>68</v>
      </c>
      <c r="P86" s="106">
        <v>68</v>
      </c>
      <c r="Q86" s="110">
        <v>0</v>
      </c>
      <c r="R86" s="109"/>
      <c r="S86" s="106"/>
      <c r="T86" s="108"/>
      <c r="U86" s="109">
        <v>62</v>
      </c>
      <c r="V86" s="106">
        <v>44</v>
      </c>
      <c r="W86" s="108">
        <v>5</v>
      </c>
      <c r="X86" s="109"/>
      <c r="Y86" s="106"/>
      <c r="Z86" s="110"/>
      <c r="AA86" s="1141"/>
      <c r="AB86" s="1118"/>
      <c r="AC86" s="1124"/>
      <c r="AD86" s="117">
        <f>+C86+F86+I86+L86+O86+R86+U86+X86</f>
        <v>962</v>
      </c>
      <c r="AE86" s="113">
        <f>+D86+G86+J86+M86+P86+S86+V86+Y86</f>
        <v>556</v>
      </c>
      <c r="AF86" s="118">
        <f>+E86+H86+K86+N86+Q86+T86+W86+Z86</f>
        <v>240</v>
      </c>
    </row>
    <row r="87" spans="1:32" ht="13.5" customHeight="1" x14ac:dyDescent="0.2">
      <c r="A87" s="100" t="s">
        <v>176</v>
      </c>
      <c r="B87" s="139" t="s">
        <v>277</v>
      </c>
      <c r="C87" s="109"/>
      <c r="D87" s="106"/>
      <c r="E87" s="110"/>
      <c r="F87" s="109">
        <v>2565</v>
      </c>
      <c r="G87" s="106">
        <v>2730</v>
      </c>
      <c r="H87" s="108">
        <v>2730</v>
      </c>
      <c r="I87" s="109">
        <v>1384</v>
      </c>
      <c r="J87" s="106">
        <v>1364</v>
      </c>
      <c r="K87" s="110">
        <v>1244</v>
      </c>
      <c r="L87" s="109">
        <v>1117</v>
      </c>
      <c r="M87" s="106">
        <v>1200</v>
      </c>
      <c r="N87" s="108">
        <v>1158</v>
      </c>
      <c r="O87" s="109">
        <v>1615</v>
      </c>
      <c r="P87" s="106">
        <v>1615</v>
      </c>
      <c r="Q87" s="110">
        <v>1414</v>
      </c>
      <c r="R87" s="109">
        <v>980</v>
      </c>
      <c r="S87" s="106">
        <v>1078</v>
      </c>
      <c r="T87" s="108">
        <v>1078</v>
      </c>
      <c r="U87" s="109">
        <v>399</v>
      </c>
      <c r="V87" s="106">
        <v>377</v>
      </c>
      <c r="W87" s="108">
        <v>353</v>
      </c>
      <c r="X87" s="109"/>
      <c r="Y87" s="106"/>
      <c r="Z87" s="110"/>
      <c r="AA87" s="1141"/>
      <c r="AB87" s="1118"/>
      <c r="AC87" s="1124"/>
      <c r="AD87" s="117">
        <f>+C87+F87+I87+L87+O87+R87+U87+X87</f>
        <v>8060</v>
      </c>
      <c r="AE87" s="113">
        <f>+D87+G87+J87+M87+P87+S87+V87+Y87+AB87</f>
        <v>8364</v>
      </c>
      <c r="AF87" s="118">
        <f>+E87+H87+K87+N87+Q87+T87+W87+Z87+AC87</f>
        <v>7977</v>
      </c>
    </row>
    <row r="88" spans="1:32" s="180" customFormat="1" ht="13.5" customHeight="1" x14ac:dyDescent="0.2">
      <c r="A88" s="101" t="s">
        <v>115</v>
      </c>
      <c r="B88" s="140" t="s">
        <v>77</v>
      </c>
      <c r="C88" s="178">
        <f>+SUM(C76:C83,C86:C87)</f>
        <v>0</v>
      </c>
      <c r="D88" s="163">
        <f t="shared" ref="D88:E88" si="202">+SUM(D76:D83,D86:D87)</f>
        <v>0</v>
      </c>
      <c r="E88" s="343">
        <f t="shared" si="202"/>
        <v>0</v>
      </c>
      <c r="F88" s="178">
        <f t="shared" ref="F88:Z88" si="203">+SUM(F76+F82+F83+F80,F86:F87)</f>
        <v>4476</v>
      </c>
      <c r="G88" s="163">
        <f t="shared" si="203"/>
        <v>4466</v>
      </c>
      <c r="H88" s="443">
        <f t="shared" si="203"/>
        <v>3932</v>
      </c>
      <c r="I88" s="178">
        <f t="shared" si="203"/>
        <v>2955</v>
      </c>
      <c r="J88" s="163">
        <f t="shared" si="203"/>
        <v>2952</v>
      </c>
      <c r="K88" s="343">
        <f t="shared" si="203"/>
        <v>2028</v>
      </c>
      <c r="L88" s="178">
        <f t="shared" si="203"/>
        <v>2627</v>
      </c>
      <c r="M88" s="163">
        <f t="shared" si="203"/>
        <v>2375</v>
      </c>
      <c r="N88" s="443">
        <f t="shared" si="203"/>
        <v>1584</v>
      </c>
      <c r="O88" s="178">
        <f t="shared" si="203"/>
        <v>5201</v>
      </c>
      <c r="P88" s="163">
        <f t="shared" si="203"/>
        <v>6002</v>
      </c>
      <c r="Q88" s="343">
        <f t="shared" si="203"/>
        <v>5227</v>
      </c>
      <c r="R88" s="178">
        <f t="shared" si="203"/>
        <v>3830</v>
      </c>
      <c r="S88" s="163">
        <f t="shared" si="203"/>
        <v>3595</v>
      </c>
      <c r="T88" s="443">
        <f t="shared" si="203"/>
        <v>2185</v>
      </c>
      <c r="U88" s="178">
        <f t="shared" si="203"/>
        <v>4317</v>
      </c>
      <c r="V88" s="163">
        <f t="shared" si="203"/>
        <v>4277</v>
      </c>
      <c r="W88" s="443">
        <f t="shared" si="203"/>
        <v>3853</v>
      </c>
      <c r="X88" s="178">
        <f t="shared" si="203"/>
        <v>5407</v>
      </c>
      <c r="Y88" s="163">
        <f t="shared" si="203"/>
        <v>6858</v>
      </c>
      <c r="Z88" s="343">
        <f t="shared" si="203"/>
        <v>6093</v>
      </c>
      <c r="AA88" s="444"/>
      <c r="AB88" s="443">
        <f t="shared" ref="AB88:AC88" si="204">+SUM(AB76:AB83,AB86:AB87)</f>
        <v>0</v>
      </c>
      <c r="AC88" s="1126">
        <f t="shared" si="204"/>
        <v>0</v>
      </c>
      <c r="AD88" s="941">
        <f>+SUM(AD76+AD82+AD83+AD80,AD86:AD87)</f>
        <v>28813</v>
      </c>
      <c r="AE88" s="161">
        <f>+SUM(AE76+AE82+AE83+AE80,AE86:AE87)</f>
        <v>30525</v>
      </c>
      <c r="AF88" s="162">
        <f>+SUM(AF76+AF82+AF83+AF80,AF86:AF87)</f>
        <v>24902</v>
      </c>
    </row>
    <row r="89" spans="1:32" ht="13.5" customHeight="1" x14ac:dyDescent="0.2">
      <c r="A89" s="98" t="s">
        <v>177</v>
      </c>
      <c r="B89" s="137" t="s">
        <v>178</v>
      </c>
      <c r="C89" s="109"/>
      <c r="D89" s="106"/>
      <c r="E89" s="110"/>
      <c r="F89" s="109">
        <v>365</v>
      </c>
      <c r="G89" s="106">
        <v>365</v>
      </c>
      <c r="H89" s="108">
        <v>337</v>
      </c>
      <c r="I89" s="109">
        <v>250</v>
      </c>
      <c r="J89" s="106">
        <v>333</v>
      </c>
      <c r="K89" s="110">
        <v>333</v>
      </c>
      <c r="L89" s="109">
        <v>520</v>
      </c>
      <c r="M89" s="106">
        <v>520</v>
      </c>
      <c r="N89" s="108">
        <v>424</v>
      </c>
      <c r="O89" s="109">
        <v>50</v>
      </c>
      <c r="P89" s="106">
        <v>50</v>
      </c>
      <c r="Q89" s="110">
        <v>9</v>
      </c>
      <c r="R89" s="109"/>
      <c r="S89" s="106">
        <v>13</v>
      </c>
      <c r="T89" s="108">
        <v>13</v>
      </c>
      <c r="U89" s="109"/>
      <c r="V89" s="106">
        <v>26</v>
      </c>
      <c r="W89" s="108">
        <v>26</v>
      </c>
      <c r="X89" s="109"/>
      <c r="Y89" s="106"/>
      <c r="Z89" s="110"/>
      <c r="AA89" s="1141"/>
      <c r="AB89" s="1118"/>
      <c r="AC89" s="1124"/>
      <c r="AD89" s="117">
        <f>+C89+F89+I89+L89+O89+R89+U89+X89</f>
        <v>1185</v>
      </c>
      <c r="AE89" s="113">
        <f>+D89+G89+J89+M89+P89+S89+V89+Y89</f>
        <v>1307</v>
      </c>
      <c r="AF89" s="118">
        <f>+E89+H89+K89+N89+Q89+T89+W89+Z89</f>
        <v>1142</v>
      </c>
    </row>
    <row r="90" spans="1:32" ht="13.5" customHeight="1" x14ac:dyDescent="0.2">
      <c r="A90" s="100" t="s">
        <v>179</v>
      </c>
      <c r="B90" s="139" t="s">
        <v>180</v>
      </c>
      <c r="C90" s="109"/>
      <c r="D90" s="106"/>
      <c r="E90" s="110"/>
      <c r="F90" s="109"/>
      <c r="G90" s="106"/>
      <c r="H90" s="108"/>
      <c r="I90" s="109"/>
      <c r="J90" s="106"/>
      <c r="K90" s="110"/>
      <c r="L90" s="109"/>
      <c r="M90" s="106"/>
      <c r="N90" s="108"/>
      <c r="O90" s="109"/>
      <c r="P90" s="106"/>
      <c r="Q90" s="110"/>
      <c r="R90" s="109"/>
      <c r="S90" s="106"/>
      <c r="T90" s="108"/>
      <c r="U90" s="109"/>
      <c r="V90" s="106"/>
      <c r="W90" s="108"/>
      <c r="X90" s="109"/>
      <c r="Y90" s="106"/>
      <c r="Z90" s="110"/>
      <c r="AA90" s="1141"/>
      <c r="AB90" s="1118"/>
      <c r="AC90" s="1124"/>
      <c r="AD90" s="117"/>
      <c r="AE90" s="113"/>
      <c r="AF90" s="118">
        <f>+E90+H90+K90+N90+Q90+T90+W90+Z90</f>
        <v>0</v>
      </c>
    </row>
    <row r="91" spans="1:32" s="180" customFormat="1" ht="13.5" customHeight="1" x14ac:dyDescent="0.2">
      <c r="A91" s="101" t="s">
        <v>116</v>
      </c>
      <c r="B91" s="140" t="s">
        <v>78</v>
      </c>
      <c r="C91" s="178">
        <f>+SUM(C89:C90)</f>
        <v>0</v>
      </c>
      <c r="D91" s="163">
        <f t="shared" ref="D91:E91" si="205">+SUM(D89:D90)</f>
        <v>0</v>
      </c>
      <c r="E91" s="343">
        <f t="shared" si="205"/>
        <v>0</v>
      </c>
      <c r="F91" s="178">
        <f>+SUM(F89:F90)</f>
        <v>365</v>
      </c>
      <c r="G91" s="163">
        <f t="shared" ref="G91" si="206">+SUM(G89:G90)</f>
        <v>365</v>
      </c>
      <c r="H91" s="443">
        <f t="shared" ref="H91" si="207">+SUM(H89:H90)</f>
        <v>337</v>
      </c>
      <c r="I91" s="178">
        <f>+SUM(I89:I90)</f>
        <v>250</v>
      </c>
      <c r="J91" s="163">
        <f t="shared" ref="J91" si="208">+SUM(J89:J90)</f>
        <v>333</v>
      </c>
      <c r="K91" s="343">
        <f t="shared" ref="K91" si="209">+SUM(K89:K90)</f>
        <v>333</v>
      </c>
      <c r="L91" s="178">
        <f>+SUM(L89:L90)</f>
        <v>520</v>
      </c>
      <c r="M91" s="163">
        <f t="shared" ref="M91" si="210">+SUM(M89:M90)</f>
        <v>520</v>
      </c>
      <c r="N91" s="443">
        <f t="shared" ref="N91" si="211">+SUM(N89:N90)</f>
        <v>424</v>
      </c>
      <c r="O91" s="178">
        <f>+SUM(O89:O90)</f>
        <v>50</v>
      </c>
      <c r="P91" s="163">
        <f t="shared" ref="P91" si="212">+SUM(P89:P90)</f>
        <v>50</v>
      </c>
      <c r="Q91" s="343">
        <f t="shared" ref="Q91" si="213">+SUM(Q89:Q90)</f>
        <v>9</v>
      </c>
      <c r="R91" s="178">
        <f>+SUM(R89:R90)</f>
        <v>0</v>
      </c>
      <c r="S91" s="163">
        <f t="shared" ref="S91" si="214">+SUM(S89:S90)</f>
        <v>13</v>
      </c>
      <c r="T91" s="443">
        <f t="shared" ref="T91" si="215">+SUM(T89:T90)</f>
        <v>13</v>
      </c>
      <c r="U91" s="178">
        <f>+SUM(U89:U90)</f>
        <v>0</v>
      </c>
      <c r="V91" s="163">
        <f t="shared" ref="V91" si="216">+SUM(V89:V90)</f>
        <v>26</v>
      </c>
      <c r="W91" s="443">
        <f t="shared" ref="W91" si="217">+SUM(W89:W90)</f>
        <v>26</v>
      </c>
      <c r="X91" s="178">
        <f>+SUM(X89:X90)</f>
        <v>0</v>
      </c>
      <c r="Y91" s="163">
        <f t="shared" ref="Y91" si="218">+SUM(Y89:Y90)</f>
        <v>0</v>
      </c>
      <c r="Z91" s="343">
        <f t="shared" ref="Z91" si="219">+SUM(Z89:Z90)</f>
        <v>0</v>
      </c>
      <c r="AA91" s="444"/>
      <c r="AB91" s="443"/>
      <c r="AC91" s="1126"/>
      <c r="AD91" s="941">
        <f>+SUM(AD89:AD90)</f>
        <v>1185</v>
      </c>
      <c r="AE91" s="161">
        <f t="shared" ref="AE91:AF91" si="220">+SUM(AE89:AE90)</f>
        <v>1307</v>
      </c>
      <c r="AF91" s="162">
        <f t="shared" si="220"/>
        <v>1142</v>
      </c>
    </row>
    <row r="92" spans="1:32" ht="13.5" customHeight="1" x14ac:dyDescent="0.2">
      <c r="A92" s="98" t="s">
        <v>181</v>
      </c>
      <c r="B92" s="137" t="s">
        <v>182</v>
      </c>
      <c r="C92" s="109"/>
      <c r="D92" s="106"/>
      <c r="E92" s="110"/>
      <c r="F92" s="109">
        <v>1420</v>
      </c>
      <c r="G92" s="106">
        <v>1072</v>
      </c>
      <c r="H92" s="108">
        <v>988</v>
      </c>
      <c r="I92" s="109">
        <v>1035</v>
      </c>
      <c r="J92" s="106">
        <v>1035</v>
      </c>
      <c r="K92" s="110">
        <v>669</v>
      </c>
      <c r="L92" s="109">
        <v>1007</v>
      </c>
      <c r="M92" s="106">
        <v>1007</v>
      </c>
      <c r="N92" s="108">
        <v>497</v>
      </c>
      <c r="O92" s="109">
        <v>2274</v>
      </c>
      <c r="P92" s="106">
        <v>2124</v>
      </c>
      <c r="Q92" s="110">
        <v>1903</v>
      </c>
      <c r="R92" s="109">
        <v>1710</v>
      </c>
      <c r="S92" s="106">
        <v>1710</v>
      </c>
      <c r="T92" s="108">
        <v>873</v>
      </c>
      <c r="U92" s="109">
        <v>1494</v>
      </c>
      <c r="V92" s="106">
        <v>1490</v>
      </c>
      <c r="W92" s="108">
        <v>1233</v>
      </c>
      <c r="X92" s="109">
        <v>1460</v>
      </c>
      <c r="Y92" s="106">
        <v>1707</v>
      </c>
      <c r="Z92" s="110">
        <v>1645</v>
      </c>
      <c r="AA92" s="1141"/>
      <c r="AB92" s="1118"/>
      <c r="AC92" s="1124"/>
      <c r="AD92" s="117">
        <f>+C92+F92+I92+L92+O92+R92+U92+X92</f>
        <v>10400</v>
      </c>
      <c r="AE92" s="113">
        <f>+D92+G92+J92+M92+P92+S92+V92+Y92+AB92</f>
        <v>10145</v>
      </c>
      <c r="AF92" s="118">
        <f>+E92+H92+K92+N92+Q92+T92+W92+Z92+AC92</f>
        <v>7808</v>
      </c>
    </row>
    <row r="93" spans="1:32" ht="13.5" customHeight="1" x14ac:dyDescent="0.2">
      <c r="A93" s="99" t="s">
        <v>183</v>
      </c>
      <c r="B93" s="138" t="s">
        <v>184</v>
      </c>
      <c r="C93" s="109"/>
      <c r="D93" s="106"/>
      <c r="E93" s="110"/>
      <c r="F93" s="109"/>
      <c r="G93" s="106">
        <v>136</v>
      </c>
      <c r="H93" s="108">
        <v>136</v>
      </c>
      <c r="I93" s="109">
        <v>100</v>
      </c>
      <c r="J93" s="106">
        <v>100</v>
      </c>
      <c r="K93" s="110">
        <v>0</v>
      </c>
      <c r="L93" s="109"/>
      <c r="M93" s="106"/>
      <c r="N93" s="108"/>
      <c r="O93" s="109">
        <v>100</v>
      </c>
      <c r="P93" s="106">
        <v>100</v>
      </c>
      <c r="Q93" s="110">
        <v>0</v>
      </c>
      <c r="R93" s="109">
        <v>100</v>
      </c>
      <c r="S93" s="106">
        <v>100</v>
      </c>
      <c r="T93" s="108">
        <v>0</v>
      </c>
      <c r="U93" s="109">
        <v>100</v>
      </c>
      <c r="V93" s="106">
        <v>100</v>
      </c>
      <c r="W93" s="108">
        <v>0</v>
      </c>
      <c r="X93" s="109">
        <v>100</v>
      </c>
      <c r="Y93" s="106">
        <v>100</v>
      </c>
      <c r="Z93" s="110">
        <v>0</v>
      </c>
      <c r="AA93" s="1141"/>
      <c r="AB93" s="1118"/>
      <c r="AC93" s="1124"/>
      <c r="AD93" s="117">
        <f>+C93+F93+I93+L93+O93+R93+U93+X93</f>
        <v>500</v>
      </c>
      <c r="AE93" s="113">
        <f>+D93+G93+J93+M93+P93+S93+V93+Y93+AB93</f>
        <v>636</v>
      </c>
      <c r="AF93" s="118">
        <f>+E93+H93+K93+N93+Q93+T93+W93+Z93</f>
        <v>136</v>
      </c>
    </row>
    <row r="94" spans="1:32" ht="13.5" customHeight="1" x14ac:dyDescent="0.2">
      <c r="A94" s="99" t="s">
        <v>185</v>
      </c>
      <c r="B94" s="138" t="s">
        <v>186</v>
      </c>
      <c r="C94" s="109"/>
      <c r="D94" s="106"/>
      <c r="E94" s="110"/>
      <c r="F94" s="109"/>
      <c r="G94" s="106"/>
      <c r="H94" s="108"/>
      <c r="I94" s="109"/>
      <c r="J94" s="106"/>
      <c r="K94" s="110"/>
      <c r="L94" s="109"/>
      <c r="M94" s="106"/>
      <c r="N94" s="108"/>
      <c r="O94" s="109"/>
      <c r="P94" s="106"/>
      <c r="Q94" s="110"/>
      <c r="R94" s="109"/>
      <c r="S94" s="106"/>
      <c r="T94" s="108"/>
      <c r="U94" s="109"/>
      <c r="V94" s="106"/>
      <c r="W94" s="108"/>
      <c r="X94" s="109"/>
      <c r="Y94" s="106"/>
      <c r="Z94" s="110"/>
      <c r="AA94" s="1141"/>
      <c r="AB94" s="1118"/>
      <c r="AC94" s="1124"/>
      <c r="AD94" s="117"/>
      <c r="AE94" s="113"/>
      <c r="AF94" s="118">
        <f>+E94+H94+K94+N94+Q94+T94+W94+Z94</f>
        <v>0</v>
      </c>
    </row>
    <row r="95" spans="1:32" ht="13.5" customHeight="1" x14ac:dyDescent="0.2">
      <c r="A95" s="99" t="s">
        <v>187</v>
      </c>
      <c r="B95" s="138" t="s">
        <v>188</v>
      </c>
      <c r="C95" s="109"/>
      <c r="D95" s="106"/>
      <c r="E95" s="110"/>
      <c r="F95" s="109"/>
      <c r="G95" s="106"/>
      <c r="H95" s="108"/>
      <c r="I95" s="109"/>
      <c r="J95" s="106"/>
      <c r="K95" s="110"/>
      <c r="L95" s="109"/>
      <c r="M95" s="106"/>
      <c r="N95" s="108"/>
      <c r="O95" s="109"/>
      <c r="P95" s="106"/>
      <c r="Q95" s="110"/>
      <c r="R95" s="109"/>
      <c r="S95" s="106"/>
      <c r="T95" s="108"/>
      <c r="U95" s="109"/>
      <c r="V95" s="106"/>
      <c r="W95" s="108"/>
      <c r="X95" s="109"/>
      <c r="Y95" s="106"/>
      <c r="Z95" s="110"/>
      <c r="AA95" s="1141"/>
      <c r="AB95" s="1118"/>
      <c r="AC95" s="1124"/>
      <c r="AD95" s="117"/>
      <c r="AE95" s="113"/>
      <c r="AF95" s="118">
        <f>+E95+H95+K95+N95+Q95+T95+W95+Z95</f>
        <v>0</v>
      </c>
    </row>
    <row r="96" spans="1:32" ht="13.5" customHeight="1" x14ac:dyDescent="0.2">
      <c r="A96" s="100" t="s">
        <v>189</v>
      </c>
      <c r="B96" s="139" t="s">
        <v>278</v>
      </c>
      <c r="C96" s="109"/>
      <c r="D96" s="106"/>
      <c r="E96" s="110"/>
      <c r="F96" s="109">
        <v>59</v>
      </c>
      <c r="G96" s="106">
        <v>39</v>
      </c>
      <c r="H96" s="108">
        <v>16</v>
      </c>
      <c r="I96" s="109">
        <v>59</v>
      </c>
      <c r="J96" s="106">
        <v>14</v>
      </c>
      <c r="K96" s="110">
        <v>5</v>
      </c>
      <c r="L96" s="109"/>
      <c r="M96" s="106"/>
      <c r="N96" s="108"/>
      <c r="O96" s="109">
        <v>171</v>
      </c>
      <c r="P96" s="106">
        <v>81</v>
      </c>
      <c r="Q96" s="110">
        <v>60</v>
      </c>
      <c r="R96" s="109">
        <v>251</v>
      </c>
      <c r="S96" s="106">
        <v>339</v>
      </c>
      <c r="T96" s="108">
        <v>113</v>
      </c>
      <c r="U96" s="109"/>
      <c r="V96" s="106"/>
      <c r="W96" s="108"/>
      <c r="X96" s="109"/>
      <c r="Y96" s="106"/>
      <c r="Z96" s="110"/>
      <c r="AA96" s="1141"/>
      <c r="AB96" s="1118"/>
      <c r="AC96" s="1124"/>
      <c r="AD96" s="117">
        <f>+C96+F96+I96+L96+O96+R96+U96+X96</f>
        <v>540</v>
      </c>
      <c r="AE96" s="113">
        <f>+D96+G96+J96+M96+P96+S96+V96+Y96</f>
        <v>473</v>
      </c>
      <c r="AF96" s="118">
        <f>+E96+H96+K96+N96+Q96+T96+W96+Z96</f>
        <v>194</v>
      </c>
    </row>
    <row r="97" spans="1:32" s="180" customFormat="1" ht="13.5" customHeight="1" x14ac:dyDescent="0.2">
      <c r="A97" s="101" t="s">
        <v>117</v>
      </c>
      <c r="B97" s="140" t="s">
        <v>79</v>
      </c>
      <c r="C97" s="178">
        <f>SUM(C92:C96)</f>
        <v>0</v>
      </c>
      <c r="D97" s="163">
        <f t="shared" ref="D97:E97" si="221">SUM(D92:D96)</f>
        <v>0</v>
      </c>
      <c r="E97" s="343">
        <f t="shared" si="221"/>
        <v>0</v>
      </c>
      <c r="F97" s="178">
        <f>SUM(F92:F96)</f>
        <v>1479</v>
      </c>
      <c r="G97" s="163">
        <f t="shared" ref="G97" si="222">SUM(G92:G96)</f>
        <v>1247</v>
      </c>
      <c r="H97" s="443">
        <f t="shared" ref="H97" si="223">SUM(H92:H96)</f>
        <v>1140</v>
      </c>
      <c r="I97" s="178">
        <f>SUM(I92:I96)</f>
        <v>1194</v>
      </c>
      <c r="J97" s="163">
        <f t="shared" ref="J97" si="224">SUM(J92:J96)</f>
        <v>1149</v>
      </c>
      <c r="K97" s="343">
        <f t="shared" ref="K97" si="225">SUM(K92:K96)</f>
        <v>674</v>
      </c>
      <c r="L97" s="178">
        <f>SUM(L92:L96)</f>
        <v>1007</v>
      </c>
      <c r="M97" s="163">
        <f t="shared" ref="M97" si="226">SUM(M92:M96)</f>
        <v>1007</v>
      </c>
      <c r="N97" s="443">
        <f t="shared" ref="N97" si="227">SUM(N92:N96)</f>
        <v>497</v>
      </c>
      <c r="O97" s="178">
        <f>SUM(O92:O96)</f>
        <v>2545</v>
      </c>
      <c r="P97" s="163">
        <f t="shared" ref="P97" si="228">SUM(P92:P96)</f>
        <v>2305</v>
      </c>
      <c r="Q97" s="343">
        <f t="shared" ref="Q97" si="229">SUM(Q92:Q96)</f>
        <v>1963</v>
      </c>
      <c r="R97" s="178">
        <f>SUM(R92:R96)</f>
        <v>2061</v>
      </c>
      <c r="S97" s="163">
        <f t="shared" ref="S97" si="230">SUM(S92:S96)</f>
        <v>2149</v>
      </c>
      <c r="T97" s="163">
        <f t="shared" ref="T97" si="231">SUM(T92:T96)</f>
        <v>986</v>
      </c>
      <c r="U97" s="178">
        <f>SUM(U92:U96)</f>
        <v>1594</v>
      </c>
      <c r="V97" s="163">
        <f t="shared" ref="V97" si="232">SUM(V92:V96)</f>
        <v>1590</v>
      </c>
      <c r="W97" s="443">
        <f t="shared" ref="W97" si="233">SUM(W92:W96)</f>
        <v>1233</v>
      </c>
      <c r="X97" s="178">
        <f>SUM(X92:X96)</f>
        <v>1560</v>
      </c>
      <c r="Y97" s="163">
        <f t="shared" ref="Y97" si="234">SUM(Y92:Y96)</f>
        <v>1807</v>
      </c>
      <c r="Z97" s="343">
        <f t="shared" ref="Z97" si="235">SUM(Z92:Z96)</f>
        <v>1645</v>
      </c>
      <c r="AA97" s="444"/>
      <c r="AB97" s="443">
        <f t="shared" ref="AB97:AC97" si="236">SUM(AB92:AB96)</f>
        <v>0</v>
      </c>
      <c r="AC97" s="1126">
        <f t="shared" si="236"/>
        <v>0</v>
      </c>
      <c r="AD97" s="941">
        <f>SUM(AD92:AD96)</f>
        <v>11440</v>
      </c>
      <c r="AE97" s="161">
        <f t="shared" ref="AE97:AF97" si="237">SUM(AE92:AE96)</f>
        <v>11254</v>
      </c>
      <c r="AF97" s="162">
        <f t="shared" si="237"/>
        <v>8138</v>
      </c>
    </row>
    <row r="98" spans="1:32" s="180" customFormat="1" ht="13.5" customHeight="1" x14ac:dyDescent="0.2">
      <c r="A98" s="101" t="s">
        <v>118</v>
      </c>
      <c r="B98" s="140" t="s">
        <v>80</v>
      </c>
      <c r="C98" s="178">
        <f>+C72+C75+C88+C91+C97</f>
        <v>0</v>
      </c>
      <c r="D98" s="163">
        <f t="shared" ref="D98:E98" si="238">+D72+D75+D88+D91+D97</f>
        <v>0</v>
      </c>
      <c r="E98" s="343">
        <f t="shared" si="238"/>
        <v>0</v>
      </c>
      <c r="F98" s="178">
        <f>+F72+F75+F88+F91+F97</f>
        <v>7102</v>
      </c>
      <c r="G98" s="163">
        <f t="shared" ref="G98" si="239">+G72+G75+G88+G91+G97</f>
        <v>6918</v>
      </c>
      <c r="H98" s="443">
        <f t="shared" ref="H98" si="240">+H72+H75+H88+H91+H97</f>
        <v>6207</v>
      </c>
      <c r="I98" s="178">
        <f>+I72+I75+I88+I91+I97</f>
        <v>5277</v>
      </c>
      <c r="J98" s="163">
        <f t="shared" ref="J98" si="241">+J72+J75+J88+J91+J97</f>
        <v>5312</v>
      </c>
      <c r="K98" s="343">
        <f t="shared" ref="K98" si="242">+K72+K75+K88+K91+K97</f>
        <v>3558</v>
      </c>
      <c r="L98" s="178">
        <f>+L72+L75+L88+L91+L97</f>
        <v>5256</v>
      </c>
      <c r="M98" s="163">
        <f t="shared" ref="M98" si="243">+M72+M75+M88+M91+M97</f>
        <v>5153</v>
      </c>
      <c r="N98" s="443">
        <f t="shared" ref="N98" si="244">+N72+N75+N88+N91+N97</f>
        <v>3692</v>
      </c>
      <c r="O98" s="178">
        <f>+O72+O75+O88+O91+O97</f>
        <v>11019</v>
      </c>
      <c r="P98" s="163">
        <f t="shared" ref="P98" si="245">+P72+P75+P88+P91+P97</f>
        <v>11580</v>
      </c>
      <c r="Q98" s="343">
        <f t="shared" ref="Q98" si="246">+Q72+Q75+Q88+Q91+Q97</f>
        <v>9324</v>
      </c>
      <c r="R98" s="178">
        <f>+R72+R75+R88+R91+R97</f>
        <v>8396</v>
      </c>
      <c r="S98" s="163">
        <f t="shared" ref="S98:T98" si="247">+S72+S75+S88+S91+S97</f>
        <v>8262</v>
      </c>
      <c r="T98" s="163">
        <f t="shared" si="247"/>
        <v>5260</v>
      </c>
      <c r="U98" s="178">
        <f>+U72+U75+U88+U91+U97</f>
        <v>7126</v>
      </c>
      <c r="V98" s="163">
        <f t="shared" ref="V98" si="248">+V72+V75+V88+V91+V97</f>
        <v>7245</v>
      </c>
      <c r="W98" s="443">
        <f>+W72+W75+W88+W91+W97</f>
        <v>5893</v>
      </c>
      <c r="X98" s="178">
        <f>+X72+X75+X88+X91+X97</f>
        <v>6967</v>
      </c>
      <c r="Y98" s="163">
        <f t="shared" ref="Y98" si="249">+Y72+Y75+Y88+Y91+Y97</f>
        <v>8665</v>
      </c>
      <c r="Z98" s="343">
        <f t="shared" ref="Z98" si="250">+Z72+Z75+Z88+Z91+Z97</f>
        <v>7738</v>
      </c>
      <c r="AA98" s="444"/>
      <c r="AB98" s="443">
        <f>+AB72+AB75+AB88+AB91+AB97</f>
        <v>0</v>
      </c>
      <c r="AC98" s="1126">
        <f>+AC72+AC75+AC88+AC91+AC97</f>
        <v>0</v>
      </c>
      <c r="AD98" s="941">
        <f>+AD72+AD75+AD88+AD91+AD97</f>
        <v>51143</v>
      </c>
      <c r="AE98" s="161">
        <f t="shared" ref="AE98" si="251">+AE72+AE75+AE88+AE91+AE97</f>
        <v>53135</v>
      </c>
      <c r="AF98" s="162">
        <f>+AF72+AF75+AF88+AF91+AF97</f>
        <v>41672</v>
      </c>
    </row>
    <row r="99" spans="1:32" ht="13.5" customHeight="1" x14ac:dyDescent="0.2">
      <c r="A99" s="98" t="s">
        <v>227</v>
      </c>
      <c r="B99" s="440" t="s">
        <v>228</v>
      </c>
      <c r="C99" s="115"/>
      <c r="D99" s="106"/>
      <c r="E99" s="116">
        <f>E100</f>
        <v>0</v>
      </c>
      <c r="F99" s="115"/>
      <c r="G99" s="106">
        <f>G100</f>
        <v>0</v>
      </c>
      <c r="H99" s="114">
        <f>H100</f>
        <v>0</v>
      </c>
      <c r="I99" s="115"/>
      <c r="J99" s="106"/>
      <c r="K99" s="106">
        <f>K100</f>
        <v>0</v>
      </c>
      <c r="L99" s="115"/>
      <c r="M99" s="106"/>
      <c r="N99" s="114"/>
      <c r="O99" s="115"/>
      <c r="P99" s="106"/>
      <c r="Q99" s="116"/>
      <c r="R99" s="115"/>
      <c r="S99" s="106"/>
      <c r="T99" s="114"/>
      <c r="U99" s="115"/>
      <c r="V99" s="106"/>
      <c r="W99" s="114"/>
      <c r="X99" s="115"/>
      <c r="Y99" s="106"/>
      <c r="Z99" s="116">
        <f>Z100</f>
        <v>0</v>
      </c>
      <c r="AA99" s="1141"/>
      <c r="AB99" s="1118"/>
      <c r="AC99" s="1124"/>
      <c r="AD99" s="117"/>
      <c r="AE99" s="113">
        <f t="shared" ref="AE99:AF99" si="252">+AE100</f>
        <v>0</v>
      </c>
      <c r="AF99" s="118">
        <f t="shared" si="252"/>
        <v>0</v>
      </c>
    </row>
    <row r="100" spans="1:32" ht="13.5" customHeight="1" x14ac:dyDescent="0.2">
      <c r="A100" s="104" t="s">
        <v>227</v>
      </c>
      <c r="B100" s="441" t="s">
        <v>54</v>
      </c>
      <c r="C100" s="115"/>
      <c r="D100" s="106"/>
      <c r="E100" s="124"/>
      <c r="F100" s="115"/>
      <c r="G100" s="106"/>
      <c r="H100" s="122"/>
      <c r="I100" s="115"/>
      <c r="J100" s="106"/>
      <c r="K100" s="124"/>
      <c r="L100" s="115"/>
      <c r="M100" s="106"/>
      <c r="N100" s="122"/>
      <c r="O100" s="115"/>
      <c r="P100" s="106"/>
      <c r="Q100" s="124"/>
      <c r="R100" s="115"/>
      <c r="S100" s="106"/>
      <c r="T100" s="122"/>
      <c r="U100" s="115"/>
      <c r="V100" s="106"/>
      <c r="W100" s="122"/>
      <c r="X100" s="115"/>
      <c r="Y100" s="106"/>
      <c r="Z100" s="124"/>
      <c r="AA100" s="1144"/>
      <c r="AB100" s="341"/>
      <c r="AC100" s="1127"/>
      <c r="AD100" s="117"/>
      <c r="AE100" s="113">
        <f>+D100+G100+J100+M100+P100+S100+V100+Y100</f>
        <v>0</v>
      </c>
      <c r="AF100" s="118">
        <f>+E100+H100+K100+N100+Q100+T100+W100+Z100</f>
        <v>0</v>
      </c>
    </row>
    <row r="101" spans="1:32" ht="13.5" customHeight="1" x14ac:dyDescent="0.2">
      <c r="A101" s="177" t="s">
        <v>1216</v>
      </c>
      <c r="B101" s="442" t="s">
        <v>230</v>
      </c>
      <c r="C101" s="115"/>
      <c r="D101" s="106"/>
      <c r="E101" s="146"/>
      <c r="F101" s="115"/>
      <c r="G101" s="106">
        <f>+'[4]3.SZ.TÁBL. SEGÍTŐ SZOLGÁLAT'!$H97</f>
        <v>0</v>
      </c>
      <c r="H101" s="145"/>
      <c r="I101" s="115"/>
      <c r="J101" s="106"/>
      <c r="K101" s="146">
        <v>0</v>
      </c>
      <c r="L101" s="115"/>
      <c r="M101" s="106"/>
      <c r="N101" s="145"/>
      <c r="O101" s="115"/>
      <c r="P101" s="106"/>
      <c r="Q101" s="146"/>
      <c r="R101" s="115"/>
      <c r="S101" s="106"/>
      <c r="T101" s="145"/>
      <c r="U101" s="115"/>
      <c r="V101" s="106"/>
      <c r="W101" s="145"/>
      <c r="X101" s="115"/>
      <c r="Y101" s="106"/>
      <c r="Z101" s="146"/>
      <c r="AA101" s="1144"/>
      <c r="AB101" s="341"/>
      <c r="AC101" s="1127"/>
      <c r="AD101" s="117"/>
      <c r="AE101" s="113"/>
      <c r="AF101" s="118">
        <f>+E101+H101+K101+N101+Q101+T101+W101+Z101</f>
        <v>0</v>
      </c>
    </row>
    <row r="102" spans="1:32" s="180" customFormat="1" ht="13.5" customHeight="1" x14ac:dyDescent="0.2">
      <c r="A102" s="101" t="s">
        <v>119</v>
      </c>
      <c r="B102" s="140" t="s">
        <v>81</v>
      </c>
      <c r="C102" s="178">
        <f t="shared" ref="C102:AF102" si="253">+SUM(C99:C101)-C100</f>
        <v>0</v>
      </c>
      <c r="D102" s="163">
        <f t="shared" si="253"/>
        <v>0</v>
      </c>
      <c r="E102" s="343">
        <f t="shared" si="253"/>
        <v>0</v>
      </c>
      <c r="F102" s="178">
        <f t="shared" ref="F102" si="254">+SUM(F99:F101)-F100</f>
        <v>0</v>
      </c>
      <c r="G102" s="163">
        <f t="shared" ref="G102" si="255">+SUM(G99:G101)-G100</f>
        <v>0</v>
      </c>
      <c r="H102" s="443">
        <f t="shared" si="253"/>
        <v>0</v>
      </c>
      <c r="I102" s="178">
        <f t="shared" si="253"/>
        <v>0</v>
      </c>
      <c r="J102" s="163">
        <f t="shared" si="253"/>
        <v>0</v>
      </c>
      <c r="K102" s="163">
        <f t="shared" si="253"/>
        <v>0</v>
      </c>
      <c r="L102" s="178">
        <f t="shared" ref="L102" si="256">+SUM(L99:L101)-L100</f>
        <v>0</v>
      </c>
      <c r="M102" s="163">
        <f t="shared" ref="M102" si="257">+SUM(M99:M101)-M100</f>
        <v>0</v>
      </c>
      <c r="N102" s="443">
        <f t="shared" si="253"/>
        <v>0</v>
      </c>
      <c r="O102" s="178">
        <f t="shared" si="253"/>
        <v>0</v>
      </c>
      <c r="P102" s="163">
        <f t="shared" si="253"/>
        <v>0</v>
      </c>
      <c r="Q102" s="343">
        <f t="shared" si="253"/>
        <v>0</v>
      </c>
      <c r="R102" s="178">
        <f t="shared" ref="R102" si="258">+SUM(R99:R101)-R100</f>
        <v>0</v>
      </c>
      <c r="S102" s="163">
        <f t="shared" ref="S102" si="259">+SUM(S99:S101)-S100</f>
        <v>0</v>
      </c>
      <c r="T102" s="443">
        <f t="shared" si="253"/>
        <v>0</v>
      </c>
      <c r="U102" s="178">
        <f t="shared" si="253"/>
        <v>0</v>
      </c>
      <c r="V102" s="163">
        <f t="shared" si="253"/>
        <v>0</v>
      </c>
      <c r="W102" s="443">
        <f t="shared" si="253"/>
        <v>0</v>
      </c>
      <c r="X102" s="178">
        <f t="shared" ref="X102" si="260">+SUM(X99:X101)-X100</f>
        <v>0</v>
      </c>
      <c r="Y102" s="163">
        <f t="shared" ref="Y102" si="261">+SUM(Y99:Y101)-Y100</f>
        <v>0</v>
      </c>
      <c r="Z102" s="343">
        <f t="shared" si="253"/>
        <v>0</v>
      </c>
      <c r="AA102" s="444"/>
      <c r="AB102" s="443"/>
      <c r="AC102" s="1126"/>
      <c r="AD102" s="941">
        <f t="shared" si="253"/>
        <v>0</v>
      </c>
      <c r="AE102" s="161">
        <f t="shared" si="253"/>
        <v>0</v>
      </c>
      <c r="AF102" s="162">
        <f t="shared" si="253"/>
        <v>0</v>
      </c>
    </row>
    <row r="103" spans="1:32" ht="13.5" customHeight="1" x14ac:dyDescent="0.2">
      <c r="A103" s="98" t="s">
        <v>190</v>
      </c>
      <c r="B103" s="137" t="s">
        <v>191</v>
      </c>
      <c r="C103" s="115"/>
      <c r="D103" s="106"/>
      <c r="E103" s="116"/>
      <c r="F103" s="115"/>
      <c r="G103" s="106"/>
      <c r="H103" s="114"/>
      <c r="I103" s="115"/>
      <c r="J103" s="106"/>
      <c r="K103" s="116"/>
      <c r="L103" s="115"/>
      <c r="M103" s="106"/>
      <c r="N103" s="114"/>
      <c r="O103" s="115"/>
      <c r="P103" s="106"/>
      <c r="Q103" s="116"/>
      <c r="R103" s="115"/>
      <c r="S103" s="106"/>
      <c r="T103" s="114"/>
      <c r="U103" s="115"/>
      <c r="V103" s="106"/>
      <c r="W103" s="114"/>
      <c r="X103" s="115"/>
      <c r="Y103" s="106"/>
      <c r="Z103" s="116"/>
      <c r="AA103" s="1141"/>
      <c r="AB103" s="1118"/>
      <c r="AC103" s="1124"/>
      <c r="AD103" s="117"/>
      <c r="AE103" s="113">
        <f>+D103+G103+J103+M103+P103+S103+V103+Y103+AB103</f>
        <v>0</v>
      </c>
      <c r="AF103" s="118">
        <f t="shared" ref="AF103:AF108" si="262">+E103+H103+K103+N103+Q103+T103+W103+Z103</f>
        <v>0</v>
      </c>
    </row>
    <row r="104" spans="1:32" ht="13.5" customHeight="1" x14ac:dyDescent="0.2">
      <c r="A104" s="99" t="s">
        <v>192</v>
      </c>
      <c r="B104" s="138" t="s">
        <v>193</v>
      </c>
      <c r="C104" s="115"/>
      <c r="D104" s="106"/>
      <c r="E104" s="110"/>
      <c r="F104" s="115"/>
      <c r="G104" s="106"/>
      <c r="H104" s="108"/>
      <c r="I104" s="115"/>
      <c r="J104" s="106"/>
      <c r="K104" s="110"/>
      <c r="L104" s="115"/>
      <c r="M104" s="106"/>
      <c r="N104" s="108"/>
      <c r="O104" s="115"/>
      <c r="P104" s="106"/>
      <c r="Q104" s="110"/>
      <c r="R104" s="115"/>
      <c r="S104" s="106"/>
      <c r="T104" s="108"/>
      <c r="U104" s="115"/>
      <c r="V104" s="106"/>
      <c r="W104" s="108"/>
      <c r="X104" s="115"/>
      <c r="Y104" s="106"/>
      <c r="Z104" s="110"/>
      <c r="AA104" s="1141"/>
      <c r="AB104" s="1118"/>
      <c r="AC104" s="1124"/>
      <c r="AD104" s="117"/>
      <c r="AE104" s="113"/>
      <c r="AF104" s="118">
        <f t="shared" si="262"/>
        <v>0</v>
      </c>
    </row>
    <row r="105" spans="1:32" ht="13.5" customHeight="1" x14ac:dyDescent="0.2">
      <c r="A105" s="99" t="s">
        <v>194</v>
      </c>
      <c r="B105" s="138" t="s">
        <v>195</v>
      </c>
      <c r="C105" s="115"/>
      <c r="D105" s="106"/>
      <c r="E105" s="110"/>
      <c r="F105" s="115">
        <v>473</v>
      </c>
      <c r="G105" s="106">
        <v>473</v>
      </c>
      <c r="H105" s="108">
        <v>306</v>
      </c>
      <c r="I105" s="115"/>
      <c r="J105" s="106"/>
      <c r="K105" s="110"/>
      <c r="L105" s="115"/>
      <c r="M105" s="106"/>
      <c r="N105" s="108"/>
      <c r="O105" s="115"/>
      <c r="P105" s="106"/>
      <c r="Q105" s="110"/>
      <c r="R105" s="115"/>
      <c r="S105" s="106"/>
      <c r="T105" s="108"/>
      <c r="U105" s="115"/>
      <c r="V105" s="106"/>
      <c r="W105" s="108"/>
      <c r="X105" s="115"/>
      <c r="Y105" s="106"/>
      <c r="Z105" s="110"/>
      <c r="AA105" s="1141"/>
      <c r="AB105" s="1118"/>
      <c r="AC105" s="1124"/>
      <c r="AD105" s="117">
        <f>+C105+F105+I105+L105+O105+R105+U105+X105</f>
        <v>473</v>
      </c>
      <c r="AE105" s="113">
        <f>+D105+G105+J105+M105+P105+S105+V105+Y105+AB105</f>
        <v>473</v>
      </c>
      <c r="AF105" s="118">
        <f t="shared" si="262"/>
        <v>306</v>
      </c>
    </row>
    <row r="106" spans="1:32" ht="13.5" customHeight="1" x14ac:dyDescent="0.2">
      <c r="A106" s="99" t="s">
        <v>196</v>
      </c>
      <c r="B106" s="138" t="s">
        <v>197</v>
      </c>
      <c r="C106" s="115"/>
      <c r="D106" s="106"/>
      <c r="E106" s="110"/>
      <c r="F106" s="115">
        <v>315</v>
      </c>
      <c r="G106" s="106">
        <v>791</v>
      </c>
      <c r="H106" s="108">
        <v>791</v>
      </c>
      <c r="I106" s="115">
        <v>260</v>
      </c>
      <c r="J106" s="106">
        <v>260</v>
      </c>
      <c r="K106" s="110">
        <v>10</v>
      </c>
      <c r="L106" s="115">
        <v>32</v>
      </c>
      <c r="M106" s="106">
        <v>113</v>
      </c>
      <c r="N106" s="108">
        <v>113</v>
      </c>
      <c r="O106" s="115">
        <v>24</v>
      </c>
      <c r="P106" s="106">
        <v>24</v>
      </c>
      <c r="Q106" s="110">
        <v>0</v>
      </c>
      <c r="R106" s="115"/>
      <c r="S106" s="106"/>
      <c r="T106" s="108"/>
      <c r="U106" s="115"/>
      <c r="V106" s="106">
        <v>471</v>
      </c>
      <c r="W106" s="108">
        <v>471</v>
      </c>
      <c r="X106" s="115"/>
      <c r="Y106" s="106"/>
      <c r="Z106" s="110"/>
      <c r="AA106" s="1141"/>
      <c r="AB106" s="1118"/>
      <c r="AC106" s="1124"/>
      <c r="AD106" s="117">
        <f>+C106+F106+I106+L106+O106+R106+U106+X106</f>
        <v>631</v>
      </c>
      <c r="AE106" s="113">
        <f>+D106+G106+J106+M106+P106+S106+V106+Y106+AB106</f>
        <v>1659</v>
      </c>
      <c r="AF106" s="118">
        <f>+E106+H106+K106+N106+Q106+T106+W106+Z106+AC106</f>
        <v>1385</v>
      </c>
    </row>
    <row r="107" spans="1:32" ht="13.5" customHeight="1" x14ac:dyDescent="0.2">
      <c r="A107" s="99" t="s">
        <v>198</v>
      </c>
      <c r="B107" s="138" t="s">
        <v>199</v>
      </c>
      <c r="C107" s="115"/>
      <c r="D107" s="106"/>
      <c r="E107" s="110"/>
      <c r="F107" s="115"/>
      <c r="G107" s="106"/>
      <c r="H107" s="108"/>
      <c r="I107" s="115"/>
      <c r="J107" s="106"/>
      <c r="K107" s="110"/>
      <c r="L107" s="115"/>
      <c r="M107" s="106"/>
      <c r="N107" s="108"/>
      <c r="O107" s="115"/>
      <c r="P107" s="106"/>
      <c r="Q107" s="110"/>
      <c r="R107" s="115"/>
      <c r="S107" s="106"/>
      <c r="T107" s="108"/>
      <c r="U107" s="115"/>
      <c r="V107" s="106"/>
      <c r="W107" s="108"/>
      <c r="X107" s="115"/>
      <c r="Y107" s="106"/>
      <c r="Z107" s="110"/>
      <c r="AA107" s="1141"/>
      <c r="AB107" s="1118"/>
      <c r="AC107" s="1124"/>
      <c r="AD107" s="117"/>
      <c r="AE107" s="113"/>
      <c r="AF107" s="118">
        <f t="shared" si="262"/>
        <v>0</v>
      </c>
    </row>
    <row r="108" spans="1:32" ht="13.5" customHeight="1" x14ac:dyDescent="0.2">
      <c r="A108" s="99" t="s">
        <v>200</v>
      </c>
      <c r="B108" s="138" t="s">
        <v>201</v>
      </c>
      <c r="C108" s="115"/>
      <c r="D108" s="106"/>
      <c r="E108" s="110"/>
      <c r="F108" s="115"/>
      <c r="G108" s="106"/>
      <c r="H108" s="108"/>
      <c r="I108" s="115"/>
      <c r="J108" s="106"/>
      <c r="K108" s="110"/>
      <c r="L108" s="115"/>
      <c r="M108" s="106"/>
      <c r="N108" s="108"/>
      <c r="O108" s="115"/>
      <c r="P108" s="106"/>
      <c r="Q108" s="110"/>
      <c r="R108" s="115"/>
      <c r="S108" s="106"/>
      <c r="T108" s="108"/>
      <c r="U108" s="115"/>
      <c r="V108" s="106"/>
      <c r="W108" s="108"/>
      <c r="X108" s="115"/>
      <c r="Y108" s="106"/>
      <c r="Z108" s="110"/>
      <c r="AA108" s="1141"/>
      <c r="AB108" s="1118"/>
      <c r="AC108" s="1124"/>
      <c r="AD108" s="117"/>
      <c r="AE108" s="113"/>
      <c r="AF108" s="118">
        <f t="shared" si="262"/>
        <v>0</v>
      </c>
    </row>
    <row r="109" spans="1:32" ht="13.5" customHeight="1" x14ac:dyDescent="0.2">
      <c r="A109" s="100" t="s">
        <v>202</v>
      </c>
      <c r="B109" s="139" t="s">
        <v>203</v>
      </c>
      <c r="C109" s="115"/>
      <c r="D109" s="106"/>
      <c r="E109" s="124"/>
      <c r="F109" s="115">
        <v>212</v>
      </c>
      <c r="G109" s="106">
        <v>318</v>
      </c>
      <c r="H109" s="122">
        <v>296</v>
      </c>
      <c r="I109" s="115">
        <v>70</v>
      </c>
      <c r="J109" s="106">
        <v>70</v>
      </c>
      <c r="K109" s="124">
        <v>3</v>
      </c>
      <c r="L109" s="115">
        <v>8</v>
      </c>
      <c r="M109" s="106">
        <v>30</v>
      </c>
      <c r="N109" s="122">
        <v>30</v>
      </c>
      <c r="O109" s="115">
        <v>6</v>
      </c>
      <c r="P109" s="106">
        <v>6</v>
      </c>
      <c r="Q109" s="124">
        <v>0</v>
      </c>
      <c r="R109" s="115"/>
      <c r="S109" s="106"/>
      <c r="T109" s="122"/>
      <c r="U109" s="115"/>
      <c r="V109" s="106">
        <v>128</v>
      </c>
      <c r="W109" s="122">
        <v>128</v>
      </c>
      <c r="X109" s="115"/>
      <c r="Y109" s="106"/>
      <c r="Z109" s="124"/>
      <c r="AA109" s="1144"/>
      <c r="AB109" s="341"/>
      <c r="AC109" s="1127"/>
      <c r="AD109" s="117">
        <f>+C109+F109+I109+L109+O109+R109+U109+X109</f>
        <v>296</v>
      </c>
      <c r="AE109" s="113">
        <f>+D109+G109+J109+M109+P109+S109+V109+Y109+AB109</f>
        <v>552</v>
      </c>
      <c r="AF109" s="118">
        <f>+E109+H109+K109+N109+Q109+T109+W109+Z109+AC109</f>
        <v>457</v>
      </c>
    </row>
    <row r="110" spans="1:32" s="180" customFormat="1" ht="13.5" customHeight="1" x14ac:dyDescent="0.2">
      <c r="A110" s="101" t="s">
        <v>120</v>
      </c>
      <c r="B110" s="140" t="s">
        <v>43</v>
      </c>
      <c r="C110" s="178">
        <f>SUM(C103:C109)</f>
        <v>0</v>
      </c>
      <c r="D110" s="163">
        <f t="shared" ref="D110:E110" si="263">SUM(D103:D109)</f>
        <v>0</v>
      </c>
      <c r="E110" s="343">
        <f t="shared" si="263"/>
        <v>0</v>
      </c>
      <c r="F110" s="178">
        <f>SUM(F103:F109)</f>
        <v>1000</v>
      </c>
      <c r="G110" s="163">
        <f t="shared" ref="G110" si="264">SUM(G103:G109)</f>
        <v>1582</v>
      </c>
      <c r="H110" s="443">
        <f t="shared" ref="H110" si="265">SUM(H103:H109)</f>
        <v>1393</v>
      </c>
      <c r="I110" s="178">
        <f>SUM(I103:I109)</f>
        <v>330</v>
      </c>
      <c r="J110" s="163">
        <f t="shared" ref="J110" si="266">SUM(J103:J109)</f>
        <v>330</v>
      </c>
      <c r="K110" s="343">
        <f t="shared" ref="K110" si="267">SUM(K103:K109)</f>
        <v>13</v>
      </c>
      <c r="L110" s="178">
        <f>SUM(L103:L109)</f>
        <v>40</v>
      </c>
      <c r="M110" s="163">
        <f t="shared" ref="M110" si="268">SUM(M103:M109)</f>
        <v>143</v>
      </c>
      <c r="N110" s="443">
        <f t="shared" ref="N110" si="269">SUM(N103:N109)</f>
        <v>143</v>
      </c>
      <c r="O110" s="178">
        <f>SUM(O103:O109)</f>
        <v>30</v>
      </c>
      <c r="P110" s="163">
        <f t="shared" ref="P110" si="270">SUM(P103:P109)</f>
        <v>30</v>
      </c>
      <c r="Q110" s="343">
        <f t="shared" ref="Q110" si="271">SUM(Q103:Q109)</f>
        <v>0</v>
      </c>
      <c r="R110" s="178">
        <f>SUM(R103:R109)</f>
        <v>0</v>
      </c>
      <c r="S110" s="163">
        <f t="shared" ref="S110" si="272">SUM(S103:S109)</f>
        <v>0</v>
      </c>
      <c r="T110" s="443">
        <f t="shared" ref="T110" si="273">SUM(T103:T109)</f>
        <v>0</v>
      </c>
      <c r="U110" s="178">
        <f>SUM(U103:U109)</f>
        <v>0</v>
      </c>
      <c r="V110" s="163">
        <f t="shared" ref="V110" si="274">SUM(V103:V109)</f>
        <v>599</v>
      </c>
      <c r="W110" s="443">
        <f t="shared" ref="W110" si="275">SUM(W103:W109)</f>
        <v>599</v>
      </c>
      <c r="X110" s="178">
        <f>SUM(X103:X109)</f>
        <v>0</v>
      </c>
      <c r="Y110" s="163">
        <f t="shared" ref="Y110" si="276">SUM(Y103:Y109)</f>
        <v>0</v>
      </c>
      <c r="Z110" s="343">
        <f t="shared" ref="Z110" si="277">SUM(Z103:Z109)</f>
        <v>0</v>
      </c>
      <c r="AA110" s="444">
        <f>SUM(AA103:AA109)</f>
        <v>0</v>
      </c>
      <c r="AB110" s="443">
        <f t="shared" ref="AB110:AC110" si="278">SUM(AB103:AB109)</f>
        <v>0</v>
      </c>
      <c r="AC110" s="1126">
        <f t="shared" si="278"/>
        <v>0</v>
      </c>
      <c r="AD110" s="941">
        <f>SUM(AD103:AD109)</f>
        <v>1400</v>
      </c>
      <c r="AE110" s="161">
        <f>SUM(AE103:AE109)</f>
        <v>2684</v>
      </c>
      <c r="AF110" s="162">
        <f t="shared" ref="AF110" si="279">SUM(AF103:AF109)</f>
        <v>2148</v>
      </c>
    </row>
    <row r="111" spans="1:32" ht="13.5" customHeight="1" x14ac:dyDescent="0.2">
      <c r="A111" s="98" t="s">
        <v>204</v>
      </c>
      <c r="B111" s="137" t="s">
        <v>205</v>
      </c>
      <c r="C111" s="115"/>
      <c r="D111" s="106"/>
      <c r="E111" s="116"/>
      <c r="F111" s="115"/>
      <c r="G111" s="106">
        <f>+'[4]3.SZ.TÁBL. SEGÍTŐ SZOLGÁLAT'!$H107</f>
        <v>0</v>
      </c>
      <c r="H111" s="114"/>
      <c r="I111" s="115"/>
      <c r="J111" s="106"/>
      <c r="K111" s="116"/>
      <c r="L111" s="115"/>
      <c r="M111" s="106"/>
      <c r="N111" s="114"/>
      <c r="O111" s="115"/>
      <c r="P111" s="106"/>
      <c r="Q111" s="116"/>
      <c r="R111" s="115"/>
      <c r="S111" s="106"/>
      <c r="T111" s="114"/>
      <c r="U111" s="115"/>
      <c r="V111" s="106"/>
      <c r="W111" s="114"/>
      <c r="X111" s="115"/>
      <c r="Y111" s="106"/>
      <c r="Z111" s="116"/>
      <c r="AA111" s="1141"/>
      <c r="AB111" s="1118"/>
      <c r="AC111" s="1124"/>
      <c r="AD111" s="117"/>
      <c r="AE111" s="113"/>
      <c r="AF111" s="118">
        <f>+E111+H111+K111+N111+Q111+T111+W111+Z111</f>
        <v>0</v>
      </c>
    </row>
    <row r="112" spans="1:32" ht="13.5" customHeight="1" x14ac:dyDescent="0.2">
      <c r="A112" s="99" t="s">
        <v>206</v>
      </c>
      <c r="B112" s="138" t="s">
        <v>207</v>
      </c>
      <c r="C112" s="115"/>
      <c r="D112" s="106"/>
      <c r="E112" s="110"/>
      <c r="F112" s="115"/>
      <c r="G112" s="106">
        <f>+'[4]3.SZ.TÁBL. SEGÍTŐ SZOLGÁLAT'!$H108</f>
        <v>0</v>
      </c>
      <c r="H112" s="108"/>
      <c r="I112" s="115"/>
      <c r="J112" s="106"/>
      <c r="K112" s="110"/>
      <c r="L112" s="115"/>
      <c r="M112" s="106"/>
      <c r="N112" s="108"/>
      <c r="O112" s="115"/>
      <c r="P112" s="106"/>
      <c r="Q112" s="110"/>
      <c r="R112" s="115"/>
      <c r="S112" s="106"/>
      <c r="T112" s="108"/>
      <c r="U112" s="115"/>
      <c r="V112" s="106"/>
      <c r="W112" s="108"/>
      <c r="X112" s="115"/>
      <c r="Y112" s="106"/>
      <c r="Z112" s="110"/>
      <c r="AA112" s="1141"/>
      <c r="AB112" s="1118"/>
      <c r="AC112" s="1124"/>
      <c r="AD112" s="117"/>
      <c r="AE112" s="113"/>
      <c r="AF112" s="118">
        <f>+E112+H112+K112+N112+Q112+T112+W112+Z112</f>
        <v>0</v>
      </c>
    </row>
    <row r="113" spans="1:32" ht="13.5" customHeight="1" x14ac:dyDescent="0.2">
      <c r="A113" s="99" t="s">
        <v>208</v>
      </c>
      <c r="B113" s="138" t="s">
        <v>209</v>
      </c>
      <c r="C113" s="115"/>
      <c r="D113" s="106"/>
      <c r="E113" s="110"/>
      <c r="F113" s="115"/>
      <c r="G113" s="106">
        <f>+'[4]3.SZ.TÁBL. SEGÍTŐ SZOLGÁLAT'!$H109</f>
        <v>0</v>
      </c>
      <c r="H113" s="108"/>
      <c r="I113" s="115"/>
      <c r="J113" s="106"/>
      <c r="K113" s="110"/>
      <c r="L113" s="115"/>
      <c r="M113" s="106"/>
      <c r="N113" s="108"/>
      <c r="O113" s="115"/>
      <c r="P113" s="106"/>
      <c r="Q113" s="110"/>
      <c r="R113" s="115"/>
      <c r="S113" s="106"/>
      <c r="T113" s="108"/>
      <c r="U113" s="115"/>
      <c r="V113" s="106"/>
      <c r="W113" s="108"/>
      <c r="X113" s="115"/>
      <c r="Y113" s="106"/>
      <c r="Z113" s="110"/>
      <c r="AA113" s="1141"/>
      <c r="AB113" s="1118"/>
      <c r="AC113" s="1124"/>
      <c r="AD113" s="117"/>
      <c r="AE113" s="113"/>
      <c r="AF113" s="118">
        <f>+E113+H113+K113+N113+Q113+T113+W113+Z113</f>
        <v>0</v>
      </c>
    </row>
    <row r="114" spans="1:32" ht="13.5" customHeight="1" x14ac:dyDescent="0.2">
      <c r="A114" s="100" t="s">
        <v>210</v>
      </c>
      <c r="B114" s="139" t="s">
        <v>211</v>
      </c>
      <c r="C114" s="115"/>
      <c r="D114" s="106"/>
      <c r="E114" s="124"/>
      <c r="F114" s="115"/>
      <c r="G114" s="106">
        <f>+'[4]3.SZ.TÁBL. SEGÍTŐ SZOLGÁLAT'!$H110</f>
        <v>0</v>
      </c>
      <c r="H114" s="122"/>
      <c r="I114" s="115"/>
      <c r="J114" s="106"/>
      <c r="K114" s="124"/>
      <c r="L114" s="115"/>
      <c r="M114" s="106"/>
      <c r="N114" s="122"/>
      <c r="O114" s="115"/>
      <c r="P114" s="106"/>
      <c r="Q114" s="124"/>
      <c r="R114" s="115"/>
      <c r="S114" s="106"/>
      <c r="T114" s="122"/>
      <c r="U114" s="115"/>
      <c r="V114" s="106"/>
      <c r="W114" s="122"/>
      <c r="X114" s="115"/>
      <c r="Y114" s="106"/>
      <c r="Z114" s="124"/>
      <c r="AA114" s="1144"/>
      <c r="AB114" s="341"/>
      <c r="AC114" s="1127"/>
      <c r="AD114" s="117"/>
      <c r="AE114" s="113"/>
      <c r="AF114" s="118">
        <f>+E114+H114+K114+N114+Q114+T114+W114+Z114</f>
        <v>0</v>
      </c>
    </row>
    <row r="115" spans="1:32" s="180" customFormat="1" ht="13.5" customHeight="1" x14ac:dyDescent="0.2">
      <c r="A115" s="101" t="s">
        <v>121</v>
      </c>
      <c r="B115" s="140" t="s">
        <v>82</v>
      </c>
      <c r="C115" s="178">
        <f>SUM(C111:C114)</f>
        <v>0</v>
      </c>
      <c r="D115" s="163">
        <f t="shared" ref="D115:E115" si="280">SUM(D111:D114)</f>
        <v>0</v>
      </c>
      <c r="E115" s="343">
        <f t="shared" si="280"/>
        <v>0</v>
      </c>
      <c r="F115" s="178">
        <f>SUM(F111:F114)</f>
        <v>0</v>
      </c>
      <c r="G115" s="163">
        <f t="shared" ref="G115" si="281">SUM(G111:G114)</f>
        <v>0</v>
      </c>
      <c r="H115" s="443">
        <f t="shared" ref="H115" si="282">SUM(H111:H114)</f>
        <v>0</v>
      </c>
      <c r="I115" s="178">
        <f>SUM(I111:I114)</f>
        <v>0</v>
      </c>
      <c r="J115" s="163">
        <f t="shared" ref="J115" si="283">SUM(J111:J114)</f>
        <v>0</v>
      </c>
      <c r="K115" s="343">
        <f t="shared" ref="K115" si="284">SUM(K111:K114)</f>
        <v>0</v>
      </c>
      <c r="L115" s="178">
        <f>SUM(L111:L114)</f>
        <v>0</v>
      </c>
      <c r="M115" s="163">
        <f t="shared" ref="M115" si="285">SUM(M111:M114)</f>
        <v>0</v>
      </c>
      <c r="N115" s="443">
        <f t="shared" ref="N115" si="286">SUM(N111:N114)</f>
        <v>0</v>
      </c>
      <c r="O115" s="178">
        <f>SUM(O111:O114)</f>
        <v>0</v>
      </c>
      <c r="P115" s="163">
        <f t="shared" ref="P115" si="287">SUM(P111:P114)</f>
        <v>0</v>
      </c>
      <c r="Q115" s="343">
        <f t="shared" ref="Q115" si="288">SUM(Q111:Q114)</f>
        <v>0</v>
      </c>
      <c r="R115" s="178">
        <f>SUM(R111:R114)</f>
        <v>0</v>
      </c>
      <c r="S115" s="163">
        <f t="shared" ref="S115" si="289">SUM(S111:S114)</f>
        <v>0</v>
      </c>
      <c r="T115" s="443">
        <f t="shared" ref="T115" si="290">SUM(T111:T114)</f>
        <v>0</v>
      </c>
      <c r="U115" s="178">
        <f>SUM(U111:U114)</f>
        <v>0</v>
      </c>
      <c r="V115" s="163">
        <f t="shared" ref="V115" si="291">SUM(V111:V114)</f>
        <v>0</v>
      </c>
      <c r="W115" s="443">
        <f t="shared" ref="W115" si="292">SUM(W111:W114)</f>
        <v>0</v>
      </c>
      <c r="X115" s="178">
        <f>SUM(X111:X114)</f>
        <v>0</v>
      </c>
      <c r="Y115" s="163">
        <f t="shared" ref="Y115" si="293">SUM(Y111:Y114)</f>
        <v>0</v>
      </c>
      <c r="Z115" s="343">
        <f t="shared" ref="Z115" si="294">SUM(Z111:Z114)</f>
        <v>0</v>
      </c>
      <c r="AA115" s="444"/>
      <c r="AB115" s="443"/>
      <c r="AC115" s="1126"/>
      <c r="AD115" s="941">
        <f>SUM(AD111:AD114)</f>
        <v>0</v>
      </c>
      <c r="AE115" s="161">
        <f t="shared" ref="AE115:AF115" si="295">SUM(AE111:AE114)</f>
        <v>0</v>
      </c>
      <c r="AF115" s="162">
        <f t="shared" si="295"/>
        <v>0</v>
      </c>
    </row>
    <row r="116" spans="1:32" s="180" customFormat="1" ht="13.5" customHeight="1" x14ac:dyDescent="0.2">
      <c r="A116" s="101" t="s">
        <v>122</v>
      </c>
      <c r="B116" s="140" t="s">
        <v>83</v>
      </c>
      <c r="C116" s="178"/>
      <c r="D116" s="161"/>
      <c r="E116" s="179"/>
      <c r="F116" s="178"/>
      <c r="G116" s="161"/>
      <c r="H116" s="164"/>
      <c r="I116" s="178"/>
      <c r="J116" s="161"/>
      <c r="K116" s="179"/>
      <c r="L116" s="178"/>
      <c r="M116" s="161"/>
      <c r="N116" s="164"/>
      <c r="O116" s="178"/>
      <c r="P116" s="161"/>
      <c r="Q116" s="179"/>
      <c r="R116" s="178"/>
      <c r="S116" s="161"/>
      <c r="T116" s="164"/>
      <c r="U116" s="178"/>
      <c r="V116" s="161"/>
      <c r="W116" s="783"/>
      <c r="X116" s="178"/>
      <c r="Y116" s="161"/>
      <c r="Z116" s="179"/>
      <c r="AA116" s="1145"/>
      <c r="AB116" s="224"/>
      <c r="AC116" s="1128"/>
      <c r="AD116" s="784"/>
      <c r="AE116" s="785"/>
      <c r="AF116" s="786">
        <f>+E116+H116+K116+N116+Q116+T116+W116+Z116</f>
        <v>0</v>
      </c>
    </row>
    <row r="117" spans="1:32" s="180" customFormat="1" ht="13.5" customHeight="1" x14ac:dyDescent="0.2">
      <c r="A117" s="105" t="s">
        <v>123</v>
      </c>
      <c r="B117" s="140" t="s">
        <v>84</v>
      </c>
      <c r="C117" s="178">
        <f t="shared" ref="C117:AF117" si="296">+C62+C63+C98+C102+C110+C115+C116</f>
        <v>0</v>
      </c>
      <c r="D117" s="163">
        <f t="shared" si="296"/>
        <v>0</v>
      </c>
      <c r="E117" s="343">
        <f t="shared" si="296"/>
        <v>0</v>
      </c>
      <c r="F117" s="178">
        <f t="shared" ref="F117:G117" si="297">+F62+F63+F98+F102+F110+F115+F116</f>
        <v>49343</v>
      </c>
      <c r="G117" s="163">
        <f t="shared" si="297"/>
        <v>62561</v>
      </c>
      <c r="H117" s="443">
        <f t="shared" si="296"/>
        <v>59397</v>
      </c>
      <c r="I117" s="178">
        <f t="shared" si="296"/>
        <v>42846</v>
      </c>
      <c r="J117" s="163">
        <f t="shared" si="296"/>
        <v>45817</v>
      </c>
      <c r="K117" s="343">
        <f t="shared" si="296"/>
        <v>42481</v>
      </c>
      <c r="L117" s="178">
        <f t="shared" ref="L117:M117" si="298">+L62+L63+L98+L102+L110+L115+L116</f>
        <v>32890</v>
      </c>
      <c r="M117" s="163">
        <f t="shared" si="298"/>
        <v>39865</v>
      </c>
      <c r="N117" s="443">
        <f t="shared" si="296"/>
        <v>31735</v>
      </c>
      <c r="O117" s="178">
        <f t="shared" si="296"/>
        <v>28090</v>
      </c>
      <c r="P117" s="163">
        <f t="shared" si="296"/>
        <v>30610</v>
      </c>
      <c r="Q117" s="343">
        <f t="shared" si="296"/>
        <v>25645</v>
      </c>
      <c r="R117" s="178">
        <f t="shared" ref="R117:S117" si="299">+R62+R63+R98+R102+R110+R115+R116</f>
        <v>15451</v>
      </c>
      <c r="S117" s="163">
        <f t="shared" si="299"/>
        <v>18739</v>
      </c>
      <c r="T117" s="443">
        <f t="shared" si="296"/>
        <v>15510</v>
      </c>
      <c r="U117" s="178">
        <f t="shared" si="296"/>
        <v>37050</v>
      </c>
      <c r="V117" s="163">
        <f t="shared" si="296"/>
        <v>50513</v>
      </c>
      <c r="W117" s="443">
        <f t="shared" si="296"/>
        <v>41020</v>
      </c>
      <c r="X117" s="178">
        <f t="shared" ref="X117:Y117" si="300">+X62+X63+X98+X102+X110+X115+X116</f>
        <v>6967</v>
      </c>
      <c r="Y117" s="163">
        <f t="shared" si="300"/>
        <v>8665</v>
      </c>
      <c r="Z117" s="343">
        <f t="shared" si="296"/>
        <v>7738</v>
      </c>
      <c r="AA117" s="444"/>
      <c r="AB117" s="443">
        <f t="shared" ref="AB117" si="301">+AB62+AB63+AB98+AB102+AB110+AB115+AB116</f>
        <v>0</v>
      </c>
      <c r="AC117" s="1126">
        <f t="shared" si="296"/>
        <v>0</v>
      </c>
      <c r="AD117" s="941">
        <f t="shared" si="296"/>
        <v>212637</v>
      </c>
      <c r="AE117" s="161">
        <f t="shared" si="296"/>
        <v>256770</v>
      </c>
      <c r="AF117" s="162">
        <f t="shared" si="296"/>
        <v>223526</v>
      </c>
    </row>
    <row r="118" spans="1:32" s="180" customFormat="1" ht="13.5" customHeight="1" thickBot="1" x14ac:dyDescent="0.25">
      <c r="A118" s="136" t="s">
        <v>124</v>
      </c>
      <c r="B118" s="143" t="s">
        <v>85</v>
      </c>
      <c r="C118" s="181"/>
      <c r="D118" s="175"/>
      <c r="E118" s="182"/>
      <c r="F118" s="181"/>
      <c r="G118" s="175"/>
      <c r="H118" s="176"/>
      <c r="I118" s="181"/>
      <c r="J118" s="175"/>
      <c r="K118" s="182"/>
      <c r="L118" s="181"/>
      <c r="M118" s="175"/>
      <c r="N118" s="176"/>
      <c r="O118" s="181"/>
      <c r="P118" s="175"/>
      <c r="Q118" s="182"/>
      <c r="R118" s="181"/>
      <c r="S118" s="175"/>
      <c r="T118" s="176"/>
      <c r="U118" s="181"/>
      <c r="V118" s="175"/>
      <c r="W118" s="176"/>
      <c r="X118" s="181"/>
      <c r="Y118" s="175"/>
      <c r="Z118" s="182"/>
      <c r="AA118" s="1145"/>
      <c r="AB118" s="224"/>
      <c r="AC118" s="1128"/>
      <c r="AD118" s="784">
        <f>+C118+F118+I118+L118+O118+R118+U118+X118</f>
        <v>0</v>
      </c>
      <c r="AE118" s="785">
        <f>+D118+G118+J118+M118+P118+S118+V118+Y118</f>
        <v>0</v>
      </c>
      <c r="AF118" s="786">
        <f>+E118+H118+K118+N118+Q118+T118+W118+Z118</f>
        <v>0</v>
      </c>
    </row>
    <row r="119" spans="1:32" s="180" customFormat="1" ht="13.5" customHeight="1" thickBot="1" x14ac:dyDescent="0.25">
      <c r="A119" s="1336" t="s">
        <v>222</v>
      </c>
      <c r="B119" s="1337"/>
      <c r="C119" s="183">
        <f>+SUM(C117:C118)</f>
        <v>0</v>
      </c>
      <c r="D119" s="171">
        <f t="shared" ref="D119:Q119" si="302">+SUM(D117:D118)</f>
        <v>0</v>
      </c>
      <c r="E119" s="344">
        <f t="shared" si="302"/>
        <v>0</v>
      </c>
      <c r="F119" s="183">
        <f>+SUM(F117:F118)</f>
        <v>49343</v>
      </c>
      <c r="G119" s="171">
        <f t="shared" ref="G119" si="303">+SUM(G117:G118)</f>
        <v>62561</v>
      </c>
      <c r="H119" s="365">
        <f>+SUM(H117:H118)</f>
        <v>59397</v>
      </c>
      <c r="I119" s="183">
        <f>+SUM(I117:I118)</f>
        <v>42846</v>
      </c>
      <c r="J119" s="171">
        <f t="shared" ref="J119" si="304">+SUM(J117:J118)</f>
        <v>45817</v>
      </c>
      <c r="K119" s="344">
        <f t="shared" si="302"/>
        <v>42481</v>
      </c>
      <c r="L119" s="183">
        <f>+SUM(L117:L118)</f>
        <v>32890</v>
      </c>
      <c r="M119" s="171">
        <f t="shared" ref="M119" si="305">+SUM(M117:M118)</f>
        <v>39865</v>
      </c>
      <c r="N119" s="365">
        <f t="shared" si="302"/>
        <v>31735</v>
      </c>
      <c r="O119" s="183">
        <f>+SUM(O117:O118)</f>
        <v>28090</v>
      </c>
      <c r="P119" s="171">
        <f t="shared" ref="P119" si="306">+SUM(P117:P118)</f>
        <v>30610</v>
      </c>
      <c r="Q119" s="344">
        <f t="shared" si="302"/>
        <v>25645</v>
      </c>
      <c r="R119" s="183">
        <f>+SUM(R117:R118)</f>
        <v>15451</v>
      </c>
      <c r="S119" s="171">
        <f t="shared" ref="S119" si="307">+SUM(S117:S118)</f>
        <v>18739</v>
      </c>
      <c r="T119" s="365">
        <f>+SUM(T117:T118)</f>
        <v>15510</v>
      </c>
      <c r="U119" s="183">
        <f>+SUM(U117:U118)</f>
        <v>37050</v>
      </c>
      <c r="V119" s="171">
        <f t="shared" ref="V119" si="308">+SUM(V117:V118)</f>
        <v>50513</v>
      </c>
      <c r="W119" s="365">
        <f>+SUM(W117:W118)</f>
        <v>41020</v>
      </c>
      <c r="X119" s="183">
        <f>+SUM(X117:X118)</f>
        <v>6967</v>
      </c>
      <c r="Y119" s="171">
        <f t="shared" ref="Y119" si="309">+SUM(Y117:Y118)</f>
        <v>8665</v>
      </c>
      <c r="Z119" s="344">
        <f>+SUM(Z117:Z118)</f>
        <v>7738</v>
      </c>
      <c r="AA119" s="1146"/>
      <c r="AB119" s="365">
        <f t="shared" ref="AB119" si="310">+AB64+AB65+AB100+AB104+AB112+AB117+AB118</f>
        <v>0</v>
      </c>
      <c r="AC119" s="1130">
        <f>+SUM(AC117:AC118)</f>
        <v>0</v>
      </c>
      <c r="AD119" s="168">
        <f>+SUM(AD117:AD118)</f>
        <v>212637</v>
      </c>
      <c r="AE119" s="169">
        <f t="shared" ref="AE119:AF119" si="311">+SUM(AE117:AE118)</f>
        <v>256770</v>
      </c>
      <c r="AF119" s="170">
        <f t="shared" si="311"/>
        <v>223526</v>
      </c>
    </row>
    <row r="120" spans="1:32" ht="13.5" customHeight="1" thickBot="1" x14ac:dyDescent="0.25">
      <c r="N120" s="23"/>
      <c r="T120" s="23"/>
      <c r="W120" s="23"/>
      <c r="X120" s="23"/>
      <c r="Y120" s="23"/>
      <c r="Z120" s="1148"/>
      <c r="AA120" s="1144"/>
      <c r="AB120" s="23"/>
      <c r="AC120" s="1127"/>
      <c r="AE120" s="342"/>
      <c r="AF120" s="341"/>
    </row>
    <row r="121" spans="1:32" s="180" customFormat="1" ht="13.5" customHeight="1" thickBot="1" x14ac:dyDescent="0.25">
      <c r="A121" s="1334" t="s">
        <v>231</v>
      </c>
      <c r="B121" s="1335"/>
      <c r="C121" s="183">
        <f t="shared" ref="C121:AE121" si="312">+C42-C119</f>
        <v>0</v>
      </c>
      <c r="D121" s="183">
        <f t="shared" si="312"/>
        <v>0</v>
      </c>
      <c r="E121" s="183">
        <f t="shared" si="312"/>
        <v>0</v>
      </c>
      <c r="F121" s="183">
        <f t="shared" si="312"/>
        <v>0</v>
      </c>
      <c r="G121" s="183">
        <f t="shared" si="312"/>
        <v>0</v>
      </c>
      <c r="H121" s="183">
        <f t="shared" si="312"/>
        <v>3164</v>
      </c>
      <c r="I121" s="183">
        <f t="shared" si="312"/>
        <v>0</v>
      </c>
      <c r="J121" s="183">
        <f t="shared" si="312"/>
        <v>0</v>
      </c>
      <c r="K121" s="183">
        <f t="shared" si="312"/>
        <v>3336</v>
      </c>
      <c r="L121" s="183">
        <f t="shared" si="312"/>
        <v>0</v>
      </c>
      <c r="M121" s="183">
        <f t="shared" si="312"/>
        <v>0</v>
      </c>
      <c r="N121" s="183">
        <f t="shared" si="312"/>
        <v>8130</v>
      </c>
      <c r="O121" s="183">
        <f t="shared" si="312"/>
        <v>0</v>
      </c>
      <c r="P121" s="183">
        <f t="shared" si="312"/>
        <v>0</v>
      </c>
      <c r="Q121" s="183">
        <f t="shared" si="312"/>
        <v>4965</v>
      </c>
      <c r="R121" s="183">
        <f t="shared" si="312"/>
        <v>0</v>
      </c>
      <c r="S121" s="183">
        <f t="shared" si="312"/>
        <v>0</v>
      </c>
      <c r="T121" s="183">
        <f t="shared" si="312"/>
        <v>3228</v>
      </c>
      <c r="U121" s="183">
        <f t="shared" si="312"/>
        <v>0</v>
      </c>
      <c r="V121" s="183">
        <f t="shared" si="312"/>
        <v>0</v>
      </c>
      <c r="W121" s="183">
        <f t="shared" si="312"/>
        <v>9334</v>
      </c>
      <c r="X121" s="183">
        <f t="shared" si="312"/>
        <v>0</v>
      </c>
      <c r="Y121" s="183">
        <f t="shared" si="312"/>
        <v>0</v>
      </c>
      <c r="Z121" s="383">
        <f t="shared" si="312"/>
        <v>927</v>
      </c>
      <c r="AA121" s="183"/>
      <c r="AB121" s="183">
        <f t="shared" si="312"/>
        <v>0</v>
      </c>
      <c r="AC121" s="373">
        <f t="shared" si="312"/>
        <v>0</v>
      </c>
      <c r="AD121" s="168">
        <f>+AD42-AD119</f>
        <v>0</v>
      </c>
      <c r="AE121" s="169">
        <f t="shared" si="312"/>
        <v>0</v>
      </c>
      <c r="AF121" s="170">
        <f>+AF42-AF119</f>
        <v>33084</v>
      </c>
    </row>
    <row r="122" spans="1:32" ht="13.5" customHeight="1" x14ac:dyDescent="0.2">
      <c r="H122" s="23">
        <v>-23825</v>
      </c>
      <c r="K122" s="23">
        <v>-28859</v>
      </c>
      <c r="N122" s="23">
        <v>-23825</v>
      </c>
      <c r="Q122" s="23">
        <v>-26845</v>
      </c>
      <c r="T122" s="23">
        <v>-42948</v>
      </c>
      <c r="W122" s="23">
        <v>-8502</v>
      </c>
    </row>
    <row r="123" spans="1:32" ht="13.5" customHeight="1" x14ac:dyDescent="0.2"/>
    <row r="124" spans="1:32" ht="13.5" customHeight="1" x14ac:dyDescent="0.2">
      <c r="C124" s="188"/>
      <c r="F124" s="188"/>
      <c r="I124" s="188"/>
      <c r="J124" s="24"/>
      <c r="K124" s="24"/>
      <c r="L124" s="188"/>
      <c r="M124" s="24"/>
      <c r="O124" s="188"/>
      <c r="R124" s="188"/>
      <c r="S124" s="24"/>
      <c r="U124" s="188"/>
      <c r="V124" s="2"/>
      <c r="W124" s="2"/>
      <c r="X124" s="2"/>
      <c r="Y124" s="2"/>
      <c r="Z124" s="1151"/>
      <c r="AA124" s="1152"/>
      <c r="AB124" s="2"/>
      <c r="AC124" s="1133"/>
      <c r="AD124" s="1134"/>
      <c r="AE124" s="2"/>
      <c r="AF124" s="2"/>
    </row>
    <row r="125" spans="1:32" ht="13.5" customHeight="1" x14ac:dyDescent="0.2"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225"/>
      <c r="V125" s="225"/>
      <c r="W125" s="225"/>
      <c r="X125" s="225"/>
      <c r="Y125" s="225"/>
      <c r="Z125" s="1153"/>
      <c r="AA125" s="1154"/>
      <c r="AB125" s="225"/>
      <c r="AC125" s="1135"/>
      <c r="AD125" s="1136"/>
      <c r="AE125" s="225"/>
      <c r="AF125" s="225"/>
    </row>
    <row r="126" spans="1:32" ht="15" customHeight="1" x14ac:dyDescent="0.2"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153"/>
      <c r="AA126" s="1154"/>
      <c r="AB126" s="185"/>
      <c r="AC126" s="1135"/>
      <c r="AD126" s="1136"/>
      <c r="AE126" s="185"/>
      <c r="AF126" s="185"/>
    </row>
    <row r="129" spans="2:32" ht="15" customHeight="1" x14ac:dyDescent="0.2">
      <c r="B129" s="22" t="s">
        <v>257</v>
      </c>
      <c r="W129" s="186"/>
      <c r="X129" s="186"/>
      <c r="Y129" s="186"/>
      <c r="AB129" s="186"/>
    </row>
    <row r="130" spans="2:32" ht="15" customHeight="1" x14ac:dyDescent="0.2">
      <c r="B130" s="22" t="s">
        <v>4</v>
      </c>
      <c r="V130" s="187"/>
      <c r="W130" s="188"/>
      <c r="X130" s="188"/>
      <c r="Y130" s="188"/>
      <c r="Z130" s="1155"/>
      <c r="AA130" s="1156"/>
      <c r="AB130" s="188"/>
      <c r="AC130" s="1137"/>
      <c r="AE130" s="22" t="s">
        <v>4</v>
      </c>
      <c r="AF130" s="23">
        <f>+G140+I140+P140+S140+Z140</f>
        <v>-6323</v>
      </c>
    </row>
    <row r="131" spans="2:32" ht="15" customHeight="1" x14ac:dyDescent="0.2">
      <c r="B131" s="22" t="s">
        <v>6</v>
      </c>
      <c r="V131" s="187"/>
      <c r="W131" s="188"/>
      <c r="X131" s="188"/>
      <c r="Y131" s="188"/>
      <c r="Z131" s="1155"/>
      <c r="AA131" s="1156"/>
      <c r="AB131" s="188"/>
      <c r="AC131" s="1137"/>
      <c r="AE131" s="22" t="s">
        <v>6</v>
      </c>
      <c r="AF131" s="23">
        <f t="shared" ref="AF131:AF136" si="313">+G141+I141+P141+S141+Z141</f>
        <v>-1284</v>
      </c>
    </row>
    <row r="132" spans="2:32" ht="15" customHeight="1" x14ac:dyDescent="0.2">
      <c r="B132" s="22" t="s">
        <v>7</v>
      </c>
      <c r="V132" s="187"/>
      <c r="W132" s="188"/>
      <c r="X132" s="188"/>
      <c r="Y132" s="188"/>
      <c r="Z132" s="1155"/>
      <c r="AA132" s="1156"/>
      <c r="AB132" s="188"/>
      <c r="AC132" s="1137"/>
      <c r="AE132" s="22" t="s">
        <v>7</v>
      </c>
      <c r="AF132" s="23">
        <f t="shared" si="313"/>
        <v>-1146</v>
      </c>
    </row>
    <row r="133" spans="2:32" ht="15" customHeight="1" x14ac:dyDescent="0.2">
      <c r="B133" s="22" t="s">
        <v>8</v>
      </c>
      <c r="V133" s="187"/>
      <c r="W133" s="188"/>
      <c r="X133" s="188"/>
      <c r="Y133" s="188"/>
      <c r="Z133" s="1155"/>
      <c r="AA133" s="1156"/>
      <c r="AB133" s="188"/>
      <c r="AC133" s="1137"/>
      <c r="AE133" s="22" t="s">
        <v>8</v>
      </c>
      <c r="AF133" s="23">
        <f t="shared" si="313"/>
        <v>-6119</v>
      </c>
    </row>
    <row r="134" spans="2:32" ht="15" customHeight="1" x14ac:dyDescent="0.2">
      <c r="B134" s="22" t="s">
        <v>9</v>
      </c>
      <c r="V134" s="187"/>
      <c r="W134" s="188"/>
      <c r="X134" s="188"/>
      <c r="Y134" s="188"/>
      <c r="Z134" s="1155"/>
      <c r="AA134" s="1156"/>
      <c r="AB134" s="188"/>
      <c r="AC134" s="1137"/>
      <c r="AE134" s="22" t="s">
        <v>9</v>
      </c>
      <c r="AF134" s="23">
        <f t="shared" si="313"/>
        <v>-3422</v>
      </c>
    </row>
    <row r="135" spans="2:32" ht="15" customHeight="1" x14ac:dyDescent="0.2">
      <c r="B135" s="22" t="s">
        <v>10</v>
      </c>
      <c r="V135" s="187"/>
      <c r="W135" s="188"/>
      <c r="X135" s="188"/>
      <c r="Y135" s="188"/>
      <c r="Z135" s="1155"/>
      <c r="AA135" s="1156"/>
      <c r="AB135" s="188"/>
      <c r="AC135" s="1137"/>
      <c r="AE135" s="22" t="s">
        <v>10</v>
      </c>
      <c r="AF135" s="23">
        <f t="shared" si="313"/>
        <v>-2124</v>
      </c>
    </row>
    <row r="136" spans="2:32" ht="15" customHeight="1" x14ac:dyDescent="0.2">
      <c r="B136" s="22" t="s">
        <v>225</v>
      </c>
      <c r="V136" s="187"/>
      <c r="W136" s="188"/>
      <c r="X136" s="188"/>
      <c r="Y136" s="188"/>
      <c r="Z136" s="1155"/>
      <c r="AA136" s="1156"/>
      <c r="AB136" s="188"/>
      <c r="AC136" s="1137"/>
      <c r="AE136" s="22" t="s">
        <v>225</v>
      </c>
      <c r="AF136" s="23">
        <f t="shared" si="313"/>
        <v>-1789</v>
      </c>
    </row>
    <row r="137" spans="2:32" ht="15" customHeight="1" x14ac:dyDescent="0.2">
      <c r="F137" s="188"/>
      <c r="V137" s="238"/>
      <c r="W137" s="188"/>
      <c r="X137" s="188"/>
      <c r="Y137" s="188"/>
      <c r="Z137" s="1155"/>
      <c r="AA137" s="1156"/>
      <c r="AB137" s="188"/>
      <c r="AC137" s="1137"/>
      <c r="AD137" s="1138"/>
      <c r="AE137" s="11" t="s">
        <v>307</v>
      </c>
      <c r="AF137" s="23">
        <f>-AE134593</f>
        <v>0</v>
      </c>
    </row>
    <row r="138" spans="2:32" ht="15" customHeight="1" x14ac:dyDescent="0.2">
      <c r="E138" s="189"/>
    </row>
    <row r="139" spans="2:32" ht="15" customHeight="1" x14ac:dyDescent="0.2">
      <c r="B139" s="22" t="s">
        <v>232</v>
      </c>
      <c r="E139" s="186"/>
      <c r="Z139" s="1157"/>
      <c r="AA139" s="1158"/>
      <c r="AB139" s="860"/>
      <c r="AC139" s="1139"/>
    </row>
    <row r="140" spans="2:32" ht="15" customHeight="1" x14ac:dyDescent="0.2">
      <c r="B140" s="25" t="s">
        <v>4</v>
      </c>
      <c r="D140" s="187"/>
      <c r="E140" s="23">
        <v>-2134</v>
      </c>
      <c r="F140" s="188"/>
      <c r="G140" s="23">
        <v>-2134</v>
      </c>
      <c r="I140" s="188">
        <v>205</v>
      </c>
      <c r="L140" s="188"/>
      <c r="O140" s="188"/>
      <c r="P140" s="23">
        <v>-838</v>
      </c>
      <c r="S140" s="23">
        <v>-3185</v>
      </c>
      <c r="Z140" s="1148">
        <v>-371</v>
      </c>
    </row>
    <row r="141" spans="2:32" ht="15" customHeight="1" x14ac:dyDescent="0.2">
      <c r="B141" s="25" t="s">
        <v>6</v>
      </c>
      <c r="D141" s="187"/>
      <c r="E141" s="23">
        <v>-990</v>
      </c>
      <c r="F141" s="188"/>
      <c r="G141" s="23">
        <v>-990</v>
      </c>
      <c r="I141" s="188">
        <v>95</v>
      </c>
      <c r="L141" s="188"/>
      <c r="O141" s="188"/>
      <c r="P141" s="23">
        <v>-389</v>
      </c>
    </row>
    <row r="142" spans="2:32" ht="15" customHeight="1" x14ac:dyDescent="0.2">
      <c r="B142" s="25" t="s">
        <v>7</v>
      </c>
      <c r="D142" s="187"/>
      <c r="E142" s="23">
        <v>-884</v>
      </c>
      <c r="F142" s="188"/>
      <c r="G142" s="23">
        <v>-884</v>
      </c>
      <c r="I142" s="188">
        <v>85</v>
      </c>
      <c r="L142" s="188"/>
      <c r="O142" s="188"/>
      <c r="P142" s="23">
        <v>-347</v>
      </c>
    </row>
    <row r="143" spans="2:32" ht="15" customHeight="1" x14ac:dyDescent="0.2">
      <c r="B143" s="25" t="s">
        <v>8</v>
      </c>
      <c r="D143" s="187"/>
      <c r="E143" s="23">
        <v>-4289</v>
      </c>
      <c r="F143" s="188"/>
      <c r="G143" s="23">
        <v>-4289</v>
      </c>
      <c r="I143" s="188">
        <v>411</v>
      </c>
      <c r="L143" s="188"/>
      <c r="O143" s="188"/>
      <c r="P143" s="23">
        <v>-1685</v>
      </c>
      <c r="Z143" s="1157">
        <v>-556</v>
      </c>
      <c r="AA143" s="1158"/>
      <c r="AB143" s="860"/>
      <c r="AC143" s="1139"/>
    </row>
    <row r="144" spans="2:32" ht="15" customHeight="1" x14ac:dyDescent="0.2">
      <c r="B144" s="25" t="s">
        <v>9</v>
      </c>
      <c r="D144" s="187"/>
      <c r="E144" s="23">
        <v>-2639</v>
      </c>
      <c r="F144" s="188"/>
      <c r="G144" s="23">
        <v>-2639</v>
      </c>
      <c r="I144" s="188">
        <v>253</v>
      </c>
      <c r="L144" s="188"/>
      <c r="O144" s="188"/>
      <c r="P144" s="23">
        <v>-1036</v>
      </c>
    </row>
    <row r="145" spans="2:18" ht="15" customHeight="1" x14ac:dyDescent="0.2">
      <c r="B145" s="25" t="s">
        <v>10</v>
      </c>
      <c r="D145" s="187"/>
      <c r="E145" s="23">
        <v>-1638</v>
      </c>
      <c r="F145" s="188"/>
      <c r="G145" s="23">
        <v>-1638</v>
      </c>
      <c r="I145" s="188">
        <v>157</v>
      </c>
      <c r="L145" s="188"/>
      <c r="O145" s="188"/>
      <c r="P145" s="23">
        <v>-643</v>
      </c>
    </row>
    <row r="146" spans="2:18" ht="15" customHeight="1" x14ac:dyDescent="0.2">
      <c r="B146" s="25" t="s">
        <v>225</v>
      </c>
      <c r="D146" s="187"/>
      <c r="E146" s="23">
        <v>-1979</v>
      </c>
      <c r="F146" s="188"/>
      <c r="G146" s="23">
        <v>-1979</v>
      </c>
      <c r="I146" s="188">
        <v>190</v>
      </c>
      <c r="L146" s="188"/>
      <c r="O146" s="188"/>
    </row>
    <row r="147" spans="2:18" ht="15" customHeight="1" x14ac:dyDescent="0.2">
      <c r="B147" s="25"/>
      <c r="D147" s="191"/>
      <c r="E147" s="188"/>
      <c r="F147" s="188"/>
      <c r="G147" s="188">
        <f>SUM(G140:G146)</f>
        <v>-14553</v>
      </c>
      <c r="I147" s="188">
        <f>SUM(I140:I146)</f>
        <v>1396</v>
      </c>
      <c r="J147" s="188"/>
      <c r="L147" s="188"/>
      <c r="M147" s="188"/>
      <c r="O147" s="188"/>
      <c r="P147" s="188">
        <f>SUM(P140:P146)</f>
        <v>-4938</v>
      </c>
      <c r="R147" s="188"/>
    </row>
    <row r="150" spans="2:18" ht="15" customHeight="1" x14ac:dyDescent="0.2">
      <c r="B150" s="25"/>
      <c r="C150" s="190"/>
      <c r="D150" s="187"/>
    </row>
    <row r="151" spans="2:18" ht="15" customHeight="1" x14ac:dyDescent="0.2">
      <c r="B151" s="25"/>
      <c r="C151" s="190"/>
      <c r="D151" s="187"/>
      <c r="F151" s="852"/>
      <c r="G151" s="852"/>
    </row>
    <row r="152" spans="2:18" ht="15" customHeight="1" x14ac:dyDescent="0.2">
      <c r="B152" s="25"/>
      <c r="C152" s="190"/>
      <c r="D152" s="187"/>
      <c r="F152" s="853"/>
      <c r="G152" s="853"/>
    </row>
    <row r="153" spans="2:18" ht="15" customHeight="1" x14ac:dyDescent="0.2">
      <c r="B153" s="25"/>
      <c r="C153" s="190"/>
      <c r="D153" s="187"/>
      <c r="F153" s="852"/>
      <c r="G153" s="852"/>
    </row>
    <row r="154" spans="2:18" ht="15" customHeight="1" x14ac:dyDescent="0.2">
      <c r="B154" s="25"/>
      <c r="C154" s="190"/>
      <c r="D154" s="187"/>
      <c r="F154" s="853"/>
      <c r="G154" s="853"/>
      <c r="I154" s="190"/>
      <c r="J154" s="187"/>
    </row>
    <row r="155" spans="2:18" ht="15" customHeight="1" x14ac:dyDescent="0.2">
      <c r="B155" s="25"/>
      <c r="C155" s="190"/>
      <c r="D155" s="187"/>
      <c r="F155" s="852"/>
      <c r="G155" s="852"/>
      <c r="I155" s="190"/>
      <c r="J155" s="187"/>
    </row>
    <row r="156" spans="2:18" ht="15" customHeight="1" x14ac:dyDescent="0.2">
      <c r="B156" s="25"/>
      <c r="C156" s="14"/>
      <c r="D156" s="191"/>
      <c r="F156" s="853"/>
      <c r="G156" s="853"/>
      <c r="I156" s="190"/>
      <c r="J156" s="187"/>
    </row>
    <row r="157" spans="2:18" ht="15" customHeight="1" x14ac:dyDescent="0.2">
      <c r="F157" s="852"/>
      <c r="G157" s="852"/>
      <c r="I157" s="190"/>
      <c r="J157" s="187"/>
    </row>
    <row r="158" spans="2:18" ht="15" customHeight="1" x14ac:dyDescent="0.2">
      <c r="F158" s="853"/>
      <c r="G158" s="853"/>
      <c r="I158" s="190"/>
      <c r="J158" s="187"/>
    </row>
    <row r="159" spans="2:18" ht="15" customHeight="1" x14ac:dyDescent="0.2">
      <c r="F159" s="852"/>
      <c r="G159" s="852"/>
      <c r="I159" s="190"/>
      <c r="J159" s="187"/>
    </row>
    <row r="160" spans="2:18" ht="15" customHeight="1" x14ac:dyDescent="0.2">
      <c r="F160" s="853"/>
      <c r="G160" s="853"/>
      <c r="I160" s="190"/>
      <c r="J160" s="187"/>
    </row>
    <row r="161" spans="6:10" ht="15" customHeight="1" x14ac:dyDescent="0.2">
      <c r="F161" s="852"/>
      <c r="G161" s="852"/>
      <c r="I161" s="14"/>
      <c r="J161" s="191"/>
    </row>
    <row r="162" spans="6:10" ht="15" customHeight="1" x14ac:dyDescent="0.2">
      <c r="F162" s="853"/>
      <c r="G162" s="853"/>
    </row>
    <row r="163" spans="6:10" ht="15" customHeight="1" x14ac:dyDescent="0.2">
      <c r="F163" s="852"/>
      <c r="G163" s="852"/>
    </row>
    <row r="164" spans="6:10" ht="15" customHeight="1" x14ac:dyDescent="0.2">
      <c r="F164" s="853"/>
      <c r="G164" s="853"/>
    </row>
    <row r="165" spans="6:10" ht="15" customHeight="1" x14ac:dyDescent="0.2">
      <c r="F165" s="852"/>
      <c r="G165" s="852"/>
    </row>
  </sheetData>
  <mergeCells count="15">
    <mergeCell ref="A121:B121"/>
    <mergeCell ref="A119:B119"/>
    <mergeCell ref="O1:Q1"/>
    <mergeCell ref="I1:K1"/>
    <mergeCell ref="AD1:AF1"/>
    <mergeCell ref="R1:T1"/>
    <mergeCell ref="U1:W1"/>
    <mergeCell ref="L1:N1"/>
    <mergeCell ref="A1:A2"/>
    <mergeCell ref="B1:B2"/>
    <mergeCell ref="A42:B42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55" orientation="landscape" r:id="rId1"/>
  <headerFooter alignWithMargins="0">
    <oddHeader>&amp;L&amp;"Times New Roman,Félkövér"&amp;13Szent László Völgye TKT&amp;C&amp;"Times New Roman,Félkövér"&amp;16 2023. ÉVI ZÁRSZÁMADÁSI BESZÁMOLÓ&amp;R4. sz. táblázat
SEGÍTŐ SZOLGÁLAT
Adatok: eFt</oddHeader>
    <oddFooter>&amp;L&amp;F&amp;R&amp;P</oddFooter>
  </headerFooter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113"/>
  <sheetViews>
    <sheetView topLeftCell="A7" zoomScaleNormal="100" zoomScaleSheetLayoutView="85" workbookViewId="0">
      <selection activeCell="N16" sqref="N16"/>
    </sheetView>
  </sheetViews>
  <sheetFormatPr defaultColWidth="8.85546875" defaultRowHeight="15" x14ac:dyDescent="0.2"/>
  <cols>
    <col min="1" max="1" width="58.85546875" style="47" bestFit="1" customWidth="1"/>
    <col min="2" max="2" width="12.42578125" style="48" customWidth="1"/>
    <col min="3" max="3" width="14.28515625" style="49" customWidth="1"/>
    <col min="4" max="4" width="14.28515625" style="30" customWidth="1"/>
    <col min="5" max="5" width="12.28515625" style="30" customWidth="1"/>
    <col min="6" max="6" width="12.85546875" style="30" customWidth="1"/>
    <col min="7" max="7" width="11" style="30" customWidth="1"/>
    <col min="8" max="8" width="12.5703125" style="30" customWidth="1"/>
    <col min="9" max="16384" width="8.85546875" style="30"/>
  </cols>
  <sheetData>
    <row r="1" spans="1:11" ht="35.25" customHeight="1" x14ac:dyDescent="0.2">
      <c r="A1" s="79"/>
      <c r="B1" s="80"/>
      <c r="C1" s="854" t="s">
        <v>51</v>
      </c>
      <c r="D1" s="328" t="s">
        <v>537</v>
      </c>
      <c r="E1" s="328" t="s">
        <v>538</v>
      </c>
      <c r="F1" s="326" t="s">
        <v>273</v>
      </c>
      <c r="G1" s="29"/>
      <c r="H1" s="29"/>
    </row>
    <row r="2" spans="1:11" ht="28.5" customHeight="1" x14ac:dyDescent="0.2">
      <c r="A2" s="78" t="s">
        <v>35</v>
      </c>
      <c r="B2" s="42"/>
      <c r="C2" s="324"/>
      <c r="D2" s="329"/>
      <c r="E2" s="330"/>
      <c r="F2" s="327"/>
      <c r="G2" s="31"/>
      <c r="H2" s="31" t="s">
        <v>226</v>
      </c>
    </row>
    <row r="3" spans="1:11" x14ac:dyDescent="0.2">
      <c r="A3" s="32" t="s">
        <v>1056</v>
      </c>
      <c r="B3" s="33" t="s">
        <v>17</v>
      </c>
      <c r="C3" s="53">
        <f>21437200+4207500</f>
        <v>25644700</v>
      </c>
      <c r="D3" s="332">
        <v>25644700</v>
      </c>
      <c r="E3" s="330">
        <f>+D3-C3</f>
        <v>0</v>
      </c>
      <c r="F3" s="333">
        <f>+D3/C3</f>
        <v>1</v>
      </c>
      <c r="G3" s="34"/>
      <c r="H3" s="34">
        <v>25645</v>
      </c>
      <c r="I3" s="977">
        <v>25645</v>
      </c>
      <c r="J3" s="34">
        <f t="shared" ref="J3:J7" si="0">H3-I3</f>
        <v>0</v>
      </c>
      <c r="K3" s="34"/>
    </row>
    <row r="4" spans="1:11" x14ac:dyDescent="0.2">
      <c r="A4" s="32" t="s">
        <v>1057</v>
      </c>
      <c r="B4" s="33" t="s">
        <v>17</v>
      </c>
      <c r="C4" s="53">
        <f>17002788+4310680</f>
        <v>21313468</v>
      </c>
      <c r="D4" s="330">
        <v>21313468</v>
      </c>
      <c r="E4" s="330">
        <f t="shared" ref="E4:E12" si="1">+D4-C4</f>
        <v>0</v>
      </c>
      <c r="F4" s="333">
        <f t="shared" ref="F4:F39" si="2">+D4/C4</f>
        <v>1</v>
      </c>
      <c r="G4" s="34"/>
      <c r="H4" s="34">
        <v>21314</v>
      </c>
      <c r="I4" s="977">
        <v>21314</v>
      </c>
      <c r="J4" s="34">
        <f t="shared" si="0"/>
        <v>0</v>
      </c>
      <c r="K4" s="34"/>
    </row>
    <row r="5" spans="1:11" x14ac:dyDescent="0.2">
      <c r="A5" s="32" t="s">
        <v>1180</v>
      </c>
      <c r="B5" s="33" t="s">
        <v>17</v>
      </c>
      <c r="C5" s="53">
        <v>12048904</v>
      </c>
      <c r="D5" s="330">
        <v>12048904</v>
      </c>
      <c r="E5" s="330">
        <f t="shared" si="1"/>
        <v>0</v>
      </c>
      <c r="F5" s="333">
        <f t="shared" si="2"/>
        <v>1</v>
      </c>
      <c r="G5" s="34"/>
      <c r="H5" s="34">
        <v>12049</v>
      </c>
      <c r="I5" s="977">
        <v>12049</v>
      </c>
      <c r="J5" s="34">
        <f t="shared" si="0"/>
        <v>0</v>
      </c>
      <c r="K5" s="34"/>
    </row>
    <row r="6" spans="1:11" x14ac:dyDescent="0.2">
      <c r="A6" s="35" t="s">
        <v>1058</v>
      </c>
      <c r="B6" s="36" t="s">
        <v>17</v>
      </c>
      <c r="C6" s="53">
        <v>2110940</v>
      </c>
      <c r="D6" s="330">
        <v>2110940</v>
      </c>
      <c r="E6" s="330">
        <f t="shared" si="1"/>
        <v>0</v>
      </c>
      <c r="F6" s="333">
        <f t="shared" si="2"/>
        <v>1</v>
      </c>
      <c r="G6" s="34"/>
      <c r="H6" s="34">
        <v>2111</v>
      </c>
      <c r="I6" s="977">
        <v>2111</v>
      </c>
      <c r="J6" s="34">
        <f t="shared" si="0"/>
        <v>0</v>
      </c>
      <c r="K6" s="34"/>
    </row>
    <row r="7" spans="1:11" x14ac:dyDescent="0.2">
      <c r="A7" s="35" t="s">
        <v>1067</v>
      </c>
      <c r="B7" s="36" t="s">
        <v>17</v>
      </c>
      <c r="C7" s="53">
        <v>0</v>
      </c>
      <c r="D7" s="330">
        <v>0</v>
      </c>
      <c r="E7" s="330">
        <f t="shared" si="1"/>
        <v>0</v>
      </c>
      <c r="F7" s="333"/>
      <c r="G7" s="34"/>
      <c r="H7" s="34">
        <v>0</v>
      </c>
      <c r="I7" s="977">
        <v>0</v>
      </c>
      <c r="J7" s="34">
        <f t="shared" si="0"/>
        <v>0</v>
      </c>
      <c r="K7" s="34"/>
    </row>
    <row r="8" spans="1:11" x14ac:dyDescent="0.2">
      <c r="A8" s="35" t="s">
        <v>1059</v>
      </c>
      <c r="B8" s="36" t="s">
        <v>17</v>
      </c>
      <c r="C8" s="53">
        <v>28297760</v>
      </c>
      <c r="D8" s="330">
        <v>26901440</v>
      </c>
      <c r="E8" s="330">
        <f t="shared" si="1"/>
        <v>-1396320</v>
      </c>
      <c r="F8" s="333">
        <f t="shared" si="2"/>
        <v>0.95065616501094075</v>
      </c>
      <c r="G8" s="34"/>
      <c r="H8" s="34">
        <v>28298</v>
      </c>
      <c r="I8" s="977">
        <v>26902</v>
      </c>
      <c r="J8" s="34">
        <f>I8-H8</f>
        <v>-1396</v>
      </c>
      <c r="K8" s="34"/>
    </row>
    <row r="9" spans="1:11" x14ac:dyDescent="0.2">
      <c r="A9" s="35" t="s">
        <v>1060</v>
      </c>
      <c r="B9" s="36" t="s">
        <v>17</v>
      </c>
      <c r="C9" s="53">
        <f>+'[7]4.SZ.TÁBL. SZOCIÁLIS NORMATÍVA'!$D9</f>
        <v>0</v>
      </c>
      <c r="D9" s="330">
        <v>0</v>
      </c>
      <c r="E9" s="330">
        <f t="shared" si="1"/>
        <v>0</v>
      </c>
      <c r="F9" s="333"/>
      <c r="G9" s="34"/>
      <c r="H9" s="34">
        <v>0</v>
      </c>
      <c r="I9" s="977">
        <v>0</v>
      </c>
      <c r="J9" s="34">
        <f t="shared" ref="J9:J12" si="3">H9-I9</f>
        <v>0</v>
      </c>
      <c r="K9" s="34"/>
    </row>
    <row r="10" spans="1:11" x14ac:dyDescent="0.2">
      <c r="A10" s="37" t="s">
        <v>1294</v>
      </c>
      <c r="B10" s="36" t="s">
        <v>17</v>
      </c>
      <c r="C10" s="53">
        <f>4590600+551700</f>
        <v>5142300</v>
      </c>
      <c r="D10" s="330">
        <v>5142300</v>
      </c>
      <c r="E10" s="330">
        <f t="shared" si="1"/>
        <v>0</v>
      </c>
      <c r="F10" s="333">
        <f t="shared" si="2"/>
        <v>1</v>
      </c>
      <c r="G10" s="34"/>
      <c r="H10" s="34">
        <v>5142</v>
      </c>
      <c r="I10" s="977">
        <v>5142</v>
      </c>
      <c r="J10" s="34">
        <f t="shared" si="3"/>
        <v>0</v>
      </c>
      <c r="K10" s="34"/>
    </row>
    <row r="11" spans="1:11" x14ac:dyDescent="0.2">
      <c r="A11" s="38" t="s">
        <v>1068</v>
      </c>
      <c r="B11" s="36" t="s">
        <v>18</v>
      </c>
      <c r="C11" s="53">
        <v>28934400</v>
      </c>
      <c r="D11" s="330">
        <v>28934400</v>
      </c>
      <c r="E11" s="330">
        <f t="shared" si="1"/>
        <v>0</v>
      </c>
      <c r="F11" s="333">
        <f t="shared" si="2"/>
        <v>1</v>
      </c>
      <c r="G11" s="34"/>
      <c r="H11" s="34">
        <v>28934</v>
      </c>
      <c r="I11" s="977">
        <v>28934</v>
      </c>
      <c r="J11" s="34">
        <f t="shared" si="3"/>
        <v>0</v>
      </c>
      <c r="K11" s="34"/>
    </row>
    <row r="12" spans="1:11" x14ac:dyDescent="0.2">
      <c r="A12" s="38" t="s">
        <v>1061</v>
      </c>
      <c r="B12" s="39" t="s">
        <v>17</v>
      </c>
      <c r="C12" s="53">
        <f>12603000+1650000</f>
        <v>14253000</v>
      </c>
      <c r="D12" s="330">
        <v>14253000</v>
      </c>
      <c r="E12" s="331">
        <f t="shared" si="1"/>
        <v>0</v>
      </c>
      <c r="F12" s="333">
        <f t="shared" si="2"/>
        <v>1</v>
      </c>
      <c r="G12" s="34"/>
      <c r="H12" s="34">
        <v>14253</v>
      </c>
      <c r="I12" s="977">
        <v>14253</v>
      </c>
      <c r="J12" s="34">
        <f t="shared" si="3"/>
        <v>0</v>
      </c>
      <c r="K12" s="34"/>
    </row>
    <row r="13" spans="1:11" x14ac:dyDescent="0.2">
      <c r="A13" s="40" t="s">
        <v>36</v>
      </c>
      <c r="B13" s="43"/>
      <c r="C13" s="323">
        <f>SUM(C3:C12)</f>
        <v>137745472</v>
      </c>
      <c r="D13" s="323">
        <f>SUM(D3:D12)</f>
        <v>136349152</v>
      </c>
      <c r="E13" s="323">
        <f>SUM(E3:E12)</f>
        <v>-1396320</v>
      </c>
      <c r="F13" s="335">
        <f t="shared" si="2"/>
        <v>0.98986304246719636</v>
      </c>
      <c r="G13" s="41"/>
      <c r="H13" s="41">
        <f>SUM(H3:H12)</f>
        <v>137746</v>
      </c>
      <c r="I13" s="41">
        <f>SUM(I3:I12)</f>
        <v>136350</v>
      </c>
      <c r="J13" s="41">
        <f>I13-H13</f>
        <v>-1396</v>
      </c>
      <c r="K13" s="41"/>
    </row>
    <row r="14" spans="1:11" ht="11.25" customHeight="1" x14ac:dyDescent="0.2">
      <c r="A14" s="354"/>
      <c r="B14" s="355"/>
      <c r="C14" s="356"/>
      <c r="D14" s="357"/>
      <c r="E14" s="357"/>
      <c r="F14" s="358"/>
      <c r="G14" s="41"/>
      <c r="H14" s="41"/>
      <c r="I14" s="977"/>
      <c r="J14" s="41"/>
      <c r="K14" s="41"/>
    </row>
    <row r="15" spans="1:11" x14ac:dyDescent="0.2">
      <c r="A15" s="359" t="s">
        <v>1273</v>
      </c>
      <c r="B15" s="360"/>
      <c r="C15" s="361"/>
      <c r="D15" s="362"/>
      <c r="E15" s="362"/>
      <c r="F15" s="363"/>
      <c r="G15" s="41"/>
      <c r="H15" s="41"/>
      <c r="I15" s="977"/>
      <c r="J15" s="41"/>
      <c r="K15" s="41"/>
    </row>
    <row r="16" spans="1:11" x14ac:dyDescent="0.2">
      <c r="A16" s="35" t="s">
        <v>1068</v>
      </c>
      <c r="B16" s="360"/>
      <c r="C16" s="1080">
        <v>1808400</v>
      </c>
      <c r="D16" s="53">
        <v>1808400</v>
      </c>
      <c r="E16" s="332">
        <f t="shared" ref="E16" si="4">+D16-C16</f>
        <v>0</v>
      </c>
      <c r="F16" s="333">
        <f t="shared" si="2"/>
        <v>1</v>
      </c>
      <c r="G16" s="41"/>
      <c r="H16" s="34">
        <v>1808</v>
      </c>
      <c r="I16" s="977">
        <v>1808</v>
      </c>
      <c r="J16" s="34">
        <f>H16-I16</f>
        <v>0</v>
      </c>
      <c r="K16" s="34"/>
    </row>
    <row r="17" spans="1:11" x14ac:dyDescent="0.2">
      <c r="A17" s="40" t="s">
        <v>1273</v>
      </c>
      <c r="B17" s="43"/>
      <c r="C17" s="1081">
        <f>+SUM(C16:C16)</f>
        <v>1808400</v>
      </c>
      <c r="D17" s="1079">
        <f>+SUM(D16:D16)</f>
        <v>1808400</v>
      </c>
      <c r="E17" s="81">
        <f>+SUM(E16:E16)</f>
        <v>0</v>
      </c>
      <c r="F17" s="335">
        <f t="shared" si="2"/>
        <v>1</v>
      </c>
      <c r="G17" s="41"/>
      <c r="H17" s="41">
        <f>SUM(H16:H16)</f>
        <v>1808</v>
      </c>
      <c r="I17" s="41">
        <f t="shared" ref="I17:J17" si="5">SUM(I16:I16)</f>
        <v>1808</v>
      </c>
      <c r="J17" s="41">
        <f t="shared" si="5"/>
        <v>0</v>
      </c>
      <c r="K17" s="41"/>
    </row>
    <row r="18" spans="1:11" x14ac:dyDescent="0.2">
      <c r="A18" s="354"/>
      <c r="B18" s="1275"/>
      <c r="C18" s="1276"/>
      <c r="D18" s="1277"/>
      <c r="E18" s="1278"/>
      <c r="F18" s="1279"/>
      <c r="G18" s="41"/>
      <c r="H18" s="41"/>
      <c r="I18" s="977"/>
      <c r="J18" s="41"/>
      <c r="K18" s="41"/>
    </row>
    <row r="19" spans="1:11" x14ac:dyDescent="0.2">
      <c r="A19" s="37" t="s">
        <v>1068</v>
      </c>
      <c r="B19" s="360"/>
      <c r="C19" s="1080">
        <v>3686400</v>
      </c>
      <c r="D19" s="1080">
        <v>3686400</v>
      </c>
      <c r="E19" s="332">
        <f t="shared" ref="E19:E26" si="6">+D19-C19</f>
        <v>0</v>
      </c>
      <c r="F19" s="333">
        <f t="shared" si="2"/>
        <v>1</v>
      </c>
      <c r="G19" s="41"/>
      <c r="H19" s="34">
        <v>3686</v>
      </c>
      <c r="I19" s="34">
        <v>3686</v>
      </c>
      <c r="J19" s="34">
        <f>H19-I19</f>
        <v>0</v>
      </c>
      <c r="K19" s="41"/>
    </row>
    <row r="20" spans="1:11" x14ac:dyDescent="0.2">
      <c r="A20" s="38" t="s">
        <v>1062</v>
      </c>
      <c r="B20" s="360"/>
      <c r="C20" s="1080">
        <v>4251852</v>
      </c>
      <c r="D20" s="1080">
        <v>4251852</v>
      </c>
      <c r="E20" s="332">
        <f t="shared" si="6"/>
        <v>0</v>
      </c>
      <c r="F20" s="333">
        <f t="shared" si="2"/>
        <v>1</v>
      </c>
      <c r="G20" s="41"/>
      <c r="H20" s="34">
        <v>4252</v>
      </c>
      <c r="I20" s="34">
        <v>4252</v>
      </c>
      <c r="J20" s="34">
        <f t="shared" ref="J20:J26" si="7">H20-I20</f>
        <v>0</v>
      </c>
      <c r="K20" s="41"/>
    </row>
    <row r="21" spans="1:11" x14ac:dyDescent="0.2">
      <c r="A21" s="38" t="s">
        <v>1274</v>
      </c>
      <c r="B21" s="360"/>
      <c r="C21" s="1080">
        <v>1511000</v>
      </c>
      <c r="D21" s="1080">
        <v>1511000</v>
      </c>
      <c r="E21" s="332">
        <f t="shared" si="6"/>
        <v>0</v>
      </c>
      <c r="F21" s="333">
        <f t="shared" si="2"/>
        <v>1</v>
      </c>
      <c r="G21" s="41"/>
      <c r="H21" s="34">
        <v>1511</v>
      </c>
      <c r="I21" s="34">
        <v>1511</v>
      </c>
      <c r="J21" s="34">
        <f t="shared" si="7"/>
        <v>0</v>
      </c>
      <c r="K21" s="41"/>
    </row>
    <row r="22" spans="1:11" x14ac:dyDescent="0.2">
      <c r="A22" s="35" t="s">
        <v>284</v>
      </c>
      <c r="B22" s="360"/>
      <c r="C22" s="1080">
        <v>4515760</v>
      </c>
      <c r="D22" s="1080">
        <v>4515760</v>
      </c>
      <c r="E22" s="332">
        <f t="shared" si="6"/>
        <v>0</v>
      </c>
      <c r="F22" s="333">
        <f t="shared" si="2"/>
        <v>1</v>
      </c>
      <c r="G22" s="41"/>
      <c r="H22" s="34">
        <v>4515</v>
      </c>
      <c r="I22" s="34">
        <v>4515</v>
      </c>
      <c r="J22" s="34">
        <f t="shared" si="7"/>
        <v>0</v>
      </c>
      <c r="K22" s="41"/>
    </row>
    <row r="23" spans="1:11" x14ac:dyDescent="0.2">
      <c r="A23" s="38" t="s">
        <v>1063</v>
      </c>
      <c r="B23" s="360"/>
      <c r="C23" s="1080">
        <v>3995300</v>
      </c>
      <c r="D23" s="1080">
        <v>3995300</v>
      </c>
      <c r="E23" s="332">
        <f t="shared" si="6"/>
        <v>0</v>
      </c>
      <c r="F23" s="333">
        <f t="shared" si="2"/>
        <v>1</v>
      </c>
      <c r="G23" s="41"/>
      <c r="H23" s="34">
        <v>3995</v>
      </c>
      <c r="I23" s="34">
        <v>3995</v>
      </c>
      <c r="J23" s="34">
        <f t="shared" si="7"/>
        <v>0</v>
      </c>
      <c r="K23" s="41"/>
    </row>
    <row r="24" spans="1:11" x14ac:dyDescent="0.2">
      <c r="A24" s="35" t="s">
        <v>1061</v>
      </c>
      <c r="B24" s="360"/>
      <c r="C24" s="1080">
        <v>1353000</v>
      </c>
      <c r="D24" s="1080">
        <v>1353000</v>
      </c>
      <c r="E24" s="332">
        <f t="shared" si="6"/>
        <v>0</v>
      </c>
      <c r="F24" s="333">
        <f t="shared" si="2"/>
        <v>1</v>
      </c>
      <c r="G24" s="41"/>
      <c r="H24" s="34">
        <v>1353</v>
      </c>
      <c r="I24" s="34">
        <v>1353</v>
      </c>
      <c r="J24" s="34">
        <f t="shared" si="7"/>
        <v>0</v>
      </c>
      <c r="K24" s="41"/>
    </row>
    <row r="25" spans="1:11" x14ac:dyDescent="0.2">
      <c r="A25" s="37" t="s">
        <v>1275</v>
      </c>
      <c r="B25" s="360"/>
      <c r="C25" s="1080">
        <v>469900</v>
      </c>
      <c r="D25" s="1080">
        <v>469900</v>
      </c>
      <c r="E25" s="332">
        <f t="shared" si="6"/>
        <v>0</v>
      </c>
      <c r="F25" s="333">
        <f t="shared" si="2"/>
        <v>1</v>
      </c>
      <c r="G25" s="41"/>
      <c r="H25" s="34">
        <v>470</v>
      </c>
      <c r="I25" s="34">
        <v>470</v>
      </c>
      <c r="J25" s="34">
        <f t="shared" si="7"/>
        <v>0</v>
      </c>
      <c r="K25" s="41"/>
    </row>
    <row r="26" spans="1:11" ht="15.75" thickBot="1" x14ac:dyDescent="0.25">
      <c r="A26" s="38" t="s">
        <v>1276</v>
      </c>
      <c r="B26" s="1280"/>
      <c r="C26" s="1281">
        <v>165880</v>
      </c>
      <c r="D26" s="1281">
        <v>165880</v>
      </c>
      <c r="E26" s="332">
        <f t="shared" si="6"/>
        <v>0</v>
      </c>
      <c r="F26" s="1282">
        <f t="shared" si="2"/>
        <v>1</v>
      </c>
      <c r="G26" s="41"/>
      <c r="H26" s="34">
        <v>167</v>
      </c>
      <c r="I26" s="34">
        <v>167</v>
      </c>
      <c r="J26" s="34">
        <f t="shared" si="7"/>
        <v>0</v>
      </c>
      <c r="K26" s="41"/>
    </row>
    <row r="27" spans="1:11" ht="29.25" thickBot="1" x14ac:dyDescent="0.25">
      <c r="A27" s="45" t="s">
        <v>1277</v>
      </c>
      <c r="B27" s="46"/>
      <c r="C27" s="793">
        <f>SUM(C19:C26)</f>
        <v>19949092</v>
      </c>
      <c r="D27" s="793">
        <f t="shared" ref="D27:E27" si="8">SUM(D19:D26)</f>
        <v>19949092</v>
      </c>
      <c r="E27" s="793">
        <f t="shared" si="8"/>
        <v>0</v>
      </c>
      <c r="F27" s="336">
        <f t="shared" si="2"/>
        <v>1</v>
      </c>
      <c r="G27" s="41"/>
      <c r="H27" s="41">
        <f>SUM(H19:H26)</f>
        <v>19949</v>
      </c>
      <c r="I27" s="41">
        <f t="shared" ref="I27:J27" si="9">SUM(I19:I26)</f>
        <v>19949</v>
      </c>
      <c r="J27" s="41">
        <f t="shared" si="9"/>
        <v>0</v>
      </c>
      <c r="K27" s="41"/>
    </row>
    <row r="28" spans="1:11" x14ac:dyDescent="0.2">
      <c r="A28" s="354"/>
      <c r="B28" s="355"/>
      <c r="C28" s="1082"/>
      <c r="D28" s="356"/>
      <c r="E28" s="357"/>
      <c r="F28" s="358"/>
      <c r="G28" s="41"/>
      <c r="H28" s="41"/>
      <c r="I28" s="977"/>
      <c r="J28" s="41"/>
      <c r="K28" s="41"/>
    </row>
    <row r="29" spans="1:11" x14ac:dyDescent="0.2">
      <c r="A29" s="359" t="s">
        <v>285</v>
      </c>
      <c r="B29" s="360"/>
      <c r="C29" s="1083"/>
      <c r="D29" s="361"/>
      <c r="E29" s="362"/>
      <c r="F29" s="363"/>
      <c r="G29" s="41"/>
      <c r="H29" s="41"/>
      <c r="I29" s="977"/>
      <c r="J29" s="34"/>
      <c r="K29" s="34"/>
    </row>
    <row r="30" spans="1:11" x14ac:dyDescent="0.2">
      <c r="A30" s="35" t="s">
        <v>1181</v>
      </c>
      <c r="B30" s="360"/>
      <c r="C30" s="1080">
        <f>+'[7]4.SZ.TÁBL. SZOCIÁLIS NORMATÍVA'!$D24</f>
        <v>0</v>
      </c>
      <c r="D30" s="57">
        <v>0</v>
      </c>
      <c r="E30" s="332">
        <f t="shared" ref="E30:E32" si="10">+D30-C30</f>
        <v>0</v>
      </c>
      <c r="F30" s="333"/>
      <c r="G30" s="34"/>
      <c r="H30" s="34"/>
      <c r="I30" s="977"/>
      <c r="J30" s="34"/>
      <c r="K30" s="34"/>
    </row>
    <row r="31" spans="1:11" x14ac:dyDescent="0.2">
      <c r="A31" s="37" t="s">
        <v>1068</v>
      </c>
      <c r="B31" s="360"/>
      <c r="C31" s="1080">
        <v>5611079</v>
      </c>
      <c r="D31" s="1080">
        <v>5611079</v>
      </c>
      <c r="E31" s="332">
        <f t="shared" si="10"/>
        <v>0</v>
      </c>
      <c r="F31" s="333">
        <f t="shared" ref="F31:F37" si="11">+D31/C31</f>
        <v>1</v>
      </c>
      <c r="G31" s="34"/>
      <c r="H31" s="34">
        <v>5611</v>
      </c>
      <c r="I31" s="34">
        <v>5611</v>
      </c>
      <c r="J31" s="34"/>
      <c r="K31" s="34"/>
    </row>
    <row r="32" spans="1:11" x14ac:dyDescent="0.2">
      <c r="A32" s="38" t="s">
        <v>1062</v>
      </c>
      <c r="B32" s="360"/>
      <c r="C32" s="1080">
        <v>12599931</v>
      </c>
      <c r="D32" s="1080">
        <v>12599931</v>
      </c>
      <c r="E32" s="332">
        <f t="shared" si="10"/>
        <v>0</v>
      </c>
      <c r="F32" s="333">
        <f t="shared" si="11"/>
        <v>1</v>
      </c>
      <c r="G32" s="34"/>
      <c r="H32" s="34">
        <v>12600</v>
      </c>
      <c r="I32" s="34">
        <v>12600</v>
      </c>
      <c r="J32" s="34"/>
      <c r="K32" s="34"/>
    </row>
    <row r="33" spans="1:11" x14ac:dyDescent="0.2">
      <c r="A33" s="35" t="s">
        <v>284</v>
      </c>
      <c r="B33" s="360"/>
      <c r="C33" s="1080">
        <v>5714058</v>
      </c>
      <c r="D33" s="1080">
        <v>5714058</v>
      </c>
      <c r="E33" s="332">
        <f t="shared" ref="E33:E36" si="12">+D33-C33</f>
        <v>0</v>
      </c>
      <c r="F33" s="333">
        <f t="shared" si="11"/>
        <v>1</v>
      </c>
      <c r="G33" s="34"/>
      <c r="H33" s="34">
        <v>5714</v>
      </c>
      <c r="I33" s="34">
        <v>5714</v>
      </c>
      <c r="J33" s="34"/>
      <c r="K33" s="34"/>
    </row>
    <row r="34" spans="1:11" x14ac:dyDescent="0.2">
      <c r="A34" s="38" t="s">
        <v>1063</v>
      </c>
      <c r="B34" s="360"/>
      <c r="C34" s="1080">
        <v>6549879</v>
      </c>
      <c r="D34" s="1080">
        <v>6549879</v>
      </c>
      <c r="E34" s="332">
        <f t="shared" si="12"/>
        <v>0</v>
      </c>
      <c r="F34" s="333">
        <f t="shared" si="11"/>
        <v>1</v>
      </c>
      <c r="G34" s="34"/>
      <c r="H34" s="34">
        <v>6550</v>
      </c>
      <c r="I34" s="34">
        <v>6550</v>
      </c>
      <c r="J34" s="34"/>
      <c r="K34" s="34"/>
    </row>
    <row r="35" spans="1:11" x14ac:dyDescent="0.2">
      <c r="A35" s="35" t="s">
        <v>1061</v>
      </c>
      <c r="B35" s="360"/>
      <c r="C35" s="1080">
        <v>1581759</v>
      </c>
      <c r="D35" s="1080">
        <v>1581759</v>
      </c>
      <c r="E35" s="332">
        <f t="shared" si="12"/>
        <v>0</v>
      </c>
      <c r="F35" s="333">
        <f t="shared" si="11"/>
        <v>1</v>
      </c>
      <c r="G35" s="34"/>
      <c r="H35" s="34">
        <v>1582</v>
      </c>
      <c r="I35" s="34">
        <v>1582</v>
      </c>
      <c r="J35" s="34"/>
      <c r="K35" s="34"/>
    </row>
    <row r="36" spans="1:11" x14ac:dyDescent="0.2">
      <c r="A36" s="37" t="s">
        <v>1275</v>
      </c>
      <c r="B36" s="360"/>
      <c r="C36" s="1080">
        <v>618108</v>
      </c>
      <c r="D36" s="1080">
        <v>618108</v>
      </c>
      <c r="E36" s="332">
        <f t="shared" si="12"/>
        <v>0</v>
      </c>
      <c r="F36" s="333">
        <f t="shared" si="11"/>
        <v>1</v>
      </c>
      <c r="G36" s="34"/>
      <c r="H36" s="34">
        <v>618</v>
      </c>
      <c r="I36" s="34">
        <v>618</v>
      </c>
      <c r="J36" s="34"/>
      <c r="K36" s="34"/>
    </row>
    <row r="37" spans="1:11" x14ac:dyDescent="0.2">
      <c r="A37" s="40" t="s">
        <v>286</v>
      </c>
      <c r="B37" s="43"/>
      <c r="C37" s="1081">
        <f>+SUM(C30:C36)</f>
        <v>32674814</v>
      </c>
      <c r="D37" s="1079">
        <f>+SUM(D30:D36)</f>
        <v>32674814</v>
      </c>
      <c r="E37" s="81">
        <f>+SUM(E30:E36)</f>
        <v>0</v>
      </c>
      <c r="F37" s="335">
        <f t="shared" si="11"/>
        <v>1</v>
      </c>
      <c r="G37" s="41"/>
      <c r="H37" s="41">
        <f>SUM(H30:H36)</f>
        <v>32675</v>
      </c>
      <c r="I37" s="41">
        <f t="shared" ref="I37:J37" si="13">SUM(I30:I36)</f>
        <v>32675</v>
      </c>
      <c r="J37" s="41">
        <f t="shared" si="13"/>
        <v>0</v>
      </c>
      <c r="K37" s="41"/>
    </row>
    <row r="38" spans="1:11" ht="15.75" thickBot="1" x14ac:dyDescent="0.25">
      <c r="A38" s="38"/>
      <c r="B38" s="39"/>
      <c r="C38" s="1084"/>
      <c r="D38" s="26"/>
      <c r="E38" s="331"/>
      <c r="F38" s="334"/>
      <c r="G38" s="34"/>
      <c r="H38" s="34"/>
      <c r="I38" s="977"/>
      <c r="J38" s="34"/>
      <c r="K38" s="34"/>
    </row>
    <row r="39" spans="1:11" s="44" customFormat="1" ht="29.25" thickBot="1" x14ac:dyDescent="0.25">
      <c r="A39" s="45" t="s">
        <v>19</v>
      </c>
      <c r="B39" s="46"/>
      <c r="C39" s="325">
        <f>C13+C17+C37+C27</f>
        <v>192177778</v>
      </c>
      <c r="D39" s="325">
        <f t="shared" ref="D39:E39" si="14">D13+D17+D37+D27</f>
        <v>190781458</v>
      </c>
      <c r="E39" s="325">
        <f t="shared" si="14"/>
        <v>-1396320</v>
      </c>
      <c r="F39" s="336">
        <f t="shared" si="2"/>
        <v>0.99273422757546925</v>
      </c>
      <c r="G39" s="41"/>
      <c r="H39" s="41">
        <f>+H13+H17+H37+H27</f>
        <v>192178</v>
      </c>
      <c r="I39" s="41">
        <f t="shared" ref="I39:J39" si="15">+I13+I17+I37+I27</f>
        <v>190782</v>
      </c>
      <c r="J39" s="41">
        <f t="shared" si="15"/>
        <v>-1396</v>
      </c>
      <c r="K39" s="356"/>
    </row>
    <row r="40" spans="1:11" x14ac:dyDescent="0.2">
      <c r="H40" s="34"/>
      <c r="I40" s="977"/>
    </row>
    <row r="42" spans="1:11" x14ac:dyDescent="0.2">
      <c r="J42" s="44"/>
      <c r="K42" s="44"/>
    </row>
    <row r="96" spans="1:3" x14ac:dyDescent="0.2">
      <c r="A96" s="28"/>
      <c r="B96" s="50"/>
      <c r="C96" s="30"/>
    </row>
    <row r="109" spans="1:8" x14ac:dyDescent="0.2">
      <c r="A109" s="51"/>
      <c r="B109" s="52"/>
      <c r="C109" s="53"/>
      <c r="D109" s="54"/>
      <c r="E109" s="54"/>
      <c r="F109" s="54"/>
      <c r="G109" s="54"/>
      <c r="H109" s="54"/>
    </row>
    <row r="110" spans="1:8" x14ac:dyDescent="0.2">
      <c r="A110" s="55"/>
      <c r="B110" s="56"/>
      <c r="C110" s="57"/>
      <c r="D110" s="58"/>
      <c r="E110" s="58"/>
      <c r="F110" s="58"/>
      <c r="G110" s="58"/>
      <c r="H110" s="58"/>
    </row>
    <row r="111" spans="1:8" x14ac:dyDescent="0.2">
      <c r="A111" s="55"/>
      <c r="B111" s="56"/>
      <c r="C111" s="57"/>
      <c r="D111" s="58"/>
      <c r="E111" s="58"/>
      <c r="F111" s="58"/>
      <c r="G111" s="58"/>
      <c r="H111" s="58"/>
    </row>
    <row r="112" spans="1:8" x14ac:dyDescent="0.2">
      <c r="A112" s="55"/>
      <c r="B112" s="56"/>
      <c r="C112" s="57"/>
      <c r="D112" s="58"/>
      <c r="E112" s="58"/>
      <c r="F112" s="58"/>
      <c r="G112" s="58"/>
      <c r="H112" s="58"/>
    </row>
    <row r="113" spans="1:8" x14ac:dyDescent="0.2">
      <c r="A113" s="59"/>
      <c r="B113" s="60"/>
      <c r="C113" s="61"/>
      <c r="D113" s="62"/>
      <c r="E113" s="62"/>
      <c r="F113" s="62"/>
      <c r="G113" s="62"/>
      <c r="H113" s="62"/>
    </row>
  </sheetData>
  <phoneticPr fontId="25" type="noConversion"/>
  <printOptions horizontalCentered="1"/>
  <pageMargins left="0.15748031496062992" right="0.15748031496062992" top="1.1023622047244095" bottom="0.51181102362204722" header="0.35433070866141736" footer="0.15748031496062992"/>
  <pageSetup paperSize="9" scale="74" orientation="landscape" r:id="rId1"/>
  <headerFooter alignWithMargins="0">
    <oddHeader>&amp;L&amp;"Times New Roman,Félkövér"&amp;13Szent László Völgye TKT&amp;C&amp;"Times New Roman,Félkövér"&amp;16 2023. ÉVI ZÁRSZÁMADÁSI BESZÁMOLÓ&amp;R5. sz. táblázat
SZOCIÁLIS NORMATÍVA
Adatok: 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02"/>
  <sheetViews>
    <sheetView topLeftCell="A13" zoomScaleNormal="100" workbookViewId="0">
      <selection activeCell="P52" sqref="P52"/>
    </sheetView>
  </sheetViews>
  <sheetFormatPr defaultColWidth="8.85546875" defaultRowHeight="12.75" x14ac:dyDescent="0.2"/>
  <cols>
    <col min="1" max="1" width="36" style="12" customWidth="1"/>
    <col min="2" max="16" width="11" style="12" customWidth="1"/>
    <col min="17" max="17" width="13.85546875" style="12" customWidth="1"/>
    <col min="18" max="21" width="8.85546875" style="12"/>
    <col min="22" max="22" width="9.28515625" style="12" customWidth="1"/>
    <col min="23" max="16384" width="8.85546875" style="12"/>
  </cols>
  <sheetData>
    <row r="1" spans="1:20" s="450" customFormat="1" ht="66.75" customHeight="1" x14ac:dyDescent="0.2">
      <c r="A1" s="713" t="s">
        <v>288</v>
      </c>
      <c r="B1" s="679" t="s">
        <v>1271</v>
      </c>
      <c r="C1" s="679" t="s">
        <v>1272</v>
      </c>
      <c r="D1" s="714" t="s">
        <v>289</v>
      </c>
      <c r="E1" s="715" t="s">
        <v>290</v>
      </c>
      <c r="F1" s="715" t="s">
        <v>291</v>
      </c>
      <c r="G1" s="715" t="s">
        <v>292</v>
      </c>
      <c r="H1" s="715" t="s">
        <v>293</v>
      </c>
      <c r="I1" s="715" t="s">
        <v>294</v>
      </c>
      <c r="J1" s="715" t="s">
        <v>295</v>
      </c>
      <c r="K1" s="716" t="s">
        <v>296</v>
      </c>
      <c r="L1" s="716" t="s">
        <v>297</v>
      </c>
      <c r="M1" s="716" t="s">
        <v>298</v>
      </c>
      <c r="N1" s="716" t="s">
        <v>299</v>
      </c>
      <c r="O1" s="716" t="s">
        <v>300</v>
      </c>
      <c r="P1" s="679" t="s">
        <v>301</v>
      </c>
      <c r="Q1" s="680" t="s">
        <v>1234</v>
      </c>
    </row>
    <row r="2" spans="1:20" s="451" customFormat="1" x14ac:dyDescent="0.2">
      <c r="A2" s="717" t="s">
        <v>302</v>
      </c>
      <c r="B2" s="281">
        <f>+'[10]PÉNZESZKÖZ ÁTVÉTEL ÖSSZESEN'!$B2</f>
        <v>21954000</v>
      </c>
      <c r="C2" s="281">
        <f>+'[10]PÉNZESZKÖZ ÁTVÉTEL ÖSSZESEN'!$C2</f>
        <v>15830000</v>
      </c>
      <c r="D2" s="718">
        <f>+[10]BARACSKA!D2+[10]ERCSI!D2+[10]GYÚRÓ!D2+[10]KAJÁSZÓ!D2+[10]MARTONVÁSÁR!D2+[10]RÁCKERESZTÚR!D2+[10]TORDAS!D2+[10]VÁL!D2</f>
        <v>538000</v>
      </c>
      <c r="E2" s="718">
        <f>+[10]BARACSKA!E2+[10]ERCSI!E2+[10]GYÚRÓ!E2+[10]KAJÁSZÓ!E2+[10]MARTONVÁSÁR!E2+[10]RÁCKERESZTÚR!E2+[10]TORDAS!E2+[10]VÁL!E2</f>
        <v>527388</v>
      </c>
      <c r="F2" s="718">
        <f>+[10]BARACSKA!F2+[10]ERCSI!F2+[10]GYÚRÓ!F2+[10]KAJÁSZÓ!F2+[10]MARTONVÁSÁR!F2+[10]RÁCKERESZTÚR!F2+[10]TORDAS!F2+[10]VÁL!F2</f>
        <v>3899804</v>
      </c>
      <c r="G2" s="718">
        <f>+[10]BARACSKA!G2+[10]ERCSI!G2+[10]GYÚRÓ!G2+[10]KAJÁSZÓ!G2+[10]MARTONVÁSÁR!G2+[10]RÁCKERESZTÚR!G2+[10]TORDAS!G2+[10]VÁL!G2</f>
        <v>1177125</v>
      </c>
      <c r="H2" s="718">
        <f>+[10]BARACSKA!H2+[10]ERCSI!H2+[10]GYÚRÓ!H2+[10]KAJÁSZÓ!H2+[10]MARTONVÁSÁR!H2+[10]RÁCKERESZTÚR!H2+[10]TORDAS!H2+[10]VÁL!H2</f>
        <v>1273375</v>
      </c>
      <c r="I2" s="718">
        <f>+[10]BARACSKA!I2+[10]ERCSI!I2+[10]GYÚRÓ!I2+[10]KAJÁSZÓ!I2+[10]MARTONVÁSÁR!I2+[10]RÁCKERESZTÚR!I2+[10]TORDAS!I2+[10]VÁL!I2</f>
        <v>7418846</v>
      </c>
      <c r="J2" s="718">
        <f>+[10]BARACSKA!J2+[10]ERCSI!J2+[10]GYÚRÓ!J2+[10]KAJÁSZÓ!J2+[10]MARTONVÁSÁR!J2+[10]RÁCKERESZTÚR!J2+[10]TORDAS!J2+[10]VÁL!J2</f>
        <v>1191749</v>
      </c>
      <c r="K2" s="718">
        <f>+[10]BARACSKA!K2+[10]ERCSI!K2+[10]GYÚRÓ!K2+[10]KAJÁSZÓ!K2+[10]MARTONVÁSÁR!K2+[10]RÁCKERESZTÚR!K2+[10]TORDAS!K2+[10]VÁL!K2</f>
        <v>3798536</v>
      </c>
      <c r="L2" s="718">
        <f>+[10]BARACSKA!L2+[10]ERCSI!L2+[10]GYÚRÓ!L2+[10]KAJÁSZÓ!L2+[10]MARTONVÁSÁR!L2+[10]RÁCKERESZTÚR!L2+[10]TORDAS!L2+[10]VÁL!L2</f>
        <v>6679642</v>
      </c>
      <c r="M2" s="718">
        <f>+[10]BARACSKA!M2+[10]ERCSI!M2+[10]GYÚRÓ!M2+[10]KAJÁSZÓ!M2+[10]MARTONVÁSÁR!M2+[10]RÁCKERESZTÚR!M2+[10]TORDAS!M2+[10]VÁL!M2</f>
        <v>2510866</v>
      </c>
      <c r="N2" s="718">
        <f>+[10]BARACSKA!N2+[10]ERCSI!N2+[10]GYÚRÓ!N2+[10]KAJÁSZÓ!N2+[10]MARTONVÁSÁR!N2+[10]RÁCKERESZTÚR!N2+[10]TORDAS!N2+[10]VÁL!N2</f>
        <v>3442567</v>
      </c>
      <c r="O2" s="718">
        <f>+[10]BARACSKA!O2+[10]ERCSI!O2+[10]GYÚRÓ!O2+[10]KAJÁSZÓ!O2+[10]MARTONVÁSÁR!O2+[10]RÁCKERESZTÚR!O2+[10]TORDAS!O2+[10]VÁL!O2</f>
        <v>5529103</v>
      </c>
      <c r="P2" s="1164">
        <f>+SUM(D2:O2)-1</f>
        <v>37987000</v>
      </c>
      <c r="Q2" s="1165">
        <f>+SUM(B2:C2)-P2</f>
        <v>-203000</v>
      </c>
      <c r="T2" s="452"/>
    </row>
    <row r="3" spans="1:20" s="451" customFormat="1" x14ac:dyDescent="0.2">
      <c r="A3" s="717" t="s">
        <v>1082</v>
      </c>
      <c r="B3" s="281">
        <f>+'[10]PÉNZESZKÖZ ÁTVÉTEL ÖSSZESEN'!$B3</f>
        <v>3225000</v>
      </c>
      <c r="C3" s="281">
        <f>+'[10]PÉNZESZKÖZ ÁTVÉTEL ÖSSZESEN'!$C3</f>
        <v>0</v>
      </c>
      <c r="D3" s="718">
        <f>+[10]BARACSKA!D3+[10]ERCSI!D3+[10]GYÚRÓ!D3+[10]KAJÁSZÓ!D3+[10]MARTONVÁSÁR!D3+[10]RÁCKERESZTÚR!D3+[10]TORDAS!D3+[10]VÁL!D3</f>
        <v>43597</v>
      </c>
      <c r="E3" s="718">
        <f>+[10]BARACSKA!E3+[10]ERCSI!E3+[10]GYÚRÓ!E3+[10]KAJÁSZÓ!E3+[10]MARTONVÁSÁR!E3+[10]RÁCKERESZTÚR!E3+[10]TORDAS!E3+[10]VÁL!E3</f>
        <v>81948</v>
      </c>
      <c r="F3" s="718">
        <f>+[10]BARACSKA!F3+[10]ERCSI!F3+[10]GYÚRÓ!F3+[10]KAJÁSZÓ!F3+[10]MARTONVÁSÁR!F3+[10]RÁCKERESZTÚR!F3+[10]TORDAS!F3+[10]VÁL!F3</f>
        <v>485802</v>
      </c>
      <c r="G3" s="718">
        <f>+[10]BARACSKA!G3+[10]ERCSI!G3+[10]GYÚRÓ!G3+[10]KAJÁSZÓ!G3+[10]MARTONVÁSÁR!G3+[10]RÁCKERESZTÚR!G3+[10]TORDAS!G3+[10]VÁL!G3</f>
        <v>198614</v>
      </c>
      <c r="H3" s="718">
        <f>+[10]BARACSKA!H3+[10]ERCSI!H3+[10]GYÚRÓ!H3+[10]KAJÁSZÓ!H3+[10]MARTONVÁSÁR!H3+[10]RÁCKERESZTÚR!H3+[10]TORDAS!H3+[10]VÁL!H3</f>
        <v>188544</v>
      </c>
      <c r="I3" s="718">
        <f>+[10]BARACSKA!I3+[10]ERCSI!I3+[10]GYÚRÓ!I3+[10]KAJÁSZÓ!I3+[10]MARTONVÁSÁR!I3+[10]RÁCKERESZTÚR!I3+[10]TORDAS!I3+[10]VÁL!I3</f>
        <v>340900</v>
      </c>
      <c r="J3" s="718">
        <f>+[10]BARACSKA!J3+[10]ERCSI!J3+[10]GYÚRÓ!J3+[10]KAJÁSZÓ!J3+[10]MARTONVÁSÁR!J3+[10]RÁCKERESZTÚR!J3+[10]TORDAS!J3+[10]VÁL!J3</f>
        <v>195588</v>
      </c>
      <c r="K3" s="718">
        <f>+[10]BARACSKA!K3+[10]ERCSI!K3+[10]GYÚRÓ!K3+[10]KAJÁSZÓ!K3+[10]MARTONVÁSÁR!K3+[10]RÁCKERESZTÚR!K3+[10]TORDAS!K3+[10]VÁL!K3</f>
        <v>356665</v>
      </c>
      <c r="L3" s="718">
        <f>+[10]BARACSKA!L3+[10]ERCSI!L3+[10]GYÚRÓ!L3+[10]KAJÁSZÓ!L3+[10]MARTONVÁSÁR!L3+[10]RÁCKERESZTÚR!L3+[10]TORDAS!L3+[10]VÁL!L3</f>
        <v>256062</v>
      </c>
      <c r="M3" s="718">
        <f>+[10]BARACSKA!M3+[10]ERCSI!M3+[10]GYÚRÓ!M3+[10]KAJÁSZÓ!M3+[10]MARTONVÁSÁR!M3+[10]RÁCKERESZTÚR!M3+[10]TORDAS!M3+[10]VÁL!M3</f>
        <v>232556</v>
      </c>
      <c r="N3" s="718">
        <f>+[10]BARACSKA!N3+[10]ERCSI!N3+[10]GYÚRÓ!N3+[10]KAJÁSZÓ!N3+[10]MARTONVÁSÁR!N3+[10]RÁCKERESZTÚR!N3+[10]TORDAS!N3+[10]VÁL!N3</f>
        <v>346805</v>
      </c>
      <c r="O3" s="718">
        <f>+[10]BARACSKA!O3+[10]ERCSI!O3+[10]GYÚRÓ!O3+[10]KAJÁSZÓ!O3+[10]MARTONVÁSÁR!O3+[10]RÁCKERESZTÚR!O3+[10]TORDAS!O3+[10]VÁL!O3</f>
        <v>497919</v>
      </c>
      <c r="P3" s="1164">
        <f t="shared" ref="P3:P21" si="0">+SUM(D3:O3)</f>
        <v>3225000</v>
      </c>
      <c r="Q3" s="1165">
        <f t="shared" ref="Q3:Q15" si="1">+SUM(B3:C3)-P3</f>
        <v>0</v>
      </c>
      <c r="T3" s="452"/>
    </row>
    <row r="4" spans="1:20" s="451" customFormat="1" x14ac:dyDescent="0.2">
      <c r="A4" s="719" t="s">
        <v>303</v>
      </c>
      <c r="B4" s="281">
        <f>+'[10]PÉNZESZKÖZ ÁTVÉTEL ÖSSZESEN'!$B4</f>
        <v>2824000</v>
      </c>
      <c r="C4" s="281">
        <f>+'[10]PÉNZESZKÖZ ÁTVÉTEL ÖSSZESEN'!$C4</f>
        <v>0</v>
      </c>
      <c r="D4" s="718">
        <f>+[10]BARACSKA!D4+[10]ERCSI!D4+[10]GYÚRÓ!D4+[10]KAJÁSZÓ!D4+[10]MARTONVÁSÁR!D4+[10]RÁCKERESZTÚR!D4+[10]TORDAS!D4+[10]VÁL!D4</f>
        <v>21874</v>
      </c>
      <c r="E4" s="718">
        <f>+[10]BARACSKA!E4+[10]ERCSI!E4+[10]GYÚRÓ!E4+[10]KAJÁSZÓ!E4+[10]MARTONVÁSÁR!E4+[10]RÁCKERESZTÚR!E4+[10]TORDAS!E4+[10]VÁL!E4</f>
        <v>41130</v>
      </c>
      <c r="F4" s="718">
        <f>+[10]BARACSKA!F4+[10]ERCSI!F4+[10]GYÚRÓ!F4+[10]KAJÁSZÓ!F4+[10]MARTONVÁSÁR!F4+[10]RÁCKERESZTÚR!F4+[10]TORDAS!F4+[10]VÁL!F4</f>
        <v>356169</v>
      </c>
      <c r="G4" s="718">
        <f>+[10]BARACSKA!G4+[10]ERCSI!G4+[10]GYÚRÓ!G4+[10]KAJÁSZÓ!G4+[10]MARTONVÁSÁR!G4+[10]RÁCKERESZTÚR!G4+[10]TORDAS!G4+[10]VÁL!G4</f>
        <v>94600</v>
      </c>
      <c r="H4" s="718">
        <f>+[10]BARACSKA!H4+[10]ERCSI!H4+[10]GYÚRÓ!H4+[10]KAJÁSZÓ!H4+[10]MARTONVÁSÁR!H4+[10]RÁCKERESZTÚR!H4+[10]TORDAS!H4+[10]VÁL!H4</f>
        <v>93374</v>
      </c>
      <c r="I4" s="718">
        <f>+[10]BARACSKA!I4+[10]ERCSI!I4+[10]GYÚRÓ!I4+[10]KAJÁSZÓ!I4+[10]MARTONVÁSÁR!I4+[10]RÁCKERESZTÚR!I4+[10]TORDAS!I4+[10]VÁL!I4</f>
        <v>706089</v>
      </c>
      <c r="J4" s="718">
        <f>+[10]BARACSKA!J4+[10]ERCSI!J4+[10]GYÚRÓ!J4+[10]KAJÁSZÓ!J4+[10]MARTONVÁSÁR!J4+[10]RÁCKERESZTÚR!J4+[10]TORDAS!J4+[10]VÁL!J4</f>
        <v>96872</v>
      </c>
      <c r="K4" s="718">
        <f>+[10]BARACSKA!K4+[10]ERCSI!K4+[10]GYÚRÓ!K4+[10]KAJÁSZÓ!K4+[10]MARTONVÁSÁR!K4+[10]RÁCKERESZTÚR!K4+[10]TORDAS!K4+[10]VÁL!K4</f>
        <v>273133</v>
      </c>
      <c r="L4" s="718">
        <f>+[10]BARACSKA!L4+[10]ERCSI!L4+[10]GYÚRÓ!L4+[10]KAJÁSZÓ!L4+[10]MARTONVÁSÁR!L4+[10]RÁCKERESZTÚR!L4+[10]TORDAS!L4+[10]VÁL!L4</f>
        <v>467867</v>
      </c>
      <c r="M4" s="718">
        <f>+[10]BARACSKA!M4+[10]ERCSI!M4+[10]GYÚRÓ!M4+[10]KAJÁSZÓ!M4+[10]MARTONVÁSÁR!M4+[10]RÁCKERESZTÚR!M4+[10]TORDAS!M4+[10]VÁL!M4</f>
        <v>186064</v>
      </c>
      <c r="N4" s="718">
        <f>+[10]BARACSKA!N4+[10]ERCSI!N4+[10]GYÚRÓ!N4+[10]KAJÁSZÓ!N4+[10]MARTONVÁSÁR!N4+[10]RÁCKERESZTÚR!N4+[10]TORDAS!N4+[10]VÁL!N4</f>
        <v>243427</v>
      </c>
      <c r="O4" s="718">
        <f>+[10]BARACSKA!O4+[10]ERCSI!O4+[10]GYÚRÓ!O4+[10]KAJÁSZÓ!O4+[10]MARTONVÁSÁR!O4+[10]RÁCKERESZTÚR!O4+[10]TORDAS!O4+[10]VÁL!O4</f>
        <v>243401</v>
      </c>
      <c r="P4" s="1164">
        <f>+SUM(D4:O4)</f>
        <v>2824000</v>
      </c>
      <c r="Q4" s="1165">
        <f>+SUM(B4:C4)-P4</f>
        <v>0</v>
      </c>
      <c r="T4" s="452"/>
    </row>
    <row r="5" spans="1:20" s="451" customFormat="1" x14ac:dyDescent="0.2">
      <c r="A5" s="719" t="s">
        <v>304</v>
      </c>
      <c r="B5" s="281">
        <f>+'[10]PÉNZESZKÖZ ÁTVÉTEL ÖSSZESEN'!$B5</f>
        <v>7000000</v>
      </c>
      <c r="C5" s="281">
        <f>+'[10]PÉNZESZKÖZ ÁTVÉTEL ÖSSZESEN'!$C5</f>
        <v>0</v>
      </c>
      <c r="D5" s="718">
        <f>+[10]BARACSKA!D5+[10]ERCSI!D5+[10]GYÚRÓ!D5+[10]KAJÁSZÓ!D5+[10]MARTONVÁSÁR!D5+[10]RÁCKERESZTÚR!D5+[10]TORDAS!D5+[10]VÁL!D5</f>
        <v>68262</v>
      </c>
      <c r="E5" s="718">
        <f>+[10]BARACSKA!E5+[10]ERCSI!E5+[10]GYÚRÓ!E5+[10]KAJÁSZÓ!E5+[10]MARTONVÁSÁR!E5+[10]RÁCKERESZTÚR!E5+[10]TORDAS!E5+[10]VÁL!E5</f>
        <v>128438</v>
      </c>
      <c r="F5" s="718">
        <f>+[10]BARACSKA!F5+[10]ERCSI!F5+[10]GYÚRÓ!F5+[10]KAJÁSZÓ!F5+[10]MARTONVÁSÁR!F5+[10]RÁCKERESZTÚR!F5+[10]TORDAS!F5+[10]VÁL!F5</f>
        <v>657252</v>
      </c>
      <c r="G5" s="718">
        <f>+[10]BARACSKA!G5+[10]ERCSI!G5+[10]GYÚRÓ!G5+[10]KAJÁSZÓ!G5+[10]MARTONVÁSÁR!G5+[10]RÁCKERESZTÚR!G5+[10]TORDAS!G5+[10]VÁL!G5</f>
        <v>133812</v>
      </c>
      <c r="H5" s="718">
        <f>+[10]BARACSKA!H5+[10]ERCSI!H5+[10]GYÚRÓ!H5+[10]KAJÁSZÓ!H5+[10]MARTONVÁSÁR!H5+[10]RÁCKERESZTÚR!H5+[10]TORDAS!H5+[10]VÁL!H5</f>
        <v>129721</v>
      </c>
      <c r="I5" s="718">
        <f>+[10]BARACSKA!I5+[10]ERCSI!I5+[10]GYÚRÓ!I5+[10]KAJÁSZÓ!I5+[10]MARTONVÁSÁR!I5+[10]RÁCKERESZTÚR!I5+[10]TORDAS!I5+[10]VÁL!I5</f>
        <v>2043345</v>
      </c>
      <c r="J5" s="718">
        <f>+[10]BARACSKA!J5+[10]ERCSI!J5+[10]GYÚRÓ!J5+[10]KAJÁSZÓ!J5+[10]MARTONVÁSÁR!J5+[10]RÁCKERESZTÚR!J5+[10]TORDAS!J5+[10]VÁL!J5</f>
        <v>170715</v>
      </c>
      <c r="K5" s="718">
        <f>+[10]BARACSKA!K5+[10]ERCSI!K5+[10]GYÚRÓ!K5+[10]KAJÁSZÓ!K5+[10]MARTONVÁSÁR!K5+[10]RÁCKERESZTÚR!K5+[10]TORDAS!K5+[10]VÁL!K5</f>
        <v>721316</v>
      </c>
      <c r="L5" s="718">
        <f>+[10]BARACSKA!L5+[10]ERCSI!L5+[10]GYÚRÓ!L5+[10]KAJÁSZÓ!L5+[10]MARTONVÁSÁR!L5+[10]RÁCKERESZTÚR!L5+[10]TORDAS!L5+[10]VÁL!L5</f>
        <v>1329656</v>
      </c>
      <c r="M5" s="718">
        <f>+[10]BARACSKA!M5+[10]ERCSI!M5+[10]GYÚRÓ!M5+[10]KAJÁSZÓ!M5+[10]MARTONVÁSÁR!M5+[10]RÁCKERESZTÚR!M5+[10]TORDAS!M5+[10]VÁL!M5</f>
        <v>449212</v>
      </c>
      <c r="N5" s="718">
        <f>+[10]BARACSKA!N5+[10]ERCSI!N5+[10]GYÚRÓ!N5+[10]KAJÁSZÓ!N5+[10]MARTONVÁSÁR!N5+[10]RÁCKERESZTÚR!N5+[10]TORDAS!N5+[10]VÁL!N5</f>
        <v>628553</v>
      </c>
      <c r="O5" s="718">
        <f>+[10]BARACSKA!O5+[10]ERCSI!O5+[10]GYÚRÓ!O5+[10]KAJÁSZÓ!O5+[10]MARTONVÁSÁR!O5+[10]RÁCKERESZTÚR!O5+[10]TORDAS!O5+[10]VÁL!O5</f>
        <v>539718</v>
      </c>
      <c r="P5" s="1164">
        <f t="shared" si="0"/>
        <v>7000000</v>
      </c>
      <c r="Q5" s="1165">
        <f t="shared" si="1"/>
        <v>0</v>
      </c>
      <c r="T5" s="452"/>
    </row>
    <row r="6" spans="1:20" s="451" customFormat="1" x14ac:dyDescent="0.2">
      <c r="A6" s="719" t="s">
        <v>305</v>
      </c>
      <c r="B6" s="281">
        <f>+'[10]PÉNZESZKÖZ ÁTVÉTEL ÖSSZESEN'!$B6</f>
        <v>2880000</v>
      </c>
      <c r="C6" s="281">
        <f>+'[10]PÉNZESZKÖZ ÁTVÉTEL ÖSSZESEN'!$C6</f>
        <v>0</v>
      </c>
      <c r="D6" s="718">
        <f>+[10]BARACSKA!D6+[10]ERCSI!D6+[10]GYÚRÓ!D6+[10]KAJÁSZÓ!D6+[10]MARTONVÁSÁR!D6+[10]RÁCKERESZTÚR!D6+[10]TORDAS!D6+[10]VÁL!D6</f>
        <v>17197</v>
      </c>
      <c r="E6" s="718">
        <f>+[10]BARACSKA!E6+[10]ERCSI!E6+[10]GYÚRÓ!E6+[10]KAJÁSZÓ!E6+[10]MARTONVÁSÁR!E6+[10]RÁCKERESZTÚR!E6+[10]TORDAS!E6+[10]VÁL!E6</f>
        <v>54166</v>
      </c>
      <c r="F6" s="718">
        <f>+[10]BARACSKA!F6+[10]ERCSI!F6+[10]GYÚRÓ!F6+[10]KAJÁSZÓ!F6+[10]MARTONVÁSÁR!F6+[10]RÁCKERESZTÚR!F6+[10]TORDAS!F6+[10]VÁL!F6</f>
        <v>446328</v>
      </c>
      <c r="G6" s="718">
        <f>+[10]BARACSKA!G6+[10]ERCSI!G6+[10]GYÚRÓ!G6+[10]KAJÁSZÓ!G6+[10]MARTONVÁSÁR!G6+[10]RÁCKERESZTÚR!G6+[10]TORDAS!G6+[10]VÁL!G6</f>
        <v>160613</v>
      </c>
      <c r="H6" s="718">
        <f>+[10]BARACSKA!H6+[10]ERCSI!H6+[10]GYÚRÓ!H6+[10]KAJÁSZÓ!H6+[10]MARTONVÁSÁR!H6+[10]RÁCKERESZTÚR!H6+[10]TORDAS!H6+[10]VÁL!H6</f>
        <v>136586</v>
      </c>
      <c r="I6" s="718">
        <f>+[10]BARACSKA!I6+[10]ERCSI!I6+[10]GYÚRÓ!I6+[10]KAJÁSZÓ!I6+[10]MARTONVÁSÁR!I6+[10]RÁCKERESZTÚR!I6+[10]TORDAS!I6+[10]VÁL!I6</f>
        <v>379627</v>
      </c>
      <c r="J6" s="718">
        <f>+[10]BARACSKA!J6+[10]ERCSI!J6+[10]GYÚRÓ!J6+[10]KAJÁSZÓ!J6+[10]MARTONVÁSÁR!J6+[10]RÁCKERESZTÚR!J6+[10]TORDAS!J6+[10]VÁL!J6</f>
        <v>145456</v>
      </c>
      <c r="K6" s="718">
        <f>+[10]BARACSKA!K6+[10]ERCSI!K6+[10]GYÚRÓ!K6+[10]KAJÁSZÓ!K6+[10]MARTONVÁSÁR!K6+[10]RÁCKERESZTÚR!K6+[10]TORDAS!K6+[10]VÁL!K6</f>
        <v>296831</v>
      </c>
      <c r="L6" s="718">
        <f>+[10]BARACSKA!L6+[10]ERCSI!L6+[10]GYÚRÓ!L6+[10]KAJÁSZÓ!L6+[10]MARTONVÁSÁR!L6+[10]RÁCKERESZTÚR!L6+[10]TORDAS!L6+[10]VÁL!L6</f>
        <v>312566</v>
      </c>
      <c r="M6" s="718">
        <f>+[10]BARACSKA!M6+[10]ERCSI!M6+[10]GYÚRÓ!M6+[10]KAJÁSZÓ!M6+[10]MARTONVÁSÁR!M6+[10]RÁCKERESZTÚR!M6+[10]TORDAS!M6+[10]VÁL!M6</f>
        <v>189331</v>
      </c>
      <c r="N6" s="718">
        <f>+[10]BARACSKA!N6+[10]ERCSI!N6+[10]GYÚRÓ!N6+[10]KAJÁSZÓ!N6+[10]MARTONVÁSÁR!N6+[10]RÁCKERESZTÚR!N6+[10]TORDAS!N6+[10]VÁL!N6</f>
        <v>298328</v>
      </c>
      <c r="O6" s="718">
        <f>+[10]BARACSKA!O6+[10]ERCSI!O6+[10]GYÚRÓ!O6+[10]KAJÁSZÓ!O6+[10]MARTONVÁSÁR!O6+[10]RÁCKERESZTÚR!O6+[10]TORDAS!O6+[10]VÁL!O6</f>
        <v>442971</v>
      </c>
      <c r="P6" s="1164">
        <f t="shared" si="0"/>
        <v>2880000</v>
      </c>
      <c r="Q6" s="1165">
        <f t="shared" si="1"/>
        <v>0</v>
      </c>
      <c r="T6" s="452"/>
    </row>
    <row r="7" spans="1:20" s="451" customFormat="1" x14ac:dyDescent="0.2">
      <c r="A7" s="719" t="s">
        <v>1235</v>
      </c>
      <c r="B7" s="281">
        <f>+'[10]PÉNZESZKÖZ ÁTVÉTEL ÖSSZESEN'!$B7</f>
        <v>535000</v>
      </c>
      <c r="C7" s="281">
        <f>+'[10]PÉNZESZKÖZ ÁTVÉTEL ÖSSZESEN'!$C7</f>
        <v>0</v>
      </c>
      <c r="D7" s="718">
        <f>+[10]BARACSKA!D7+[10]ERCSI!D7+[10]GYÚRÓ!D7+[10]KAJÁSZÓ!D7+[10]MARTONVÁSÁR!D7+[10]RÁCKERESZTÚR!D7+[10]TORDAS!D7+[10]VÁL!D7</f>
        <v>4148</v>
      </c>
      <c r="E7" s="718">
        <f>+[10]BARACSKA!E7+[10]ERCSI!E7+[10]GYÚRÓ!E7+[10]KAJÁSZÓ!E7+[10]MARTONVÁSÁR!E7+[10]RÁCKERESZTÚR!E7+[10]TORDAS!E7+[10]VÁL!E7</f>
        <v>7839</v>
      </c>
      <c r="F7" s="718">
        <f>+[10]BARACSKA!F7+[10]ERCSI!F7+[10]GYÚRÓ!F7+[10]KAJÁSZÓ!F7+[10]MARTONVÁSÁR!F7+[10]RÁCKERESZTÚR!F7+[10]TORDAS!F7+[10]VÁL!F7</f>
        <v>66899</v>
      </c>
      <c r="G7" s="718">
        <f>+[10]BARACSKA!G7+[10]ERCSI!G7+[10]GYÚRÓ!G7+[10]KAJÁSZÓ!G7+[10]MARTONVÁSÁR!G7+[10]RÁCKERESZTÚR!G7+[10]TORDAS!G7+[10]VÁL!G7</f>
        <v>17821</v>
      </c>
      <c r="H7" s="718">
        <f>+[10]BARACSKA!H7+[10]ERCSI!H7+[10]GYÚRÓ!H7+[10]KAJÁSZÓ!H7+[10]MARTONVÁSÁR!H7+[10]RÁCKERESZTÚR!H7+[10]TORDAS!H7+[10]VÁL!H7</f>
        <v>17642</v>
      </c>
      <c r="I7" s="718">
        <f>+[10]BARACSKA!I7+[10]ERCSI!I7+[10]GYÚRÓ!I7+[10]KAJÁSZÓ!I7+[10]MARTONVÁSÁR!I7+[10]RÁCKERESZTÚR!I7+[10]TORDAS!I7+[10]VÁL!I7</f>
        <v>134075</v>
      </c>
      <c r="J7" s="718">
        <f>+[10]BARACSKA!J7+[10]ERCSI!J7+[10]GYÚRÓ!J7+[10]KAJÁSZÓ!J7+[10]MARTONVÁSÁR!J7+[10]RÁCKERESZTÚR!J7+[10]TORDAS!J7+[10]VÁL!J7</f>
        <v>18288</v>
      </c>
      <c r="K7" s="718">
        <f>+[10]BARACSKA!K7+[10]ERCSI!K7+[10]GYÚRÓ!K7+[10]KAJÁSZÓ!K7+[10]MARTONVÁSÁR!K7+[10]RÁCKERESZTÚR!K7+[10]TORDAS!K7+[10]VÁL!K7</f>
        <v>51711</v>
      </c>
      <c r="L7" s="718">
        <f>+[10]BARACSKA!L7+[10]ERCSI!L7+[10]GYÚRÓ!L7+[10]KAJÁSZÓ!L7+[10]MARTONVÁSÁR!L7+[10]RÁCKERESZTÚR!L7+[10]TORDAS!L7+[10]VÁL!L7</f>
        <v>88699</v>
      </c>
      <c r="M7" s="718">
        <f>+[10]BARACSKA!M7+[10]ERCSI!M7+[10]GYÚRÓ!M7+[10]KAJÁSZÓ!M7+[10]MARTONVÁSÁR!M7+[10]RÁCKERESZTÚR!M7+[10]TORDAS!M7+[10]VÁL!M7</f>
        <v>35210</v>
      </c>
      <c r="N7" s="718">
        <f>+[10]BARACSKA!N7+[10]ERCSI!N7+[10]GYÚRÓ!N7+[10]KAJÁSZÓ!N7+[10]MARTONVÁSÁR!N7+[10]RÁCKERESZTÚR!N7+[10]TORDAS!N7+[10]VÁL!N7</f>
        <v>46205</v>
      </c>
      <c r="O7" s="718">
        <f>+[10]BARACSKA!O7+[10]ERCSI!O7+[10]GYÚRÓ!O7+[10]KAJÁSZÓ!O7+[10]MARTONVÁSÁR!O7+[10]RÁCKERESZTÚR!O7+[10]TORDAS!O7+[10]VÁL!O7</f>
        <v>46463</v>
      </c>
      <c r="P7" s="1164">
        <f>+SUM(D7:O7)</f>
        <v>535000</v>
      </c>
      <c r="Q7" s="1165">
        <f t="shared" si="1"/>
        <v>0</v>
      </c>
      <c r="T7" s="452"/>
    </row>
    <row r="8" spans="1:20" s="451" customFormat="1" x14ac:dyDescent="0.2">
      <c r="A8" s="719" t="s">
        <v>1265</v>
      </c>
      <c r="B8" s="281">
        <f>+'[10]PÉNZESZKÖZ ÁTVÉTEL ÖSSZESEN'!$B8</f>
        <v>4000000</v>
      </c>
      <c r="C8" s="281">
        <f>+'[10]PÉNZESZKÖZ ÁTVÉTEL ÖSSZESEN'!$C8</f>
        <v>0</v>
      </c>
      <c r="D8" s="718">
        <f>+[10]BARACSKA!D8+[10]ERCSI!D8+[10]GYÚRÓ!D8+[10]KAJÁSZÓ!D8+[10]MARTONVÁSÁR!D8+[10]RÁCKERESZTÚR!D8+[10]TORDAS!D8+[10]VÁL!D8</f>
        <v>62756</v>
      </c>
      <c r="E8" s="718">
        <f>+[10]BARACSKA!E8+[10]ERCSI!E8+[10]GYÚRÓ!E8+[10]KAJÁSZÓ!E8+[10]MARTONVÁSÁR!E8+[10]RÁCKERESZTÚR!E8+[10]TORDAS!E8+[10]VÁL!E8</f>
        <v>117955</v>
      </c>
      <c r="F8" s="718">
        <f>+[10]BARACSKA!F8+[10]ERCSI!F8+[10]GYÚRÓ!F8+[10]KAJÁSZÓ!F8+[10]MARTONVÁSÁR!F8+[10]RÁCKERESZTÚR!F8+[10]TORDAS!F8+[10]VÁL!F8</f>
        <v>604230</v>
      </c>
      <c r="G8" s="718">
        <f>+[10]BARACSKA!G8+[10]ERCSI!G8+[10]GYÚRÓ!G8+[10]KAJÁSZÓ!G8+[10]MARTONVÁSÁR!G8+[10]RÁCKERESZTÚR!G8+[10]TORDAS!G8+[10]VÁL!G8</f>
        <v>122998</v>
      </c>
      <c r="H8" s="718">
        <f>+[10]BARACSKA!H8+[10]ERCSI!H8+[10]GYÚRÓ!H8+[10]KAJÁSZÓ!H8+[10]MARTONVÁSÁR!H8+[10]RÁCKERESZTÚR!H8+[10]TORDAS!H8+[10]VÁL!H8</f>
        <v>119232</v>
      </c>
      <c r="I8" s="718">
        <f>+[10]BARACSKA!I8+[10]ERCSI!I8+[10]GYÚRÓ!I8+[10]KAJÁSZÓ!I8+[10]MARTONVÁSÁR!I8+[10]RÁCKERESZTÚR!I8+[10]TORDAS!I8+[10]VÁL!I8</f>
        <v>661472</v>
      </c>
      <c r="J8" s="718">
        <f>+[10]BARACSKA!J8+[10]ERCSI!J8+[10]GYÚRÓ!J8+[10]KAJÁSZÓ!J8+[10]MARTONVÁSÁR!J8+[10]RÁCKERESZTÚR!J8+[10]TORDAS!J8+[10]VÁL!J8</f>
        <v>156913</v>
      </c>
      <c r="K8" s="718">
        <f>+[10]BARACSKA!K8+[10]ERCSI!K8+[10]GYÚRÓ!K8+[10]KAJÁSZÓ!K8+[10]MARTONVÁSÁR!K8+[10]RÁCKERESZTÚR!K8+[10]TORDAS!K8+[10]VÁL!K8</f>
        <v>388782</v>
      </c>
      <c r="L8" s="718">
        <f>+[10]BARACSKA!L8+[10]ERCSI!L8+[10]GYÚRÓ!L8+[10]KAJÁSZÓ!L8+[10]MARTONVÁSÁR!L8+[10]RÁCKERESZTÚR!L8+[10]TORDAS!L8+[10]VÁL!L8</f>
        <v>493168</v>
      </c>
      <c r="M8" s="718">
        <f>+[10]BARACSKA!M8+[10]ERCSI!M8+[10]GYÚRÓ!M8+[10]KAJÁSZÓ!M8+[10]MARTONVÁSÁR!M8+[10]RÁCKERESZTÚR!M8+[10]TORDAS!M8+[10]VÁL!M8</f>
        <v>210080</v>
      </c>
      <c r="N8" s="718">
        <f>+[10]BARACSKA!N8+[10]ERCSI!N8+[10]GYÚRÓ!N8+[10]KAJÁSZÓ!N8+[10]MARTONVÁSÁR!N8+[10]RÁCKERESZTÚR!N8+[10]TORDAS!N8+[10]VÁL!N8</f>
        <v>374596</v>
      </c>
      <c r="O8" s="718">
        <f>+[10]BARACSKA!O8+[10]ERCSI!O8+[10]GYÚRÓ!O8+[10]KAJÁSZÓ!O8+[10]MARTONVÁSÁR!O8+[10]RÁCKERESZTÚR!O8+[10]TORDAS!O8+[10]VÁL!O8</f>
        <v>687818</v>
      </c>
      <c r="P8" s="1164">
        <f>+SUM(D8:O8)</f>
        <v>4000000</v>
      </c>
      <c r="Q8" s="1165">
        <f t="shared" si="1"/>
        <v>0</v>
      </c>
      <c r="T8" s="452"/>
    </row>
    <row r="9" spans="1:20" s="451" customFormat="1" x14ac:dyDescent="0.2">
      <c r="A9" s="720" t="s">
        <v>1236</v>
      </c>
      <c r="B9" s="281">
        <f>+'[10]PÉNZESZKÖZ ÁTVÉTEL ÖSSZESEN'!$B9</f>
        <v>0</v>
      </c>
      <c r="C9" s="281">
        <f>+'[10]PÉNZESZKÖZ ÁTVÉTEL ÖSSZESEN'!$C9</f>
        <v>0</v>
      </c>
      <c r="D9" s="718">
        <f>+[10]BARACSKA!D9+[10]ERCSI!D9+[10]GYÚRÓ!D9+[10]KAJÁSZÓ!D9+[10]MARTONVÁSÁR!D9+[10]RÁCKERESZTÚR!D9+[10]TORDAS!D9+[10]VÁL!D9</f>
        <v>0</v>
      </c>
      <c r="E9" s="718">
        <f>+[10]BARACSKA!E9+[10]ERCSI!E9+[10]GYÚRÓ!E9+[10]KAJÁSZÓ!E9+[10]MARTONVÁSÁR!E9+[10]RÁCKERESZTÚR!E9+[10]TORDAS!E9+[10]VÁL!E9</f>
        <v>0</v>
      </c>
      <c r="F9" s="718">
        <f>+[10]BARACSKA!F9+[10]ERCSI!F9+[10]GYÚRÓ!F9+[10]KAJÁSZÓ!F9+[10]MARTONVÁSÁR!F9+[10]RÁCKERESZTÚR!F9+[10]TORDAS!F9+[10]VÁL!F9</f>
        <v>0</v>
      </c>
      <c r="G9" s="718">
        <f>+[10]BARACSKA!G9+[10]ERCSI!G9+[10]GYÚRÓ!G9+[10]KAJÁSZÓ!G9+[10]MARTONVÁSÁR!G9+[10]RÁCKERESZTÚR!G9+[10]TORDAS!G9+[10]VÁL!G9</f>
        <v>0</v>
      </c>
      <c r="H9" s="718">
        <f>+[10]BARACSKA!H9+[10]ERCSI!H9+[10]GYÚRÓ!H9+[10]KAJÁSZÓ!H9+[10]MARTONVÁSÁR!H9+[10]RÁCKERESZTÚR!H9+[10]TORDAS!H9+[10]VÁL!H9</f>
        <v>0</v>
      </c>
      <c r="I9" s="718">
        <f>+[10]BARACSKA!I9+[10]ERCSI!I9+[10]GYÚRÓ!I9+[10]KAJÁSZÓ!I9+[10]MARTONVÁSÁR!I9+[10]RÁCKERESZTÚR!I9+[10]TORDAS!I9+[10]VÁL!I9</f>
        <v>0</v>
      </c>
      <c r="J9" s="718">
        <f>+[10]BARACSKA!J9+[10]ERCSI!J9+[10]GYÚRÓ!J9+[10]KAJÁSZÓ!J9+[10]MARTONVÁSÁR!J9+[10]RÁCKERESZTÚR!J9+[10]TORDAS!J9+[10]VÁL!J9</f>
        <v>0</v>
      </c>
      <c r="K9" s="718">
        <f>+[10]BARACSKA!K9+[10]ERCSI!K9+[10]GYÚRÓ!K9+[10]KAJÁSZÓ!K9+[10]MARTONVÁSÁR!K9+[10]RÁCKERESZTÚR!K9+[10]TORDAS!K9+[10]VÁL!K9</f>
        <v>0</v>
      </c>
      <c r="L9" s="718">
        <f>+[10]BARACSKA!L9+[10]ERCSI!L9+[10]GYÚRÓ!L9+[10]KAJÁSZÓ!L9+[10]MARTONVÁSÁR!L9+[10]RÁCKERESZTÚR!L9+[10]TORDAS!L9+[10]VÁL!L9</f>
        <v>0</v>
      </c>
      <c r="M9" s="718">
        <f>+[10]BARACSKA!M9+[10]ERCSI!M9+[10]GYÚRÓ!M9+[10]KAJÁSZÓ!M9+[10]MARTONVÁSÁR!M9+[10]RÁCKERESZTÚR!M9+[10]TORDAS!M9+[10]VÁL!M9</f>
        <v>0</v>
      </c>
      <c r="N9" s="718">
        <f>+[10]BARACSKA!N9+[10]ERCSI!N9+[10]GYÚRÓ!N9+[10]KAJÁSZÓ!N9+[10]MARTONVÁSÁR!N9+[10]RÁCKERESZTÚR!N9+[10]TORDAS!N9+[10]VÁL!N9</f>
        <v>0</v>
      </c>
      <c r="O9" s="718">
        <f>+[10]BARACSKA!O9+[10]ERCSI!O9+[10]GYÚRÓ!O9+[10]KAJÁSZÓ!O9+[10]MARTONVÁSÁR!O9+[10]RÁCKERESZTÚR!O9+[10]TORDAS!O9+[10]VÁL!O9</f>
        <v>0</v>
      </c>
      <c r="P9" s="1164">
        <f t="shared" si="0"/>
        <v>0</v>
      </c>
      <c r="Q9" s="1165">
        <f t="shared" si="1"/>
        <v>0</v>
      </c>
      <c r="T9" s="452"/>
    </row>
    <row r="10" spans="1:20" s="451" customFormat="1" x14ac:dyDescent="0.2">
      <c r="A10" s="720" t="s">
        <v>1178</v>
      </c>
      <c r="B10" s="281">
        <f>+'[10]PÉNZESZKÖZ ÁTVÉTEL ÖSSZESEN'!$B10</f>
        <v>7245000</v>
      </c>
      <c r="C10" s="281">
        <f>+'[10]PÉNZESZKÖZ ÁTVÉTEL ÖSSZESEN'!$C10</f>
        <v>-3995000</v>
      </c>
      <c r="D10" s="718">
        <f>+[10]BARACSKA!D10+[10]ERCSI!D10+[10]GYÚRÓ!D10+[10]KAJÁSZÓ!D10+[10]MARTONVÁSÁR!D10+[10]RÁCKERESZTÚR!D10+[10]TORDAS!D10+[10]VÁL!D10</f>
        <v>80104</v>
      </c>
      <c r="E10" s="718">
        <f>+[10]BARACSKA!E10+[10]ERCSI!E10+[10]GYÚRÓ!E10+[10]KAJÁSZÓ!E10+[10]MARTONVÁSÁR!E10+[10]RÁCKERESZTÚR!E10+[10]TORDAS!E10+[10]VÁL!E10</f>
        <v>150710</v>
      </c>
      <c r="F10" s="718">
        <f>+[10]BARACSKA!F10+[10]ERCSI!F10+[10]GYÚRÓ!F10+[10]KAJÁSZÓ!F10+[10]MARTONVÁSÁR!F10+[10]RÁCKERESZTÚR!F10+[10]TORDAS!F10+[10]VÁL!F10</f>
        <v>1078507</v>
      </c>
      <c r="G10" s="718">
        <f>+[10]BARACSKA!G10+[10]ERCSI!G10+[10]GYÚRÓ!G10+[10]KAJÁSZÓ!G10+[10]MARTONVÁSÁR!G10+[10]RÁCKERESZTÚR!G10+[10]TORDAS!G10+[10]VÁL!G10</f>
        <v>200967</v>
      </c>
      <c r="H10" s="718">
        <f>+[10]BARACSKA!H10+[10]ERCSI!H10+[10]GYÚRÓ!H10+[10]KAJÁSZÓ!H10+[10]MARTONVÁSÁR!H10+[10]RÁCKERESZTÚR!H10+[10]TORDAS!H10+[10]VÁL!H10</f>
        <v>186343</v>
      </c>
      <c r="I10" s="718">
        <f>+[10]BARACSKA!I10+[10]ERCSI!I10+[10]GYÚRÓ!I10+[10]KAJÁSZÓ!I10+[10]MARTONVÁSÁR!I10+[10]RÁCKERESZTÚR!I10+[10]TORDAS!I10+[10]VÁL!I10</f>
        <v>497003</v>
      </c>
      <c r="J10" s="718">
        <f>+[10]BARACSKA!J10+[10]ERCSI!J10+[10]GYÚRÓ!J10+[10]KAJÁSZÓ!J10+[10]MARTONVÁSÁR!J10+[10]RÁCKERESZTÚR!J10+[10]TORDAS!J10+[10]VÁL!J10</f>
        <v>192116</v>
      </c>
      <c r="K10" s="718">
        <f>+[10]BARACSKA!K10+[10]ERCSI!K10+[10]GYÚRÓ!K10+[10]KAJÁSZÓ!K10+[10]MARTONVÁSÁR!K10+[10]RÁCKERESZTÚR!K10+[10]TORDAS!K10+[10]VÁL!K10</f>
        <v>324812</v>
      </c>
      <c r="L10" s="718">
        <f>+[10]BARACSKA!L10+[10]ERCSI!L10+[10]GYÚRÓ!L10+[10]KAJÁSZÓ!L10+[10]MARTONVÁSÁR!L10+[10]RÁCKERESZTÚR!L10+[10]TORDAS!L10+[10]VÁL!L10</f>
        <v>384803</v>
      </c>
      <c r="M10" s="718">
        <f>+[10]BARACSKA!M10+[10]ERCSI!M10+[10]GYÚRÓ!M10+[10]KAJÁSZÓ!M10+[10]MARTONVÁSÁR!M10+[10]RÁCKERESZTÚR!M10+[10]TORDAS!M10+[10]VÁL!M10</f>
        <v>222575</v>
      </c>
      <c r="N10" s="718">
        <f>+[10]BARACSKA!N10+[10]ERCSI!N10+[10]GYÚRÓ!N10+[10]KAJÁSZÓ!N10+[10]MARTONVÁSÁR!N10+[10]RÁCKERESZTÚR!N10+[10]TORDAS!N10+[10]VÁL!N10</f>
        <v>275343</v>
      </c>
      <c r="O10" s="718">
        <f>+[10]BARACSKA!O10+[10]ERCSI!O10+[10]GYÚRÓ!O10+[10]KAJÁSZÓ!O10+[10]MARTONVÁSÁR!O10+[10]RÁCKERESZTÚR!O10+[10]TORDAS!O10+[10]VÁL!O10</f>
        <v>-343283</v>
      </c>
      <c r="P10" s="1164">
        <f>+SUM(D10:O10)</f>
        <v>3250000</v>
      </c>
      <c r="Q10" s="1165">
        <f t="shared" si="1"/>
        <v>0</v>
      </c>
      <c r="T10" s="452"/>
    </row>
    <row r="11" spans="1:20" s="451" customFormat="1" x14ac:dyDescent="0.2">
      <c r="A11" s="720" t="s">
        <v>306</v>
      </c>
      <c r="B11" s="281">
        <f>+'[10]PÉNZESZKÖZ ÁTVÉTEL ÖSSZESEN'!$B11</f>
        <v>8411000</v>
      </c>
      <c r="C11" s="281">
        <f>+'[10]PÉNZESZKÖZ ÁTVÉTEL ÖSSZESEN'!$C11</f>
        <v>-5092000</v>
      </c>
      <c r="D11" s="718">
        <f>+[10]BARACSKA!D11+[10]ERCSI!D11+[10]GYÚRÓ!D11+[10]KAJÁSZÓ!D11+[10]MARTONVÁSÁR!D11+[10]RÁCKERESZTÚR!D11+[10]TORDAS!D11+[10]VÁL!D11</f>
        <v>93003</v>
      </c>
      <c r="E11" s="718">
        <f>+[10]BARACSKA!E11+[10]ERCSI!E11+[10]GYÚRÓ!E11+[10]KAJÁSZÓ!E11+[10]MARTONVÁSÁR!E11+[10]RÁCKERESZTÚR!E11+[10]TORDAS!E11+[10]VÁL!E11</f>
        <v>175002</v>
      </c>
      <c r="F11" s="718">
        <f>+[10]BARACSKA!F11+[10]ERCSI!F11+[10]GYÚRÓ!F11+[10]KAJÁSZÓ!F11+[10]MARTONVÁSÁR!F11+[10]RÁCKERESZTÚR!F11+[10]TORDAS!F11+[10]VÁL!F11</f>
        <v>1227207</v>
      </c>
      <c r="G11" s="718">
        <f>+[10]BARACSKA!G11+[10]ERCSI!G11+[10]GYÚRÓ!G11+[10]KAJÁSZÓ!G11+[10]MARTONVÁSÁR!G11+[10]RÁCKERESZTÚR!G11+[10]TORDAS!G11+[10]VÁL!G11</f>
        <v>216529</v>
      </c>
      <c r="H11" s="718">
        <f>+[10]BARACSKA!H11+[10]ERCSI!H11+[10]GYÚRÓ!H11+[10]KAJÁSZÓ!H11+[10]MARTONVÁSÁR!H11+[10]RÁCKERESZTÚR!H11+[10]TORDAS!H11+[10]VÁL!H11</f>
        <v>198530</v>
      </c>
      <c r="I11" s="718">
        <f>+[10]BARACSKA!I11+[10]ERCSI!I11+[10]GYÚRÓ!I11+[10]KAJÁSZÓ!I11+[10]MARTONVÁSÁR!I11+[10]RÁCKERESZTÚR!I11+[10]TORDAS!I11+[10]VÁL!I11</f>
        <v>516076</v>
      </c>
      <c r="J11" s="718">
        <f>+[10]BARACSKA!J11+[10]ERCSI!J11+[10]GYÚRÓ!J11+[10]KAJÁSZÓ!J11+[10]MARTONVÁSÁR!J11+[10]RÁCKERESZTÚR!J11+[10]TORDAS!J11+[10]VÁL!J11</f>
        <v>204464</v>
      </c>
      <c r="K11" s="718">
        <f>+[10]BARACSKA!K11+[10]ERCSI!K11+[10]GYÚRÓ!K11+[10]KAJÁSZÓ!K11+[10]MARTONVÁSÁR!K11+[10]RÁCKERESZTÚR!K11+[10]TORDAS!K11+[10]VÁL!K11</f>
        <v>340281</v>
      </c>
      <c r="L11" s="718">
        <f>+[10]BARACSKA!L11+[10]ERCSI!L11+[10]GYÚRÓ!L11+[10]KAJÁSZÓ!L11+[10]MARTONVÁSÁR!L11+[10]RÁCKERESZTÚR!L11+[10]TORDAS!L11+[10]VÁL!L11</f>
        <v>401437</v>
      </c>
      <c r="M11" s="718">
        <f>+[10]BARACSKA!M11+[10]ERCSI!M11+[10]GYÚRÓ!M11+[10]KAJÁSZÓ!M11+[10]MARTONVÁSÁR!M11+[10]RÁCKERESZTÚR!M11+[10]TORDAS!M11+[10]VÁL!M11</f>
        <v>235675</v>
      </c>
      <c r="N11" s="718">
        <f>+[10]BARACSKA!N11+[10]ERCSI!N11+[10]GYÚRÓ!N11+[10]KAJÁSZÓ!N11+[10]MARTONVÁSÁR!N11+[10]RÁCKERESZTÚR!N11+[10]TORDAS!N11+[10]VÁL!N11</f>
        <v>289963</v>
      </c>
      <c r="O11" s="718">
        <f>+[10]BARACSKA!O11+[10]ERCSI!O11+[10]GYÚRÓ!O11+[10]KAJÁSZÓ!O11+[10]MARTONVÁSÁR!O11+[10]RÁCKERESZTÚR!O11+[10]TORDAS!O11+[10]VÁL!O11</f>
        <v>-579167</v>
      </c>
      <c r="P11" s="1164">
        <f>+SUM(D11:O11)</f>
        <v>3319000</v>
      </c>
      <c r="Q11" s="1165">
        <f t="shared" si="1"/>
        <v>0</v>
      </c>
      <c r="T11" s="452"/>
    </row>
    <row r="12" spans="1:20" s="451" customFormat="1" x14ac:dyDescent="0.2">
      <c r="A12" s="720" t="s">
        <v>1179</v>
      </c>
      <c r="B12" s="281">
        <f>+'[10]PÉNZESZKÖZ ÁTVÉTEL ÖSSZESEN'!$B12</f>
        <v>15980000</v>
      </c>
      <c r="C12" s="281">
        <f>+'[10]PÉNZESZKÖZ ÁTVÉTEL ÖSSZESEN'!$C12</f>
        <v>-5763000</v>
      </c>
      <c r="D12" s="718">
        <f>+[10]BARACSKA!D12+[10]ERCSI!D12+[10]GYÚRÓ!D12+[10]KAJÁSZÓ!D12+[10]MARTONVÁSÁR!D12+[10]RÁCKERESZTÚR!D12+[10]TORDAS!D12+[10]VÁL!D12</f>
        <v>176728</v>
      </c>
      <c r="E12" s="718">
        <f>+[10]BARACSKA!E12+[10]ERCSI!E12+[10]GYÚRÓ!E12+[10]KAJÁSZÓ!E12+[10]MARTONVÁSÁR!E12+[10]RÁCKERESZTÚR!E12+[10]TORDAS!E12+[10]VÁL!E12</f>
        <v>332379</v>
      </c>
      <c r="F12" s="718">
        <f>+[10]BARACSKA!F12+[10]ERCSI!F12+[10]GYÚRÓ!F12+[10]KAJÁSZÓ!F12+[10]MARTONVÁSÁR!F12+[10]RÁCKERESZTÚR!F12+[10]TORDAS!F12+[10]VÁL!F12</f>
        <v>2493201</v>
      </c>
      <c r="G12" s="718">
        <f>+[10]BARACSKA!G12+[10]ERCSI!G12+[10]GYÚRÓ!G12+[10]KAJÁSZÓ!G12+[10]MARTONVÁSÁR!G12+[10]RÁCKERESZTÚR!G12+[10]TORDAS!G12+[10]VÁL!G12</f>
        <v>554504</v>
      </c>
      <c r="H12" s="718">
        <f>+[10]BARACSKA!H12+[10]ERCSI!H12+[10]GYÚRÓ!H12+[10]KAJÁSZÓ!H12+[10]MARTONVÁSÁR!H12+[10]RÁCKERESZTÚR!H12+[10]TORDAS!H12+[10]VÁL!H12</f>
        <v>529842</v>
      </c>
      <c r="I12" s="718">
        <f>+[10]BARACSKA!I12+[10]ERCSI!I12+[10]GYÚRÓ!I12+[10]KAJÁSZÓ!I12+[10]MARTONVÁSÁR!I12+[10]RÁCKERESZTÚR!I12+[10]TORDAS!I12+[10]VÁL!I12</f>
        <v>1506664</v>
      </c>
      <c r="J12" s="718">
        <f>+[10]BARACSKA!J12+[10]ERCSI!J12+[10]GYÚRÓ!J12+[10]KAJÁSZÓ!J12+[10]MARTONVÁSÁR!J12+[10]RÁCKERESZTÚR!J12+[10]TORDAS!J12+[10]VÁL!J12</f>
        <v>548077</v>
      </c>
      <c r="K12" s="718">
        <f>+[10]BARACSKA!K12+[10]ERCSI!K12+[10]GYÚRÓ!K12+[10]KAJÁSZÓ!K12+[10]MARTONVÁSÁR!K12+[10]RÁCKERESZTÚR!K12+[10]TORDAS!K12+[10]VÁL!K12</f>
        <v>966011</v>
      </c>
      <c r="L12" s="718">
        <f>+[10]BARACSKA!L12+[10]ERCSI!L12+[10]GYÚRÓ!L12+[10]KAJÁSZÓ!L12+[10]MARTONVÁSÁR!L12+[10]RÁCKERESZTÚR!L12+[10]TORDAS!L12+[10]VÁL!L12</f>
        <v>1153895</v>
      </c>
      <c r="M12" s="718">
        <f>+[10]BARACSKA!M12+[10]ERCSI!M12+[10]GYÚRÓ!M12+[10]KAJÁSZÓ!M12+[10]MARTONVÁSÁR!M12+[10]RÁCKERESZTÚR!M12+[10]TORDAS!M12+[10]VÁL!M12</f>
        <v>644044</v>
      </c>
      <c r="N12" s="718">
        <f>+[10]BARACSKA!N12+[10]ERCSI!N12+[10]GYÚRÓ!N12+[10]KAJÁSZÓ!N12+[10]MARTONVÁSÁR!N12+[10]RÁCKERESZTÚR!N12+[10]TORDAS!N12+[10]VÁL!N12</f>
        <v>940422</v>
      </c>
      <c r="O12" s="718">
        <f>+[10]BARACSKA!O12+[10]ERCSI!O12+[10]GYÚRÓ!O12+[10]KAJÁSZÓ!O12+[10]MARTONVÁSÁR!O12+[10]RÁCKERESZTÚR!O12+[10]TORDAS!O12+[10]VÁL!O12</f>
        <v>371233</v>
      </c>
      <c r="P12" s="1164">
        <f t="shared" si="0"/>
        <v>10217000</v>
      </c>
      <c r="Q12" s="1165">
        <f t="shared" si="1"/>
        <v>0</v>
      </c>
      <c r="T12" s="452"/>
    </row>
    <row r="13" spans="1:20" s="451" customFormat="1" x14ac:dyDescent="0.2">
      <c r="A13" s="720" t="s">
        <v>1237</v>
      </c>
      <c r="B13" s="281">
        <f>+'[10]PÉNZESZKÖZ ÁTVÉTEL ÖSSZESEN'!$B13</f>
        <v>12037000</v>
      </c>
      <c r="C13" s="281">
        <f>+'[10]PÉNZESZKÖZ ÁTVÉTEL ÖSSZESEN'!$C13</f>
        <v>-1353000</v>
      </c>
      <c r="D13" s="718">
        <f>+[10]BARACSKA!D13+[10]ERCSI!D13+[10]GYÚRÓ!D13+[10]KAJÁSZÓ!D13+[10]MARTONVÁSÁR!D13+[10]RÁCKERESZTÚR!D13+[10]TORDAS!D13+[10]VÁL!D13</f>
        <v>154100</v>
      </c>
      <c r="E13" s="718">
        <f>+[10]BARACSKA!E13+[10]ERCSI!E13+[10]GYÚRÓ!E13+[10]KAJÁSZÓ!E13+[10]MARTONVÁSÁR!E13+[10]RÁCKERESZTÚR!E13+[10]TORDAS!E13+[10]VÁL!E13</f>
        <v>289854</v>
      </c>
      <c r="F13" s="718">
        <f>+[10]BARACSKA!F13+[10]ERCSI!F13+[10]GYÚRÓ!F13+[10]KAJÁSZÓ!F13+[10]MARTONVÁSÁR!F13+[10]RÁCKERESZTÚR!F13+[10]TORDAS!F13+[10]VÁL!F13</f>
        <v>1962540</v>
      </c>
      <c r="G13" s="718">
        <f>+[10]BARACSKA!G13+[10]ERCSI!G13+[10]GYÚRÓ!G13+[10]KAJÁSZÓ!G13+[10]MARTONVÁSÁR!G13+[10]RÁCKERESZTÚR!G13+[10]TORDAS!G13+[10]VÁL!G13</f>
        <v>609722</v>
      </c>
      <c r="H13" s="718">
        <f>+[10]BARACSKA!H13+[10]ERCSI!H13+[10]GYÚRÓ!H13+[10]KAJÁSZÓ!H13+[10]MARTONVÁSÁR!H13+[10]RÁCKERESZTÚR!H13+[10]TORDAS!H13+[10]VÁL!H13</f>
        <v>482166</v>
      </c>
      <c r="I13" s="718">
        <f>+[10]BARACSKA!I13+[10]ERCSI!I13+[10]GYÚRÓ!I13+[10]KAJÁSZÓ!I13+[10]MARTONVÁSÁR!I13+[10]RÁCKERESZTÚR!I13+[10]TORDAS!I13+[10]VÁL!I13</f>
        <v>1664343</v>
      </c>
      <c r="J13" s="718">
        <f>+[10]BARACSKA!J13+[10]ERCSI!J13+[10]GYÚRÓ!J13+[10]KAJÁSZÓ!J13+[10]MARTONVÁSÁR!J13+[10]RÁCKERESZTÚR!J13+[10]TORDAS!J13+[10]VÁL!J13</f>
        <v>504310</v>
      </c>
      <c r="K13" s="718">
        <f>+[10]BARACSKA!K13+[10]ERCSI!K13+[10]GYÚRÓ!K13+[10]KAJÁSZÓ!K13+[10]MARTONVÁSÁR!K13+[10]RÁCKERESZTÚR!K13+[10]TORDAS!K13+[10]VÁL!K13</f>
        <v>1010170</v>
      </c>
      <c r="L13" s="718">
        <f>+[10]BARACSKA!L13+[10]ERCSI!L13+[10]GYÚRÓ!L13+[10]KAJÁSZÓ!L13+[10]MARTONVÁSÁR!L13+[10]RÁCKERESZTÚR!L13+[10]TORDAS!L13+[10]VÁL!L13</f>
        <v>1237406</v>
      </c>
      <c r="M13" s="718">
        <f>+[10]BARACSKA!M13+[10]ERCSI!M13+[10]GYÚRÓ!M13+[10]KAJÁSZÓ!M13+[10]MARTONVÁSÁR!M13+[10]RÁCKERESZTÚR!M13+[10]TORDAS!M13+[10]VÁL!M13</f>
        <v>620471</v>
      </c>
      <c r="N13" s="718">
        <f>+[10]BARACSKA!N13+[10]ERCSI!N13+[10]GYÚRÓ!N13+[10]KAJÁSZÓ!N13+[10]MARTONVÁSÁR!N13+[10]RÁCKERESZTÚR!N13+[10]TORDAS!N13+[10]VÁL!N13</f>
        <v>979471</v>
      </c>
      <c r="O13" s="718">
        <f>+[10]BARACSKA!O13+[10]ERCSI!O13+[10]GYÚRÓ!O13+[10]KAJÁSZÓ!O13+[10]MARTONVÁSÁR!O13+[10]RÁCKERESZTÚR!O13+[10]TORDAS!O13+[10]VÁL!O13</f>
        <v>1169447</v>
      </c>
      <c r="P13" s="1164">
        <f>+SUM(D13:O13)</f>
        <v>10684000</v>
      </c>
      <c r="Q13" s="1165">
        <f t="shared" si="1"/>
        <v>0</v>
      </c>
      <c r="T13" s="452"/>
    </row>
    <row r="14" spans="1:20" s="451" customFormat="1" x14ac:dyDescent="0.2">
      <c r="A14" s="720" t="s">
        <v>1238</v>
      </c>
      <c r="B14" s="281">
        <f>+'[10]PÉNZESZKÖZ ÁTVÉTEL ÖSSZESEN'!$B14</f>
        <v>9039000</v>
      </c>
      <c r="C14" s="281">
        <f>+'[10]PÉNZESZKÖZ ÁTVÉTEL ÖSSZESEN'!$C14</f>
        <v>-470000</v>
      </c>
      <c r="D14" s="718">
        <f>+[10]BARACSKA!D14+[10]ERCSI!D14+[10]GYÚRÓ!D14+[10]KAJÁSZÓ!D14+[10]MARTONVÁSÁR!D14+[10]RÁCKERESZTÚR!D14+[10]TORDAS!D14+[10]VÁL!D14</f>
        <v>681794</v>
      </c>
      <c r="E14" s="718">
        <f>+[10]BARACSKA!E14+[10]ERCSI!E14+[10]GYÚRÓ!E14+[10]KAJÁSZÓ!E14+[10]MARTONVÁSÁR!E14+[10]RÁCKERESZTÚR!E14+[10]TORDAS!E14+[10]VÁL!E14</f>
        <v>671091</v>
      </c>
      <c r="F14" s="718">
        <f>+[10]BARACSKA!F14+[10]ERCSI!F14+[10]GYÚRÓ!F14+[10]KAJÁSZÓ!F14+[10]MARTONVÁSÁR!F14+[10]RÁCKERESZTÚR!F14+[10]TORDAS!F14+[10]VÁL!F14</f>
        <v>681794</v>
      </c>
      <c r="G14" s="718">
        <f>+[10]BARACSKA!G14+[10]ERCSI!G14+[10]GYÚRÓ!G14+[10]KAJÁSZÓ!G14+[10]MARTONVÁSÁR!G14+[10]RÁCKERESZTÚR!G14+[10]TORDAS!G14+[10]VÁL!G14</f>
        <v>604201</v>
      </c>
      <c r="H14" s="718">
        <f>+[10]BARACSKA!H14+[10]ERCSI!H14+[10]GYÚRÓ!H14+[10]KAJÁSZÓ!H14+[10]MARTONVÁSÁR!H14+[10]RÁCKERESZTÚR!H14+[10]TORDAS!H14+[10]VÁL!H14</f>
        <v>604201</v>
      </c>
      <c r="I14" s="718">
        <f>+[10]BARACSKA!I14+[10]ERCSI!I14+[10]GYÚRÓ!I14+[10]KAJÁSZÓ!I14+[10]MARTONVÁSÁR!I14+[10]RÁCKERESZTÚR!I14+[10]TORDAS!I14+[10]VÁL!I14</f>
        <v>604201</v>
      </c>
      <c r="J14" s="718">
        <f>+[10]BARACSKA!J14+[10]ERCSI!J14+[10]GYÚRÓ!J14+[10]KAJÁSZÓ!J14+[10]MARTONVÁSÁR!J14+[10]RÁCKERESZTÚR!J14+[10]TORDAS!J14+[10]VÁL!J14</f>
        <v>745354</v>
      </c>
      <c r="K14" s="718">
        <f>+[10]BARACSKA!K14+[10]ERCSI!K14+[10]GYÚRÓ!K14+[10]KAJÁSZÓ!K14+[10]MARTONVÁSÁR!K14+[10]RÁCKERESZTÚR!K14+[10]TORDAS!K14+[10]VÁL!K14</f>
        <v>1490708</v>
      </c>
      <c r="L14" s="718">
        <f>+[10]BARACSKA!L14+[10]ERCSI!L14+[10]GYÚRÓ!L14+[10]KAJÁSZÓ!L14+[10]MARTONVÁSÁR!L14+[10]RÁCKERESZTÚR!L14+[10]TORDAS!L14+[10]VÁL!L14</f>
        <v>0</v>
      </c>
      <c r="M14" s="718">
        <f>+[10]BARACSKA!M14+[10]ERCSI!M14+[10]GYÚRÓ!M14+[10]KAJÁSZÓ!M14+[10]MARTONVÁSÁR!M14+[10]RÁCKERESZTÚR!M14+[10]TORDAS!M14+[10]VÁL!M14</f>
        <v>745354</v>
      </c>
      <c r="N14" s="718">
        <f>+[10]BARACSKA!N14+[10]ERCSI!N14+[10]GYÚRÓ!N14+[10]KAJÁSZÓ!N14+[10]MARTONVÁSÁR!N14+[10]RÁCKERESZTÚR!N14+[10]TORDAS!N14+[10]VÁL!N14</f>
        <v>745354</v>
      </c>
      <c r="O14" s="718">
        <f>+[10]BARACSKA!O14+[10]ERCSI!O14+[10]GYÚRÓ!O14+[10]KAJÁSZÓ!O14+[10]MARTONVÁSÁR!O14+[10]RÁCKERESZTÚR!O14+[10]TORDAS!O14+[10]VÁL!O14</f>
        <v>994948</v>
      </c>
      <c r="P14" s="1164">
        <f t="shared" si="0"/>
        <v>8569000</v>
      </c>
      <c r="Q14" s="1165">
        <f t="shared" si="1"/>
        <v>0</v>
      </c>
      <c r="T14" s="452"/>
    </row>
    <row r="15" spans="1:20" s="451" customFormat="1" x14ac:dyDescent="0.2">
      <c r="A15" s="719" t="s">
        <v>1079</v>
      </c>
      <c r="B15" s="281">
        <f>+'[10]PÉNZESZKÖZ ÁTVÉTEL ÖSSZESEN'!$B15</f>
        <v>0</v>
      </c>
      <c r="C15" s="281">
        <f>+'[10]PÉNZESZKÖZ ÁTVÉTEL ÖSSZESEN'!$C15</f>
        <v>0</v>
      </c>
      <c r="D15" s="718">
        <f>+[10]BARACSKA!D15+[10]ERCSI!D15+[10]GYÚRÓ!D15+[10]KAJÁSZÓ!D15+[10]MARTONVÁSÁR!D15+[10]RÁCKERESZTÚR!D15+[10]TORDAS!D15+[10]VÁL!D15</f>
        <v>0</v>
      </c>
      <c r="E15" s="718">
        <f>+[10]BARACSKA!E15+[10]ERCSI!E15+[10]GYÚRÓ!E15+[10]KAJÁSZÓ!E15+[10]MARTONVÁSÁR!E15+[10]RÁCKERESZTÚR!E15+[10]TORDAS!E15+[10]VÁL!E15</f>
        <v>0</v>
      </c>
      <c r="F15" s="718">
        <f>+[10]BARACSKA!F15+[10]ERCSI!F15+[10]GYÚRÓ!F15+[10]KAJÁSZÓ!F15+[10]MARTONVÁSÁR!F15+[10]RÁCKERESZTÚR!F15+[10]TORDAS!F15+[10]VÁL!F15</f>
        <v>0</v>
      </c>
      <c r="G15" s="718">
        <f>+[10]BARACSKA!G15+[10]ERCSI!G15+[10]GYÚRÓ!G15+[10]KAJÁSZÓ!G15+[10]MARTONVÁSÁR!G15+[10]RÁCKERESZTÚR!G15+[10]TORDAS!G15+[10]VÁL!G15</f>
        <v>0</v>
      </c>
      <c r="H15" s="718">
        <f>+[10]BARACSKA!H15+[10]ERCSI!H15+[10]GYÚRÓ!H15+[10]KAJÁSZÓ!H15+[10]MARTONVÁSÁR!H15+[10]RÁCKERESZTÚR!H15+[10]TORDAS!H15+[10]VÁL!H15</f>
        <v>0</v>
      </c>
      <c r="I15" s="718">
        <f>+[10]BARACSKA!I15+[10]ERCSI!I15+[10]GYÚRÓ!I15+[10]KAJÁSZÓ!I15+[10]MARTONVÁSÁR!I15+[10]RÁCKERESZTÚR!I15+[10]TORDAS!I15+[10]VÁL!I15</f>
        <v>0</v>
      </c>
      <c r="J15" s="718">
        <f>+[10]BARACSKA!J15+[10]ERCSI!J15+[10]GYÚRÓ!J15+[10]KAJÁSZÓ!J15+[10]MARTONVÁSÁR!J15+[10]RÁCKERESZTÚR!J15+[10]TORDAS!J15+[10]VÁL!J15</f>
        <v>0</v>
      </c>
      <c r="K15" s="718">
        <f>+[10]BARACSKA!K15+[10]ERCSI!K15+[10]GYÚRÓ!K15+[10]KAJÁSZÓ!K15+[10]MARTONVÁSÁR!K15+[10]RÁCKERESZTÚR!K15+[10]TORDAS!K15+[10]VÁL!K15</f>
        <v>0</v>
      </c>
      <c r="L15" s="718">
        <f>+[10]BARACSKA!L15+[10]ERCSI!L15+[10]GYÚRÓ!L15+[10]KAJÁSZÓ!L15+[10]MARTONVÁSÁR!L15+[10]RÁCKERESZTÚR!L15+[10]TORDAS!L15+[10]VÁL!L15</f>
        <v>0</v>
      </c>
      <c r="M15" s="718">
        <f>+[10]BARACSKA!M15+[10]ERCSI!M15+[10]GYÚRÓ!M15+[10]KAJÁSZÓ!M15+[10]MARTONVÁSÁR!M15+[10]RÁCKERESZTÚR!M15+[10]TORDAS!M15+[10]VÁL!M15</f>
        <v>0</v>
      </c>
      <c r="N15" s="718">
        <f>+[10]BARACSKA!N15+[10]ERCSI!N15+[10]GYÚRÓ!N15+[10]KAJÁSZÓ!N15+[10]MARTONVÁSÁR!N15+[10]RÁCKERESZTÚR!N15+[10]TORDAS!N15+[10]VÁL!N15</f>
        <v>0</v>
      </c>
      <c r="O15" s="718">
        <f>+[10]BARACSKA!O15+[10]ERCSI!O15+[10]GYÚRÓ!O15+[10]KAJÁSZÓ!O15+[10]MARTONVÁSÁR!O15+[10]RÁCKERESZTÚR!O15+[10]TORDAS!O15+[10]VÁL!O15</f>
        <v>0</v>
      </c>
      <c r="P15" s="1164">
        <f t="shared" si="0"/>
        <v>0</v>
      </c>
      <c r="Q15" s="1165">
        <f t="shared" si="1"/>
        <v>0</v>
      </c>
      <c r="T15" s="452"/>
    </row>
    <row r="16" spans="1:20" s="451" customFormat="1" ht="13.5" thickBot="1" x14ac:dyDescent="0.25">
      <c r="A16" s="1166" t="s">
        <v>1048</v>
      </c>
      <c r="B16" s="1167">
        <f>+'[10]PÉNZESZKÖZ ÁTVÉTEL ÖSSZESEN'!$B16</f>
        <v>3195000</v>
      </c>
      <c r="C16" s="1167">
        <f>+'[10]PÉNZESZKÖZ ÁTVÉTEL ÖSSZESEN'!$C16</f>
        <v>-147000</v>
      </c>
      <c r="D16" s="1168">
        <f>+[10]BARACSKA!D16+[10]ERCSI!D16+[10]GYÚRÓ!D16+[10]KAJÁSZÓ!D16+[10]MARTONVÁSÁR!D16+[10]RÁCKERESZTÚR!D16+[10]TORDAS!D16+[10]VÁL!D16</f>
        <v>96397</v>
      </c>
      <c r="E16" s="1168">
        <f>+[10]BARACSKA!E16+[10]ERCSI!E16+[10]GYÚRÓ!E16+[10]KAJÁSZÓ!E16+[10]MARTONVÁSÁR!E16+[10]RÁCKERESZTÚR!E16+[10]TORDAS!E16+[10]VÁL!E16</f>
        <v>94884</v>
      </c>
      <c r="F16" s="1168">
        <f>+[10]BARACSKA!F16+[10]ERCSI!F16+[10]GYÚRÓ!F16+[10]KAJÁSZÓ!F16+[10]MARTONVÁSÁR!F16+[10]RÁCKERESZTÚR!F16+[10]TORDAS!F16+[10]VÁL!F16</f>
        <v>576397</v>
      </c>
      <c r="G16" s="1168">
        <f>+[10]BARACSKA!G16+[10]ERCSI!G16+[10]GYÚRÓ!G16+[10]KAJÁSZÓ!G16+[10]MARTONVÁSÁR!G16+[10]RÁCKERESZTÚR!G16+[10]TORDAS!G16+[10]VÁL!G16</f>
        <v>248518</v>
      </c>
      <c r="H16" s="1168">
        <f>+[10]BARACSKA!H16+[10]ERCSI!H16+[10]GYÚRÓ!H16+[10]KAJÁSZÓ!H16+[10]MARTONVÁSÁR!H16+[10]RÁCKERESZTÚR!H16+[10]TORDAS!H16+[10]VÁL!H16</f>
        <v>248518</v>
      </c>
      <c r="I16" s="1168">
        <f>+[10]BARACSKA!I16+[10]ERCSI!I16+[10]GYÚRÓ!I16+[10]KAJÁSZÓ!I16+[10]MARTONVÁSÁR!I16+[10]RÁCKERESZTÚR!I16+[10]TORDAS!I16+[10]VÁL!I16</f>
        <v>248518</v>
      </c>
      <c r="J16" s="1168">
        <f>+[10]BARACSKA!J16+[10]ERCSI!J16+[10]GYÚRÓ!J16+[10]KAJÁSZÓ!J16+[10]MARTONVÁSÁR!J16+[10]RÁCKERESZTÚR!J16+[10]TORDAS!J16+[10]VÁL!J16</f>
        <v>238474</v>
      </c>
      <c r="K16" s="1168">
        <f>+[10]BARACSKA!K16+[10]ERCSI!K16+[10]GYÚRÓ!K16+[10]KAJÁSZÓ!K16+[10]MARTONVÁSÁR!K16+[10]RÁCKERESZTÚR!K16+[10]TORDAS!K16+[10]VÁL!K16</f>
        <v>344587</v>
      </c>
      <c r="L16" s="1168">
        <f>+[10]BARACSKA!L16+[10]ERCSI!L16+[10]GYÚRÓ!L16+[10]KAJÁSZÓ!L16+[10]MARTONVÁSÁR!L16+[10]RÁCKERESZTÚR!L16+[10]TORDAS!L16+[10]VÁL!L16</f>
        <v>132442</v>
      </c>
      <c r="M16" s="1168">
        <f>+[10]BARACSKA!M16+[10]ERCSI!M16+[10]GYÚRÓ!M16+[10]KAJÁSZÓ!M16+[10]MARTONVÁSÁR!M16+[10]RÁCKERESZTÚR!M16+[10]TORDAS!M16+[10]VÁL!M16</f>
        <v>238555</v>
      </c>
      <c r="N16" s="1168">
        <f>+[10]BARACSKA!N16+[10]ERCSI!N16+[10]GYÚRÓ!N16+[10]KAJÁSZÓ!N16+[10]MARTONVÁSÁR!N16+[10]RÁCKERESZTÚR!N16+[10]TORDAS!N16+[10]VÁL!N16</f>
        <v>238474</v>
      </c>
      <c r="O16" s="1168">
        <f>+[10]BARACSKA!O16+[10]ERCSI!O16+[10]GYÚRÓ!O16+[10]KAJÁSZÓ!O16+[10]MARTONVÁSÁR!O16+[10]RÁCKERESZTÚR!O16+[10]TORDAS!O16+[10]VÁL!O16</f>
        <v>342236</v>
      </c>
      <c r="P16" s="1169">
        <f t="shared" si="0"/>
        <v>3048000</v>
      </c>
      <c r="Q16" s="1170">
        <f>+SUM(B16:C16)-P16</f>
        <v>0</v>
      </c>
      <c r="T16" s="452"/>
    </row>
    <row r="17" spans="1:20" s="451" customFormat="1" x14ac:dyDescent="0.2">
      <c r="A17" s="1171" t="s">
        <v>1182</v>
      </c>
      <c r="B17" s="1274">
        <f>+'[10]PÉNZESZKÖZ ÁTVÉTEL ÖSSZESEN'!$B$17</f>
        <v>1825000</v>
      </c>
      <c r="C17" s="1274">
        <f>+'[10]PÉNZESZKÖZ ÁTVÉTEL ÖSSZESEN'!$C17</f>
        <v>0</v>
      </c>
      <c r="D17" s="788">
        <f>+[10]BARACSKA!D17+[10]ERCSI!D17+[10]GYÚRÓ!D17+[10]KAJÁSZÓ!D17+[10]MARTONVÁSÁR!D17+[10]RÁCKERESZTÚR!D17+[10]TORDAS!D17+[10]VÁL!D17</f>
        <v>19385</v>
      </c>
      <c r="E17" s="788">
        <f>+[10]BARACSKA!E17+[10]ERCSI!E17+[10]GYÚRÓ!E17+[10]KAJÁSZÓ!E17+[10]MARTONVÁSÁR!E17+[10]RÁCKERESZTÚR!E17+[10]TORDAS!E17+[10]VÁL!E17</f>
        <v>19081</v>
      </c>
      <c r="F17" s="788">
        <f>+[10]BARACSKA!F17+[10]ERCSI!F17+[10]GYÚRÓ!F17+[10]KAJÁSZÓ!F17+[10]MARTONVÁSÁR!F17+[10]RÁCKERESZTÚR!F17+[10]TORDAS!F17+[10]VÁL!F17</f>
        <v>372714</v>
      </c>
      <c r="G17" s="788">
        <f>+[10]BARACSKA!G17+[10]ERCSI!G17+[10]GYÚRÓ!G17+[10]KAJÁSZÓ!G17+[10]MARTONVÁSÁR!G17+[10]RÁCKERESZTÚR!G17+[10]TORDAS!G17+[10]VÁL!G17</f>
        <v>106839</v>
      </c>
      <c r="H17" s="788">
        <f>+[10]BARACSKA!H17+[10]ERCSI!H17+[10]GYÚRÓ!H17+[10]KAJÁSZÓ!H17+[10]MARTONVÁSÁR!H17+[10]RÁCKERESZTÚR!H17+[10]TORDAS!H17+[10]VÁL!H17</f>
        <v>91308</v>
      </c>
      <c r="I17" s="788">
        <f>+[10]BARACSKA!I17+[10]ERCSI!I17+[10]GYÚRÓ!I17+[10]KAJÁSZÓ!I17+[10]MARTONVÁSÁR!I17+[10]RÁCKERESZTÚR!I17+[10]TORDAS!I17+[10]VÁL!I17</f>
        <v>290220</v>
      </c>
      <c r="J17" s="788">
        <f>+[10]BARACSKA!J17+[10]ERCSI!J17+[10]GYÚRÓ!J17+[10]KAJÁSZÓ!J17+[10]MARTONVÁSÁR!J17+[10]RÁCKERESZTÚR!J17+[10]TORDAS!J17+[10]VÁL!J17</f>
        <v>90169</v>
      </c>
      <c r="K17" s="788">
        <f>+[10]BARACSKA!K17+[10]ERCSI!K17+[10]GYÚRÓ!K17+[10]KAJÁSZÓ!K17+[10]MARTONVÁSÁR!K17+[10]RÁCKERESZTÚR!K17+[10]TORDAS!K17+[10]VÁL!K17</f>
        <v>161808</v>
      </c>
      <c r="L17" s="788">
        <f>+[10]BARACSKA!L17+[10]ERCSI!L17+[10]GYÚRÓ!L17+[10]KAJÁSZÓ!L17+[10]MARTONVÁSÁR!L17+[10]RÁCKERESZTÚR!L17+[10]TORDAS!L17+[10]VÁL!L17</f>
        <v>232547</v>
      </c>
      <c r="M17" s="788">
        <f>+[10]BARACSKA!M17+[10]ERCSI!M17+[10]GYÚRÓ!M17+[10]KAJÁSZÓ!M17+[10]MARTONVÁSÁR!M17+[10]RÁCKERESZTÚR!M17+[10]TORDAS!M17+[10]VÁL!M17</f>
        <v>106620</v>
      </c>
      <c r="N17" s="788">
        <f>+[10]BARACSKA!N17+[10]ERCSI!N17+[10]GYÚRÓ!N17+[10]KAJÁSZÓ!N17+[10]MARTONVÁSÁR!N17+[10]RÁCKERESZTÚR!N17+[10]TORDAS!N17+[10]VÁL!N17</f>
        <v>183105</v>
      </c>
      <c r="O17" s="788">
        <f>+[10]BARACSKA!O17+[10]ERCSI!O17+[10]GYÚRÓ!O17+[10]KAJÁSZÓ!O17+[10]MARTONVÁSÁR!O17+[10]RÁCKERESZTÚR!O17+[10]TORDAS!O17+[10]VÁL!O17</f>
        <v>151204</v>
      </c>
      <c r="P17" s="1261">
        <f>+SUM(D17:O17)</f>
        <v>1825000</v>
      </c>
      <c r="Q17" s="1172">
        <f t="shared" ref="Q17" si="2">+SUM(B17:C17)-P17</f>
        <v>0</v>
      </c>
      <c r="T17" s="452"/>
    </row>
    <row r="18" spans="1:20" s="451" customFormat="1" x14ac:dyDescent="0.2">
      <c r="A18" s="720" t="s">
        <v>1183</v>
      </c>
      <c r="B18" s="281">
        <f>+'[10]PÉNZESZKÖZ ÁTVÉTEL ÖSSZESEN'!$B$18</f>
        <v>803000</v>
      </c>
      <c r="C18" s="281">
        <f>+'[10]PÉNZESZKÖZ ÁTVÉTEL ÖSSZESEN'!$C18</f>
        <v>0</v>
      </c>
      <c r="D18" s="718">
        <f>+[10]BARACSKA!D18+[10]ERCSI!D18+[10]GYÚRÓ!D18+[10]KAJÁSZÓ!D18+[10]MARTONVÁSÁR!D18+[10]RÁCKERESZTÚR!D18+[10]TORDAS!D18+[10]VÁL!D18</f>
        <v>9655</v>
      </c>
      <c r="E18" s="718">
        <f>+[10]BARACSKA!E18+[10]ERCSI!E18+[10]GYÚRÓ!E18+[10]KAJÁSZÓ!E18+[10]MARTONVÁSÁR!E18+[10]RÁCKERESZTÚR!E18+[10]TORDAS!E18+[10]VÁL!E18</f>
        <v>35635</v>
      </c>
      <c r="F18" s="718">
        <f>+[10]BARACSKA!F18+[10]ERCSI!F18+[10]GYÚRÓ!F18+[10]KAJÁSZÓ!F18+[10]MARTONVÁSÁR!F18+[10]RÁCKERESZTÚR!F18+[10]TORDAS!F18+[10]VÁL!F18</f>
        <v>100989</v>
      </c>
      <c r="G18" s="718">
        <f>+[10]BARACSKA!G18+[10]ERCSI!G18+[10]GYÚRÓ!G18+[10]KAJÁSZÓ!G18+[10]MARTONVÁSÁR!G18+[10]RÁCKERESZTÚR!G18+[10]TORDAS!G18+[10]VÁL!G18</f>
        <v>19025</v>
      </c>
      <c r="H18" s="718">
        <f>+[10]BARACSKA!H18+[10]ERCSI!H18+[10]GYÚRÓ!H18+[10]KAJÁSZÓ!H18+[10]MARTONVÁSÁR!H18+[10]RÁCKERESZTÚR!H18+[10]TORDAS!H18+[10]VÁL!H18</f>
        <v>32778</v>
      </c>
      <c r="I18" s="718">
        <f>+[10]BARACSKA!I18+[10]ERCSI!I18+[10]GYÚRÓ!I18+[10]KAJÁSZÓ!I18+[10]MARTONVÁSÁR!I18+[10]RÁCKERESZTÚR!I18+[10]TORDAS!I18+[10]VÁL!I18</f>
        <v>85131</v>
      </c>
      <c r="J18" s="718">
        <f>+[10]BARACSKA!J18+[10]ERCSI!J18+[10]GYÚRÓ!J18+[10]KAJÁSZÓ!J18+[10]MARTONVÁSÁR!J18+[10]RÁCKERESZTÚR!J18+[10]TORDAS!J18+[10]VÁL!J18</f>
        <v>38614</v>
      </c>
      <c r="K18" s="718">
        <f>+[10]BARACSKA!K18+[10]ERCSI!K18+[10]GYÚRÓ!K18+[10]KAJÁSZÓ!K18+[10]MARTONVÁSÁR!K18+[10]RÁCKERESZTÚR!K18+[10]TORDAS!K18+[10]VÁL!K18</f>
        <v>74248</v>
      </c>
      <c r="L18" s="718">
        <f>+[10]BARACSKA!L18+[10]ERCSI!L18+[10]GYÚRÓ!L18+[10]KAJÁSZÓ!L18+[10]MARTONVÁSÁR!L18+[10]RÁCKERESZTÚR!L18+[10]TORDAS!L18+[10]VÁL!L18</f>
        <v>51980</v>
      </c>
      <c r="M18" s="718">
        <f>+[10]BARACSKA!M18+[10]ERCSI!M18+[10]GYÚRÓ!M18+[10]KAJÁSZÓ!M18+[10]MARTONVÁSÁR!M18+[10]RÁCKERESZTÚR!M18+[10]TORDAS!M18+[10]VÁL!M18</f>
        <v>46781</v>
      </c>
      <c r="N18" s="718">
        <f>+[10]BARACSKA!N18+[10]ERCSI!N18+[10]GYÚRÓ!N18+[10]KAJÁSZÓ!N18+[10]MARTONVÁSÁR!N18+[10]RÁCKERESZTÚR!N18+[10]TORDAS!N18+[10]VÁL!N18</f>
        <v>46781</v>
      </c>
      <c r="O18" s="718">
        <f>+[10]BARACSKA!O18+[10]ERCSI!O18+[10]GYÚRÓ!O18+[10]KAJÁSZÓ!O18+[10]MARTONVÁSÁR!O18+[10]RÁCKERESZTÚR!O18+[10]TORDAS!O18+[10]VÁL!O18</f>
        <v>261383</v>
      </c>
      <c r="P18" s="1164">
        <f>+SUM(D18:O18)</f>
        <v>803000</v>
      </c>
      <c r="Q18" s="1165">
        <f>+SUM(B18:C18)-P18</f>
        <v>0</v>
      </c>
      <c r="T18" s="452"/>
    </row>
    <row r="19" spans="1:20" s="451" customFormat="1" x14ac:dyDescent="0.2">
      <c r="A19" s="720" t="s">
        <v>1239</v>
      </c>
      <c r="B19" s="281"/>
      <c r="C19" s="281">
        <f>+'[10]PÉNZESZKÖZ ÁTVÉTEL ÖSSZESEN'!$C19</f>
        <v>19949092</v>
      </c>
      <c r="D19" s="718">
        <f>+[10]BARACSKA!D19+[10]ERCSI!D19+[10]GYÚRÓ!D19+[10]KAJÁSZÓ!D19+[10]MARTONVÁSÁR!D19+[10]RÁCKERESZTÚR!D19+[10]TORDAS!D19+[10]VÁL!D19</f>
        <v>0</v>
      </c>
      <c r="E19" s="718">
        <f>+[10]BARACSKA!E19+[10]ERCSI!E19+[10]GYÚRÓ!E19+[10]KAJÁSZÓ!E19+[10]MARTONVÁSÁR!E19+[10]RÁCKERESZTÚR!E19+[10]TORDAS!E19+[10]VÁL!E19</f>
        <v>0</v>
      </c>
      <c r="F19" s="718">
        <f>+[10]BARACSKA!F19+[10]ERCSI!F19+[10]GYÚRÓ!F19+[10]KAJÁSZÓ!F19+[10]MARTONVÁSÁR!F19+[10]RÁCKERESZTÚR!F19+[10]TORDAS!F19+[10]VÁL!F19</f>
        <v>5677289</v>
      </c>
      <c r="G19" s="718">
        <f>+[10]BARACSKA!G19+[10]ERCSI!G19+[10]GYÚRÓ!G19+[10]KAJÁSZÓ!G19+[10]MARTONVÁSÁR!G19+[10]RÁCKERESZTÚR!G19+[10]TORDAS!G19+[10]VÁL!G19</f>
        <v>1622082</v>
      </c>
      <c r="H19" s="718">
        <f>+[10]BARACSKA!H19+[10]ERCSI!H19+[10]GYÚRÓ!H19+[10]KAJÁSZÓ!H19+[10]MARTONVÁSÁR!H19+[10]RÁCKERESZTÚR!H19+[10]TORDAS!H19+[10]VÁL!H19</f>
        <v>1622082</v>
      </c>
      <c r="I19" s="718">
        <f>+[10]BARACSKA!I19+[10]ERCSI!I19+[10]GYÚRÓ!I19+[10]KAJÁSZÓ!I19+[10]MARTONVÁSÁR!I19+[10]RÁCKERESZTÚR!I19+[10]TORDAS!I19+[10]VÁL!I19</f>
        <v>1622083</v>
      </c>
      <c r="J19" s="718">
        <f>+[10]BARACSKA!J19+[10]ERCSI!J19+[10]GYÚRÓ!J19+[10]KAJÁSZÓ!J19+[10]MARTONVÁSÁR!J19+[10]RÁCKERESZTÚR!J19+[10]TORDAS!J19+[10]VÁL!J19</f>
        <v>1614570</v>
      </c>
      <c r="K19" s="718">
        <f>+[10]BARACSKA!K19+[10]ERCSI!K19+[10]GYÚRÓ!K19+[10]KAJÁSZÓ!K19+[10]MARTONVÁSÁR!K19+[10]RÁCKERESZTÚR!K19+[10]TORDAS!K19+[10]VÁL!K19</f>
        <v>1614569</v>
      </c>
      <c r="L19" s="718">
        <f>+[10]BARACSKA!L19+[10]ERCSI!L19+[10]GYÚRÓ!L19+[10]KAJÁSZÓ!L19+[10]MARTONVÁSÁR!L19+[10]RÁCKERESZTÚR!L19+[10]TORDAS!L19+[10]VÁL!L19</f>
        <v>1614569</v>
      </c>
      <c r="M19" s="718">
        <f>+[10]BARACSKA!M19+[10]ERCSI!M19+[10]GYÚRÓ!M19+[10]KAJÁSZÓ!M19+[10]MARTONVÁSÁR!M19+[10]RÁCKERESZTÚR!M19+[10]TORDAS!M19+[10]VÁL!M19</f>
        <v>1614569</v>
      </c>
      <c r="N19" s="718">
        <f>+[10]BARACSKA!N19+[10]ERCSI!N19+[10]GYÚRÓ!N19+[10]KAJÁSZÓ!N19+[10]MARTONVÁSÁR!N19+[10]RÁCKERESZTÚR!N19+[10]TORDAS!N19+[10]VÁL!N19</f>
        <v>1355258</v>
      </c>
      <c r="O19" s="718">
        <f>+[10]BARACSKA!O19+[10]ERCSI!O19+[10]GYÚRÓ!O19+[10]KAJÁSZÓ!O19+[10]MARTONVÁSÁR!O19+[10]RÁCKERESZTÚR!O19+[10]TORDAS!O19+[10]VÁL!O19</f>
        <v>1592021</v>
      </c>
      <c r="P19" s="1164">
        <f t="shared" si="0"/>
        <v>19949092</v>
      </c>
      <c r="Q19" s="1165">
        <f>+SUM(B19:C19)-P19</f>
        <v>0</v>
      </c>
    </row>
    <row r="20" spans="1:20" s="451" customFormat="1" x14ac:dyDescent="0.2">
      <c r="A20" s="720" t="s">
        <v>1240</v>
      </c>
      <c r="B20" s="281"/>
      <c r="C20" s="281">
        <f>+'[10]PÉNZESZKÖZ ÁTVÉTEL ÖSSZESEN'!$C20</f>
        <v>1808400</v>
      </c>
      <c r="D20" s="718">
        <f>+[10]BARACSKA!D20+[10]ERCSI!D20+[10]GYÚRÓ!D20+[10]KAJÁSZÓ!D20+[10]MARTONVÁSÁR!D20+[10]RÁCKERESZTÚR!D20+[10]TORDAS!D20+[10]VÁL!D20</f>
        <v>0</v>
      </c>
      <c r="E20" s="718">
        <f>+[10]BARACSKA!E20+[10]ERCSI!E20+[10]GYÚRÓ!E20+[10]KAJÁSZÓ!E20+[10]MARTONVÁSÁR!E20+[10]RÁCKERESZTÚR!E20+[10]TORDAS!E20+[10]VÁL!E20</f>
        <v>0</v>
      </c>
      <c r="F20" s="718">
        <f>+[10]BARACSKA!F20+[10]ERCSI!F20+[10]GYÚRÓ!F20+[10]KAJÁSZÓ!F20+[10]MARTONVÁSÁR!F20+[10]RÁCKERESZTÚR!F20+[10]TORDAS!F20+[10]VÁL!F20</f>
        <v>0</v>
      </c>
      <c r="G20" s="718">
        <f>+[10]BARACSKA!G20+[10]ERCSI!G20+[10]GYÚRÓ!G20+[10]KAJÁSZÓ!G20+[10]MARTONVÁSÁR!G20+[10]RÁCKERESZTÚR!G20+[10]TORDAS!G20+[10]VÁL!G20</f>
        <v>0</v>
      </c>
      <c r="H20" s="718">
        <f>+[10]BARACSKA!H20+[10]ERCSI!H20+[10]GYÚRÓ!H20+[10]KAJÁSZÓ!H20+[10]MARTONVÁSÁR!H20+[10]RÁCKERESZTÚR!H20+[10]TORDAS!H20+[10]VÁL!H20</f>
        <v>0</v>
      </c>
      <c r="I20" s="718">
        <f>+[10]BARACSKA!I20+[10]ERCSI!I20+[10]GYÚRÓ!I20+[10]KAJÁSZÓ!I20+[10]MARTONVÁSÁR!I20+[10]RÁCKERESZTÚR!I20+[10]TORDAS!I20+[10]VÁL!I20</f>
        <v>1808400</v>
      </c>
      <c r="J20" s="718">
        <f>+[10]BARACSKA!J20+[10]ERCSI!J20+[10]GYÚRÓ!J20+[10]KAJÁSZÓ!J20+[10]MARTONVÁSÁR!J20+[10]RÁCKERESZTÚR!J20+[10]TORDAS!J20+[10]VÁL!J20</f>
        <v>0</v>
      </c>
      <c r="K20" s="718">
        <f>+[10]BARACSKA!K20+[10]ERCSI!K20+[10]GYÚRÓ!K20+[10]KAJÁSZÓ!K20+[10]MARTONVÁSÁR!K20+[10]RÁCKERESZTÚR!K20+[10]TORDAS!K20+[10]VÁL!K20</f>
        <v>0</v>
      </c>
      <c r="L20" s="718">
        <f>+[10]BARACSKA!L20+[10]ERCSI!L20+[10]GYÚRÓ!L20+[10]KAJÁSZÓ!L20+[10]MARTONVÁSÁR!L20+[10]RÁCKERESZTÚR!L20+[10]TORDAS!L20+[10]VÁL!L20</f>
        <v>0</v>
      </c>
      <c r="M20" s="718">
        <f>+[10]BARACSKA!M20+[10]ERCSI!M20+[10]GYÚRÓ!M20+[10]KAJÁSZÓ!M20+[10]MARTONVÁSÁR!M20+[10]RÁCKERESZTÚR!M20+[10]TORDAS!M20+[10]VÁL!M20</f>
        <v>0</v>
      </c>
      <c r="N20" s="718">
        <f>+[10]BARACSKA!N20+[10]ERCSI!N20+[10]GYÚRÓ!N20+[10]KAJÁSZÓ!N20+[10]MARTONVÁSÁR!N20+[10]RÁCKERESZTÚR!N20+[10]TORDAS!N20+[10]VÁL!N20</f>
        <v>0</v>
      </c>
      <c r="O20" s="718">
        <f>+[10]BARACSKA!O20+[10]ERCSI!O20+[10]GYÚRÓ!O20+[10]KAJÁSZÓ!O20+[10]MARTONVÁSÁR!O20+[10]RÁCKERESZTÚR!O20+[10]TORDAS!O20+[10]VÁL!O20</f>
        <v>0</v>
      </c>
      <c r="P20" s="1164">
        <f t="shared" si="0"/>
        <v>1808400</v>
      </c>
      <c r="Q20" s="1165">
        <f>+SUM(B20:C20)-P20</f>
        <v>0</v>
      </c>
    </row>
    <row r="21" spans="1:20" s="451" customFormat="1" x14ac:dyDescent="0.2">
      <c r="A21" s="720" t="s">
        <v>280</v>
      </c>
      <c r="B21" s="281"/>
      <c r="C21" s="281">
        <f>+'[10]PÉNZESZKÖZ ÁTVÉTEL ÖSSZESEN'!$C21</f>
        <v>32674814</v>
      </c>
      <c r="D21" s="718">
        <f>+[10]BARACSKA!D21+[10]ERCSI!D21+[10]GYÚRÓ!D21+[10]KAJÁSZÓ!D21+[10]MARTONVÁSÁR!D21+[10]RÁCKERESZTÚR!D21+[10]TORDAS!D21+[10]VÁL!D21</f>
        <v>2754911</v>
      </c>
      <c r="E21" s="718">
        <f>+[10]BARACSKA!E21+[10]ERCSI!E21+[10]GYÚRÓ!E21+[10]KAJÁSZÓ!E21+[10]MARTONVÁSÁR!E21+[10]RÁCKERESZTÚR!E21+[10]TORDAS!E21+[10]VÁL!E21</f>
        <v>2796678</v>
      </c>
      <c r="F21" s="718">
        <f>+[10]BARACSKA!F21+[10]ERCSI!F21+[10]GYÚRÓ!F21+[10]KAJÁSZÓ!F21+[10]MARTONVÁSÁR!F21+[10]RÁCKERESZTÚR!F21+[10]TORDAS!F21+[10]VÁL!F21</f>
        <v>2745339</v>
      </c>
      <c r="G21" s="718">
        <f>+[10]BARACSKA!G21+[10]ERCSI!G21+[10]GYÚRÓ!G21+[10]KAJÁSZÓ!G21+[10]MARTONVÁSÁR!G21+[10]RÁCKERESZTÚR!G21+[10]TORDAS!G21+[10]VÁL!G21</f>
        <v>2486845</v>
      </c>
      <c r="H21" s="718">
        <f>+[10]BARACSKA!H21+[10]ERCSI!H21+[10]GYÚRÓ!H21+[10]KAJÁSZÓ!H21+[10]MARTONVÁSÁR!H21+[10]RÁCKERESZTÚR!H21+[10]TORDAS!H21+[10]VÁL!H21</f>
        <v>2680077</v>
      </c>
      <c r="I21" s="718">
        <f>+[10]BARACSKA!I21+[10]ERCSI!I21+[10]GYÚRÓ!I21+[10]KAJÁSZÓ!I21+[10]MARTONVÁSÁR!I21+[10]RÁCKERESZTÚR!I21+[10]TORDAS!I21+[10]VÁL!I21</f>
        <v>2780117</v>
      </c>
      <c r="J21" s="718">
        <f>+[10]BARACSKA!J21+[10]ERCSI!J21+[10]GYÚRÓ!J21+[10]KAJÁSZÓ!J21+[10]MARTONVÁSÁR!J21+[10]RÁCKERESZTÚR!J21+[10]TORDAS!J21+[10]VÁL!J21</f>
        <v>2743007</v>
      </c>
      <c r="K21" s="718">
        <f>+[10]BARACSKA!K21+[10]ERCSI!K21+[10]GYÚRÓ!K21+[10]KAJÁSZÓ!K21+[10]MARTONVÁSÁR!K21+[10]RÁCKERESZTÚR!K21+[10]TORDAS!K21+[10]VÁL!K21</f>
        <v>2659687</v>
      </c>
      <c r="L21" s="718">
        <f>+[10]BARACSKA!L21+[10]ERCSI!L21+[10]GYÚRÓ!L21+[10]KAJÁSZÓ!L21+[10]MARTONVÁSÁR!L21+[10]RÁCKERESZTÚR!L21+[10]TORDAS!L21+[10]VÁL!L21</f>
        <v>2743345</v>
      </c>
      <c r="M21" s="718">
        <f>+[10]BARACSKA!M21+[10]ERCSI!M21+[10]GYÚRÓ!M21+[10]KAJÁSZÓ!M21+[10]MARTONVÁSÁR!M21+[10]RÁCKERESZTÚR!M21+[10]TORDAS!M21+[10]VÁL!M21</f>
        <v>2743502</v>
      </c>
      <c r="N21" s="718">
        <f>+[10]BARACSKA!N21+[10]ERCSI!N21+[10]GYÚRÓ!N21+[10]KAJÁSZÓ!N21+[10]MARTONVÁSÁR!N21+[10]RÁCKERESZTÚR!N21+[10]TORDAS!N21+[10]VÁL!N21</f>
        <v>2697940</v>
      </c>
      <c r="O21" s="718">
        <f>+[10]BARACSKA!O21+[10]ERCSI!O21+[10]GYÚRÓ!O21+[10]KAJÁSZÓ!O21+[10]MARTONVÁSÁR!O21+[10]RÁCKERESZTÚR!O21+[10]TORDAS!O21+[10]VÁL!O21</f>
        <v>2843366</v>
      </c>
      <c r="P21" s="1164">
        <f t="shared" si="0"/>
        <v>32674814</v>
      </c>
      <c r="Q21" s="1165">
        <f t="shared" ref="Q21:Q22" si="3">+SUM(B21:C21)-P21</f>
        <v>0</v>
      </c>
    </row>
    <row r="22" spans="1:20" s="451" customFormat="1" x14ac:dyDescent="0.2">
      <c r="A22" s="855" t="s">
        <v>308</v>
      </c>
      <c r="B22" s="281">
        <f>+'[10]PÉNZESZKÖZ ÁTVÉTEL ÖSSZESEN'!$B$22</f>
        <v>139330982</v>
      </c>
      <c r="C22" s="281">
        <f>+'[10]PÉNZESZKÖZ ÁTVÉTEL ÖSSZESEN'!$C22</f>
        <v>-1585510</v>
      </c>
      <c r="D22" s="718">
        <f>+[10]BARACSKA!D22+[10]ERCSI!D22+[10]GYÚRÓ!D22+[10]KAJÁSZÓ!D22+[10]MARTONVÁSÁR!D22+[10]RÁCKERESZTÚR!D22+[10]TORDAS!D22+[10]VÁL!D22</f>
        <v>12039717</v>
      </c>
      <c r="E22" s="718">
        <f>+[10]BARACSKA!E22+[10]ERCSI!E22+[10]GYÚRÓ!E22+[10]KAJÁSZÓ!E22+[10]MARTONVÁSÁR!E22+[10]RÁCKERESZTÚR!E22+[10]TORDAS!E22+[10]VÁL!E22</f>
        <v>5771478</v>
      </c>
      <c r="F22" s="718">
        <f>+[10]BARACSKA!F22+[10]ERCSI!F22+[10]GYÚRÓ!F22+[10]KAJÁSZÓ!F22+[10]MARTONVÁSÁR!F22+[10]RÁCKERESZTÚR!F22+[10]TORDAS!F22+[10]VÁL!F22</f>
        <v>21201478</v>
      </c>
      <c r="G22" s="718">
        <f>+[10]BARACSKA!G22+[10]ERCSI!G22+[10]GYÚRÓ!G22+[10]KAJÁSZÓ!G22+[10]MARTONVÁSÁR!G22+[10]RÁCKERESZTÚR!G22+[10]TORDAS!G22+[10]VÁL!G22</f>
        <v>11146478</v>
      </c>
      <c r="H22" s="718">
        <f>+[10]BARACSKA!H22+[10]ERCSI!H22+[10]GYÚRÓ!H22+[10]KAJÁSZÓ!H22+[10]MARTONVÁSÁR!H22+[10]RÁCKERESZTÚR!H22+[10]TORDAS!H22+[10]VÁL!H22</f>
        <v>11146478</v>
      </c>
      <c r="I22" s="718">
        <f>+[10]BARACSKA!I22+[10]ERCSI!I22+[10]GYÚRÓ!I22+[10]KAJÁSZÓ!I22+[10]MARTONVÁSÁR!I22+[10]RÁCKERESZTÚR!I22+[10]TORDAS!I22+[10]VÁL!I22</f>
        <v>11146478</v>
      </c>
      <c r="J22" s="718">
        <f>+[10]BARACSKA!J22+[10]ERCSI!J22+[10]GYÚRÓ!J22+[10]KAJÁSZÓ!J22+[10]MARTONVÁSÁR!J22+[10]RÁCKERESZTÚR!J22+[10]TORDAS!J22+[10]VÁL!J22</f>
        <v>11169735</v>
      </c>
      <c r="K22" s="718">
        <f>+[10]BARACSKA!K22+[10]ERCSI!K22+[10]GYÚRÓ!K22+[10]KAJÁSZÓ!K22+[10]MARTONVÁSÁR!K22+[10]RÁCKERESZTÚR!K22+[10]TORDAS!K22+[10]VÁL!K22</f>
        <v>11169735</v>
      </c>
      <c r="L22" s="718">
        <f>+[10]BARACSKA!L22+[10]ERCSI!L22+[10]GYÚRÓ!L22+[10]KAJÁSZÓ!L22+[10]MARTONVÁSÁR!L22+[10]RÁCKERESZTÚR!L22+[10]TORDAS!L22+[10]VÁL!L22</f>
        <v>11169735</v>
      </c>
      <c r="M22" s="718">
        <f>+[10]BARACSKA!M22+[10]ERCSI!M22+[10]GYÚRÓ!M22+[10]KAJÁSZÓ!M22+[10]MARTONVÁSÁR!M22+[10]RÁCKERESZTÚR!M22+[10]TORDAS!M22+[10]VÁL!M22</f>
        <v>11169735</v>
      </c>
      <c r="N22" s="718">
        <f>+[10]BARACSKA!N22+[10]ERCSI!N22+[10]GYÚRÓ!N22+[10]KAJÁSZÓ!N22+[10]MARTONVÁSÁR!N22+[10]RÁCKERESZTÚR!N22+[10]TORDAS!N22+[10]VÁL!N22</f>
        <v>11169735</v>
      </c>
      <c r="O22" s="718">
        <f>+[10]BARACSKA!O22+[10]ERCSI!O22+[10]GYÚRÓ!O22+[10]KAJÁSZÓ!O22+[10]MARTONVÁSÁR!O22+[10]RÁCKERESZTÚR!O22+[10]TORDAS!O22+[10]VÁL!O22</f>
        <v>9444690</v>
      </c>
      <c r="P22" s="1173">
        <f t="shared" ref="P22" si="4">+SUM(D22:O22)</f>
        <v>137745472</v>
      </c>
      <c r="Q22" s="1165">
        <f t="shared" si="3"/>
        <v>0</v>
      </c>
    </row>
    <row r="23" spans="1:20" s="451" customFormat="1" ht="13.5" thickBot="1" x14ac:dyDescent="0.25">
      <c r="A23" s="721" t="s">
        <v>14</v>
      </c>
      <c r="B23" s="722">
        <f t="shared" ref="B23:P23" si="5">SUM(B2:B22)</f>
        <v>240283982</v>
      </c>
      <c r="C23" s="722">
        <f t="shared" si="5"/>
        <v>51856796</v>
      </c>
      <c r="D23" s="1174">
        <f t="shared" si="5"/>
        <v>16861628</v>
      </c>
      <c r="E23" s="723">
        <f t="shared" si="5"/>
        <v>11295656</v>
      </c>
      <c r="F23" s="723">
        <f t="shared" si="5"/>
        <v>44633939</v>
      </c>
      <c r="G23" s="723">
        <f t="shared" si="5"/>
        <v>19721293</v>
      </c>
      <c r="H23" s="723">
        <f t="shared" si="5"/>
        <v>19780797</v>
      </c>
      <c r="I23" s="723">
        <f t="shared" si="5"/>
        <v>34453588</v>
      </c>
      <c r="J23" s="723">
        <f t="shared" si="5"/>
        <v>20064471</v>
      </c>
      <c r="K23" s="723">
        <f t="shared" si="5"/>
        <v>26043590</v>
      </c>
      <c r="L23" s="723">
        <f t="shared" si="5"/>
        <v>28749819</v>
      </c>
      <c r="M23" s="723">
        <f t="shared" si="5"/>
        <v>22201200</v>
      </c>
      <c r="N23" s="723">
        <f t="shared" si="5"/>
        <v>24302327</v>
      </c>
      <c r="O23" s="723">
        <f t="shared" si="5"/>
        <v>24235471</v>
      </c>
      <c r="P23" s="722">
        <f t="shared" si="5"/>
        <v>292343778</v>
      </c>
      <c r="Q23" s="1175">
        <f>+SUM(Q2:Q22)</f>
        <v>-203000</v>
      </c>
    </row>
    <row r="24" spans="1:20" s="451" customFormat="1" x14ac:dyDescent="0.2">
      <c r="A24" s="724"/>
      <c r="B24" s="724"/>
      <c r="C24" s="724"/>
      <c r="D24" s="724"/>
      <c r="E24" s="724"/>
      <c r="F24" s="724"/>
      <c r="G24" s="724"/>
      <c r="H24" s="724"/>
      <c r="I24" s="724"/>
      <c r="J24" s="724"/>
      <c r="K24" s="724"/>
      <c r="L24" s="724"/>
      <c r="M24" s="724"/>
      <c r="N24" s="724"/>
      <c r="O24" s="724"/>
      <c r="P24" s="724"/>
      <c r="Q24" s="724"/>
    </row>
    <row r="25" spans="1:20" s="451" customFormat="1" ht="13.5" thickBot="1" x14ac:dyDescent="0.25">
      <c r="A25" s="724"/>
      <c r="B25" s="724"/>
      <c r="C25" s="724"/>
      <c r="D25" s="724"/>
      <c r="E25" s="724"/>
      <c r="F25" s="724"/>
      <c r="G25" s="724"/>
      <c r="H25" s="724"/>
      <c r="I25" s="724"/>
      <c r="J25" s="724"/>
      <c r="K25" s="724"/>
      <c r="L25" s="724"/>
      <c r="M25" s="724"/>
      <c r="N25" s="724"/>
      <c r="O25" s="724"/>
      <c r="P25" s="724"/>
      <c r="Q25" s="724"/>
    </row>
    <row r="26" spans="1:20" s="451" customFormat="1" ht="38.25" x14ac:dyDescent="0.2">
      <c r="A26" s="713" t="s">
        <v>288</v>
      </c>
      <c r="B26" s="679" t="s">
        <v>1271</v>
      </c>
      <c r="C26" s="679" t="s">
        <v>1272</v>
      </c>
      <c r="D26" s="714" t="s">
        <v>289</v>
      </c>
      <c r="E26" s="715" t="s">
        <v>290</v>
      </c>
      <c r="F26" s="715" t="s">
        <v>291</v>
      </c>
      <c r="G26" s="715" t="s">
        <v>292</v>
      </c>
      <c r="H26" s="715" t="s">
        <v>293</v>
      </c>
      <c r="I26" s="715" t="s">
        <v>294</v>
      </c>
      <c r="J26" s="715" t="s">
        <v>295</v>
      </c>
      <c r="K26" s="716" t="s">
        <v>296</v>
      </c>
      <c r="L26" s="716" t="s">
        <v>297</v>
      </c>
      <c r="M26" s="716" t="s">
        <v>298</v>
      </c>
      <c r="N26" s="716" t="s">
        <v>299</v>
      </c>
      <c r="O26" s="716" t="s">
        <v>300</v>
      </c>
      <c r="P26" s="679" t="s">
        <v>301</v>
      </c>
      <c r="Q26" s="680" t="s">
        <v>1234</v>
      </c>
    </row>
    <row r="27" spans="1:20" s="451" customFormat="1" x14ac:dyDescent="0.2">
      <c r="A27" s="717" t="s">
        <v>4</v>
      </c>
      <c r="B27" s="725">
        <f>+'[10]PÉNZESZKÖZ ÁTVÉTEL ÖSSZESEN'!$B27</f>
        <v>22760000</v>
      </c>
      <c r="C27" s="725">
        <f>+'[10]PÉNZESZKÖZ ÁTVÉTEL ÖSSZESEN'!$C27</f>
        <v>-1142000</v>
      </c>
      <c r="D27" s="726">
        <f>+[10]BARACSKA!D23</f>
        <v>1864000</v>
      </c>
      <c r="E27" s="727">
        <f>+[10]BARACSKA!E23</f>
        <v>1864000</v>
      </c>
      <c r="F27" s="727">
        <f>+[10]BARACSKA!F23</f>
        <v>1864000</v>
      </c>
      <c r="G27" s="727">
        <f>+[10]BARACSKA!G23</f>
        <v>1581222</v>
      </c>
      <c r="H27" s="727">
        <f>+[10]BARACSKA!H23</f>
        <v>1581222</v>
      </c>
      <c r="I27" s="727">
        <f>+[10]BARACSKA!I23</f>
        <v>1581222</v>
      </c>
      <c r="J27" s="727">
        <f>+[10]BARACSKA!J23</f>
        <v>1880389</v>
      </c>
      <c r="K27" s="727">
        <f>+[10]BARACSKA!K23</f>
        <v>3760778</v>
      </c>
      <c r="L27" s="727">
        <f>+[10]BARACSKA!L23</f>
        <v>0</v>
      </c>
      <c r="M27" s="727">
        <f>+[10]BARACSKA!M23</f>
        <v>1880389</v>
      </c>
      <c r="N27" s="727">
        <f>+[10]BARACSKA!N23</f>
        <v>1880389</v>
      </c>
      <c r="O27" s="728">
        <f>+[10]BARACSKA!O23</f>
        <v>1880389</v>
      </c>
      <c r="P27" s="725">
        <f>SUM(D27:O27)</f>
        <v>21618000</v>
      </c>
      <c r="Q27" s="1165">
        <f t="shared" ref="Q27:Q34" si="6">+SUM(B27:C27)-P27</f>
        <v>0</v>
      </c>
    </row>
    <row r="28" spans="1:20" s="451" customFormat="1" x14ac:dyDescent="0.2">
      <c r="A28" s="719" t="s">
        <v>5</v>
      </c>
      <c r="B28" s="725">
        <f>+'[10]PÉNZESZKÖZ ÁTVÉTEL ÖSSZESEN'!$B28</f>
        <v>10940000</v>
      </c>
      <c r="C28" s="725">
        <f>+'[10]PÉNZESZKÖZ ÁTVÉTEL ÖSSZESEN'!$C28</f>
        <v>5252000</v>
      </c>
      <c r="D28" s="729">
        <f>+[10]ERCSI!D23</f>
        <v>0</v>
      </c>
      <c r="E28" s="729">
        <f>+[10]ERCSI!E23</f>
        <v>0</v>
      </c>
      <c r="F28" s="729">
        <f>+[10]ERCSI!F23</f>
        <v>0</v>
      </c>
      <c r="G28" s="729">
        <f>+[10]ERCSI!G23</f>
        <v>0</v>
      </c>
      <c r="H28" s="729">
        <f>+[10]ERCSI!H23</f>
        <v>0</v>
      </c>
      <c r="I28" s="729">
        <f>+[10]ERCSI!I23</f>
        <v>5470094</v>
      </c>
      <c r="J28" s="729">
        <f>+[10]ERCSI!J23</f>
        <v>0</v>
      </c>
      <c r="K28" s="729">
        <f>+[10]ERCSI!K23</f>
        <v>1823302</v>
      </c>
      <c r="L28" s="729">
        <f>+[10]ERCSI!L23</f>
        <v>4850651</v>
      </c>
      <c r="M28" s="729">
        <f>+[10]ERCSI!M23</f>
        <v>1349318</v>
      </c>
      <c r="N28" s="729">
        <f>+[10]ERCSI!N23</f>
        <v>1349318</v>
      </c>
      <c r="O28" s="729">
        <f>+[10]ERCSI!O23</f>
        <v>1349318</v>
      </c>
      <c r="P28" s="725">
        <f>SUM(D28:O28)-1</f>
        <v>16192000</v>
      </c>
      <c r="Q28" s="1165">
        <f t="shared" si="6"/>
        <v>0</v>
      </c>
    </row>
    <row r="29" spans="1:20" s="451" customFormat="1" x14ac:dyDescent="0.2">
      <c r="A29" s="719" t="s">
        <v>6</v>
      </c>
      <c r="B29" s="725">
        <f>+'[10]PÉNZESZKÖZ ÁTVÉTEL ÖSSZESEN'!$B29</f>
        <v>6010000</v>
      </c>
      <c r="C29" s="725">
        <f>+'[10]PÉNZESZKÖZ ÁTVÉTEL ÖSSZESEN'!$C29</f>
        <v>-283000</v>
      </c>
      <c r="D29" s="729">
        <f>+[10]GYÚRÓ!D23</f>
        <v>203000</v>
      </c>
      <c r="E29" s="729">
        <f>+[10]GYÚRÓ!E23</f>
        <v>0</v>
      </c>
      <c r="F29" s="729">
        <f>+[10]GYÚRÓ!F23</f>
        <v>500833</v>
      </c>
      <c r="G29" s="729">
        <f>+[10]GYÚRÓ!G23</f>
        <v>1001666</v>
      </c>
      <c r="H29" s="729">
        <f>+[10]GYÚRÓ!H23</f>
        <v>423938</v>
      </c>
      <c r="I29" s="729">
        <f>+[10]GYÚRÓ!I23</f>
        <v>423938</v>
      </c>
      <c r="J29" s="729">
        <f>+[10]GYÚRÓ!J23</f>
        <v>562770</v>
      </c>
      <c r="K29" s="729">
        <f>+[10]GYÚRÓ!K23</f>
        <v>562771</v>
      </c>
      <c r="L29" s="729">
        <f>+[10]GYÚRÓ!L23</f>
        <v>562771</v>
      </c>
      <c r="M29" s="729">
        <f>+[10]GYÚRÓ!M23</f>
        <v>562771</v>
      </c>
      <c r="N29" s="729">
        <f>+[10]GYÚRÓ!N23</f>
        <v>562771</v>
      </c>
      <c r="O29" s="729">
        <f>+[10]GYÚRÓ!O23</f>
        <v>562771</v>
      </c>
      <c r="P29" s="725">
        <f>SUM(D29:O29)</f>
        <v>5930000</v>
      </c>
      <c r="Q29" s="1165">
        <f t="shared" si="6"/>
        <v>-203000</v>
      </c>
    </row>
    <row r="30" spans="1:20" s="451" customFormat="1" x14ac:dyDescent="0.2">
      <c r="A30" s="719" t="s">
        <v>7</v>
      </c>
      <c r="B30" s="725">
        <f>+'[10]PÉNZESZKÖZ ÁTVÉTEL ÖSSZESEN'!$B30</f>
        <v>5287000</v>
      </c>
      <c r="C30" s="725">
        <f>+'[10]PÉNZESZKÖZ ÁTVÉTEL ÖSSZESEN'!$C30</f>
        <v>-254000</v>
      </c>
      <c r="D30" s="729">
        <f>+[10]KAJÁSZÓ!D23</f>
        <v>0</v>
      </c>
      <c r="E30" s="729">
        <f>+[10]KAJÁSZÓ!E23</f>
        <v>863500</v>
      </c>
      <c r="F30" s="729">
        <f>+[10]KAJÁSZÓ!F23</f>
        <v>0</v>
      </c>
      <c r="G30" s="729">
        <f>+[10]KAJÁSZÓ!G23</f>
        <v>0</v>
      </c>
      <c r="H30" s="729">
        <f>+[10]KAJÁSZÓ!H23</f>
        <v>0</v>
      </c>
      <c r="I30" s="729">
        <f>+[10]KAJÁSZÓ!I23</f>
        <v>1281500</v>
      </c>
      <c r="J30" s="729">
        <f>+[10]KAJÁSZÓ!J23</f>
        <v>0</v>
      </c>
      <c r="K30" s="729">
        <f>+[10]KAJÁSZÓ!K23</f>
        <v>0</v>
      </c>
      <c r="L30" s="729">
        <f>+[10]KAJÁSZÓ!L23</f>
        <v>0</v>
      </c>
      <c r="M30" s="729">
        <f>+[10]KAJÁSZÓ!M23</f>
        <v>0</v>
      </c>
      <c r="N30" s="729">
        <f>+[10]KAJÁSZÓ!N23</f>
        <v>2407000</v>
      </c>
      <c r="O30" s="729">
        <f>+[10]KAJÁSZÓ!O23</f>
        <v>481000</v>
      </c>
      <c r="P30" s="725">
        <f t="shared" ref="P30:P34" si="7">SUM(D30:O30)</f>
        <v>5033000</v>
      </c>
      <c r="Q30" s="1165">
        <f t="shared" si="6"/>
        <v>0</v>
      </c>
    </row>
    <row r="31" spans="1:20" s="451" customFormat="1" x14ac:dyDescent="0.2">
      <c r="A31" s="719" t="s">
        <v>8</v>
      </c>
      <c r="B31" s="725">
        <f>+'[10]PÉNZESZKÖZ ÁTVÉTEL ÖSSZESEN'!$B31</f>
        <v>163295982</v>
      </c>
      <c r="C31" s="725">
        <f>+'[10]PÉNZESZKÖZ ÁTVÉTEL ÖSSZESEN'!$C31</f>
        <v>51529796</v>
      </c>
      <c r="D31" s="729">
        <f>+[10]MARTONVÁSÁR!D23</f>
        <v>14794628</v>
      </c>
      <c r="E31" s="729">
        <f>+[10]MARTONVÁSÁR!E23</f>
        <v>8568156</v>
      </c>
      <c r="F31" s="729">
        <f>+[10]MARTONVÁSÁR!F23</f>
        <v>36809106</v>
      </c>
      <c r="G31" s="729">
        <f>+[10]MARTONVÁSÁR!G23</f>
        <v>17128405</v>
      </c>
      <c r="H31" s="729">
        <f>+[10]MARTONVÁSÁR!H23</f>
        <v>17321637</v>
      </c>
      <c r="I31" s="729">
        <f>+[10]MARTONVÁSÁR!I23</f>
        <v>19231078</v>
      </c>
      <c r="J31" s="729">
        <f>+[10]MARTONVÁSÁR!J23</f>
        <v>17167312</v>
      </c>
      <c r="K31" s="729">
        <f>+[10]MARTONVÁSÁR!K23</f>
        <v>17084991</v>
      </c>
      <c r="L31" s="729">
        <f>+[10]MARTONVÁSÁR!L23</f>
        <v>17167649</v>
      </c>
      <c r="M31" s="729">
        <f>+[10]MARTONVÁSÁR!M23</f>
        <v>17168806</v>
      </c>
      <c r="N31" s="729">
        <f>+[10]MARTONVÁSÁR!N23</f>
        <v>16862933</v>
      </c>
      <c r="O31" s="729">
        <f>+[10]MARTONVÁSÁR!O23</f>
        <v>15521077</v>
      </c>
      <c r="P31" s="725">
        <f t="shared" si="7"/>
        <v>214825778</v>
      </c>
      <c r="Q31" s="1165">
        <f t="shared" si="6"/>
        <v>0</v>
      </c>
    </row>
    <row r="32" spans="1:20" s="451" customFormat="1" x14ac:dyDescent="0.2">
      <c r="A32" s="719" t="s">
        <v>9</v>
      </c>
      <c r="B32" s="725">
        <f>+'[10]PÉNZESZKÖZ ÁTVÉTEL ÖSSZESEN'!$B32</f>
        <v>14622000</v>
      </c>
      <c r="C32" s="725">
        <f>+'[10]PÉNZESZKÖZ ÁTVÉTEL ÖSSZESEN'!$C32</f>
        <v>-756000</v>
      </c>
      <c r="D32" s="729">
        <f>+[10]RÁCKERESZTÚR!D23</f>
        <v>0</v>
      </c>
      <c r="E32" s="729">
        <f>+[10]RÁCKERESZTÚR!E23</f>
        <v>0</v>
      </c>
      <c r="F32" s="729">
        <f>+[10]RÁCKERESZTÚR!F23</f>
        <v>3654000</v>
      </c>
      <c r="G32" s="729">
        <f>+[10]RÁCKERESZTÚR!G23</f>
        <v>0</v>
      </c>
      <c r="H32" s="729">
        <f>+[10]RÁCKERESZTÚR!H23</f>
        <v>0</v>
      </c>
      <c r="I32" s="729">
        <f>+[10]RÁCKERESZTÚR!I23</f>
        <v>3654000</v>
      </c>
      <c r="J32" s="729">
        <f>+[10]RÁCKERESZTÚR!J23</f>
        <v>0</v>
      </c>
      <c r="K32" s="729">
        <f>+[10]RÁCKERESZTÚR!K23</f>
        <v>0</v>
      </c>
      <c r="L32" s="729">
        <f>+[10]RÁCKERESZTÚR!L23</f>
        <v>3357000</v>
      </c>
      <c r="M32" s="729">
        <f>+[10]RÁCKERESZTÚR!M23</f>
        <v>0</v>
      </c>
      <c r="N32" s="729">
        <f>+[10]RÁCKERESZTÚR!N23</f>
        <v>0</v>
      </c>
      <c r="O32" s="729">
        <f>+[10]RÁCKERESZTÚR!O23</f>
        <v>3201000</v>
      </c>
      <c r="P32" s="725">
        <f t="shared" si="7"/>
        <v>13866000</v>
      </c>
      <c r="Q32" s="1165">
        <f t="shared" si="6"/>
        <v>0</v>
      </c>
    </row>
    <row r="33" spans="1:17" s="451" customFormat="1" x14ac:dyDescent="0.2">
      <c r="A33" s="720" t="s">
        <v>10</v>
      </c>
      <c r="B33" s="725">
        <f>+'[10]PÉNZESZKÖZ ÁTVÉTEL ÖSSZESEN'!$B33</f>
        <v>9901000</v>
      </c>
      <c r="C33" s="725">
        <f>+'[10]PÉNZESZKÖZ ÁTVÉTEL ÖSSZESEN'!$C33</f>
        <v>-470000</v>
      </c>
      <c r="D33" s="730">
        <f>+[10]TORDAS!D23</f>
        <v>0</v>
      </c>
      <c r="E33" s="730">
        <f>+[10]TORDAS!E23</f>
        <v>0</v>
      </c>
      <c r="F33" s="730">
        <f>+[10]TORDAS!F23</f>
        <v>0</v>
      </c>
      <c r="G33" s="730">
        <f>+[10]TORDAS!G23</f>
        <v>0</v>
      </c>
      <c r="H33" s="730">
        <f>+[10]TORDAS!H23</f>
        <v>0</v>
      </c>
      <c r="I33" s="730">
        <f>+[10]TORDAS!I23</f>
        <v>2357756</v>
      </c>
      <c r="J33" s="730">
        <f>+[10]TORDAS!J23</f>
        <v>0</v>
      </c>
      <c r="K33" s="730">
        <f>+[10]TORDAS!K23</f>
        <v>2357748</v>
      </c>
      <c r="L33" s="730">
        <f>+[10]TORDAS!L23</f>
        <v>2357748</v>
      </c>
      <c r="M33" s="730">
        <f>+[10]TORDAS!M23</f>
        <v>785916</v>
      </c>
      <c r="N33" s="730">
        <f>+[10]TORDAS!N23</f>
        <v>785916</v>
      </c>
      <c r="O33" s="730">
        <f>+[10]TORDAS!O23</f>
        <v>785916</v>
      </c>
      <c r="P33" s="725">
        <f t="shared" si="7"/>
        <v>9431000</v>
      </c>
      <c r="Q33" s="1165">
        <f t="shared" si="6"/>
        <v>0</v>
      </c>
    </row>
    <row r="34" spans="1:17" s="451" customFormat="1" x14ac:dyDescent="0.2">
      <c r="A34" s="731" t="s">
        <v>225</v>
      </c>
      <c r="B34" s="725">
        <f>+'[10]PÉNZESZKÖZ ÁTVÉTEL ÖSSZESEN'!$B34</f>
        <v>7468000</v>
      </c>
      <c r="C34" s="725">
        <f>+'[10]PÉNZESZKÖZ ÁTVÉTEL ÖSSZESEN'!$C34</f>
        <v>-2020000</v>
      </c>
      <c r="D34" s="732">
        <f>+[10]VÁL!D23</f>
        <v>0</v>
      </c>
      <c r="E34" s="732">
        <f>+[10]VÁL!E23</f>
        <v>0</v>
      </c>
      <c r="F34" s="732">
        <f>+[10]VÁL!F23</f>
        <v>1806000</v>
      </c>
      <c r="G34" s="732">
        <f>+[10]VÁL!G23</f>
        <v>10000</v>
      </c>
      <c r="H34" s="732">
        <f>+[10]VÁL!H23</f>
        <v>454000</v>
      </c>
      <c r="I34" s="732">
        <f>+[10]VÁL!I23</f>
        <v>454000</v>
      </c>
      <c r="J34" s="732">
        <f>+[10]VÁL!J23</f>
        <v>454000</v>
      </c>
      <c r="K34" s="732">
        <f>+[10]VÁL!K23</f>
        <v>454000</v>
      </c>
      <c r="L34" s="732">
        <f>+[10]VÁL!L23</f>
        <v>454000</v>
      </c>
      <c r="M34" s="732">
        <f>+[10]VÁL!M23</f>
        <v>454000</v>
      </c>
      <c r="N34" s="732">
        <f>+[10]VÁL!N23</f>
        <v>454000</v>
      </c>
      <c r="O34" s="732">
        <f>+[10]VÁL!O23</f>
        <v>454000</v>
      </c>
      <c r="P34" s="725">
        <f t="shared" si="7"/>
        <v>5448000</v>
      </c>
      <c r="Q34" s="1165">
        <f t="shared" si="6"/>
        <v>0</v>
      </c>
    </row>
    <row r="35" spans="1:17" ht="13.5" thickBot="1" x14ac:dyDescent="0.25">
      <c r="A35" s="721" t="s">
        <v>14</v>
      </c>
      <c r="B35" s="733">
        <f>SUM(B27:B34)</f>
        <v>240283982</v>
      </c>
      <c r="C35" s="733">
        <f>SUM(C27:C34)</f>
        <v>51856796</v>
      </c>
      <c r="D35" s="734">
        <f>SUM(D27:D34)</f>
        <v>16861628</v>
      </c>
      <c r="E35" s="734">
        <f>SUM(E27:E34)</f>
        <v>11295656</v>
      </c>
      <c r="F35" s="734">
        <f t="shared" ref="F35:N35" si="8">SUM(F27:F34)</f>
        <v>44633939</v>
      </c>
      <c r="G35" s="734">
        <f t="shared" si="8"/>
        <v>19721293</v>
      </c>
      <c r="H35" s="734">
        <f t="shared" si="8"/>
        <v>19780797</v>
      </c>
      <c r="I35" s="734">
        <f t="shared" si="8"/>
        <v>34453588</v>
      </c>
      <c r="J35" s="734">
        <f t="shared" si="8"/>
        <v>20064471</v>
      </c>
      <c r="K35" s="734">
        <f>SUM(K27:K34)</f>
        <v>26043590</v>
      </c>
      <c r="L35" s="734">
        <f t="shared" si="8"/>
        <v>28749819</v>
      </c>
      <c r="M35" s="734">
        <f t="shared" si="8"/>
        <v>22201200</v>
      </c>
      <c r="N35" s="734">
        <f t="shared" si="8"/>
        <v>24302327</v>
      </c>
      <c r="O35" s="734">
        <f>SUM(O27:O34)</f>
        <v>24235471</v>
      </c>
      <c r="P35" s="733">
        <f>SUM(P27:P34)</f>
        <v>292343778</v>
      </c>
      <c r="Q35" s="735">
        <f>SUM(Q27:Q34)</f>
        <v>-203000</v>
      </c>
    </row>
    <row r="36" spans="1:17" x14ac:dyDescent="0.2">
      <c r="A36" s="1176"/>
      <c r="B36" s="1177"/>
      <c r="C36" s="1177"/>
      <c r="D36" s="1177"/>
      <c r="E36" s="1177"/>
      <c r="F36" s="1177"/>
      <c r="G36" s="1177"/>
      <c r="H36" s="1177"/>
      <c r="I36" s="1177"/>
      <c r="J36" s="1177"/>
      <c r="K36" s="1177"/>
      <c r="L36" s="1177"/>
      <c r="M36" s="1177"/>
      <c r="N36" s="1177"/>
      <c r="O36" s="1177"/>
      <c r="P36" s="1177"/>
      <c r="Q36" s="1177"/>
    </row>
    <row r="38" spans="1:17" ht="13.5" thickBot="1" x14ac:dyDescent="0.25"/>
    <row r="39" spans="1:17" ht="25.5" x14ac:dyDescent="0.2">
      <c r="A39" s="406" t="s">
        <v>309</v>
      </c>
      <c r="B39" s="856" t="s">
        <v>1271</v>
      </c>
      <c r="C39" s="856" t="s">
        <v>1272</v>
      </c>
      <c r="D39" s="407" t="s">
        <v>310</v>
      </c>
      <c r="E39" s="408" t="s">
        <v>311</v>
      </c>
      <c r="F39" s="408" t="s">
        <v>312</v>
      </c>
      <c r="G39" s="408" t="s">
        <v>313</v>
      </c>
      <c r="H39" s="408" t="s">
        <v>314</v>
      </c>
      <c r="I39" s="408" t="s">
        <v>315</v>
      </c>
      <c r="J39" s="408" t="s">
        <v>316</v>
      </c>
      <c r="K39" s="408" t="s">
        <v>317</v>
      </c>
      <c r="L39" s="408" t="s">
        <v>318</v>
      </c>
      <c r="M39" s="408" t="s">
        <v>319</v>
      </c>
      <c r="N39" s="408" t="s">
        <v>320</v>
      </c>
      <c r="O39" s="409" t="s">
        <v>321</v>
      </c>
      <c r="P39" s="419" t="s">
        <v>322</v>
      </c>
    </row>
    <row r="40" spans="1:17" x14ac:dyDescent="0.2">
      <c r="A40" s="228" t="s">
        <v>323</v>
      </c>
      <c r="B40" s="453">
        <v>7000000</v>
      </c>
      <c r="C40" s="453">
        <v>0</v>
      </c>
      <c r="D40" s="454">
        <v>583000</v>
      </c>
      <c r="E40" s="454">
        <v>583000</v>
      </c>
      <c r="F40" s="454">
        <v>583000</v>
      </c>
      <c r="G40" s="454">
        <v>583000</v>
      </c>
      <c r="H40" s="454">
        <v>583000</v>
      </c>
      <c r="I40" s="454">
        <v>583000</v>
      </c>
      <c r="J40" s="454">
        <v>583000</v>
      </c>
      <c r="K40" s="454">
        <v>583000</v>
      </c>
      <c r="L40" s="454">
        <v>583000</v>
      </c>
      <c r="M40" s="454">
        <v>583000</v>
      </c>
      <c r="N40" s="454">
        <v>583000</v>
      </c>
      <c r="O40" s="779">
        <v>587000</v>
      </c>
      <c r="P40" s="455">
        <f>SUM(D40:O40)</f>
        <v>7000000</v>
      </c>
    </row>
    <row r="41" spans="1:17" x14ac:dyDescent="0.2">
      <c r="A41" s="456" t="s">
        <v>4</v>
      </c>
      <c r="B41" s="457"/>
      <c r="C41" s="457">
        <v>3349000</v>
      </c>
      <c r="D41" s="458"/>
      <c r="E41" s="458"/>
      <c r="F41" s="458"/>
      <c r="G41" s="458"/>
      <c r="H41" s="457">
        <v>3349000</v>
      </c>
      <c r="I41" s="458"/>
      <c r="J41" s="459"/>
      <c r="K41" s="459"/>
      <c r="L41" s="459"/>
      <c r="M41" s="459"/>
      <c r="N41" s="459"/>
      <c r="O41" s="780"/>
      <c r="P41" s="460">
        <f>SUM(D41:O41)</f>
        <v>3349000</v>
      </c>
    </row>
    <row r="42" spans="1:17" x14ac:dyDescent="0.2">
      <c r="A42" s="1244" t="s">
        <v>5</v>
      </c>
      <c r="B42" s="1245"/>
      <c r="C42" s="1245">
        <v>604000</v>
      </c>
      <c r="D42" s="1246"/>
      <c r="E42" s="1246"/>
      <c r="F42" s="1246"/>
      <c r="G42" s="1246"/>
      <c r="H42" s="1245">
        <v>604000</v>
      </c>
      <c r="I42" s="1246"/>
      <c r="J42" s="202"/>
      <c r="K42" s="202"/>
      <c r="L42" s="202"/>
      <c r="M42" s="202"/>
      <c r="N42" s="202"/>
      <c r="O42" s="415"/>
      <c r="P42" s="460">
        <f>SUM(D42:O42)</f>
        <v>604000</v>
      </c>
    </row>
    <row r="43" spans="1:17" x14ac:dyDescent="0.2">
      <c r="A43" s="413" t="s">
        <v>6</v>
      </c>
      <c r="B43" s="63"/>
      <c r="C43" s="63">
        <v>856000</v>
      </c>
      <c r="D43" s="417"/>
      <c r="E43" s="417"/>
      <c r="F43" s="417"/>
      <c r="G43" s="417"/>
      <c r="H43" s="63">
        <v>856000</v>
      </c>
      <c r="I43" s="417"/>
      <c r="J43" s="13"/>
      <c r="K43" s="13"/>
      <c r="L43" s="13"/>
      <c r="M43" s="13"/>
      <c r="N43" s="13"/>
      <c r="O43" s="418"/>
      <c r="P43" s="338">
        <f t="shared" ref="P43:P51" si="9">SUM(D43:O43)</f>
        <v>856000</v>
      </c>
    </row>
    <row r="44" spans="1:17" x14ac:dyDescent="0.2">
      <c r="A44" s="413" t="s">
        <v>7</v>
      </c>
      <c r="B44" s="63"/>
      <c r="C44" s="63">
        <v>765000</v>
      </c>
      <c r="D44" s="417"/>
      <c r="E44" s="417"/>
      <c r="F44" s="417"/>
      <c r="G44" s="417"/>
      <c r="H44" s="63">
        <v>765000</v>
      </c>
      <c r="I44" s="417"/>
      <c r="J44" s="13"/>
      <c r="K44" s="13"/>
      <c r="L44" s="13"/>
      <c r="M44" s="13"/>
      <c r="N44" s="13"/>
      <c r="O44" s="418"/>
      <c r="P44" s="338">
        <f t="shared" si="9"/>
        <v>765000</v>
      </c>
    </row>
    <row r="45" spans="1:17" x14ac:dyDescent="0.2">
      <c r="A45" s="413" t="s">
        <v>8</v>
      </c>
      <c r="B45" s="63"/>
      <c r="C45" s="63">
        <v>3490000</v>
      </c>
      <c r="D45" s="417"/>
      <c r="E45" s="417"/>
      <c r="F45" s="417"/>
      <c r="G45" s="417"/>
      <c r="H45" s="63">
        <v>3490000</v>
      </c>
      <c r="I45" s="417"/>
      <c r="J45" s="13"/>
      <c r="K45" s="13"/>
      <c r="L45" s="13"/>
      <c r="M45" s="13"/>
      <c r="N45" s="13"/>
      <c r="O45" s="418"/>
      <c r="P45" s="338">
        <f t="shared" si="9"/>
        <v>3490000</v>
      </c>
    </row>
    <row r="46" spans="1:17" x14ac:dyDescent="0.2">
      <c r="A46" s="413" t="s">
        <v>9</v>
      </c>
      <c r="B46" s="63"/>
      <c r="C46" s="63">
        <v>2340000</v>
      </c>
      <c r="D46" s="417"/>
      <c r="E46" s="417"/>
      <c r="F46" s="417"/>
      <c r="G46" s="417"/>
      <c r="H46" s="63">
        <v>2340000</v>
      </c>
      <c r="I46" s="417"/>
      <c r="J46" s="13"/>
      <c r="K46" s="13"/>
      <c r="L46" s="13"/>
      <c r="M46" s="13"/>
      <c r="N46" s="13"/>
      <c r="O46" s="418"/>
      <c r="P46" s="338">
        <f t="shared" si="9"/>
        <v>2340000</v>
      </c>
    </row>
    <row r="47" spans="1:17" x14ac:dyDescent="0.2">
      <c r="A47" s="413" t="s">
        <v>10</v>
      </c>
      <c r="B47" s="63"/>
      <c r="C47" s="63">
        <v>1420000</v>
      </c>
      <c r="D47" s="417"/>
      <c r="E47" s="417"/>
      <c r="F47" s="417"/>
      <c r="G47" s="417"/>
      <c r="H47" s="63">
        <v>1420000</v>
      </c>
      <c r="I47" s="417"/>
      <c r="J47" s="13"/>
      <c r="K47" s="13"/>
      <c r="L47" s="13"/>
      <c r="M47" s="13"/>
      <c r="N47" s="13"/>
      <c r="O47" s="418"/>
      <c r="P47" s="338">
        <f t="shared" si="9"/>
        <v>1420000</v>
      </c>
    </row>
    <row r="48" spans="1:17" x14ac:dyDescent="0.2">
      <c r="A48" s="461" t="s">
        <v>225</v>
      </c>
      <c r="B48" s="64"/>
      <c r="C48" s="64">
        <v>1478000</v>
      </c>
      <c r="D48" s="411"/>
      <c r="E48" s="411"/>
      <c r="F48" s="411"/>
      <c r="G48" s="411"/>
      <c r="H48" s="64">
        <v>1478000</v>
      </c>
      <c r="I48" s="411"/>
      <c r="J48" s="197"/>
      <c r="K48" s="197"/>
      <c r="L48" s="197"/>
      <c r="M48" s="197"/>
      <c r="N48" s="197"/>
      <c r="O48" s="412"/>
      <c r="P48" s="338">
        <f t="shared" si="9"/>
        <v>1478000</v>
      </c>
    </row>
    <row r="49" spans="1:17" s="1253" customFormat="1" x14ac:dyDescent="0.2">
      <c r="A49" s="1247" t="s">
        <v>1278</v>
      </c>
      <c r="B49" s="1248">
        <f t="shared" ref="B49:P49" si="10">SUM(B41:B48)</f>
        <v>0</v>
      </c>
      <c r="C49" s="1248">
        <f t="shared" si="10"/>
        <v>14302000</v>
      </c>
      <c r="D49" s="1249">
        <f t="shared" si="10"/>
        <v>0</v>
      </c>
      <c r="E49" s="1250">
        <f t="shared" si="10"/>
        <v>0</v>
      </c>
      <c r="F49" s="1250">
        <f t="shared" si="10"/>
        <v>0</v>
      </c>
      <c r="G49" s="1250">
        <f t="shared" si="10"/>
        <v>0</v>
      </c>
      <c r="H49" s="1250">
        <f>SUM(H41:H48)</f>
        <v>14302000</v>
      </c>
      <c r="I49" s="1250">
        <f t="shared" si="10"/>
        <v>0</v>
      </c>
      <c r="J49" s="1250">
        <f t="shared" si="10"/>
        <v>0</v>
      </c>
      <c r="K49" s="1250">
        <f t="shared" si="10"/>
        <v>0</v>
      </c>
      <c r="L49" s="1250">
        <f t="shared" si="10"/>
        <v>0</v>
      </c>
      <c r="M49" s="1250">
        <f t="shared" si="10"/>
        <v>0</v>
      </c>
      <c r="N49" s="1250">
        <f t="shared" si="10"/>
        <v>0</v>
      </c>
      <c r="O49" s="1251">
        <f t="shared" si="10"/>
        <v>0</v>
      </c>
      <c r="P49" s="1252">
        <f t="shared" si="10"/>
        <v>14302000</v>
      </c>
    </row>
    <row r="50" spans="1:17" s="1253" customFormat="1" ht="25.5" x14ac:dyDescent="0.2">
      <c r="A50" s="1254" t="s">
        <v>1279</v>
      </c>
      <c r="B50" s="1248"/>
      <c r="C50" s="1248">
        <v>1204000</v>
      </c>
      <c r="D50" s="1255"/>
      <c r="E50" s="1255"/>
      <c r="F50" s="1255"/>
      <c r="G50" s="1255"/>
      <c r="H50" s="1255">
        <v>1204000</v>
      </c>
      <c r="I50" s="1255"/>
      <c r="J50" s="1250"/>
      <c r="K50" s="1250"/>
      <c r="L50" s="1250"/>
      <c r="M50" s="1250"/>
      <c r="N50" s="1250"/>
      <c r="O50" s="1256"/>
      <c r="P50" s="1252">
        <f t="shared" si="9"/>
        <v>1204000</v>
      </c>
    </row>
    <row r="51" spans="1:17" ht="26.25" thickBot="1" x14ac:dyDescent="0.25">
      <c r="A51" s="1085" t="s">
        <v>1081</v>
      </c>
      <c r="B51" s="457"/>
      <c r="C51" s="457"/>
      <c r="D51" s="458"/>
      <c r="E51" s="458"/>
      <c r="F51" s="458"/>
      <c r="G51" s="458"/>
      <c r="H51" s="458"/>
      <c r="I51" s="458"/>
      <c r="J51" s="459"/>
      <c r="K51" s="459"/>
      <c r="L51" s="459"/>
      <c r="M51" s="459"/>
      <c r="N51" s="459"/>
      <c r="O51" s="1086"/>
      <c r="P51" s="460">
        <f t="shared" si="9"/>
        <v>0</v>
      </c>
    </row>
    <row r="52" spans="1:17" ht="13.5" thickBot="1" x14ac:dyDescent="0.25">
      <c r="A52" s="414" t="s">
        <v>14</v>
      </c>
      <c r="B52" s="233">
        <f t="shared" ref="B52:P52" si="11">B40+B49+B50</f>
        <v>7000000</v>
      </c>
      <c r="C52" s="233">
        <f t="shared" si="11"/>
        <v>15506000</v>
      </c>
      <c r="D52" s="233">
        <f t="shared" si="11"/>
        <v>583000</v>
      </c>
      <c r="E52" s="233">
        <f t="shared" si="11"/>
        <v>583000</v>
      </c>
      <c r="F52" s="233">
        <f t="shared" si="11"/>
        <v>583000</v>
      </c>
      <c r="G52" s="233">
        <f t="shared" si="11"/>
        <v>583000</v>
      </c>
      <c r="H52" s="233">
        <f t="shared" si="11"/>
        <v>16089000</v>
      </c>
      <c r="I52" s="233">
        <f t="shared" si="11"/>
        <v>583000</v>
      </c>
      <c r="J52" s="233">
        <f t="shared" si="11"/>
        <v>583000</v>
      </c>
      <c r="K52" s="233">
        <f t="shared" si="11"/>
        <v>583000</v>
      </c>
      <c r="L52" s="233">
        <f t="shared" si="11"/>
        <v>583000</v>
      </c>
      <c r="M52" s="233">
        <f t="shared" si="11"/>
        <v>583000</v>
      </c>
      <c r="N52" s="233">
        <f t="shared" si="11"/>
        <v>583000</v>
      </c>
      <c r="O52" s="233">
        <f t="shared" si="11"/>
        <v>587000</v>
      </c>
      <c r="P52" s="233">
        <f t="shared" si="11"/>
        <v>22506000</v>
      </c>
      <c r="Q52" s="11"/>
    </row>
    <row r="102" spans="1:5" x14ac:dyDescent="0.2">
      <c r="A102" s="25"/>
      <c r="B102" s="25"/>
      <c r="C102" s="25"/>
      <c r="D102" s="25"/>
      <c r="E102" s="25"/>
    </row>
  </sheetData>
  <phoneticPr fontId="33" type="noConversion"/>
  <printOptions horizontalCentered="1"/>
  <pageMargins left="0.15748031496062992" right="0.15748031496062992" top="1.1417322834645669" bottom="0.51181102362204722" header="0.35433070866141736" footer="0.15748031496062992"/>
  <pageSetup paperSize="9" scale="72" orientation="landscape" r:id="rId1"/>
  <headerFooter alignWithMargins="0">
    <oddHeader>&amp;L&amp;"Times New Roman,Félkövér"&amp;13Szent László Völgye TKT&amp;C&amp;"Times New Roman,Félkövér"&amp;16 2023. ÉVI ZÁRSZÁMADÁSI  BESZÁMOLÓ&amp;R6. sz. táblázat
PÉNZESZKÖZ ÁTADÁS - ÁTVÉTEL
Adatok: Ft</oddHeader>
    <oddFooter>&amp;L&amp;F&amp;R&amp;P</oddFooter>
  </headerFooter>
  <rowBreaks count="1" manualBreakCount="1">
    <brk id="36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90"/>
  <sheetViews>
    <sheetView workbookViewId="0">
      <selection activeCell="F26" sqref="F26"/>
    </sheetView>
  </sheetViews>
  <sheetFormatPr defaultColWidth="9.140625" defaultRowHeight="15" x14ac:dyDescent="0.25"/>
  <cols>
    <col min="1" max="1" width="32.42578125" style="8" customWidth="1"/>
    <col min="2" max="2" width="9.7109375" style="275" customWidth="1"/>
    <col min="3" max="10" width="8" style="275" bestFit="1" customWidth="1"/>
    <col min="11" max="11" width="10.140625" style="275" bestFit="1" customWidth="1"/>
    <col min="12" max="12" width="8" style="275" bestFit="1" customWidth="1"/>
    <col min="13" max="13" width="8.7109375" style="275" customWidth="1"/>
    <col min="14" max="14" width="8.85546875" style="276" bestFit="1" customWidth="1"/>
    <col min="15" max="15" width="9.7109375" style="275" customWidth="1"/>
    <col min="16" max="16" width="11.5703125" style="8" bestFit="1" customWidth="1"/>
    <col min="17" max="16384" width="9.140625" style="8"/>
  </cols>
  <sheetData>
    <row r="1" spans="1:17" ht="24.75" customHeight="1" x14ac:dyDescent="0.25">
      <c r="A1" s="253" t="s">
        <v>108</v>
      </c>
      <c r="B1" s="246" t="s">
        <v>258</v>
      </c>
      <c r="C1" s="266" t="s">
        <v>23</v>
      </c>
      <c r="D1" s="245" t="s">
        <v>24</v>
      </c>
      <c r="E1" s="245" t="s">
        <v>25</v>
      </c>
      <c r="F1" s="245" t="s">
        <v>26</v>
      </c>
      <c r="G1" s="245" t="s">
        <v>27</v>
      </c>
      <c r="H1" s="245" t="s">
        <v>28</v>
      </c>
      <c r="I1" s="245" t="s">
        <v>29</v>
      </c>
      <c r="J1" s="245" t="s">
        <v>259</v>
      </c>
      <c r="K1" s="245" t="s">
        <v>30</v>
      </c>
      <c r="L1" s="245" t="s">
        <v>31</v>
      </c>
      <c r="M1" s="245" t="s">
        <v>32</v>
      </c>
      <c r="N1" s="270" t="s">
        <v>33</v>
      </c>
      <c r="O1" s="247" t="s">
        <v>260</v>
      </c>
    </row>
    <row r="2" spans="1:17" ht="23.25" customHeight="1" x14ac:dyDescent="0.25">
      <c r="A2" s="254" t="s">
        <v>20</v>
      </c>
      <c r="B2" s="269"/>
      <c r="C2" s="267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71"/>
      <c r="O2" s="273"/>
    </row>
    <row r="3" spans="1:17" ht="15" customHeight="1" x14ac:dyDescent="0.25">
      <c r="A3" s="255" t="s">
        <v>269</v>
      </c>
      <c r="B3" s="281">
        <f>+'2.SZ.TÁBL. TÁRSULÁS KV. MÉRLEG'!D2</f>
        <v>292344</v>
      </c>
      <c r="C3" s="282">
        <f>24162+785</f>
        <v>24947</v>
      </c>
      <c r="D3" s="282">
        <f t="shared" ref="D3:F3" si="0">24162+785</f>
        <v>24947</v>
      </c>
      <c r="E3" s="282">
        <f t="shared" si="0"/>
        <v>24947</v>
      </c>
      <c r="F3" s="282">
        <f t="shared" si="0"/>
        <v>24947</v>
      </c>
      <c r="G3" s="282">
        <f>24162+785+3123</f>
        <v>28070</v>
      </c>
      <c r="H3" s="282">
        <f>24163+1118+3</f>
        <v>25284</v>
      </c>
      <c r="I3" s="282">
        <v>24162</v>
      </c>
      <c r="J3" s="282">
        <v>24163</v>
      </c>
      <c r="K3" s="282">
        <v>24163</v>
      </c>
      <c r="L3" s="282">
        <v>24162</v>
      </c>
      <c r="M3" s="282">
        <v>24162</v>
      </c>
      <c r="N3" s="282">
        <v>24162</v>
      </c>
      <c r="O3" s="283">
        <f>SUM(C3:N3)</f>
        <v>298116</v>
      </c>
      <c r="P3" s="9"/>
    </row>
    <row r="4" spans="1:17" ht="15" customHeight="1" x14ac:dyDescent="0.25">
      <c r="A4" s="255" t="s">
        <v>64</v>
      </c>
      <c r="B4" s="281">
        <f>+'2.SZ.TÁBL. TÁRSULÁS KV. MÉRLEG'!D3</f>
        <v>28414</v>
      </c>
      <c r="C4" s="282">
        <v>936</v>
      </c>
      <c r="D4" s="284">
        <v>937</v>
      </c>
      <c r="E4" s="284">
        <v>937</v>
      </c>
      <c r="F4" s="284">
        <v>937</v>
      </c>
      <c r="G4" s="284">
        <v>937</v>
      </c>
      <c r="H4" s="284">
        <v>937</v>
      </c>
      <c r="I4" s="284">
        <v>937</v>
      </c>
      <c r="J4" s="284">
        <v>937</v>
      </c>
      <c r="K4" s="284">
        <v>937</v>
      </c>
      <c r="L4" s="284">
        <v>937</v>
      </c>
      <c r="M4" s="284">
        <v>937</v>
      </c>
      <c r="N4" s="285">
        <v>937</v>
      </c>
      <c r="O4" s="283">
        <f t="shared" ref="O4:O5" si="1">SUM(C4:N4)</f>
        <v>11243</v>
      </c>
    </row>
    <row r="5" spans="1:17" ht="15" customHeight="1" x14ac:dyDescent="0.25">
      <c r="A5" s="256" t="s">
        <v>265</v>
      </c>
      <c r="B5" s="286"/>
      <c r="C5" s="28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9"/>
      <c r="O5" s="290">
        <f t="shared" si="1"/>
        <v>0</v>
      </c>
    </row>
    <row r="6" spans="1:17" ht="15" customHeight="1" x14ac:dyDescent="0.25">
      <c r="A6" s="257" t="s">
        <v>267</v>
      </c>
      <c r="B6" s="291">
        <f>+SUM(B3:B5)</f>
        <v>320758</v>
      </c>
      <c r="C6" s="292">
        <f t="shared" ref="C6:O6" si="2">+SUM(C3:C5)</f>
        <v>25883</v>
      </c>
      <c r="D6" s="293">
        <f t="shared" si="2"/>
        <v>25884</v>
      </c>
      <c r="E6" s="293">
        <f t="shared" si="2"/>
        <v>25884</v>
      </c>
      <c r="F6" s="293">
        <f t="shared" si="2"/>
        <v>25884</v>
      </c>
      <c r="G6" s="293">
        <f t="shared" si="2"/>
        <v>29007</v>
      </c>
      <c r="H6" s="293">
        <f t="shared" si="2"/>
        <v>26221</v>
      </c>
      <c r="I6" s="293">
        <f t="shared" si="2"/>
        <v>25099</v>
      </c>
      <c r="J6" s="293">
        <f t="shared" si="2"/>
        <v>25100</v>
      </c>
      <c r="K6" s="293">
        <f t="shared" si="2"/>
        <v>25100</v>
      </c>
      <c r="L6" s="293">
        <f t="shared" si="2"/>
        <v>25099</v>
      </c>
      <c r="M6" s="293">
        <f t="shared" si="2"/>
        <v>25099</v>
      </c>
      <c r="N6" s="294">
        <f t="shared" si="2"/>
        <v>25099</v>
      </c>
      <c r="O6" s="295">
        <f t="shared" si="2"/>
        <v>309359</v>
      </c>
    </row>
    <row r="7" spans="1:17" s="15" customFormat="1" ht="15" customHeight="1" x14ac:dyDescent="0.2">
      <c r="A7" s="258" t="s">
        <v>266</v>
      </c>
      <c r="B7" s="296"/>
      <c r="C7" s="297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9"/>
      <c r="O7" s="300">
        <f>SUM(C7:N7)</f>
        <v>0</v>
      </c>
    </row>
    <row r="8" spans="1:17" ht="15" customHeight="1" x14ac:dyDescent="0.25">
      <c r="A8" s="255" t="s">
        <v>65</v>
      </c>
      <c r="B8" s="281"/>
      <c r="C8" s="282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5"/>
      <c r="O8" s="301">
        <f t="shared" ref="O8:O9" si="3">SUM(C8:N8)</f>
        <v>0</v>
      </c>
      <c r="P8" s="9"/>
    </row>
    <row r="9" spans="1:17" ht="15" customHeight="1" x14ac:dyDescent="0.25">
      <c r="A9" s="256" t="s">
        <v>268</v>
      </c>
      <c r="B9" s="286"/>
      <c r="C9" s="287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9"/>
      <c r="O9" s="302">
        <f t="shared" si="3"/>
        <v>0</v>
      </c>
      <c r="P9" s="9"/>
      <c r="Q9" s="9"/>
    </row>
    <row r="10" spans="1:17" ht="15" customHeight="1" x14ac:dyDescent="0.25">
      <c r="A10" s="257" t="s">
        <v>270</v>
      </c>
      <c r="B10" s="291">
        <f>+SUM(B7:B9)</f>
        <v>0</v>
      </c>
      <c r="C10" s="292">
        <f t="shared" ref="C10:N10" si="4">+SUM(C7:C9)</f>
        <v>0</v>
      </c>
      <c r="D10" s="293">
        <f t="shared" si="4"/>
        <v>0</v>
      </c>
      <c r="E10" s="293">
        <f t="shared" si="4"/>
        <v>0</v>
      </c>
      <c r="F10" s="293">
        <f t="shared" si="4"/>
        <v>0</v>
      </c>
      <c r="G10" s="293">
        <f t="shared" si="4"/>
        <v>0</v>
      </c>
      <c r="H10" s="293">
        <f t="shared" si="4"/>
        <v>0</v>
      </c>
      <c r="I10" s="293">
        <f t="shared" si="4"/>
        <v>0</v>
      </c>
      <c r="J10" s="293">
        <f t="shared" si="4"/>
        <v>0</v>
      </c>
      <c r="K10" s="293">
        <f t="shared" si="4"/>
        <v>0</v>
      </c>
      <c r="L10" s="293">
        <f t="shared" si="4"/>
        <v>0</v>
      </c>
      <c r="M10" s="293">
        <f t="shared" si="4"/>
        <v>0</v>
      </c>
      <c r="N10" s="294">
        <f t="shared" si="4"/>
        <v>0</v>
      </c>
      <c r="O10" s="295">
        <f>+SUM(O7:O9)</f>
        <v>0</v>
      </c>
      <c r="Q10" s="9"/>
    </row>
    <row r="11" spans="1:17" ht="15" customHeight="1" x14ac:dyDescent="0.25">
      <c r="A11" s="258" t="s">
        <v>261</v>
      </c>
      <c r="B11" s="296"/>
      <c r="C11" s="297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9"/>
      <c r="O11" s="300"/>
      <c r="P11" s="9"/>
      <c r="Q11" s="9"/>
    </row>
    <row r="12" spans="1:17" ht="15" customHeight="1" x14ac:dyDescent="0.25">
      <c r="A12" s="255" t="s">
        <v>42</v>
      </c>
      <c r="B12" s="281"/>
      <c r="C12" s="282">
        <v>735</v>
      </c>
      <c r="D12" s="284"/>
      <c r="E12" s="284"/>
      <c r="F12" s="284">
        <v>7863</v>
      </c>
      <c r="G12" s="284"/>
      <c r="H12" s="284"/>
      <c r="I12" s="284"/>
      <c r="J12" s="284"/>
      <c r="K12" s="284"/>
      <c r="L12" s="284"/>
      <c r="M12" s="284"/>
      <c r="N12" s="285"/>
      <c r="O12" s="301">
        <f>SUM(C12:N12)</f>
        <v>8598</v>
      </c>
      <c r="P12" s="9"/>
    </row>
    <row r="13" spans="1:17" ht="15" customHeight="1" x14ac:dyDescent="0.25">
      <c r="A13" s="256" t="s">
        <v>45</v>
      </c>
      <c r="B13" s="286"/>
      <c r="C13" s="287">
        <v>1500</v>
      </c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9"/>
      <c r="O13" s="302">
        <f>SUM(C13:N13)</f>
        <v>1500</v>
      </c>
      <c r="P13" s="9"/>
    </row>
    <row r="14" spans="1:17" ht="15" customHeight="1" x14ac:dyDescent="0.25">
      <c r="A14" s="67" t="s">
        <v>69</v>
      </c>
      <c r="B14" s="291">
        <f>+'2.SZ.TÁBL. TÁRSULÁS KV. MÉRLEG'!D5</f>
        <v>45544</v>
      </c>
      <c r="C14" s="292">
        <f t="shared" ref="C14:O14" si="5">+C13+C12</f>
        <v>2235</v>
      </c>
      <c r="D14" s="293">
        <f t="shared" si="5"/>
        <v>0</v>
      </c>
      <c r="E14" s="293">
        <f t="shared" si="5"/>
        <v>0</v>
      </c>
      <c r="F14" s="293">
        <f t="shared" si="5"/>
        <v>7863</v>
      </c>
      <c r="G14" s="293">
        <f t="shared" si="5"/>
        <v>0</v>
      </c>
      <c r="H14" s="293">
        <f t="shared" si="5"/>
        <v>0</v>
      </c>
      <c r="I14" s="293">
        <f t="shared" si="5"/>
        <v>0</v>
      </c>
      <c r="J14" s="293">
        <f t="shared" si="5"/>
        <v>0</v>
      </c>
      <c r="K14" s="293">
        <f t="shared" si="5"/>
        <v>0</v>
      </c>
      <c r="L14" s="293">
        <f t="shared" si="5"/>
        <v>0</v>
      </c>
      <c r="M14" s="293">
        <f t="shared" si="5"/>
        <v>0</v>
      </c>
      <c r="N14" s="294">
        <f t="shared" si="5"/>
        <v>0</v>
      </c>
      <c r="O14" s="295">
        <f t="shared" si="5"/>
        <v>10098</v>
      </c>
    </row>
    <row r="15" spans="1:17" s="15" customFormat="1" ht="15" customHeight="1" x14ac:dyDescent="0.2">
      <c r="A15" s="67" t="s">
        <v>262</v>
      </c>
      <c r="B15" s="291">
        <f>+B14</f>
        <v>45544</v>
      </c>
      <c r="C15" s="292">
        <f t="shared" ref="C15:O15" si="6">+C14</f>
        <v>2235</v>
      </c>
      <c r="D15" s="293">
        <f t="shared" si="6"/>
        <v>0</v>
      </c>
      <c r="E15" s="293">
        <f t="shared" si="6"/>
        <v>0</v>
      </c>
      <c r="F15" s="293">
        <f t="shared" si="6"/>
        <v>7863</v>
      </c>
      <c r="G15" s="293">
        <f t="shared" si="6"/>
        <v>0</v>
      </c>
      <c r="H15" s="293">
        <f t="shared" si="6"/>
        <v>0</v>
      </c>
      <c r="I15" s="293">
        <f t="shared" si="6"/>
        <v>0</v>
      </c>
      <c r="J15" s="293">
        <f t="shared" si="6"/>
        <v>0</v>
      </c>
      <c r="K15" s="293">
        <f t="shared" si="6"/>
        <v>0</v>
      </c>
      <c r="L15" s="293">
        <f t="shared" si="6"/>
        <v>0</v>
      </c>
      <c r="M15" s="293">
        <f t="shared" si="6"/>
        <v>0</v>
      </c>
      <c r="N15" s="294">
        <f t="shared" si="6"/>
        <v>0</v>
      </c>
      <c r="O15" s="295">
        <f t="shared" si="6"/>
        <v>10098</v>
      </c>
    </row>
    <row r="16" spans="1:17" ht="16.5" customHeight="1" x14ac:dyDescent="0.25">
      <c r="A16" s="259" t="s">
        <v>0</v>
      </c>
      <c r="B16" s="303">
        <f>+B15+B10+B6</f>
        <v>366302</v>
      </c>
      <c r="C16" s="304">
        <f t="shared" ref="C16:O16" si="7">+C15+C10+C6</f>
        <v>28118</v>
      </c>
      <c r="D16" s="305">
        <f t="shared" si="7"/>
        <v>25884</v>
      </c>
      <c r="E16" s="305">
        <f t="shared" si="7"/>
        <v>25884</v>
      </c>
      <c r="F16" s="305">
        <f t="shared" si="7"/>
        <v>33747</v>
      </c>
      <c r="G16" s="305">
        <f t="shared" si="7"/>
        <v>29007</v>
      </c>
      <c r="H16" s="305">
        <f t="shared" si="7"/>
        <v>26221</v>
      </c>
      <c r="I16" s="305">
        <f t="shared" si="7"/>
        <v>25099</v>
      </c>
      <c r="J16" s="305">
        <f t="shared" si="7"/>
        <v>25100</v>
      </c>
      <c r="K16" s="305">
        <f t="shared" si="7"/>
        <v>25100</v>
      </c>
      <c r="L16" s="305">
        <f t="shared" si="7"/>
        <v>25099</v>
      </c>
      <c r="M16" s="305">
        <f t="shared" si="7"/>
        <v>25099</v>
      </c>
      <c r="N16" s="306">
        <f t="shared" si="7"/>
        <v>25099</v>
      </c>
      <c r="O16" s="307">
        <f t="shared" si="7"/>
        <v>319457</v>
      </c>
    </row>
    <row r="17" spans="1:15" ht="23.25" customHeight="1" x14ac:dyDescent="0.25">
      <c r="A17" s="254" t="s">
        <v>37</v>
      </c>
      <c r="B17" s="308"/>
      <c r="C17" s="309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1"/>
      <c r="O17" s="312"/>
    </row>
    <row r="18" spans="1:15" s="10" customFormat="1" x14ac:dyDescent="0.25">
      <c r="A18" s="260" t="s">
        <v>73</v>
      </c>
      <c r="B18" s="281">
        <f>+'2.SZ.TÁBL. TÁRSULÁS KV. MÉRLEG'!I2</f>
        <v>156981</v>
      </c>
      <c r="C18" s="282">
        <f>12812+618</f>
        <v>13430</v>
      </c>
      <c r="D18" s="282">
        <f t="shared" ref="D18:G18" si="8">12812+618</f>
        <v>13430</v>
      </c>
      <c r="E18" s="282">
        <f t="shared" si="8"/>
        <v>13430</v>
      </c>
      <c r="F18" s="282">
        <f t="shared" si="8"/>
        <v>13430</v>
      </c>
      <c r="G18" s="282">
        <f t="shared" si="8"/>
        <v>13430</v>
      </c>
      <c r="H18" s="284">
        <f>12813+2</f>
        <v>12815</v>
      </c>
      <c r="I18" s="284">
        <v>12812</v>
      </c>
      <c r="J18" s="284">
        <v>12812</v>
      </c>
      <c r="K18" s="284">
        <v>12812</v>
      </c>
      <c r="L18" s="284">
        <v>12812</v>
      </c>
      <c r="M18" s="284">
        <v>12813</v>
      </c>
      <c r="N18" s="285">
        <v>12812</v>
      </c>
      <c r="O18" s="283">
        <f>SUM(C18:N18)</f>
        <v>156838</v>
      </c>
    </row>
    <row r="19" spans="1:15" s="10" customFormat="1" ht="25.5" x14ac:dyDescent="0.25">
      <c r="A19" s="260" t="s">
        <v>74</v>
      </c>
      <c r="B19" s="281">
        <f>+'2.SZ.TÁBL. TÁRSULÁS KV. MÉRLEG'!I3</f>
        <v>22725</v>
      </c>
      <c r="C19" s="282">
        <f>3703-186</f>
        <v>3517</v>
      </c>
      <c r="D19" s="284">
        <f t="shared" ref="D19:G19" si="9">3703-186</f>
        <v>3517</v>
      </c>
      <c r="E19" s="284">
        <f t="shared" si="9"/>
        <v>3517</v>
      </c>
      <c r="F19" s="284">
        <f t="shared" si="9"/>
        <v>3517</v>
      </c>
      <c r="G19" s="284">
        <f t="shared" si="9"/>
        <v>3517</v>
      </c>
      <c r="H19" s="284">
        <f>3703-3</f>
        <v>3700</v>
      </c>
      <c r="I19" s="284">
        <v>3703</v>
      </c>
      <c r="J19" s="284">
        <v>3703</v>
      </c>
      <c r="K19" s="284">
        <v>3703</v>
      </c>
      <c r="L19" s="284">
        <v>3703</v>
      </c>
      <c r="M19" s="284">
        <v>3703</v>
      </c>
      <c r="N19" s="285">
        <v>3703</v>
      </c>
      <c r="O19" s="283">
        <f t="shared" ref="O19:O23" si="10">SUM(C19:N19)</f>
        <v>43503</v>
      </c>
    </row>
    <row r="20" spans="1:15" s="10" customFormat="1" x14ac:dyDescent="0.25">
      <c r="A20" s="260" t="s">
        <v>80</v>
      </c>
      <c r="B20" s="281">
        <f>+'2.SZ.TÁBL. TÁRSULÁS KV. MÉRLEG'!I4</f>
        <v>90494</v>
      </c>
      <c r="C20" s="282">
        <f>6608+43</f>
        <v>6651</v>
      </c>
      <c r="D20" s="284">
        <f t="shared" ref="D20:N20" si="11">6608+43</f>
        <v>6651</v>
      </c>
      <c r="E20" s="284">
        <f t="shared" si="11"/>
        <v>6651</v>
      </c>
      <c r="F20" s="284">
        <f>6608+43-2</f>
        <v>6649</v>
      </c>
      <c r="G20" s="284">
        <f t="shared" si="11"/>
        <v>6651</v>
      </c>
      <c r="H20" s="284">
        <f t="shared" si="11"/>
        <v>6651</v>
      </c>
      <c r="I20" s="284">
        <f t="shared" si="11"/>
        <v>6651</v>
      </c>
      <c r="J20" s="284">
        <f t="shared" si="11"/>
        <v>6651</v>
      </c>
      <c r="K20" s="284">
        <f>6608+43-1</f>
        <v>6650</v>
      </c>
      <c r="L20" s="284">
        <f t="shared" si="11"/>
        <v>6651</v>
      </c>
      <c r="M20" s="284">
        <f t="shared" si="11"/>
        <v>6651</v>
      </c>
      <c r="N20" s="285">
        <f t="shared" si="11"/>
        <v>6651</v>
      </c>
      <c r="O20" s="283">
        <f t="shared" si="10"/>
        <v>79809</v>
      </c>
    </row>
    <row r="21" spans="1:15" x14ac:dyDescent="0.25">
      <c r="A21" s="261" t="s">
        <v>263</v>
      </c>
      <c r="B21" s="281"/>
      <c r="C21" s="282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5"/>
      <c r="O21" s="283">
        <f t="shared" si="10"/>
        <v>0</v>
      </c>
    </row>
    <row r="22" spans="1:15" x14ac:dyDescent="0.25">
      <c r="A22" s="260" t="s">
        <v>81</v>
      </c>
      <c r="B22" s="281" t="e">
        <f>+'2.SZ.TÁBL. TÁRSULÁS KV. MÉRLEG'!I6+'2.SZ.TÁBL. TÁRSULÁS KV. MÉRLEG'!#REF!</f>
        <v>#REF!</v>
      </c>
      <c r="C22" s="282">
        <f>1150+2235+147</f>
        <v>3532</v>
      </c>
      <c r="D22" s="284">
        <f>1149+147</f>
        <v>1296</v>
      </c>
      <c r="E22" s="284">
        <f>1149+147</f>
        <v>1296</v>
      </c>
      <c r="F22" s="284">
        <f>1149+7873+147</f>
        <v>9169</v>
      </c>
      <c r="G22" s="284">
        <f>1150+147</f>
        <v>1297</v>
      </c>
      <c r="H22" s="284">
        <f>1149+147</f>
        <v>1296</v>
      </c>
      <c r="I22" s="284">
        <f>1149+1884</f>
        <v>3033</v>
      </c>
      <c r="J22" s="284">
        <f>1149+147</f>
        <v>1296</v>
      </c>
      <c r="K22" s="284">
        <f>1150+147</f>
        <v>1297</v>
      </c>
      <c r="L22" s="284">
        <f>1149</f>
        <v>1149</v>
      </c>
      <c r="M22" s="284">
        <f>1149+63</f>
        <v>1212</v>
      </c>
      <c r="N22" s="285">
        <f>1149+147</f>
        <v>1296</v>
      </c>
      <c r="O22" s="283">
        <f t="shared" si="10"/>
        <v>27169</v>
      </c>
    </row>
    <row r="23" spans="1:15" x14ac:dyDescent="0.25">
      <c r="A23" s="262" t="s">
        <v>21</v>
      </c>
      <c r="B23" s="286">
        <f>+'2.SZ.TÁBL. TÁRSULÁS KV. MÉRLEG'!I7</f>
        <v>0</v>
      </c>
      <c r="C23" s="287"/>
      <c r="D23" s="288"/>
      <c r="E23" s="288"/>
      <c r="F23" s="288"/>
      <c r="G23" s="288"/>
      <c r="H23" s="288">
        <v>912</v>
      </c>
      <c r="I23" s="288">
        <v>915</v>
      </c>
      <c r="J23" s="288">
        <v>913</v>
      </c>
      <c r="K23" s="288">
        <f>1464+176</f>
        <v>1640</v>
      </c>
      <c r="L23" s="288">
        <f>1464+176</f>
        <v>1640</v>
      </c>
      <c r="M23" s="288">
        <f t="shared" ref="M23:N23" si="12">1464+176</f>
        <v>1640</v>
      </c>
      <c r="N23" s="288">
        <f t="shared" si="12"/>
        <v>1640</v>
      </c>
      <c r="O23" s="290">
        <f t="shared" si="10"/>
        <v>9300</v>
      </c>
    </row>
    <row r="24" spans="1:15" x14ac:dyDescent="0.25">
      <c r="A24" s="257" t="s">
        <v>271</v>
      </c>
      <c r="B24" s="249" t="e">
        <f>SUM(B18:B23)</f>
        <v>#REF!</v>
      </c>
      <c r="C24" s="268">
        <f>SUM(C18:C23)</f>
        <v>27130</v>
      </c>
      <c r="D24" s="252">
        <f t="shared" ref="D24:N24" si="13">SUM(D18:D23)</f>
        <v>24894</v>
      </c>
      <c r="E24" s="252">
        <f t="shared" si="13"/>
        <v>24894</v>
      </c>
      <c r="F24" s="252">
        <f t="shared" si="13"/>
        <v>32765</v>
      </c>
      <c r="G24" s="252">
        <f t="shared" si="13"/>
        <v>24895</v>
      </c>
      <c r="H24" s="252">
        <f t="shared" si="13"/>
        <v>25374</v>
      </c>
      <c r="I24" s="252">
        <f t="shared" si="13"/>
        <v>27114</v>
      </c>
      <c r="J24" s="252">
        <f t="shared" si="13"/>
        <v>25375</v>
      </c>
      <c r="K24" s="252">
        <f t="shared" si="13"/>
        <v>26102</v>
      </c>
      <c r="L24" s="252">
        <f t="shared" si="13"/>
        <v>25955</v>
      </c>
      <c r="M24" s="252">
        <f t="shared" si="13"/>
        <v>26019</v>
      </c>
      <c r="N24" s="272">
        <f t="shared" si="13"/>
        <v>26102</v>
      </c>
      <c r="O24" s="250">
        <f>SUM(O18:O23)</f>
        <v>316619</v>
      </c>
    </row>
    <row r="25" spans="1:15" x14ac:dyDescent="0.25">
      <c r="A25" s="263" t="s">
        <v>43</v>
      </c>
      <c r="B25" s="296">
        <f>+'2.SZ.TÁBL. TÁRSULÁS KV. MÉRLEG'!I11</f>
        <v>2185</v>
      </c>
      <c r="C25" s="297"/>
      <c r="D25" s="298"/>
      <c r="E25" s="298"/>
      <c r="F25" s="298">
        <v>4</v>
      </c>
      <c r="G25" s="298"/>
      <c r="H25" s="298"/>
      <c r="I25" s="298"/>
      <c r="J25" s="298">
        <v>1334</v>
      </c>
      <c r="K25" s="298"/>
      <c r="L25" s="298"/>
      <c r="M25" s="298"/>
      <c r="N25" s="299"/>
      <c r="O25" s="312">
        <f>SUM(C25:N25)</f>
        <v>1338</v>
      </c>
    </row>
    <row r="26" spans="1:15" x14ac:dyDescent="0.25">
      <c r="A26" s="260" t="s">
        <v>82</v>
      </c>
      <c r="B26" s="281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5"/>
      <c r="O26" s="283">
        <f>SUM(C26:N26)</f>
        <v>0</v>
      </c>
    </row>
    <row r="27" spans="1:15" x14ac:dyDescent="0.25">
      <c r="A27" s="262" t="s">
        <v>83</v>
      </c>
      <c r="B27" s="286">
        <f>+'2.SZ.TÁBL. TÁRSULÁS KV. MÉRLEG'!I13</f>
        <v>0</v>
      </c>
      <c r="C27" s="287">
        <v>1500</v>
      </c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9"/>
      <c r="O27" s="290">
        <f>SUM(C27:N27)</f>
        <v>1500</v>
      </c>
    </row>
    <row r="28" spans="1:15" x14ac:dyDescent="0.25">
      <c r="A28" s="257" t="s">
        <v>272</v>
      </c>
      <c r="B28" s="291">
        <f>SUM(B25:B27)</f>
        <v>2185</v>
      </c>
      <c r="C28" s="292">
        <f t="shared" ref="C28:O28" si="14">SUM(C25:C27)</f>
        <v>1500</v>
      </c>
      <c r="D28" s="293">
        <f t="shared" si="14"/>
        <v>0</v>
      </c>
      <c r="E28" s="293">
        <f t="shared" si="14"/>
        <v>0</v>
      </c>
      <c r="F28" s="293">
        <f t="shared" si="14"/>
        <v>4</v>
      </c>
      <c r="G28" s="293">
        <f t="shared" si="14"/>
        <v>0</v>
      </c>
      <c r="H28" s="293">
        <f t="shared" si="14"/>
        <v>0</v>
      </c>
      <c r="I28" s="293">
        <f t="shared" si="14"/>
        <v>0</v>
      </c>
      <c r="J28" s="293">
        <f t="shared" si="14"/>
        <v>1334</v>
      </c>
      <c r="K28" s="293">
        <f t="shared" si="14"/>
        <v>0</v>
      </c>
      <c r="L28" s="293">
        <f t="shared" si="14"/>
        <v>0</v>
      </c>
      <c r="M28" s="293">
        <f t="shared" si="14"/>
        <v>0</v>
      </c>
      <c r="N28" s="294">
        <f t="shared" si="14"/>
        <v>0</v>
      </c>
      <c r="O28" s="295">
        <f t="shared" si="14"/>
        <v>2838</v>
      </c>
    </row>
    <row r="29" spans="1:15" x14ac:dyDescent="0.25">
      <c r="A29" s="264" t="s">
        <v>85</v>
      </c>
      <c r="B29" s="291"/>
      <c r="C29" s="313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5"/>
      <c r="O29" s="307">
        <f>SUM(C29:N29)</f>
        <v>0</v>
      </c>
    </row>
    <row r="30" spans="1:15" ht="15.75" thickBot="1" x14ac:dyDescent="0.3">
      <c r="A30" s="265" t="s">
        <v>222</v>
      </c>
      <c r="B30" s="316" t="e">
        <f>+B29+B28+B24</f>
        <v>#REF!</v>
      </c>
      <c r="C30" s="317">
        <f>+C29+C28+C24</f>
        <v>28630</v>
      </c>
      <c r="D30" s="318">
        <f t="shared" ref="D30:O30" si="15">+D29+D28+D24</f>
        <v>24894</v>
      </c>
      <c r="E30" s="318">
        <f t="shared" si="15"/>
        <v>24894</v>
      </c>
      <c r="F30" s="318">
        <f t="shared" si="15"/>
        <v>32769</v>
      </c>
      <c r="G30" s="318">
        <f t="shared" si="15"/>
        <v>24895</v>
      </c>
      <c r="H30" s="318">
        <f t="shared" si="15"/>
        <v>25374</v>
      </c>
      <c r="I30" s="318">
        <f t="shared" si="15"/>
        <v>27114</v>
      </c>
      <c r="J30" s="318">
        <f t="shared" si="15"/>
        <v>26709</v>
      </c>
      <c r="K30" s="318">
        <f t="shared" si="15"/>
        <v>26102</v>
      </c>
      <c r="L30" s="318">
        <f t="shared" si="15"/>
        <v>25955</v>
      </c>
      <c r="M30" s="318">
        <f t="shared" si="15"/>
        <v>26019</v>
      </c>
      <c r="N30" s="319">
        <f t="shared" si="15"/>
        <v>26102</v>
      </c>
      <c r="O30" s="320">
        <f t="shared" si="15"/>
        <v>319457</v>
      </c>
    </row>
    <row r="31" spans="1:15" x14ac:dyDescent="0.25">
      <c r="A31" s="248"/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</row>
    <row r="32" spans="1:15" x14ac:dyDescent="0.25">
      <c r="A32" s="274" t="s">
        <v>264</v>
      </c>
      <c r="B32" s="303" t="e">
        <f t="shared" ref="B32:O32" si="16">+B16-B30</f>
        <v>#REF!</v>
      </c>
      <c r="C32" s="303">
        <f t="shared" si="16"/>
        <v>-512</v>
      </c>
      <c r="D32" s="303">
        <f t="shared" si="16"/>
        <v>990</v>
      </c>
      <c r="E32" s="303">
        <f t="shared" si="16"/>
        <v>990</v>
      </c>
      <c r="F32" s="303">
        <f t="shared" si="16"/>
        <v>978</v>
      </c>
      <c r="G32" s="303">
        <f t="shared" si="16"/>
        <v>4112</v>
      </c>
      <c r="H32" s="303">
        <f t="shared" si="16"/>
        <v>847</v>
      </c>
      <c r="I32" s="303">
        <f t="shared" si="16"/>
        <v>-2015</v>
      </c>
      <c r="J32" s="303">
        <f t="shared" si="16"/>
        <v>-1609</v>
      </c>
      <c r="K32" s="303">
        <f t="shared" si="16"/>
        <v>-1002</v>
      </c>
      <c r="L32" s="303">
        <f t="shared" si="16"/>
        <v>-856</v>
      </c>
      <c r="M32" s="303">
        <f t="shared" si="16"/>
        <v>-920</v>
      </c>
      <c r="N32" s="303">
        <f t="shared" si="16"/>
        <v>-1003</v>
      </c>
      <c r="O32" s="303">
        <f t="shared" si="16"/>
        <v>0</v>
      </c>
    </row>
    <row r="73" spans="1:4" x14ac:dyDescent="0.25">
      <c r="A73" s="10"/>
      <c r="B73" s="277"/>
      <c r="C73" s="277"/>
      <c r="D73" s="277"/>
    </row>
    <row r="86" spans="1:8" x14ac:dyDescent="0.25">
      <c r="A86" s="16"/>
      <c r="B86" s="278"/>
      <c r="C86" s="278"/>
      <c r="D86" s="278"/>
      <c r="E86" s="278"/>
      <c r="F86" s="278"/>
      <c r="G86" s="278"/>
      <c r="H86" s="278"/>
    </row>
    <row r="87" spans="1:8" x14ac:dyDescent="0.25">
      <c r="A87" s="17"/>
      <c r="B87" s="279"/>
      <c r="C87" s="279"/>
      <c r="D87" s="279"/>
      <c r="E87" s="279"/>
      <c r="F87" s="279"/>
      <c r="G87" s="279"/>
      <c r="H87" s="279"/>
    </row>
    <row r="88" spans="1:8" x14ac:dyDescent="0.25">
      <c r="A88" s="17"/>
      <c r="B88" s="279"/>
      <c r="C88" s="279"/>
      <c r="D88" s="279"/>
      <c r="E88" s="279"/>
      <c r="F88" s="279"/>
      <c r="G88" s="279"/>
      <c r="H88" s="279"/>
    </row>
    <row r="89" spans="1:8" x14ac:dyDescent="0.25">
      <c r="A89" s="17"/>
      <c r="B89" s="279"/>
      <c r="C89" s="279"/>
      <c r="D89" s="279"/>
      <c r="E89" s="279"/>
      <c r="F89" s="279"/>
      <c r="G89" s="279"/>
      <c r="H89" s="279"/>
    </row>
    <row r="90" spans="1:8" x14ac:dyDescent="0.25">
      <c r="A90" s="18"/>
      <c r="B90" s="280"/>
      <c r="C90" s="280"/>
      <c r="D90" s="280"/>
      <c r="E90" s="280"/>
      <c r="F90" s="280"/>
      <c r="G90" s="280"/>
      <c r="H90" s="280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85" orientation="landscape" r:id="rId1"/>
  <headerFooter alignWithMargins="0">
    <oddHeader>&amp;L&amp;"Times New Roman,Félkövér"&amp;13Szent László Völgye TKT&amp;C&amp;"Times New Roman,Félkövér"&amp;14&amp;16 2014. I. FÉLÉVI KÖLTSÉGVETÉSI BESZÁMOLÓ&amp;14&amp;R8. sz. táblázatELŐIRÁNYZAT FELHASZNÁLÁSAdatok: eFt</oddHeader>
    <oddFooter>&amp;L&amp;F&amp;R&amp;P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56"/>
  <sheetViews>
    <sheetView zoomScaleNormal="100" workbookViewId="0">
      <selection activeCell="D10" sqref="D10"/>
    </sheetView>
  </sheetViews>
  <sheetFormatPr defaultRowHeight="12.75" x14ac:dyDescent="0.2"/>
  <cols>
    <col min="1" max="1" width="5.28515625" style="571" customWidth="1"/>
    <col min="2" max="2" width="69.5703125" style="571" customWidth="1"/>
    <col min="3" max="4" width="11.5703125" style="502" customWidth="1"/>
    <col min="5" max="5" width="12.7109375" style="502" customWidth="1"/>
    <col min="6" max="253" width="8.85546875" style="502"/>
    <col min="254" max="254" width="5.28515625" style="502" customWidth="1"/>
    <col min="255" max="255" width="57.42578125" style="502" customWidth="1"/>
    <col min="256" max="257" width="15.28515625" style="502" customWidth="1"/>
    <col min="258" max="509" width="8.85546875" style="502"/>
    <col min="510" max="510" width="5.28515625" style="502" customWidth="1"/>
    <col min="511" max="511" width="57.42578125" style="502" customWidth="1"/>
    <col min="512" max="513" width="15.28515625" style="502" customWidth="1"/>
    <col min="514" max="765" width="8.85546875" style="502"/>
    <col min="766" max="766" width="5.28515625" style="502" customWidth="1"/>
    <col min="767" max="767" width="57.42578125" style="502" customWidth="1"/>
    <col min="768" max="769" width="15.28515625" style="502" customWidth="1"/>
    <col min="770" max="1021" width="8.85546875" style="502"/>
    <col min="1022" max="1022" width="5.28515625" style="502" customWidth="1"/>
    <col min="1023" max="1023" width="57.42578125" style="502" customWidth="1"/>
    <col min="1024" max="1025" width="15.28515625" style="502" customWidth="1"/>
    <col min="1026" max="1277" width="8.85546875" style="502"/>
    <col min="1278" max="1278" width="5.28515625" style="502" customWidth="1"/>
    <col min="1279" max="1279" width="57.42578125" style="502" customWidth="1"/>
    <col min="1280" max="1281" width="15.28515625" style="502" customWidth="1"/>
    <col min="1282" max="1533" width="8.85546875" style="502"/>
    <col min="1534" max="1534" width="5.28515625" style="502" customWidth="1"/>
    <col min="1535" max="1535" width="57.42578125" style="502" customWidth="1"/>
    <col min="1536" max="1537" width="15.28515625" style="502" customWidth="1"/>
    <col min="1538" max="1789" width="8.85546875" style="502"/>
    <col min="1790" max="1790" width="5.28515625" style="502" customWidth="1"/>
    <col min="1791" max="1791" width="57.42578125" style="502" customWidth="1"/>
    <col min="1792" max="1793" width="15.28515625" style="502" customWidth="1"/>
    <col min="1794" max="2045" width="8.85546875" style="502"/>
    <col min="2046" max="2046" width="5.28515625" style="502" customWidth="1"/>
    <col min="2047" max="2047" width="57.42578125" style="502" customWidth="1"/>
    <col min="2048" max="2049" width="15.28515625" style="502" customWidth="1"/>
    <col min="2050" max="2301" width="8.85546875" style="502"/>
    <col min="2302" max="2302" width="5.28515625" style="502" customWidth="1"/>
    <col min="2303" max="2303" width="57.42578125" style="502" customWidth="1"/>
    <col min="2304" max="2305" width="15.28515625" style="502" customWidth="1"/>
    <col min="2306" max="2557" width="8.85546875" style="502"/>
    <col min="2558" max="2558" width="5.28515625" style="502" customWidth="1"/>
    <col min="2559" max="2559" width="57.42578125" style="502" customWidth="1"/>
    <col min="2560" max="2561" width="15.28515625" style="502" customWidth="1"/>
    <col min="2562" max="2813" width="8.85546875" style="502"/>
    <col min="2814" max="2814" width="5.28515625" style="502" customWidth="1"/>
    <col min="2815" max="2815" width="57.42578125" style="502" customWidth="1"/>
    <col min="2816" max="2817" width="15.28515625" style="502" customWidth="1"/>
    <col min="2818" max="3069" width="8.85546875" style="502"/>
    <col min="3070" max="3070" width="5.28515625" style="502" customWidth="1"/>
    <col min="3071" max="3071" width="57.42578125" style="502" customWidth="1"/>
    <col min="3072" max="3073" width="15.28515625" style="502" customWidth="1"/>
    <col min="3074" max="3325" width="8.85546875" style="502"/>
    <col min="3326" max="3326" width="5.28515625" style="502" customWidth="1"/>
    <col min="3327" max="3327" width="57.42578125" style="502" customWidth="1"/>
    <col min="3328" max="3329" width="15.28515625" style="502" customWidth="1"/>
    <col min="3330" max="3581" width="8.85546875" style="502"/>
    <col min="3582" max="3582" width="5.28515625" style="502" customWidth="1"/>
    <col min="3583" max="3583" width="57.42578125" style="502" customWidth="1"/>
    <col min="3584" max="3585" width="15.28515625" style="502" customWidth="1"/>
    <col min="3586" max="3837" width="8.85546875" style="502"/>
    <col min="3838" max="3838" width="5.28515625" style="502" customWidth="1"/>
    <col min="3839" max="3839" width="57.42578125" style="502" customWidth="1"/>
    <col min="3840" max="3841" width="15.28515625" style="502" customWidth="1"/>
    <col min="3842" max="4093" width="8.85546875" style="502"/>
    <col min="4094" max="4094" width="5.28515625" style="502" customWidth="1"/>
    <col min="4095" max="4095" width="57.42578125" style="502" customWidth="1"/>
    <col min="4096" max="4097" width="15.28515625" style="502" customWidth="1"/>
    <col min="4098" max="4349" width="8.85546875" style="502"/>
    <col min="4350" max="4350" width="5.28515625" style="502" customWidth="1"/>
    <col min="4351" max="4351" width="57.42578125" style="502" customWidth="1"/>
    <col min="4352" max="4353" width="15.28515625" style="502" customWidth="1"/>
    <col min="4354" max="4605" width="8.85546875" style="502"/>
    <col min="4606" max="4606" width="5.28515625" style="502" customWidth="1"/>
    <col min="4607" max="4607" width="57.42578125" style="502" customWidth="1"/>
    <col min="4608" max="4609" width="15.28515625" style="502" customWidth="1"/>
    <col min="4610" max="4861" width="8.85546875" style="502"/>
    <col min="4862" max="4862" width="5.28515625" style="502" customWidth="1"/>
    <col min="4863" max="4863" width="57.42578125" style="502" customWidth="1"/>
    <col min="4864" max="4865" width="15.28515625" style="502" customWidth="1"/>
    <col min="4866" max="5117" width="8.85546875" style="502"/>
    <col min="5118" max="5118" width="5.28515625" style="502" customWidth="1"/>
    <col min="5119" max="5119" width="57.42578125" style="502" customWidth="1"/>
    <col min="5120" max="5121" width="15.28515625" style="502" customWidth="1"/>
    <col min="5122" max="5373" width="8.85546875" style="502"/>
    <col min="5374" max="5374" width="5.28515625" style="502" customWidth="1"/>
    <col min="5375" max="5375" width="57.42578125" style="502" customWidth="1"/>
    <col min="5376" max="5377" width="15.28515625" style="502" customWidth="1"/>
    <col min="5378" max="5629" width="8.85546875" style="502"/>
    <col min="5630" max="5630" width="5.28515625" style="502" customWidth="1"/>
    <col min="5631" max="5631" width="57.42578125" style="502" customWidth="1"/>
    <col min="5632" max="5633" width="15.28515625" style="502" customWidth="1"/>
    <col min="5634" max="5885" width="8.85546875" style="502"/>
    <col min="5886" max="5886" width="5.28515625" style="502" customWidth="1"/>
    <col min="5887" max="5887" width="57.42578125" style="502" customWidth="1"/>
    <col min="5888" max="5889" width="15.28515625" style="502" customWidth="1"/>
    <col min="5890" max="6141" width="8.85546875" style="502"/>
    <col min="6142" max="6142" width="5.28515625" style="502" customWidth="1"/>
    <col min="6143" max="6143" width="57.42578125" style="502" customWidth="1"/>
    <col min="6144" max="6145" width="15.28515625" style="502" customWidth="1"/>
    <col min="6146" max="6397" width="8.85546875" style="502"/>
    <col min="6398" max="6398" width="5.28515625" style="502" customWidth="1"/>
    <col min="6399" max="6399" width="57.42578125" style="502" customWidth="1"/>
    <col min="6400" max="6401" width="15.28515625" style="502" customWidth="1"/>
    <col min="6402" max="6653" width="8.85546875" style="502"/>
    <col min="6654" max="6654" width="5.28515625" style="502" customWidth="1"/>
    <col min="6655" max="6655" width="57.42578125" style="502" customWidth="1"/>
    <col min="6656" max="6657" width="15.28515625" style="502" customWidth="1"/>
    <col min="6658" max="6909" width="8.85546875" style="502"/>
    <col min="6910" max="6910" width="5.28515625" style="502" customWidth="1"/>
    <col min="6911" max="6911" width="57.42578125" style="502" customWidth="1"/>
    <col min="6912" max="6913" width="15.28515625" style="502" customWidth="1"/>
    <col min="6914" max="7165" width="8.85546875" style="502"/>
    <col min="7166" max="7166" width="5.28515625" style="502" customWidth="1"/>
    <col min="7167" max="7167" width="57.42578125" style="502" customWidth="1"/>
    <col min="7168" max="7169" width="15.28515625" style="502" customWidth="1"/>
    <col min="7170" max="7421" width="8.85546875" style="502"/>
    <col min="7422" max="7422" width="5.28515625" style="502" customWidth="1"/>
    <col min="7423" max="7423" width="57.42578125" style="502" customWidth="1"/>
    <col min="7424" max="7425" width="15.28515625" style="502" customWidth="1"/>
    <col min="7426" max="7677" width="8.85546875" style="502"/>
    <col min="7678" max="7678" width="5.28515625" style="502" customWidth="1"/>
    <col min="7679" max="7679" width="57.42578125" style="502" customWidth="1"/>
    <col min="7680" max="7681" width="15.28515625" style="502" customWidth="1"/>
    <col min="7682" max="7933" width="8.85546875" style="502"/>
    <col min="7934" max="7934" width="5.28515625" style="502" customWidth="1"/>
    <col min="7935" max="7935" width="57.42578125" style="502" customWidth="1"/>
    <col min="7936" max="7937" width="15.28515625" style="502" customWidth="1"/>
    <col min="7938" max="8189" width="8.85546875" style="502"/>
    <col min="8190" max="8190" width="5.28515625" style="502" customWidth="1"/>
    <col min="8191" max="8191" width="57.42578125" style="502" customWidth="1"/>
    <col min="8192" max="8193" width="15.28515625" style="502" customWidth="1"/>
    <col min="8194" max="8445" width="8.85546875" style="502"/>
    <col min="8446" max="8446" width="5.28515625" style="502" customWidth="1"/>
    <col min="8447" max="8447" width="57.42578125" style="502" customWidth="1"/>
    <col min="8448" max="8449" width="15.28515625" style="502" customWidth="1"/>
    <col min="8450" max="8701" width="8.85546875" style="502"/>
    <col min="8702" max="8702" width="5.28515625" style="502" customWidth="1"/>
    <col min="8703" max="8703" width="57.42578125" style="502" customWidth="1"/>
    <col min="8704" max="8705" width="15.28515625" style="502" customWidth="1"/>
    <col min="8706" max="8957" width="8.85546875" style="502"/>
    <col min="8958" max="8958" width="5.28515625" style="502" customWidth="1"/>
    <col min="8959" max="8959" width="57.42578125" style="502" customWidth="1"/>
    <col min="8960" max="8961" width="15.28515625" style="502" customWidth="1"/>
    <col min="8962" max="9213" width="8.85546875" style="502"/>
    <col min="9214" max="9214" width="5.28515625" style="502" customWidth="1"/>
    <col min="9215" max="9215" width="57.42578125" style="502" customWidth="1"/>
    <col min="9216" max="9217" width="15.28515625" style="502" customWidth="1"/>
    <col min="9218" max="9469" width="8.85546875" style="502"/>
    <col min="9470" max="9470" width="5.28515625" style="502" customWidth="1"/>
    <col min="9471" max="9471" width="57.42578125" style="502" customWidth="1"/>
    <col min="9472" max="9473" width="15.28515625" style="502" customWidth="1"/>
    <col min="9474" max="9725" width="8.85546875" style="502"/>
    <col min="9726" max="9726" width="5.28515625" style="502" customWidth="1"/>
    <col min="9727" max="9727" width="57.42578125" style="502" customWidth="1"/>
    <col min="9728" max="9729" width="15.28515625" style="502" customWidth="1"/>
    <col min="9730" max="9981" width="8.85546875" style="502"/>
    <col min="9982" max="9982" width="5.28515625" style="502" customWidth="1"/>
    <col min="9983" max="9983" width="57.42578125" style="502" customWidth="1"/>
    <col min="9984" max="9985" width="15.28515625" style="502" customWidth="1"/>
    <col min="9986" max="10237" width="8.85546875" style="502"/>
    <col min="10238" max="10238" width="5.28515625" style="502" customWidth="1"/>
    <col min="10239" max="10239" width="57.42578125" style="502" customWidth="1"/>
    <col min="10240" max="10241" width="15.28515625" style="502" customWidth="1"/>
    <col min="10242" max="10493" width="8.85546875" style="502"/>
    <col min="10494" max="10494" width="5.28515625" style="502" customWidth="1"/>
    <col min="10495" max="10495" width="57.42578125" style="502" customWidth="1"/>
    <col min="10496" max="10497" width="15.28515625" style="502" customWidth="1"/>
    <col min="10498" max="10749" width="8.85546875" style="502"/>
    <col min="10750" max="10750" width="5.28515625" style="502" customWidth="1"/>
    <col min="10751" max="10751" width="57.42578125" style="502" customWidth="1"/>
    <col min="10752" max="10753" width="15.28515625" style="502" customWidth="1"/>
    <col min="10754" max="11005" width="8.85546875" style="502"/>
    <col min="11006" max="11006" width="5.28515625" style="502" customWidth="1"/>
    <col min="11007" max="11007" width="57.42578125" style="502" customWidth="1"/>
    <col min="11008" max="11009" width="15.28515625" style="502" customWidth="1"/>
    <col min="11010" max="11261" width="8.85546875" style="502"/>
    <col min="11262" max="11262" width="5.28515625" style="502" customWidth="1"/>
    <col min="11263" max="11263" width="57.42578125" style="502" customWidth="1"/>
    <col min="11264" max="11265" width="15.28515625" style="502" customWidth="1"/>
    <col min="11266" max="11517" width="8.85546875" style="502"/>
    <col min="11518" max="11518" width="5.28515625" style="502" customWidth="1"/>
    <col min="11519" max="11519" width="57.42578125" style="502" customWidth="1"/>
    <col min="11520" max="11521" width="15.28515625" style="502" customWidth="1"/>
    <col min="11522" max="11773" width="8.85546875" style="502"/>
    <col min="11774" max="11774" width="5.28515625" style="502" customWidth="1"/>
    <col min="11775" max="11775" width="57.42578125" style="502" customWidth="1"/>
    <col min="11776" max="11777" width="15.28515625" style="502" customWidth="1"/>
    <col min="11778" max="12029" width="8.85546875" style="502"/>
    <col min="12030" max="12030" width="5.28515625" style="502" customWidth="1"/>
    <col min="12031" max="12031" width="57.42578125" style="502" customWidth="1"/>
    <col min="12032" max="12033" width="15.28515625" style="502" customWidth="1"/>
    <col min="12034" max="12285" width="8.85546875" style="502"/>
    <col min="12286" max="12286" width="5.28515625" style="502" customWidth="1"/>
    <col min="12287" max="12287" width="57.42578125" style="502" customWidth="1"/>
    <col min="12288" max="12289" width="15.28515625" style="502" customWidth="1"/>
    <col min="12290" max="12541" width="8.85546875" style="502"/>
    <col min="12542" max="12542" width="5.28515625" style="502" customWidth="1"/>
    <col min="12543" max="12543" width="57.42578125" style="502" customWidth="1"/>
    <col min="12544" max="12545" width="15.28515625" style="502" customWidth="1"/>
    <col min="12546" max="12797" width="8.85546875" style="502"/>
    <col min="12798" max="12798" width="5.28515625" style="502" customWidth="1"/>
    <col min="12799" max="12799" width="57.42578125" style="502" customWidth="1"/>
    <col min="12800" max="12801" width="15.28515625" style="502" customWidth="1"/>
    <col min="12802" max="13053" width="8.85546875" style="502"/>
    <col min="13054" max="13054" width="5.28515625" style="502" customWidth="1"/>
    <col min="13055" max="13055" width="57.42578125" style="502" customWidth="1"/>
    <col min="13056" max="13057" width="15.28515625" style="502" customWidth="1"/>
    <col min="13058" max="13309" width="8.85546875" style="502"/>
    <col min="13310" max="13310" width="5.28515625" style="502" customWidth="1"/>
    <col min="13311" max="13311" width="57.42578125" style="502" customWidth="1"/>
    <col min="13312" max="13313" width="15.28515625" style="502" customWidth="1"/>
    <col min="13314" max="13565" width="8.85546875" style="502"/>
    <col min="13566" max="13566" width="5.28515625" style="502" customWidth="1"/>
    <col min="13567" max="13567" width="57.42578125" style="502" customWidth="1"/>
    <col min="13568" max="13569" width="15.28515625" style="502" customWidth="1"/>
    <col min="13570" max="13821" width="8.85546875" style="502"/>
    <col min="13822" max="13822" width="5.28515625" style="502" customWidth="1"/>
    <col min="13823" max="13823" width="57.42578125" style="502" customWidth="1"/>
    <col min="13824" max="13825" width="15.28515625" style="502" customWidth="1"/>
    <col min="13826" max="14077" width="8.85546875" style="502"/>
    <col min="14078" max="14078" width="5.28515625" style="502" customWidth="1"/>
    <col min="14079" max="14079" width="57.42578125" style="502" customWidth="1"/>
    <col min="14080" max="14081" width="15.28515625" style="502" customWidth="1"/>
    <col min="14082" max="14333" width="8.85546875" style="502"/>
    <col min="14334" max="14334" width="5.28515625" style="502" customWidth="1"/>
    <col min="14335" max="14335" width="57.42578125" style="502" customWidth="1"/>
    <col min="14336" max="14337" width="15.28515625" style="502" customWidth="1"/>
    <col min="14338" max="14589" width="8.85546875" style="502"/>
    <col min="14590" max="14590" width="5.28515625" style="502" customWidth="1"/>
    <col min="14591" max="14591" width="57.42578125" style="502" customWidth="1"/>
    <col min="14592" max="14593" width="15.28515625" style="502" customWidth="1"/>
    <col min="14594" max="14845" width="8.85546875" style="502"/>
    <col min="14846" max="14846" width="5.28515625" style="502" customWidth="1"/>
    <col min="14847" max="14847" width="57.42578125" style="502" customWidth="1"/>
    <col min="14848" max="14849" width="15.28515625" style="502" customWidth="1"/>
    <col min="14850" max="15101" width="8.85546875" style="502"/>
    <col min="15102" max="15102" width="5.28515625" style="502" customWidth="1"/>
    <col min="15103" max="15103" width="57.42578125" style="502" customWidth="1"/>
    <col min="15104" max="15105" width="15.28515625" style="502" customWidth="1"/>
    <col min="15106" max="15357" width="8.85546875" style="502"/>
    <col min="15358" max="15358" width="5.28515625" style="502" customWidth="1"/>
    <col min="15359" max="15359" width="57.42578125" style="502" customWidth="1"/>
    <col min="15360" max="15361" width="15.28515625" style="502" customWidth="1"/>
    <col min="15362" max="15613" width="8.85546875" style="502"/>
    <col min="15614" max="15614" width="5.28515625" style="502" customWidth="1"/>
    <col min="15615" max="15615" width="57.42578125" style="502" customWidth="1"/>
    <col min="15616" max="15617" width="15.28515625" style="502" customWidth="1"/>
    <col min="15618" max="15869" width="8.85546875" style="502"/>
    <col min="15870" max="15870" width="5.28515625" style="502" customWidth="1"/>
    <col min="15871" max="15871" width="57.42578125" style="502" customWidth="1"/>
    <col min="15872" max="15873" width="15.28515625" style="502" customWidth="1"/>
    <col min="15874" max="16125" width="8.85546875" style="502"/>
    <col min="16126" max="16126" width="5.28515625" style="502" customWidth="1"/>
    <col min="16127" max="16127" width="57.42578125" style="502" customWidth="1"/>
    <col min="16128" max="16129" width="15.28515625" style="502" customWidth="1"/>
    <col min="16130" max="16384" width="8.85546875" style="502"/>
  </cols>
  <sheetData>
    <row r="1" spans="1:5" ht="18" customHeight="1" x14ac:dyDescent="0.2">
      <c r="C1" s="1389">
        <v>2023</v>
      </c>
      <c r="D1" s="1390"/>
      <c r="E1" s="1391"/>
    </row>
    <row r="2" spans="1:5" ht="28.5" customHeight="1" thickBot="1" x14ac:dyDescent="0.25">
      <c r="A2" s="572"/>
      <c r="B2" s="572"/>
      <c r="C2" s="1191" t="s">
        <v>15</v>
      </c>
      <c r="D2" s="573" t="s">
        <v>287</v>
      </c>
      <c r="E2" s="574" t="s">
        <v>14</v>
      </c>
    </row>
    <row r="3" spans="1:5" ht="11.25" customHeight="1" x14ac:dyDescent="0.2">
      <c r="A3" s="575"/>
      <c r="B3" s="1181"/>
      <c r="C3" s="1192"/>
      <c r="D3" s="576"/>
      <c r="E3" s="577"/>
    </row>
    <row r="4" spans="1:5" s="580" customFormat="1" x14ac:dyDescent="0.2">
      <c r="A4" s="1387" t="s">
        <v>539</v>
      </c>
      <c r="B4" s="1388"/>
      <c r="C4" s="1193">
        <v>27251</v>
      </c>
      <c r="D4" s="578">
        <v>293507</v>
      </c>
      <c r="E4" s="579">
        <f>SUM(C4:D4)</f>
        <v>320758</v>
      </c>
    </row>
    <row r="5" spans="1:5" s="580" customFormat="1" x14ac:dyDescent="0.2">
      <c r="A5" s="1387" t="s">
        <v>540</v>
      </c>
      <c r="B5" s="1388"/>
      <c r="C5" s="1194">
        <v>223526</v>
      </c>
      <c r="D5" s="581">
        <v>73993</v>
      </c>
      <c r="E5" s="579">
        <f>SUM(C5:D5)</f>
        <v>297519</v>
      </c>
    </row>
    <row r="6" spans="1:5" x14ac:dyDescent="0.2">
      <c r="A6" s="1392" t="s">
        <v>541</v>
      </c>
      <c r="B6" s="1393"/>
      <c r="C6" s="1195">
        <f t="shared" ref="C6:D6" si="0">+C4-C5</f>
        <v>-196275</v>
      </c>
      <c r="D6" s="739">
        <f t="shared" si="0"/>
        <v>219514</v>
      </c>
      <c r="E6" s="582">
        <f>+E4-E5</f>
        <v>23239</v>
      </c>
    </row>
    <row r="7" spans="1:5" x14ac:dyDescent="0.2">
      <c r="A7" s="583"/>
      <c r="B7" s="1182"/>
      <c r="C7" s="1192"/>
      <c r="D7" s="576"/>
      <c r="E7" s="577"/>
    </row>
    <row r="8" spans="1:5" s="580" customFormat="1" x14ac:dyDescent="0.2">
      <c r="A8" s="1387" t="s">
        <v>542</v>
      </c>
      <c r="B8" s="1388"/>
      <c r="C8" s="1193">
        <v>229359</v>
      </c>
      <c r="D8" s="578">
        <v>31311</v>
      </c>
      <c r="E8" s="579">
        <f>SUM(C8:D8)</f>
        <v>260670</v>
      </c>
    </row>
    <row r="9" spans="1:5" s="580" customFormat="1" x14ac:dyDescent="0.2">
      <c r="A9" s="1387" t="s">
        <v>543</v>
      </c>
      <c r="B9" s="1388"/>
      <c r="C9" s="1194"/>
      <c r="D9" s="581">
        <v>215126</v>
      </c>
      <c r="E9" s="584">
        <f>SUM(C9:D9)</f>
        <v>215126</v>
      </c>
    </row>
    <row r="10" spans="1:5" x14ac:dyDescent="0.2">
      <c r="A10" s="1392" t="s">
        <v>544</v>
      </c>
      <c r="B10" s="1393"/>
      <c r="C10" s="1195">
        <f t="shared" ref="C10" si="1">+C8-C9</f>
        <v>229359</v>
      </c>
      <c r="D10" s="739">
        <f>+D8-D9</f>
        <v>-183815</v>
      </c>
      <c r="E10" s="582">
        <f>+E8-E9</f>
        <v>45544</v>
      </c>
    </row>
    <row r="11" spans="1:5" x14ac:dyDescent="0.2">
      <c r="A11" s="585"/>
      <c r="B11" s="572"/>
      <c r="C11" s="1196"/>
      <c r="D11" s="586"/>
      <c r="E11" s="587"/>
    </row>
    <row r="12" spans="1:5" s="589" customFormat="1" x14ac:dyDescent="0.2">
      <c r="A12" s="1396" t="s">
        <v>545</v>
      </c>
      <c r="B12" s="1397"/>
      <c r="C12" s="1197">
        <f t="shared" ref="C12" si="2">+C6+C10</f>
        <v>33084</v>
      </c>
      <c r="D12" s="740">
        <f>+D6+D10</f>
        <v>35699</v>
      </c>
      <c r="E12" s="588">
        <f>+E6+E10</f>
        <v>68783</v>
      </c>
    </row>
    <row r="13" spans="1:5" x14ac:dyDescent="0.2">
      <c r="A13" s="585"/>
      <c r="B13" s="572"/>
      <c r="C13" s="1196"/>
      <c r="D13" s="586"/>
      <c r="E13" s="587"/>
    </row>
    <row r="14" spans="1:5" s="580" customFormat="1" x14ac:dyDescent="0.2">
      <c r="A14" s="1387" t="s">
        <v>546</v>
      </c>
      <c r="B14" s="1388"/>
      <c r="C14" s="1193"/>
      <c r="D14" s="578"/>
      <c r="E14" s="579">
        <f>SUM(C14:D14)</f>
        <v>0</v>
      </c>
    </row>
    <row r="15" spans="1:5" s="580" customFormat="1" x14ac:dyDescent="0.2">
      <c r="A15" s="1387" t="s">
        <v>547</v>
      </c>
      <c r="B15" s="1388"/>
      <c r="C15" s="1194"/>
      <c r="D15" s="581"/>
      <c r="E15" s="579">
        <f>SUM(C15:D15)</f>
        <v>0</v>
      </c>
    </row>
    <row r="16" spans="1:5" x14ac:dyDescent="0.2">
      <c r="A16" s="1392" t="s">
        <v>548</v>
      </c>
      <c r="B16" s="1393"/>
      <c r="C16" s="1195">
        <f t="shared" ref="C16:E16" si="3">+C14-C15</f>
        <v>0</v>
      </c>
      <c r="D16" s="739">
        <f t="shared" si="3"/>
        <v>0</v>
      </c>
      <c r="E16" s="582">
        <f t="shared" si="3"/>
        <v>0</v>
      </c>
    </row>
    <row r="17" spans="1:7" x14ac:dyDescent="0.2">
      <c r="A17" s="585"/>
      <c r="B17" s="572"/>
      <c r="C17" s="1196"/>
      <c r="D17" s="586"/>
      <c r="E17" s="587"/>
      <c r="G17" s="590"/>
    </row>
    <row r="18" spans="1:7" s="580" customFormat="1" x14ac:dyDescent="0.2">
      <c r="A18" s="1387" t="s">
        <v>549</v>
      </c>
      <c r="B18" s="1388"/>
      <c r="C18" s="1193"/>
      <c r="D18" s="578"/>
      <c r="E18" s="579">
        <f>SUM(C18:D18)</f>
        <v>0</v>
      </c>
    </row>
    <row r="19" spans="1:7" s="580" customFormat="1" x14ac:dyDescent="0.2">
      <c r="A19" s="1387" t="s">
        <v>550</v>
      </c>
      <c r="B19" s="1388"/>
      <c r="C19" s="1194"/>
      <c r="D19" s="581"/>
      <c r="E19" s="584">
        <f>SUM(C19:D19)</f>
        <v>0</v>
      </c>
    </row>
    <row r="20" spans="1:7" x14ac:dyDescent="0.2">
      <c r="A20" s="1392" t="s">
        <v>551</v>
      </c>
      <c r="B20" s="1393"/>
      <c r="C20" s="1195">
        <f t="shared" ref="C20:E20" si="4">+C18-C19</f>
        <v>0</v>
      </c>
      <c r="D20" s="739">
        <f t="shared" si="4"/>
        <v>0</v>
      </c>
      <c r="E20" s="582">
        <f t="shared" si="4"/>
        <v>0</v>
      </c>
    </row>
    <row r="21" spans="1:7" x14ac:dyDescent="0.2">
      <c r="A21" s="978"/>
      <c r="B21" s="1183"/>
      <c r="C21" s="1195"/>
      <c r="D21" s="739"/>
      <c r="E21" s="582"/>
    </row>
    <row r="22" spans="1:7" s="589" customFormat="1" x14ac:dyDescent="0.2">
      <c r="A22" s="1396" t="s">
        <v>552</v>
      </c>
      <c r="B22" s="1397"/>
      <c r="C22" s="1197">
        <f t="shared" ref="C22:E22" si="5">+C16+C20</f>
        <v>0</v>
      </c>
      <c r="D22" s="740">
        <f t="shared" si="5"/>
        <v>0</v>
      </c>
      <c r="E22" s="588">
        <f t="shared" si="5"/>
        <v>0</v>
      </c>
    </row>
    <row r="23" spans="1:7" x14ac:dyDescent="0.2">
      <c r="A23" s="585"/>
      <c r="B23" s="572"/>
      <c r="C23" s="1196"/>
      <c r="D23" s="586"/>
      <c r="E23" s="587"/>
      <c r="G23" s="590"/>
    </row>
    <row r="24" spans="1:7" s="589" customFormat="1" x14ac:dyDescent="0.2">
      <c r="A24" s="1396" t="s">
        <v>553</v>
      </c>
      <c r="B24" s="1397"/>
      <c r="C24" s="1198">
        <f t="shared" ref="C24:E24" si="6">+C12+C22</f>
        <v>33084</v>
      </c>
      <c r="D24" s="858">
        <f t="shared" si="6"/>
        <v>35699</v>
      </c>
      <c r="E24" s="859">
        <f t="shared" si="6"/>
        <v>68783</v>
      </c>
      <c r="G24" s="591"/>
    </row>
    <row r="25" spans="1:7" x14ac:dyDescent="0.2">
      <c r="A25" s="583"/>
      <c r="B25" s="1182"/>
      <c r="C25" s="1192"/>
      <c r="D25" s="576"/>
      <c r="E25" s="577"/>
      <c r="G25" s="590"/>
    </row>
    <row r="26" spans="1:7" x14ac:dyDescent="0.2">
      <c r="A26" s="1201" t="s">
        <v>1244</v>
      </c>
      <c r="B26" s="1202"/>
      <c r="C26" s="1288">
        <f>C27+C28+C29+C30+C31+M39+C35</f>
        <v>-155</v>
      </c>
      <c r="D26" s="1203">
        <f>D27+D28+D29+D30+D31+D33+D35+D41</f>
        <v>-37057</v>
      </c>
      <c r="E26" s="1203">
        <f>E27+E28+E29+E30+E31+E33+E35+E41</f>
        <v>-37212</v>
      </c>
    </row>
    <row r="27" spans="1:7" x14ac:dyDescent="0.2">
      <c r="A27" s="594"/>
      <c r="B27" s="1184" t="s">
        <v>1295</v>
      </c>
      <c r="C27" s="1199"/>
      <c r="D27" s="592">
        <v>-2537</v>
      </c>
      <c r="E27" s="593">
        <f t="shared" ref="E27:E38" si="7">SUM(C27:D27)</f>
        <v>-2537</v>
      </c>
    </row>
    <row r="28" spans="1:7" x14ac:dyDescent="0.2">
      <c r="A28" s="594"/>
      <c r="B28" s="1184" t="s">
        <v>1264</v>
      </c>
      <c r="C28" s="1199"/>
      <c r="D28" s="592">
        <v>-57</v>
      </c>
      <c r="E28" s="593">
        <f t="shared" si="7"/>
        <v>-57</v>
      </c>
    </row>
    <row r="29" spans="1:7" x14ac:dyDescent="0.2">
      <c r="A29" s="594"/>
      <c r="B29" s="1184" t="s">
        <v>1296</v>
      </c>
      <c r="C29" s="1199"/>
      <c r="D29" s="592">
        <v>-38</v>
      </c>
      <c r="E29" s="593">
        <f t="shared" si="7"/>
        <v>-38</v>
      </c>
    </row>
    <row r="30" spans="1:7" x14ac:dyDescent="0.2">
      <c r="A30" s="594"/>
      <c r="B30" s="1184" t="s">
        <v>1297</v>
      </c>
      <c r="C30" s="1199">
        <v>-112</v>
      </c>
      <c r="D30" s="592"/>
      <c r="E30" s="593">
        <f t="shared" si="7"/>
        <v>-112</v>
      </c>
    </row>
    <row r="31" spans="1:7" x14ac:dyDescent="0.2">
      <c r="A31" s="594"/>
      <c r="B31" s="1184" t="s">
        <v>1298</v>
      </c>
      <c r="C31" s="1199">
        <v>-43</v>
      </c>
      <c r="D31" s="592"/>
      <c r="E31" s="593">
        <f t="shared" si="7"/>
        <v>-43</v>
      </c>
    </row>
    <row r="32" spans="1:7" x14ac:dyDescent="0.2">
      <c r="A32" s="594"/>
      <c r="B32" s="1293"/>
      <c r="C32" s="1290"/>
      <c r="D32" s="592"/>
      <c r="E32" s="593"/>
    </row>
    <row r="33" spans="1:13" x14ac:dyDescent="0.2">
      <c r="A33" s="594"/>
      <c r="B33" s="1294" t="s">
        <v>1301</v>
      </c>
      <c r="C33" s="1295"/>
      <c r="D33" s="592">
        <v>-343</v>
      </c>
      <c r="E33" s="593">
        <f t="shared" si="7"/>
        <v>-343</v>
      </c>
    </row>
    <row r="34" spans="1:13" x14ac:dyDescent="0.2">
      <c r="A34" s="594"/>
      <c r="B34" s="1296"/>
      <c r="C34" s="1297"/>
      <c r="D34" s="592"/>
      <c r="E34" s="593"/>
    </row>
    <row r="35" spans="1:13" x14ac:dyDescent="0.2">
      <c r="A35" s="594"/>
      <c r="B35" s="1185" t="s">
        <v>1229</v>
      </c>
      <c r="C35" s="1199"/>
      <c r="D35" s="592">
        <f>D36+D37+D38</f>
        <v>-32686</v>
      </c>
      <c r="E35" s="592">
        <f>E36+E37+E38</f>
        <v>-32686</v>
      </c>
      <c r="F35" s="1263"/>
    </row>
    <row r="36" spans="1:13" x14ac:dyDescent="0.2">
      <c r="A36" s="1180"/>
      <c r="B36" s="1186" t="s">
        <v>1184</v>
      </c>
      <c r="C36" s="1193"/>
      <c r="D36" s="578">
        <v>-3789</v>
      </c>
      <c r="E36" s="579">
        <f t="shared" si="7"/>
        <v>-3789</v>
      </c>
    </row>
    <row r="37" spans="1:13" x14ac:dyDescent="0.2">
      <c r="A37" s="1180"/>
      <c r="B37" s="1187" t="s">
        <v>1263</v>
      </c>
      <c r="C37" s="1193"/>
      <c r="D37" s="578">
        <v>-21296</v>
      </c>
      <c r="E37" s="579">
        <f t="shared" si="7"/>
        <v>-21296</v>
      </c>
    </row>
    <row r="38" spans="1:13" x14ac:dyDescent="0.2">
      <c r="A38" s="1180"/>
      <c r="B38" s="1187" t="s">
        <v>255</v>
      </c>
      <c r="C38" s="1193"/>
      <c r="D38" s="578">
        <v>-7601</v>
      </c>
      <c r="E38" s="579">
        <f t="shared" si="7"/>
        <v>-7601</v>
      </c>
    </row>
    <row r="39" spans="1:13" x14ac:dyDescent="0.2">
      <c r="C39" s="1193"/>
      <c r="D39" s="1269"/>
      <c r="E39" s="579"/>
      <c r="L39" s="1398"/>
      <c r="M39" s="1399"/>
    </row>
    <row r="40" spans="1:13" x14ac:dyDescent="0.2">
      <c r="A40" s="1180"/>
      <c r="B40" s="1187"/>
      <c r="C40" s="1193"/>
      <c r="D40" s="1269"/>
      <c r="E40" s="579"/>
    </row>
    <row r="41" spans="1:13" x14ac:dyDescent="0.2">
      <c r="A41" s="1394" t="s">
        <v>1266</v>
      </c>
      <c r="B41" s="1395"/>
      <c r="C41" s="1271"/>
      <c r="D41" s="781">
        <f>+'5.SZ.TÁBL. SZOCIÁLIS NORMATÍVA'!J8</f>
        <v>-1396</v>
      </c>
      <c r="E41" s="595">
        <f>SUM(C41:D41)</f>
        <v>-1396</v>
      </c>
    </row>
    <row r="42" spans="1:13" x14ac:dyDescent="0.2">
      <c r="A42" s="1394" t="s">
        <v>1267</v>
      </c>
      <c r="B42" s="1395"/>
      <c r="C42" s="1271"/>
      <c r="D42" s="781">
        <f>+'5.SZ.TÁBL. SZOCIÁLIS NORMATÍVA'!J11</f>
        <v>0</v>
      </c>
      <c r="E42" s="595">
        <f>SUM(C42:D42)</f>
        <v>0</v>
      </c>
    </row>
    <row r="43" spans="1:13" x14ac:dyDescent="0.2">
      <c r="A43" s="1116"/>
      <c r="B43" s="1188"/>
      <c r="C43" s="1199"/>
      <c r="D43" s="592"/>
      <c r="E43" s="595"/>
      <c r="G43" s="590"/>
      <c r="M43" s="1265"/>
    </row>
    <row r="44" spans="1:13" s="589" customFormat="1" ht="15" customHeight="1" x14ac:dyDescent="0.2">
      <c r="A44" s="1400" t="s">
        <v>1245</v>
      </c>
      <c r="B44" s="1401"/>
      <c r="C44" s="1267">
        <f>C24+C26</f>
        <v>32929</v>
      </c>
      <c r="D44" s="1291">
        <f t="shared" ref="D44:E44" si="8">D24+D26</f>
        <v>-1358</v>
      </c>
      <c r="E44" s="1292">
        <f t="shared" si="8"/>
        <v>31571</v>
      </c>
      <c r="F44" s="1266"/>
      <c r="G44" s="591"/>
    </row>
    <row r="45" spans="1:13" x14ac:dyDescent="0.2">
      <c r="A45" s="1394" t="s">
        <v>1243</v>
      </c>
      <c r="B45" s="1395"/>
      <c r="C45" s="1290">
        <f>SUM(C46:C52)</f>
        <v>-22207</v>
      </c>
      <c r="D45" s="1289">
        <f>SUM(D46:D52)</f>
        <v>0</v>
      </c>
      <c r="E45" s="595">
        <f>SUM(E46:E52)</f>
        <v>-22207</v>
      </c>
    </row>
    <row r="46" spans="1:13" x14ac:dyDescent="0.2">
      <c r="A46" s="1163"/>
      <c r="B46" s="1189" t="s">
        <v>1242</v>
      </c>
      <c r="C46" s="1199">
        <f>+'4.SZ.TÁBL. SEGÍTŐ SZOLGÁLAT'!AF136</f>
        <v>-1789</v>
      </c>
      <c r="D46" s="592"/>
      <c r="E46" s="595">
        <f t="shared" ref="E46:E52" si="9">SUM(C46:D46)</f>
        <v>-1789</v>
      </c>
    </row>
    <row r="47" spans="1:13" x14ac:dyDescent="0.2">
      <c r="A47" s="1163"/>
      <c r="B47" s="1189" t="s">
        <v>1241</v>
      </c>
      <c r="C47" s="1199">
        <f>+'4.SZ.TÁBL. SEGÍTŐ SZOLGÁLAT'!AF132</f>
        <v>-1146</v>
      </c>
      <c r="D47" s="592"/>
      <c r="E47" s="595">
        <f t="shared" si="9"/>
        <v>-1146</v>
      </c>
    </row>
    <row r="48" spans="1:13" x14ac:dyDescent="0.2">
      <c r="A48" s="1163"/>
      <c r="B48" s="1189" t="s">
        <v>1262</v>
      </c>
      <c r="C48" s="1199">
        <f>+'4.SZ.TÁBL. SEGÍTŐ SZOLGÁLAT'!AF133</f>
        <v>-6119</v>
      </c>
      <c r="D48" s="781"/>
      <c r="E48" s="595">
        <f t="shared" si="9"/>
        <v>-6119</v>
      </c>
      <c r="M48" s="1264"/>
    </row>
    <row r="49" spans="1:5" x14ac:dyDescent="0.2">
      <c r="A49" s="1258"/>
      <c r="B49" s="1259" t="s">
        <v>1258</v>
      </c>
      <c r="C49" s="1199">
        <f>+'4.SZ.TÁBL. SEGÍTŐ SZOLGÁLAT'!AF131</f>
        <v>-1284</v>
      </c>
      <c r="D49" s="592"/>
      <c r="E49" s="595">
        <f t="shared" si="9"/>
        <v>-1284</v>
      </c>
    </row>
    <row r="50" spans="1:5" x14ac:dyDescent="0.2">
      <c r="A50" s="1258"/>
      <c r="B50" s="1259" t="s">
        <v>1259</v>
      </c>
      <c r="C50" s="1199">
        <f>+'4.SZ.TÁBL. SEGÍTŐ SZOLGÁLAT'!AF135</f>
        <v>-2124</v>
      </c>
      <c r="D50" s="592"/>
      <c r="E50" s="595">
        <f t="shared" si="9"/>
        <v>-2124</v>
      </c>
    </row>
    <row r="51" spans="1:5" x14ac:dyDescent="0.2">
      <c r="A51" s="1258"/>
      <c r="B51" s="1259" t="s">
        <v>1260</v>
      </c>
      <c r="C51" s="1199">
        <f>+'4.SZ.TÁBL. SEGÍTŐ SZOLGÁLAT'!AF134</f>
        <v>-3422</v>
      </c>
      <c r="D51" s="592"/>
      <c r="E51" s="595">
        <f t="shared" si="9"/>
        <v>-3422</v>
      </c>
    </row>
    <row r="52" spans="1:5" x14ac:dyDescent="0.2">
      <c r="A52" s="1163"/>
      <c r="B52" s="1189" t="s">
        <v>1261</v>
      </c>
      <c r="C52" s="1199">
        <f>+'4.SZ.TÁBL. SEGÍTŐ SZOLGÁLAT'!AF130</f>
        <v>-6323</v>
      </c>
      <c r="D52" s="781"/>
      <c r="E52" s="595">
        <f t="shared" si="9"/>
        <v>-6323</v>
      </c>
    </row>
    <row r="53" spans="1:5" x14ac:dyDescent="0.2">
      <c r="A53" s="1394" t="s">
        <v>1300</v>
      </c>
      <c r="B53" s="1395"/>
      <c r="C53" s="1199">
        <v>-9326</v>
      </c>
      <c r="D53" s="781"/>
      <c r="E53" s="595">
        <f>SUM(C53:D53)</f>
        <v>-9326</v>
      </c>
    </row>
    <row r="54" spans="1:5" x14ac:dyDescent="0.2">
      <c r="A54" s="1385" t="s">
        <v>1299</v>
      </c>
      <c r="B54" s="1386"/>
      <c r="C54" s="1199"/>
      <c r="D54" s="781">
        <v>-38</v>
      </c>
      <c r="E54" s="595">
        <f t="shared" ref="E54:E55" si="10">SUM(C54:D54)</f>
        <v>-38</v>
      </c>
    </row>
    <row r="55" spans="1:5" ht="13.5" thickBot="1" x14ac:dyDescent="0.25">
      <c r="A55" s="594"/>
      <c r="B55" s="1185"/>
      <c r="C55" s="1199"/>
      <c r="D55" s="592"/>
      <c r="E55" s="595">
        <f t="shared" si="10"/>
        <v>0</v>
      </c>
    </row>
    <row r="56" spans="1:5" ht="13.5" thickBot="1" x14ac:dyDescent="0.25">
      <c r="A56" s="596" t="s">
        <v>1220</v>
      </c>
      <c r="B56" s="1190"/>
      <c r="C56" s="1200">
        <f>C44+C45+C53</f>
        <v>1396</v>
      </c>
      <c r="D56" s="1200">
        <f>D44+D45+D54</f>
        <v>-1396</v>
      </c>
      <c r="E56" s="1200">
        <f>E44+E45+E53+E54</f>
        <v>0</v>
      </c>
    </row>
  </sheetData>
  <mergeCells count="23">
    <mergeCell ref="L39:M39"/>
    <mergeCell ref="A22:B22"/>
    <mergeCell ref="A24:B24"/>
    <mergeCell ref="A41:B41"/>
    <mergeCell ref="A45:B45"/>
    <mergeCell ref="A44:B44"/>
    <mergeCell ref="A42:B42"/>
    <mergeCell ref="A54:B54"/>
    <mergeCell ref="A9:B9"/>
    <mergeCell ref="C1:E1"/>
    <mergeCell ref="A4:B4"/>
    <mergeCell ref="A5:B5"/>
    <mergeCell ref="A6:B6"/>
    <mergeCell ref="A8:B8"/>
    <mergeCell ref="A53:B53"/>
    <mergeCell ref="A10:B10"/>
    <mergeCell ref="A12:B12"/>
    <mergeCell ref="A14:B14"/>
    <mergeCell ref="A15:B15"/>
    <mergeCell ref="A16:B16"/>
    <mergeCell ref="A18:B18"/>
    <mergeCell ref="A19:B19"/>
    <mergeCell ref="A20:B20"/>
  </mergeCells>
  <printOptions horizontalCentered="1"/>
  <pageMargins left="0.43307086614173229" right="0.43307086614173229" top="1.3385826771653544" bottom="0.51181102362204722" header="0.35433070866141736" footer="0.15748031496062992"/>
  <pageSetup paperSize="9" scale="85" orientation="portrait" r:id="rId1"/>
  <headerFooter alignWithMargins="0">
    <oddHeader>&amp;L&amp;"Times New Roman,Félkövér"&amp;12Szent László Völgye TKT&amp;C&amp;"Times New Roman,Félkövér"&amp;16
&amp;14 2023. ÉVI ZÁRSZÁMADÁSI BESZÁMOLÓ&amp;R7. sz. táblázat
MARADVÁNYKIMUTATÁS
Adatok: eFt</oddHeader>
    <oddFooter>&amp;L&amp;F&amp;R&amp;P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D65"/>
  <sheetViews>
    <sheetView zoomScaleNormal="100" workbookViewId="0">
      <selection activeCell="J19" sqref="J19"/>
    </sheetView>
  </sheetViews>
  <sheetFormatPr defaultColWidth="9.140625" defaultRowHeight="15" x14ac:dyDescent="0.25"/>
  <cols>
    <col min="1" max="1" width="31.7109375" style="597" customWidth="1"/>
    <col min="2" max="2" width="10.28515625" style="597" customWidth="1"/>
    <col min="3" max="3" width="11.28515625" style="597" customWidth="1"/>
    <col min="4" max="4" width="10.28515625" style="597" customWidth="1"/>
    <col min="5" max="16384" width="9.140625" style="597"/>
  </cols>
  <sheetData>
    <row r="1" spans="1:4" s="742" customFormat="1" ht="45" customHeight="1" x14ac:dyDescent="0.2">
      <c r="A1" s="741" t="s">
        <v>13</v>
      </c>
      <c r="B1" s="1402" t="s">
        <v>282</v>
      </c>
      <c r="C1" s="1403"/>
      <c r="D1" s="1404"/>
    </row>
    <row r="2" spans="1:4" s="742" customFormat="1" ht="27" customHeight="1" x14ac:dyDescent="0.2">
      <c r="A2" s="743" t="s">
        <v>324</v>
      </c>
      <c r="B2" s="744" t="s">
        <v>325</v>
      </c>
      <c r="C2" s="744" t="s">
        <v>326</v>
      </c>
      <c r="D2" s="1076" t="s">
        <v>51</v>
      </c>
    </row>
    <row r="3" spans="1:4" s="742" customFormat="1" ht="16.5" customHeight="1" x14ac:dyDescent="0.2">
      <c r="A3" s="745" t="s">
        <v>15</v>
      </c>
      <c r="B3" s="746"/>
      <c r="C3" s="746"/>
      <c r="D3" s="1077"/>
    </row>
    <row r="4" spans="1:4" s="742" customFormat="1" ht="16.5" customHeight="1" x14ac:dyDescent="0.2">
      <c r="A4" s="973" t="s">
        <v>1223</v>
      </c>
      <c r="B4" s="787">
        <f>+'[11]7.SZ.TÁBL. LÉTSZÁMADATOK'!$C4</f>
        <v>0</v>
      </c>
      <c r="C4" s="787">
        <f>+'[11]7.SZ.TÁBL. LÉTSZÁMADATOK'!$C4</f>
        <v>0</v>
      </c>
      <c r="D4" s="976">
        <v>0</v>
      </c>
    </row>
    <row r="5" spans="1:4" s="742" customFormat="1" ht="16.5" customHeight="1" x14ac:dyDescent="0.2">
      <c r="A5" s="973" t="s">
        <v>1076</v>
      </c>
      <c r="B5" s="787">
        <f>+'[11]7.SZ.TÁBL. LÉTSZÁMADATOK'!$C5</f>
        <v>7</v>
      </c>
      <c r="C5" s="787">
        <f>+'[11]7.SZ.TÁBL. LÉTSZÁMADATOK'!$C5</f>
        <v>7</v>
      </c>
      <c r="D5" s="976">
        <v>7</v>
      </c>
    </row>
    <row r="6" spans="1:4" s="742" customFormat="1" ht="16.5" customHeight="1" x14ac:dyDescent="0.2">
      <c r="A6" s="973" t="s">
        <v>1077</v>
      </c>
      <c r="B6" s="787">
        <v>8.5</v>
      </c>
      <c r="C6" s="787">
        <v>8.5</v>
      </c>
      <c r="D6" s="976">
        <v>7</v>
      </c>
    </row>
    <row r="7" spans="1:4" s="742" customFormat="1" ht="16.5" customHeight="1" x14ac:dyDescent="0.2">
      <c r="A7" s="973" t="s">
        <v>1078</v>
      </c>
      <c r="B7" s="787">
        <f>+'[11]7.SZ.TÁBL. LÉTSZÁMADATOK'!$C7</f>
        <v>6</v>
      </c>
      <c r="C7" s="787">
        <f>+'[11]7.SZ.TÁBL. LÉTSZÁMADATOK'!$C7</f>
        <v>6</v>
      </c>
      <c r="D7" s="976">
        <v>5.5</v>
      </c>
    </row>
    <row r="8" spans="1:4" s="742" customFormat="1" ht="16.5" customHeight="1" x14ac:dyDescent="0.2">
      <c r="A8" s="973" t="s">
        <v>1222</v>
      </c>
      <c r="B8" s="787">
        <f>+'[11]7.SZ.TÁBL. LÉTSZÁMADATOK'!$C8</f>
        <v>3.5</v>
      </c>
      <c r="C8" s="787">
        <f>+'[11]7.SZ.TÁBL. LÉTSZÁMADATOK'!$C8</f>
        <v>3.5</v>
      </c>
      <c r="D8" s="976">
        <v>2</v>
      </c>
    </row>
    <row r="9" spans="1:4" s="742" customFormat="1" ht="16.5" customHeight="1" x14ac:dyDescent="0.2">
      <c r="A9" s="973" t="s">
        <v>1221</v>
      </c>
      <c r="B9" s="787">
        <f>+'[11]7.SZ.TÁBL. LÉTSZÁMADATOK'!$C9</f>
        <v>1</v>
      </c>
      <c r="C9" s="787">
        <f>+'[11]7.SZ.TÁBL. LÉTSZÁMADATOK'!$C9</f>
        <v>1</v>
      </c>
      <c r="D9" s="976">
        <v>1</v>
      </c>
    </row>
    <row r="10" spans="1:4" s="742" customFormat="1" ht="16.5" customHeight="1" x14ac:dyDescent="0.2">
      <c r="A10" s="973" t="s">
        <v>1079</v>
      </c>
      <c r="B10" s="787">
        <v>6.5</v>
      </c>
      <c r="C10" s="787">
        <v>6.5</v>
      </c>
      <c r="D10" s="976">
        <v>5.5</v>
      </c>
    </row>
    <row r="11" spans="1:4" s="742" customFormat="1" ht="16.5" customHeight="1" thickBot="1" x14ac:dyDescent="0.25">
      <c r="A11" s="974" t="s">
        <v>16</v>
      </c>
      <c r="B11" s="975">
        <f>SUM(B4:B10)</f>
        <v>32.5</v>
      </c>
      <c r="C11" s="975">
        <f>SUM(C4:C10)</f>
        <v>32.5</v>
      </c>
      <c r="D11" s="1078">
        <f>SUM(D4:D10)</f>
        <v>28</v>
      </c>
    </row>
    <row r="61" spans="1:4" x14ac:dyDescent="0.25">
      <c r="A61" s="747"/>
      <c r="B61" s="747"/>
      <c r="C61" s="747"/>
      <c r="D61" s="747"/>
    </row>
    <row r="62" spans="1:4" x14ac:dyDescent="0.25">
      <c r="A62" s="748"/>
      <c r="B62" s="748"/>
      <c r="C62" s="748"/>
      <c r="D62" s="748"/>
    </row>
    <row r="63" spans="1:4" x14ac:dyDescent="0.25">
      <c r="A63" s="748"/>
      <c r="B63" s="748"/>
      <c r="C63" s="748"/>
      <c r="D63" s="748"/>
    </row>
    <row r="64" spans="1:4" x14ac:dyDescent="0.25">
      <c r="A64" s="748"/>
      <c r="B64" s="748"/>
      <c r="C64" s="748"/>
      <c r="D64" s="748"/>
    </row>
    <row r="65" spans="1:4" x14ac:dyDescent="0.25">
      <c r="A65" s="749"/>
      <c r="B65" s="749"/>
      <c r="C65" s="749"/>
      <c r="D65" s="749"/>
    </row>
  </sheetData>
  <mergeCells count="1">
    <mergeCell ref="B1:D1"/>
  </mergeCells>
  <phoneticPr fontId="25" type="noConversion"/>
  <printOptions horizontalCentered="1"/>
  <pageMargins left="0.55118110236220474" right="0.55118110236220474" top="1.3385826771653544" bottom="0.51181102362204722" header="0.35433070866141736" footer="0.15748031496062992"/>
  <pageSetup paperSize="9" orientation="portrait" r:id="rId1"/>
  <headerFooter alignWithMargins="0">
    <oddHeader>&amp;L&amp;"Times New Roman,Félkövér"&amp;13Szent László Völgye TKT&amp;C&amp;"Times New Roman,Félkövér"&amp;16
 2023. ÉVI ZÁRSZÁMADÁSI BESZÁMOLÓ&amp;R8. sz. táblázat
LÉTSZÁMADATOK
Adatok: fő</oddHeader>
    <oddFooter>&amp;L&amp;F&amp;R&amp;P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3"/>
  <sheetViews>
    <sheetView zoomScaleNormal="100" workbookViewId="0">
      <selection activeCell="A32" sqref="A32:A38"/>
    </sheetView>
  </sheetViews>
  <sheetFormatPr defaultColWidth="8.85546875" defaultRowHeight="15" x14ac:dyDescent="0.25"/>
  <cols>
    <col min="1" max="1" width="29.7109375" style="597" customWidth="1"/>
    <col min="2" max="5" width="11" style="597" customWidth="1"/>
    <col min="6" max="6" width="15.28515625" style="597" customWidth="1"/>
    <col min="7" max="7" width="12.85546875" style="597" customWidth="1"/>
    <col min="8" max="8" width="19.5703125" style="597" customWidth="1"/>
    <col min="9" max="11" width="8.85546875" style="597"/>
    <col min="12" max="12" width="9.28515625" style="597" customWidth="1"/>
    <col min="13" max="255" width="8.85546875" style="597"/>
    <col min="256" max="256" width="29.7109375" style="597" customWidth="1"/>
    <col min="257" max="261" width="12.85546875" style="597" customWidth="1"/>
    <col min="262" max="263" width="18.28515625" style="597" customWidth="1"/>
    <col min="264" max="264" width="16.140625" style="597" customWidth="1"/>
    <col min="265" max="267" width="8.85546875" style="597"/>
    <col min="268" max="268" width="9.28515625" style="597" customWidth="1"/>
    <col min="269" max="511" width="8.85546875" style="597"/>
    <col min="512" max="512" width="29.7109375" style="597" customWidth="1"/>
    <col min="513" max="517" width="12.85546875" style="597" customWidth="1"/>
    <col min="518" max="519" width="18.28515625" style="597" customWidth="1"/>
    <col min="520" max="520" width="16.140625" style="597" customWidth="1"/>
    <col min="521" max="523" width="8.85546875" style="597"/>
    <col min="524" max="524" width="9.28515625" style="597" customWidth="1"/>
    <col min="525" max="767" width="8.85546875" style="597"/>
    <col min="768" max="768" width="29.7109375" style="597" customWidth="1"/>
    <col min="769" max="773" width="12.85546875" style="597" customWidth="1"/>
    <col min="774" max="775" width="18.28515625" style="597" customWidth="1"/>
    <col min="776" max="776" width="16.140625" style="597" customWidth="1"/>
    <col min="777" max="779" width="8.85546875" style="597"/>
    <col min="780" max="780" width="9.28515625" style="597" customWidth="1"/>
    <col min="781" max="1023" width="8.85546875" style="597"/>
    <col min="1024" max="1024" width="29.7109375" style="597" customWidth="1"/>
    <col min="1025" max="1029" width="12.85546875" style="597" customWidth="1"/>
    <col min="1030" max="1031" width="18.28515625" style="597" customWidth="1"/>
    <col min="1032" max="1032" width="16.140625" style="597" customWidth="1"/>
    <col min="1033" max="1035" width="8.85546875" style="597"/>
    <col min="1036" max="1036" width="9.28515625" style="597" customWidth="1"/>
    <col min="1037" max="1279" width="8.85546875" style="597"/>
    <col min="1280" max="1280" width="29.7109375" style="597" customWidth="1"/>
    <col min="1281" max="1285" width="12.85546875" style="597" customWidth="1"/>
    <col min="1286" max="1287" width="18.28515625" style="597" customWidth="1"/>
    <col min="1288" max="1288" width="16.140625" style="597" customWidth="1"/>
    <col min="1289" max="1291" width="8.85546875" style="597"/>
    <col min="1292" max="1292" width="9.28515625" style="597" customWidth="1"/>
    <col min="1293" max="1535" width="8.85546875" style="597"/>
    <col min="1536" max="1536" width="29.7109375" style="597" customWidth="1"/>
    <col min="1537" max="1541" width="12.85546875" style="597" customWidth="1"/>
    <col min="1542" max="1543" width="18.28515625" style="597" customWidth="1"/>
    <col min="1544" max="1544" width="16.140625" style="597" customWidth="1"/>
    <col min="1545" max="1547" width="8.85546875" style="597"/>
    <col min="1548" max="1548" width="9.28515625" style="597" customWidth="1"/>
    <col min="1549" max="1791" width="8.85546875" style="597"/>
    <col min="1792" max="1792" width="29.7109375" style="597" customWidth="1"/>
    <col min="1793" max="1797" width="12.85546875" style="597" customWidth="1"/>
    <col min="1798" max="1799" width="18.28515625" style="597" customWidth="1"/>
    <col min="1800" max="1800" width="16.140625" style="597" customWidth="1"/>
    <col min="1801" max="1803" width="8.85546875" style="597"/>
    <col min="1804" max="1804" width="9.28515625" style="597" customWidth="1"/>
    <col min="1805" max="2047" width="8.85546875" style="597"/>
    <col min="2048" max="2048" width="29.7109375" style="597" customWidth="1"/>
    <col min="2049" max="2053" width="12.85546875" style="597" customWidth="1"/>
    <col min="2054" max="2055" width="18.28515625" style="597" customWidth="1"/>
    <col min="2056" max="2056" width="16.140625" style="597" customWidth="1"/>
    <col min="2057" max="2059" width="8.85546875" style="597"/>
    <col min="2060" max="2060" width="9.28515625" style="597" customWidth="1"/>
    <col min="2061" max="2303" width="8.85546875" style="597"/>
    <col min="2304" max="2304" width="29.7109375" style="597" customWidth="1"/>
    <col min="2305" max="2309" width="12.85546875" style="597" customWidth="1"/>
    <col min="2310" max="2311" width="18.28515625" style="597" customWidth="1"/>
    <col min="2312" max="2312" width="16.140625" style="597" customWidth="1"/>
    <col min="2313" max="2315" width="8.85546875" style="597"/>
    <col min="2316" max="2316" width="9.28515625" style="597" customWidth="1"/>
    <col min="2317" max="2559" width="8.85546875" style="597"/>
    <col min="2560" max="2560" width="29.7109375" style="597" customWidth="1"/>
    <col min="2561" max="2565" width="12.85546875" style="597" customWidth="1"/>
    <col min="2566" max="2567" width="18.28515625" style="597" customWidth="1"/>
    <col min="2568" max="2568" width="16.140625" style="597" customWidth="1"/>
    <col min="2569" max="2571" width="8.85546875" style="597"/>
    <col min="2572" max="2572" width="9.28515625" style="597" customWidth="1"/>
    <col min="2573" max="2815" width="8.85546875" style="597"/>
    <col min="2816" max="2816" width="29.7109375" style="597" customWidth="1"/>
    <col min="2817" max="2821" width="12.85546875" style="597" customWidth="1"/>
    <col min="2822" max="2823" width="18.28515625" style="597" customWidth="1"/>
    <col min="2824" max="2824" width="16.140625" style="597" customWidth="1"/>
    <col min="2825" max="2827" width="8.85546875" style="597"/>
    <col min="2828" max="2828" width="9.28515625" style="597" customWidth="1"/>
    <col min="2829" max="3071" width="8.85546875" style="597"/>
    <col min="3072" max="3072" width="29.7109375" style="597" customWidth="1"/>
    <col min="3073" max="3077" width="12.85546875" style="597" customWidth="1"/>
    <col min="3078" max="3079" width="18.28515625" style="597" customWidth="1"/>
    <col min="3080" max="3080" width="16.140625" style="597" customWidth="1"/>
    <col min="3081" max="3083" width="8.85546875" style="597"/>
    <col min="3084" max="3084" width="9.28515625" style="597" customWidth="1"/>
    <col min="3085" max="3327" width="8.85546875" style="597"/>
    <col min="3328" max="3328" width="29.7109375" style="597" customWidth="1"/>
    <col min="3329" max="3333" width="12.85546875" style="597" customWidth="1"/>
    <col min="3334" max="3335" width="18.28515625" style="597" customWidth="1"/>
    <col min="3336" max="3336" width="16.140625" style="597" customWidth="1"/>
    <col min="3337" max="3339" width="8.85546875" style="597"/>
    <col min="3340" max="3340" width="9.28515625" style="597" customWidth="1"/>
    <col min="3341" max="3583" width="8.85546875" style="597"/>
    <col min="3584" max="3584" width="29.7109375" style="597" customWidth="1"/>
    <col min="3585" max="3589" width="12.85546875" style="597" customWidth="1"/>
    <col min="3590" max="3591" width="18.28515625" style="597" customWidth="1"/>
    <col min="3592" max="3592" width="16.140625" style="597" customWidth="1"/>
    <col min="3593" max="3595" width="8.85546875" style="597"/>
    <col min="3596" max="3596" width="9.28515625" style="597" customWidth="1"/>
    <col min="3597" max="3839" width="8.85546875" style="597"/>
    <col min="3840" max="3840" width="29.7109375" style="597" customWidth="1"/>
    <col min="3841" max="3845" width="12.85546875" style="597" customWidth="1"/>
    <col min="3846" max="3847" width="18.28515625" style="597" customWidth="1"/>
    <col min="3848" max="3848" width="16.140625" style="597" customWidth="1"/>
    <col min="3849" max="3851" width="8.85546875" style="597"/>
    <col min="3852" max="3852" width="9.28515625" style="597" customWidth="1"/>
    <col min="3853" max="4095" width="8.85546875" style="597"/>
    <col min="4096" max="4096" width="29.7109375" style="597" customWidth="1"/>
    <col min="4097" max="4101" width="12.85546875" style="597" customWidth="1"/>
    <col min="4102" max="4103" width="18.28515625" style="597" customWidth="1"/>
    <col min="4104" max="4104" width="16.140625" style="597" customWidth="1"/>
    <col min="4105" max="4107" width="8.85546875" style="597"/>
    <col min="4108" max="4108" width="9.28515625" style="597" customWidth="1"/>
    <col min="4109" max="4351" width="8.85546875" style="597"/>
    <col min="4352" max="4352" width="29.7109375" style="597" customWidth="1"/>
    <col min="4353" max="4357" width="12.85546875" style="597" customWidth="1"/>
    <col min="4358" max="4359" width="18.28515625" style="597" customWidth="1"/>
    <col min="4360" max="4360" width="16.140625" style="597" customWidth="1"/>
    <col min="4361" max="4363" width="8.85546875" style="597"/>
    <col min="4364" max="4364" width="9.28515625" style="597" customWidth="1"/>
    <col min="4365" max="4607" width="8.85546875" style="597"/>
    <col min="4608" max="4608" width="29.7109375" style="597" customWidth="1"/>
    <col min="4609" max="4613" width="12.85546875" style="597" customWidth="1"/>
    <col min="4614" max="4615" width="18.28515625" style="597" customWidth="1"/>
    <col min="4616" max="4616" width="16.140625" style="597" customWidth="1"/>
    <col min="4617" max="4619" width="8.85546875" style="597"/>
    <col min="4620" max="4620" width="9.28515625" style="597" customWidth="1"/>
    <col min="4621" max="4863" width="8.85546875" style="597"/>
    <col min="4864" max="4864" width="29.7109375" style="597" customWidth="1"/>
    <col min="4865" max="4869" width="12.85546875" style="597" customWidth="1"/>
    <col min="4870" max="4871" width="18.28515625" style="597" customWidth="1"/>
    <col min="4872" max="4872" width="16.140625" style="597" customWidth="1"/>
    <col min="4873" max="4875" width="8.85546875" style="597"/>
    <col min="4876" max="4876" width="9.28515625" style="597" customWidth="1"/>
    <col min="4877" max="5119" width="8.85546875" style="597"/>
    <col min="5120" max="5120" width="29.7109375" style="597" customWidth="1"/>
    <col min="5121" max="5125" width="12.85546875" style="597" customWidth="1"/>
    <col min="5126" max="5127" width="18.28515625" style="597" customWidth="1"/>
    <col min="5128" max="5128" width="16.140625" style="597" customWidth="1"/>
    <col min="5129" max="5131" width="8.85546875" style="597"/>
    <col min="5132" max="5132" width="9.28515625" style="597" customWidth="1"/>
    <col min="5133" max="5375" width="8.85546875" style="597"/>
    <col min="5376" max="5376" width="29.7109375" style="597" customWidth="1"/>
    <col min="5377" max="5381" width="12.85546875" style="597" customWidth="1"/>
    <col min="5382" max="5383" width="18.28515625" style="597" customWidth="1"/>
    <col min="5384" max="5384" width="16.140625" style="597" customWidth="1"/>
    <col min="5385" max="5387" width="8.85546875" style="597"/>
    <col min="5388" max="5388" width="9.28515625" style="597" customWidth="1"/>
    <col min="5389" max="5631" width="8.85546875" style="597"/>
    <col min="5632" max="5632" width="29.7109375" style="597" customWidth="1"/>
    <col min="5633" max="5637" width="12.85546875" style="597" customWidth="1"/>
    <col min="5638" max="5639" width="18.28515625" style="597" customWidth="1"/>
    <col min="5640" max="5640" width="16.140625" style="597" customWidth="1"/>
    <col min="5641" max="5643" width="8.85546875" style="597"/>
    <col min="5644" max="5644" width="9.28515625" style="597" customWidth="1"/>
    <col min="5645" max="5887" width="8.85546875" style="597"/>
    <col min="5888" max="5888" width="29.7109375" style="597" customWidth="1"/>
    <col min="5889" max="5893" width="12.85546875" style="597" customWidth="1"/>
    <col min="5894" max="5895" width="18.28515625" style="597" customWidth="1"/>
    <col min="5896" max="5896" width="16.140625" style="597" customWidth="1"/>
    <col min="5897" max="5899" width="8.85546875" style="597"/>
    <col min="5900" max="5900" width="9.28515625" style="597" customWidth="1"/>
    <col min="5901" max="6143" width="8.85546875" style="597"/>
    <col min="6144" max="6144" width="29.7109375" style="597" customWidth="1"/>
    <col min="6145" max="6149" width="12.85546875" style="597" customWidth="1"/>
    <col min="6150" max="6151" width="18.28515625" style="597" customWidth="1"/>
    <col min="6152" max="6152" width="16.140625" style="597" customWidth="1"/>
    <col min="6153" max="6155" width="8.85546875" style="597"/>
    <col min="6156" max="6156" width="9.28515625" style="597" customWidth="1"/>
    <col min="6157" max="6399" width="8.85546875" style="597"/>
    <col min="6400" max="6400" width="29.7109375" style="597" customWidth="1"/>
    <col min="6401" max="6405" width="12.85546875" style="597" customWidth="1"/>
    <col min="6406" max="6407" width="18.28515625" style="597" customWidth="1"/>
    <col min="6408" max="6408" width="16.140625" style="597" customWidth="1"/>
    <col min="6409" max="6411" width="8.85546875" style="597"/>
    <col min="6412" max="6412" width="9.28515625" style="597" customWidth="1"/>
    <col min="6413" max="6655" width="8.85546875" style="597"/>
    <col min="6656" max="6656" width="29.7109375" style="597" customWidth="1"/>
    <col min="6657" max="6661" width="12.85546875" style="597" customWidth="1"/>
    <col min="6662" max="6663" width="18.28515625" style="597" customWidth="1"/>
    <col min="6664" max="6664" width="16.140625" style="597" customWidth="1"/>
    <col min="6665" max="6667" width="8.85546875" style="597"/>
    <col min="6668" max="6668" width="9.28515625" style="597" customWidth="1"/>
    <col min="6669" max="6911" width="8.85546875" style="597"/>
    <col min="6912" max="6912" width="29.7109375" style="597" customWidth="1"/>
    <col min="6913" max="6917" width="12.85546875" style="597" customWidth="1"/>
    <col min="6918" max="6919" width="18.28515625" style="597" customWidth="1"/>
    <col min="6920" max="6920" width="16.140625" style="597" customWidth="1"/>
    <col min="6921" max="6923" width="8.85546875" style="597"/>
    <col min="6924" max="6924" width="9.28515625" style="597" customWidth="1"/>
    <col min="6925" max="7167" width="8.85546875" style="597"/>
    <col min="7168" max="7168" width="29.7109375" style="597" customWidth="1"/>
    <col min="7169" max="7173" width="12.85546875" style="597" customWidth="1"/>
    <col min="7174" max="7175" width="18.28515625" style="597" customWidth="1"/>
    <col min="7176" max="7176" width="16.140625" style="597" customWidth="1"/>
    <col min="7177" max="7179" width="8.85546875" style="597"/>
    <col min="7180" max="7180" width="9.28515625" style="597" customWidth="1"/>
    <col min="7181" max="7423" width="8.85546875" style="597"/>
    <col min="7424" max="7424" width="29.7109375" style="597" customWidth="1"/>
    <col min="7425" max="7429" width="12.85546875" style="597" customWidth="1"/>
    <col min="7430" max="7431" width="18.28515625" style="597" customWidth="1"/>
    <col min="7432" max="7432" width="16.140625" style="597" customWidth="1"/>
    <col min="7433" max="7435" width="8.85546875" style="597"/>
    <col min="7436" max="7436" width="9.28515625" style="597" customWidth="1"/>
    <col min="7437" max="7679" width="8.85546875" style="597"/>
    <col min="7680" max="7680" width="29.7109375" style="597" customWidth="1"/>
    <col min="7681" max="7685" width="12.85546875" style="597" customWidth="1"/>
    <col min="7686" max="7687" width="18.28515625" style="597" customWidth="1"/>
    <col min="7688" max="7688" width="16.140625" style="597" customWidth="1"/>
    <col min="7689" max="7691" width="8.85546875" style="597"/>
    <col min="7692" max="7692" width="9.28515625" style="597" customWidth="1"/>
    <col min="7693" max="7935" width="8.85546875" style="597"/>
    <col min="7936" max="7936" width="29.7109375" style="597" customWidth="1"/>
    <col min="7937" max="7941" width="12.85546875" style="597" customWidth="1"/>
    <col min="7942" max="7943" width="18.28515625" style="597" customWidth="1"/>
    <col min="7944" max="7944" width="16.140625" style="597" customWidth="1"/>
    <col min="7945" max="7947" width="8.85546875" style="597"/>
    <col min="7948" max="7948" width="9.28515625" style="597" customWidth="1"/>
    <col min="7949" max="8191" width="8.85546875" style="597"/>
    <col min="8192" max="8192" width="29.7109375" style="597" customWidth="1"/>
    <col min="8193" max="8197" width="12.85546875" style="597" customWidth="1"/>
    <col min="8198" max="8199" width="18.28515625" style="597" customWidth="1"/>
    <col min="8200" max="8200" width="16.140625" style="597" customWidth="1"/>
    <col min="8201" max="8203" width="8.85546875" style="597"/>
    <col min="8204" max="8204" width="9.28515625" style="597" customWidth="1"/>
    <col min="8205" max="8447" width="8.85546875" style="597"/>
    <col min="8448" max="8448" width="29.7109375" style="597" customWidth="1"/>
    <col min="8449" max="8453" width="12.85546875" style="597" customWidth="1"/>
    <col min="8454" max="8455" width="18.28515625" style="597" customWidth="1"/>
    <col min="8456" max="8456" width="16.140625" style="597" customWidth="1"/>
    <col min="8457" max="8459" width="8.85546875" style="597"/>
    <col min="8460" max="8460" width="9.28515625" style="597" customWidth="1"/>
    <col min="8461" max="8703" width="8.85546875" style="597"/>
    <col min="8704" max="8704" width="29.7109375" style="597" customWidth="1"/>
    <col min="8705" max="8709" width="12.85546875" style="597" customWidth="1"/>
    <col min="8710" max="8711" width="18.28515625" style="597" customWidth="1"/>
    <col min="8712" max="8712" width="16.140625" style="597" customWidth="1"/>
    <col min="8713" max="8715" width="8.85546875" style="597"/>
    <col min="8716" max="8716" width="9.28515625" style="597" customWidth="1"/>
    <col min="8717" max="8959" width="8.85546875" style="597"/>
    <col min="8960" max="8960" width="29.7109375" style="597" customWidth="1"/>
    <col min="8961" max="8965" width="12.85546875" style="597" customWidth="1"/>
    <col min="8966" max="8967" width="18.28515625" style="597" customWidth="1"/>
    <col min="8968" max="8968" width="16.140625" style="597" customWidth="1"/>
    <col min="8969" max="8971" width="8.85546875" style="597"/>
    <col min="8972" max="8972" width="9.28515625" style="597" customWidth="1"/>
    <col min="8973" max="9215" width="8.85546875" style="597"/>
    <col min="9216" max="9216" width="29.7109375" style="597" customWidth="1"/>
    <col min="9217" max="9221" width="12.85546875" style="597" customWidth="1"/>
    <col min="9222" max="9223" width="18.28515625" style="597" customWidth="1"/>
    <col min="9224" max="9224" width="16.140625" style="597" customWidth="1"/>
    <col min="9225" max="9227" width="8.85546875" style="597"/>
    <col min="9228" max="9228" width="9.28515625" style="597" customWidth="1"/>
    <col min="9229" max="9471" width="8.85546875" style="597"/>
    <col min="9472" max="9472" width="29.7109375" style="597" customWidth="1"/>
    <col min="9473" max="9477" width="12.85546875" style="597" customWidth="1"/>
    <col min="9478" max="9479" width="18.28515625" style="597" customWidth="1"/>
    <col min="9480" max="9480" width="16.140625" style="597" customWidth="1"/>
    <col min="9481" max="9483" width="8.85546875" style="597"/>
    <col min="9484" max="9484" width="9.28515625" style="597" customWidth="1"/>
    <col min="9485" max="9727" width="8.85546875" style="597"/>
    <col min="9728" max="9728" width="29.7109375" style="597" customWidth="1"/>
    <col min="9729" max="9733" width="12.85546875" style="597" customWidth="1"/>
    <col min="9734" max="9735" width="18.28515625" style="597" customWidth="1"/>
    <col min="9736" max="9736" width="16.140625" style="597" customWidth="1"/>
    <col min="9737" max="9739" width="8.85546875" style="597"/>
    <col min="9740" max="9740" width="9.28515625" style="597" customWidth="1"/>
    <col min="9741" max="9983" width="8.85546875" style="597"/>
    <col min="9984" max="9984" width="29.7109375" style="597" customWidth="1"/>
    <col min="9985" max="9989" width="12.85546875" style="597" customWidth="1"/>
    <col min="9990" max="9991" width="18.28515625" style="597" customWidth="1"/>
    <col min="9992" max="9992" width="16.140625" style="597" customWidth="1"/>
    <col min="9993" max="9995" width="8.85546875" style="597"/>
    <col min="9996" max="9996" width="9.28515625" style="597" customWidth="1"/>
    <col min="9997" max="10239" width="8.85546875" style="597"/>
    <col min="10240" max="10240" width="29.7109375" style="597" customWidth="1"/>
    <col min="10241" max="10245" width="12.85546875" style="597" customWidth="1"/>
    <col min="10246" max="10247" width="18.28515625" style="597" customWidth="1"/>
    <col min="10248" max="10248" width="16.140625" style="597" customWidth="1"/>
    <col min="10249" max="10251" width="8.85546875" style="597"/>
    <col min="10252" max="10252" width="9.28515625" style="597" customWidth="1"/>
    <col min="10253" max="10495" width="8.85546875" style="597"/>
    <col min="10496" max="10496" width="29.7109375" style="597" customWidth="1"/>
    <col min="10497" max="10501" width="12.85546875" style="597" customWidth="1"/>
    <col min="10502" max="10503" width="18.28515625" style="597" customWidth="1"/>
    <col min="10504" max="10504" width="16.140625" style="597" customWidth="1"/>
    <col min="10505" max="10507" width="8.85546875" style="597"/>
    <col min="10508" max="10508" width="9.28515625" style="597" customWidth="1"/>
    <col min="10509" max="10751" width="8.85546875" style="597"/>
    <col min="10752" max="10752" width="29.7109375" style="597" customWidth="1"/>
    <col min="10753" max="10757" width="12.85546875" style="597" customWidth="1"/>
    <col min="10758" max="10759" width="18.28515625" style="597" customWidth="1"/>
    <col min="10760" max="10760" width="16.140625" style="597" customWidth="1"/>
    <col min="10761" max="10763" width="8.85546875" style="597"/>
    <col min="10764" max="10764" width="9.28515625" style="597" customWidth="1"/>
    <col min="10765" max="11007" width="8.85546875" style="597"/>
    <col min="11008" max="11008" width="29.7109375" style="597" customWidth="1"/>
    <col min="11009" max="11013" width="12.85546875" style="597" customWidth="1"/>
    <col min="11014" max="11015" width="18.28515625" style="597" customWidth="1"/>
    <col min="11016" max="11016" width="16.140625" style="597" customWidth="1"/>
    <col min="11017" max="11019" width="8.85546875" style="597"/>
    <col min="11020" max="11020" width="9.28515625" style="597" customWidth="1"/>
    <col min="11021" max="11263" width="8.85546875" style="597"/>
    <col min="11264" max="11264" width="29.7109375" style="597" customWidth="1"/>
    <col min="11265" max="11269" width="12.85546875" style="597" customWidth="1"/>
    <col min="11270" max="11271" width="18.28515625" style="597" customWidth="1"/>
    <col min="11272" max="11272" width="16.140625" style="597" customWidth="1"/>
    <col min="11273" max="11275" width="8.85546875" style="597"/>
    <col min="11276" max="11276" width="9.28515625" style="597" customWidth="1"/>
    <col min="11277" max="11519" width="8.85546875" style="597"/>
    <col min="11520" max="11520" width="29.7109375" style="597" customWidth="1"/>
    <col min="11521" max="11525" width="12.85546875" style="597" customWidth="1"/>
    <col min="11526" max="11527" width="18.28515625" style="597" customWidth="1"/>
    <col min="11528" max="11528" width="16.140625" style="597" customWidth="1"/>
    <col min="11529" max="11531" width="8.85546875" style="597"/>
    <col min="11532" max="11532" width="9.28515625" style="597" customWidth="1"/>
    <col min="11533" max="11775" width="8.85546875" style="597"/>
    <col min="11776" max="11776" width="29.7109375" style="597" customWidth="1"/>
    <col min="11777" max="11781" width="12.85546875" style="597" customWidth="1"/>
    <col min="11782" max="11783" width="18.28515625" style="597" customWidth="1"/>
    <col min="11784" max="11784" width="16.140625" style="597" customWidth="1"/>
    <col min="11785" max="11787" width="8.85546875" style="597"/>
    <col min="11788" max="11788" width="9.28515625" style="597" customWidth="1"/>
    <col min="11789" max="12031" width="8.85546875" style="597"/>
    <col min="12032" max="12032" width="29.7109375" style="597" customWidth="1"/>
    <col min="12033" max="12037" width="12.85546875" style="597" customWidth="1"/>
    <col min="12038" max="12039" width="18.28515625" style="597" customWidth="1"/>
    <col min="12040" max="12040" width="16.140625" style="597" customWidth="1"/>
    <col min="12041" max="12043" width="8.85546875" style="597"/>
    <col min="12044" max="12044" width="9.28515625" style="597" customWidth="1"/>
    <col min="12045" max="12287" width="8.85546875" style="597"/>
    <col min="12288" max="12288" width="29.7109375" style="597" customWidth="1"/>
    <col min="12289" max="12293" width="12.85546875" style="597" customWidth="1"/>
    <col min="12294" max="12295" width="18.28515625" style="597" customWidth="1"/>
    <col min="12296" max="12296" width="16.140625" style="597" customWidth="1"/>
    <col min="12297" max="12299" width="8.85546875" style="597"/>
    <col min="12300" max="12300" width="9.28515625" style="597" customWidth="1"/>
    <col min="12301" max="12543" width="8.85546875" style="597"/>
    <col min="12544" max="12544" width="29.7109375" style="597" customWidth="1"/>
    <col min="12545" max="12549" width="12.85546875" style="597" customWidth="1"/>
    <col min="12550" max="12551" width="18.28515625" style="597" customWidth="1"/>
    <col min="12552" max="12552" width="16.140625" style="597" customWidth="1"/>
    <col min="12553" max="12555" width="8.85546875" style="597"/>
    <col min="12556" max="12556" width="9.28515625" style="597" customWidth="1"/>
    <col min="12557" max="12799" width="8.85546875" style="597"/>
    <col min="12800" max="12800" width="29.7109375" style="597" customWidth="1"/>
    <col min="12801" max="12805" width="12.85546875" style="597" customWidth="1"/>
    <col min="12806" max="12807" width="18.28515625" style="597" customWidth="1"/>
    <col min="12808" max="12808" width="16.140625" style="597" customWidth="1"/>
    <col min="12809" max="12811" width="8.85546875" style="597"/>
    <col min="12812" max="12812" width="9.28515625" style="597" customWidth="1"/>
    <col min="12813" max="13055" width="8.85546875" style="597"/>
    <col min="13056" max="13056" width="29.7109375" style="597" customWidth="1"/>
    <col min="13057" max="13061" width="12.85546875" style="597" customWidth="1"/>
    <col min="13062" max="13063" width="18.28515625" style="597" customWidth="1"/>
    <col min="13064" max="13064" width="16.140625" style="597" customWidth="1"/>
    <col min="13065" max="13067" width="8.85546875" style="597"/>
    <col min="13068" max="13068" width="9.28515625" style="597" customWidth="1"/>
    <col min="13069" max="13311" width="8.85546875" style="597"/>
    <col min="13312" max="13312" width="29.7109375" style="597" customWidth="1"/>
    <col min="13313" max="13317" width="12.85546875" style="597" customWidth="1"/>
    <col min="13318" max="13319" width="18.28515625" style="597" customWidth="1"/>
    <col min="13320" max="13320" width="16.140625" style="597" customWidth="1"/>
    <col min="13321" max="13323" width="8.85546875" style="597"/>
    <col min="13324" max="13324" width="9.28515625" style="597" customWidth="1"/>
    <col min="13325" max="13567" width="8.85546875" style="597"/>
    <col min="13568" max="13568" width="29.7109375" style="597" customWidth="1"/>
    <col min="13569" max="13573" width="12.85546875" style="597" customWidth="1"/>
    <col min="13574" max="13575" width="18.28515625" style="597" customWidth="1"/>
    <col min="13576" max="13576" width="16.140625" style="597" customWidth="1"/>
    <col min="13577" max="13579" width="8.85546875" style="597"/>
    <col min="13580" max="13580" width="9.28515625" style="597" customWidth="1"/>
    <col min="13581" max="13823" width="8.85546875" style="597"/>
    <col min="13824" max="13824" width="29.7109375" style="597" customWidth="1"/>
    <col min="13825" max="13829" width="12.85546875" style="597" customWidth="1"/>
    <col min="13830" max="13831" width="18.28515625" style="597" customWidth="1"/>
    <col min="13832" max="13832" width="16.140625" style="597" customWidth="1"/>
    <col min="13833" max="13835" width="8.85546875" style="597"/>
    <col min="13836" max="13836" width="9.28515625" style="597" customWidth="1"/>
    <col min="13837" max="14079" width="8.85546875" style="597"/>
    <col min="14080" max="14080" width="29.7109375" style="597" customWidth="1"/>
    <col min="14081" max="14085" width="12.85546875" style="597" customWidth="1"/>
    <col min="14086" max="14087" width="18.28515625" style="597" customWidth="1"/>
    <col min="14088" max="14088" width="16.140625" style="597" customWidth="1"/>
    <col min="14089" max="14091" width="8.85546875" style="597"/>
    <col min="14092" max="14092" width="9.28515625" style="597" customWidth="1"/>
    <col min="14093" max="14335" width="8.85546875" style="597"/>
    <col min="14336" max="14336" width="29.7109375" style="597" customWidth="1"/>
    <col min="14337" max="14341" width="12.85546875" style="597" customWidth="1"/>
    <col min="14342" max="14343" width="18.28515625" style="597" customWidth="1"/>
    <col min="14344" max="14344" width="16.140625" style="597" customWidth="1"/>
    <col min="14345" max="14347" width="8.85546875" style="597"/>
    <col min="14348" max="14348" width="9.28515625" style="597" customWidth="1"/>
    <col min="14349" max="14591" width="8.85546875" style="597"/>
    <col min="14592" max="14592" width="29.7109375" style="597" customWidth="1"/>
    <col min="14593" max="14597" width="12.85546875" style="597" customWidth="1"/>
    <col min="14598" max="14599" width="18.28515625" style="597" customWidth="1"/>
    <col min="14600" max="14600" width="16.140625" style="597" customWidth="1"/>
    <col min="14601" max="14603" width="8.85546875" style="597"/>
    <col min="14604" max="14604" width="9.28515625" style="597" customWidth="1"/>
    <col min="14605" max="14847" width="8.85546875" style="597"/>
    <col min="14848" max="14848" width="29.7109375" style="597" customWidth="1"/>
    <col min="14849" max="14853" width="12.85546875" style="597" customWidth="1"/>
    <col min="14854" max="14855" width="18.28515625" style="597" customWidth="1"/>
    <col min="14856" max="14856" width="16.140625" style="597" customWidth="1"/>
    <col min="14857" max="14859" width="8.85546875" style="597"/>
    <col min="14860" max="14860" width="9.28515625" style="597" customWidth="1"/>
    <col min="14861" max="15103" width="8.85546875" style="597"/>
    <col min="15104" max="15104" width="29.7109375" style="597" customWidth="1"/>
    <col min="15105" max="15109" width="12.85546875" style="597" customWidth="1"/>
    <col min="15110" max="15111" width="18.28515625" style="597" customWidth="1"/>
    <col min="15112" max="15112" width="16.140625" style="597" customWidth="1"/>
    <col min="15113" max="15115" width="8.85546875" style="597"/>
    <col min="15116" max="15116" width="9.28515625" style="597" customWidth="1"/>
    <col min="15117" max="15359" width="8.85546875" style="597"/>
    <col min="15360" max="15360" width="29.7109375" style="597" customWidth="1"/>
    <col min="15361" max="15365" width="12.85546875" style="597" customWidth="1"/>
    <col min="15366" max="15367" width="18.28515625" style="597" customWidth="1"/>
    <col min="15368" max="15368" width="16.140625" style="597" customWidth="1"/>
    <col min="15369" max="15371" width="8.85546875" style="597"/>
    <col min="15372" max="15372" width="9.28515625" style="597" customWidth="1"/>
    <col min="15373" max="15615" width="8.85546875" style="597"/>
    <col min="15616" max="15616" width="29.7109375" style="597" customWidth="1"/>
    <col min="15617" max="15621" width="12.85546875" style="597" customWidth="1"/>
    <col min="15622" max="15623" width="18.28515625" style="597" customWidth="1"/>
    <col min="15624" max="15624" width="16.140625" style="597" customWidth="1"/>
    <col min="15625" max="15627" width="8.85546875" style="597"/>
    <col min="15628" max="15628" width="9.28515625" style="597" customWidth="1"/>
    <col min="15629" max="15871" width="8.85546875" style="597"/>
    <col min="15872" max="15872" width="29.7109375" style="597" customWidth="1"/>
    <col min="15873" max="15877" width="12.85546875" style="597" customWidth="1"/>
    <col min="15878" max="15879" width="18.28515625" style="597" customWidth="1"/>
    <col min="15880" max="15880" width="16.140625" style="597" customWidth="1"/>
    <col min="15881" max="15883" width="8.85546875" style="597"/>
    <col min="15884" max="15884" width="9.28515625" style="597" customWidth="1"/>
    <col min="15885" max="16127" width="8.85546875" style="597"/>
    <col min="16128" max="16128" width="29.7109375" style="597" customWidth="1"/>
    <col min="16129" max="16133" width="12.85546875" style="597" customWidth="1"/>
    <col min="16134" max="16135" width="18.28515625" style="597" customWidth="1"/>
    <col min="16136" max="16136" width="16.140625" style="597" customWidth="1"/>
    <col min="16137" max="16139" width="8.85546875" style="597"/>
    <col min="16140" max="16140" width="9.28515625" style="597" customWidth="1"/>
    <col min="16141" max="16384" width="8.85546875" style="597"/>
  </cols>
  <sheetData>
    <row r="1" spans="1:11" ht="69.75" customHeight="1" x14ac:dyDescent="0.25">
      <c r="A1" s="1204" t="s">
        <v>288</v>
      </c>
      <c r="B1" s="1205" t="s">
        <v>1246</v>
      </c>
      <c r="C1" s="1206" t="s">
        <v>1247</v>
      </c>
      <c r="D1" s="1207" t="s">
        <v>1248</v>
      </c>
      <c r="E1" s="1206" t="s">
        <v>1268</v>
      </c>
      <c r="F1" s="1208" t="s">
        <v>1249</v>
      </c>
      <c r="G1" s="1207" t="s">
        <v>1250</v>
      </c>
      <c r="H1" s="1209" t="s">
        <v>1251</v>
      </c>
    </row>
    <row r="2" spans="1:11" x14ac:dyDescent="0.25">
      <c r="A2" s="1210" t="s">
        <v>4</v>
      </c>
      <c r="B2" s="1211">
        <f>+'4.SZ.TÁBL. SEGÍTŐ SZOLGÁLAT'!G140+'4.SZ.TÁBL. SEGÍTŐ SZOLGÁLAT'!I140+'4.SZ.TÁBL. SEGÍTŐ SZOLGÁLAT'!P140</f>
        <v>-2767</v>
      </c>
      <c r="C2" s="1212">
        <f>+'4.SZ.TÁBL. SEGÍTŐ SZOLGÁLAT'!Z140</f>
        <v>-371</v>
      </c>
      <c r="D2" s="1213">
        <f>+'4.SZ.TÁBL. SEGÍTŐ SZOLGÁLAT'!S140</f>
        <v>-3185</v>
      </c>
      <c r="E2" s="1214"/>
      <c r="F2" s="1214">
        <f>+'3.SZ.TÁBL. BEVÉTELEK'!S58</f>
        <v>0</v>
      </c>
      <c r="G2" s="1215"/>
      <c r="H2" s="1216">
        <f t="shared" ref="H2:H9" si="0">+SUM(B2:G2)</f>
        <v>-6323</v>
      </c>
    </row>
    <row r="3" spans="1:11" x14ac:dyDescent="0.25">
      <c r="A3" s="1217" t="s">
        <v>5</v>
      </c>
      <c r="B3" s="1218"/>
      <c r="C3" s="1219"/>
      <c r="D3" s="1220"/>
      <c r="E3" s="1214"/>
      <c r="F3" s="1214"/>
      <c r="G3" s="1215"/>
      <c r="H3" s="1216">
        <f t="shared" si="0"/>
        <v>0</v>
      </c>
    </row>
    <row r="4" spans="1:11" x14ac:dyDescent="0.25">
      <c r="A4" s="1217" t="s">
        <v>6</v>
      </c>
      <c r="B4" s="1221">
        <f>+'4.SZ.TÁBL. SEGÍTŐ SZOLGÁLAT'!G141+'4.SZ.TÁBL. SEGÍTŐ SZOLGÁLAT'!I141+'4.SZ.TÁBL. SEGÍTŐ SZOLGÁLAT'!P141</f>
        <v>-1284</v>
      </c>
      <c r="C4" s="1222"/>
      <c r="D4" s="1220"/>
      <c r="E4" s="1214"/>
      <c r="F4" s="1214">
        <f>+'3.SZ.TÁBL. BEVÉTELEK'!S59</f>
        <v>0</v>
      </c>
      <c r="G4" s="1215"/>
      <c r="H4" s="1223">
        <f t="shared" si="0"/>
        <v>-1284</v>
      </c>
    </row>
    <row r="5" spans="1:11" x14ac:dyDescent="0.25">
      <c r="A5" s="1217" t="s">
        <v>7</v>
      </c>
      <c r="B5" s="1221">
        <f>+'4.SZ.TÁBL. SEGÍTŐ SZOLGÁLAT'!G142+'4.SZ.TÁBL. SEGÍTŐ SZOLGÁLAT'!I142+'4.SZ.TÁBL. SEGÍTŐ SZOLGÁLAT'!P142</f>
        <v>-1146</v>
      </c>
      <c r="C5" s="1222"/>
      <c r="D5" s="1220"/>
      <c r="E5" s="1214"/>
      <c r="F5" s="1214">
        <f>+'3.SZ.TÁBL. BEVÉTELEK'!S60</f>
        <v>0</v>
      </c>
      <c r="G5" s="1215"/>
      <c r="H5" s="1216">
        <f t="shared" si="0"/>
        <v>-1146</v>
      </c>
    </row>
    <row r="6" spans="1:11" x14ac:dyDescent="0.25">
      <c r="A6" s="1217" t="s">
        <v>8</v>
      </c>
      <c r="B6" s="1221">
        <f>+'4.SZ.TÁBL. SEGÍTŐ SZOLGÁLAT'!G143+'4.SZ.TÁBL. SEGÍTŐ SZOLGÁLAT'!I143+'4.SZ.TÁBL. SEGÍTŐ SZOLGÁLAT'!P143</f>
        <v>-5563</v>
      </c>
      <c r="C6" s="1222">
        <f>'4.SZ.TÁBL. SEGÍTŐ SZOLGÁLAT'!Z143</f>
        <v>-556</v>
      </c>
      <c r="D6" s="1220"/>
      <c r="E6" s="1214"/>
      <c r="F6" s="1214">
        <f>+'7.SZ.TÁBL. MARADVÁNY'!D33</f>
        <v>-343</v>
      </c>
      <c r="G6" s="1215"/>
      <c r="H6" s="1216">
        <f t="shared" si="0"/>
        <v>-6462</v>
      </c>
    </row>
    <row r="7" spans="1:11" x14ac:dyDescent="0.25">
      <c r="A7" s="1217" t="s">
        <v>9</v>
      </c>
      <c r="B7" s="1221">
        <f>+'4.SZ.TÁBL. SEGÍTŐ SZOLGÁLAT'!G144+'4.SZ.TÁBL. SEGÍTŐ SZOLGÁLAT'!I144+'4.SZ.TÁBL. SEGÍTŐ SZOLGÁLAT'!P144</f>
        <v>-3422</v>
      </c>
      <c r="C7" s="1222"/>
      <c r="D7" s="1220"/>
      <c r="E7" s="1214"/>
      <c r="F7" s="1214">
        <f>+'3.SZ.TÁBL. BEVÉTELEK'!S62</f>
        <v>0</v>
      </c>
      <c r="G7" s="1215"/>
      <c r="H7" s="1216">
        <f t="shared" si="0"/>
        <v>-3422</v>
      </c>
    </row>
    <row r="8" spans="1:11" x14ac:dyDescent="0.25">
      <c r="A8" s="1224" t="s">
        <v>10</v>
      </c>
      <c r="B8" s="1221">
        <f>+'4.SZ.TÁBL. SEGÍTŐ SZOLGÁLAT'!G145+'4.SZ.TÁBL. SEGÍTŐ SZOLGÁLAT'!I145+'4.SZ.TÁBL. SEGÍTŐ SZOLGÁLAT'!P145</f>
        <v>-2124</v>
      </c>
      <c r="C8" s="1225"/>
      <c r="D8" s="1226"/>
      <c r="E8" s="1270"/>
      <c r="F8" s="1227">
        <f>+'3.SZ.TÁBL. BEVÉTELEK'!S63</f>
        <v>0</v>
      </c>
      <c r="G8" s="1215"/>
      <c r="H8" s="1216">
        <f t="shared" si="0"/>
        <v>-2124</v>
      </c>
    </row>
    <row r="9" spans="1:11" x14ac:dyDescent="0.25">
      <c r="A9" s="1224" t="s">
        <v>225</v>
      </c>
      <c r="B9" s="1221">
        <f>+'4.SZ.TÁBL. SEGÍTŐ SZOLGÁLAT'!G146+'4.SZ.TÁBL. SEGÍTŐ SZOLGÁLAT'!I146+'4.SZ.TÁBL. SEGÍTŐ SZOLGÁLAT'!P146</f>
        <v>-1789</v>
      </c>
      <c r="C9" s="1225"/>
      <c r="D9" s="1226"/>
      <c r="E9" s="1228"/>
      <c r="F9" s="1228">
        <f>+'3.SZ.TÁBL. BEVÉTELEK'!S64</f>
        <v>0</v>
      </c>
      <c r="G9" s="1229"/>
      <c r="H9" s="1216">
        <f t="shared" si="0"/>
        <v>-1789</v>
      </c>
    </row>
    <row r="10" spans="1:11" ht="15.75" thickBot="1" x14ac:dyDescent="0.3">
      <c r="A10" s="1230" t="s">
        <v>14</v>
      </c>
      <c r="B10" s="1231">
        <f>SUM(B2:B9)</f>
        <v>-18095</v>
      </c>
      <c r="C10" s="1231">
        <f t="shared" ref="C10:H10" si="1">SUM(C2:C9)</f>
        <v>-927</v>
      </c>
      <c r="D10" s="1232">
        <f t="shared" si="1"/>
        <v>-3185</v>
      </c>
      <c r="E10" s="1232">
        <f t="shared" si="1"/>
        <v>0</v>
      </c>
      <c r="F10" s="1233">
        <f t="shared" si="1"/>
        <v>-343</v>
      </c>
      <c r="G10" s="1232">
        <f t="shared" si="1"/>
        <v>0</v>
      </c>
      <c r="H10" s="1234">
        <f t="shared" si="1"/>
        <v>-22550</v>
      </c>
    </row>
    <row r="15" spans="1:11" x14ac:dyDescent="0.25">
      <c r="F15" s="1235"/>
      <c r="G15" s="1235"/>
      <c r="H15" s="1235"/>
      <c r="I15" s="1236"/>
      <c r="J15" s="1235"/>
      <c r="K15" s="1235"/>
    </row>
    <row r="16" spans="1:11" x14ac:dyDescent="0.25">
      <c r="F16" s="1237"/>
      <c r="G16" s="1238"/>
      <c r="H16" s="1239"/>
      <c r="I16" s="216"/>
      <c r="J16" s="1235"/>
      <c r="K16" s="1240"/>
    </row>
    <row r="17" spans="6:11" x14ac:dyDescent="0.25">
      <c r="F17" s="1237"/>
      <c r="G17" s="1238"/>
      <c r="H17" s="1239"/>
      <c r="I17" s="216"/>
      <c r="J17" s="1235"/>
      <c r="K17" s="1235"/>
    </row>
    <row r="18" spans="6:11" x14ac:dyDescent="0.25">
      <c r="F18" s="1237"/>
      <c r="G18" s="1238"/>
      <c r="H18" s="1239"/>
      <c r="I18" s="216"/>
      <c r="J18" s="1235"/>
      <c r="K18" s="1235"/>
    </row>
    <row r="19" spans="6:11" x14ac:dyDescent="0.25">
      <c r="F19" s="1237"/>
      <c r="G19" s="1238"/>
      <c r="H19" s="1239"/>
      <c r="I19" s="216"/>
      <c r="J19" s="1235"/>
      <c r="K19" s="1235"/>
    </row>
    <row r="20" spans="6:11" x14ac:dyDescent="0.25">
      <c r="F20" s="1237"/>
      <c r="G20" s="1238"/>
      <c r="H20" s="1239"/>
      <c r="I20" s="216"/>
      <c r="J20" s="1235"/>
      <c r="K20" s="1235"/>
    </row>
    <row r="21" spans="6:11" x14ac:dyDescent="0.25">
      <c r="F21" s="1237"/>
      <c r="G21" s="1238"/>
      <c r="H21" s="1239"/>
      <c r="I21" s="216"/>
      <c r="J21" s="1235"/>
      <c r="K21" s="1235"/>
    </row>
    <row r="22" spans="6:11" x14ac:dyDescent="0.25">
      <c r="F22" s="1237"/>
      <c r="G22" s="1238"/>
      <c r="H22" s="1239"/>
      <c r="I22" s="216"/>
      <c r="J22" s="1235"/>
      <c r="K22" s="1235"/>
    </row>
    <row r="23" spans="6:11" x14ac:dyDescent="0.25">
      <c r="F23" s="1237"/>
      <c r="G23" s="1236"/>
      <c r="H23" s="1241"/>
      <c r="I23" s="1242"/>
      <c r="J23" s="1243"/>
      <c r="K23" s="1235"/>
    </row>
  </sheetData>
  <printOptions horizontalCentered="1"/>
  <pageMargins left="0.15748031496062992" right="0.15748031496062992" top="1.2598425196850394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2023. ÉVI ZÁRSZÁMADÁSI BESZÁMOLÓ&amp;R9. sz. táblázat
ÖNKORMÁNYZATI ELSZÁMOLÁS
Adatok: eFt</oddHeader>
    <oddFooter>&amp;L&amp;F&amp;R&amp;P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52"/>
  <sheetViews>
    <sheetView topLeftCell="A130" zoomScaleNormal="100" workbookViewId="0">
      <selection activeCell="I154" sqref="I154"/>
    </sheetView>
  </sheetViews>
  <sheetFormatPr defaultColWidth="8.85546875" defaultRowHeight="12.95" customHeight="1" x14ac:dyDescent="0.2"/>
  <cols>
    <col min="1" max="1" width="6.5703125" style="553" customWidth="1"/>
    <col min="2" max="2" width="88.140625" style="552" customWidth="1"/>
    <col min="3" max="4" width="14.42578125" style="552" customWidth="1"/>
    <col min="5" max="6" width="8.85546875" style="552"/>
    <col min="7" max="7" width="8.85546875" style="505"/>
    <col min="8" max="8" width="8.85546875" style="553"/>
    <col min="9" max="13" width="8.85546875" style="552"/>
    <col min="14" max="14" width="8.85546875" style="554"/>
    <col min="15" max="16384" width="8.85546875" style="505"/>
  </cols>
  <sheetData>
    <row r="1" spans="1:4" ht="18" customHeight="1" x14ac:dyDescent="0.2">
      <c r="A1" s="598" t="s">
        <v>554</v>
      </c>
      <c r="B1" s="599" t="s">
        <v>108</v>
      </c>
      <c r="C1" s="599" t="s">
        <v>555</v>
      </c>
      <c r="D1" s="600" t="s">
        <v>556</v>
      </c>
    </row>
    <row r="2" spans="1:4" ht="12.95" customHeight="1" x14ac:dyDescent="0.2">
      <c r="A2" s="601" t="s">
        <v>557</v>
      </c>
      <c r="B2" s="602" t="s">
        <v>360</v>
      </c>
      <c r="C2" s="603"/>
      <c r="D2" s="604"/>
    </row>
    <row r="3" spans="1:4" ht="12.95" customHeight="1" x14ac:dyDescent="0.2">
      <c r="A3" s="605" t="s">
        <v>399</v>
      </c>
      <c r="B3" s="606" t="s">
        <v>558</v>
      </c>
      <c r="C3" s="607"/>
      <c r="D3" s="608"/>
    </row>
    <row r="4" spans="1:4" ht="12.95" customHeight="1" x14ac:dyDescent="0.2">
      <c r="A4" s="605" t="s">
        <v>400</v>
      </c>
      <c r="B4" s="606" t="s">
        <v>559</v>
      </c>
      <c r="C4" s="607"/>
      <c r="D4" s="608"/>
    </row>
    <row r="5" spans="1:4" ht="12.95" customHeight="1" x14ac:dyDescent="0.2">
      <c r="A5" s="609" t="s">
        <v>401</v>
      </c>
      <c r="B5" s="610" t="s">
        <v>560</v>
      </c>
      <c r="C5" s="611"/>
      <c r="D5" s="612"/>
    </row>
    <row r="6" spans="1:4" ht="12.95" customHeight="1" x14ac:dyDescent="0.2">
      <c r="A6" s="750" t="s">
        <v>402</v>
      </c>
      <c r="B6" s="751" t="s">
        <v>561</v>
      </c>
      <c r="C6" s="752">
        <f>SUM(C3:C5)</f>
        <v>0</v>
      </c>
      <c r="D6" s="753">
        <f>SUM(D3:D5)</f>
        <v>0</v>
      </c>
    </row>
    <row r="7" spans="1:4" ht="12.95" customHeight="1" x14ac:dyDescent="0.2">
      <c r="A7" s="613" t="s">
        <v>403</v>
      </c>
      <c r="B7" s="614" t="s">
        <v>562</v>
      </c>
      <c r="C7" s="872">
        <v>427</v>
      </c>
      <c r="D7" s="870">
        <v>411</v>
      </c>
    </row>
    <row r="8" spans="1:4" ht="12.95" customHeight="1" x14ac:dyDescent="0.2">
      <c r="A8" s="605" t="s">
        <v>404</v>
      </c>
      <c r="B8" s="606" t="s">
        <v>563</v>
      </c>
      <c r="C8" s="607">
        <v>794</v>
      </c>
      <c r="D8" s="871">
        <v>1685</v>
      </c>
    </row>
    <row r="9" spans="1:4" ht="12.95" customHeight="1" x14ac:dyDescent="0.2">
      <c r="A9" s="605" t="s">
        <v>405</v>
      </c>
      <c r="B9" s="606" t="s">
        <v>564</v>
      </c>
      <c r="C9" s="607"/>
      <c r="D9" s="608"/>
    </row>
    <row r="10" spans="1:4" ht="12.95" customHeight="1" x14ac:dyDescent="0.2">
      <c r="A10" s="605" t="s">
        <v>406</v>
      </c>
      <c r="B10" s="606" t="s">
        <v>565</v>
      </c>
      <c r="C10" s="607"/>
      <c r="D10" s="608"/>
    </row>
    <row r="11" spans="1:4" ht="12.95" customHeight="1" x14ac:dyDescent="0.2">
      <c r="A11" s="609" t="s">
        <v>407</v>
      </c>
      <c r="B11" s="610" t="s">
        <v>566</v>
      </c>
      <c r="C11" s="611"/>
      <c r="D11" s="612"/>
    </row>
    <row r="12" spans="1:4" ht="12.95" customHeight="1" x14ac:dyDescent="0.2">
      <c r="A12" s="750" t="s">
        <v>408</v>
      </c>
      <c r="B12" s="751" t="s">
        <v>567</v>
      </c>
      <c r="C12" s="752">
        <f>SUM(C7:C11)</f>
        <v>1221</v>
      </c>
      <c r="D12" s="753">
        <f>SUM(D7:D11)</f>
        <v>2096</v>
      </c>
    </row>
    <row r="13" spans="1:4" ht="12.95" customHeight="1" x14ac:dyDescent="0.2">
      <c r="A13" s="613" t="s">
        <v>409</v>
      </c>
      <c r="B13" s="614" t="s">
        <v>568</v>
      </c>
      <c r="C13" s="615"/>
      <c r="D13" s="616"/>
    </row>
    <row r="14" spans="1:4" ht="12.95" customHeight="1" x14ac:dyDescent="0.2">
      <c r="A14" s="605" t="s">
        <v>410</v>
      </c>
      <c r="B14" s="606" t="s">
        <v>569</v>
      </c>
      <c r="C14" s="607"/>
      <c r="D14" s="608"/>
    </row>
    <row r="15" spans="1:4" ht="12.95" customHeight="1" x14ac:dyDescent="0.2">
      <c r="A15" s="605" t="s">
        <v>411</v>
      </c>
      <c r="B15" s="606" t="s">
        <v>570</v>
      </c>
      <c r="C15" s="607"/>
      <c r="D15" s="608"/>
    </row>
    <row r="16" spans="1:4" ht="12.95" customHeight="1" x14ac:dyDescent="0.2">
      <c r="A16" s="605" t="s">
        <v>412</v>
      </c>
      <c r="B16" s="606" t="s">
        <v>571</v>
      </c>
      <c r="C16" s="607"/>
      <c r="D16" s="608"/>
    </row>
    <row r="17" spans="1:4" ht="12.95" customHeight="1" x14ac:dyDescent="0.2">
      <c r="A17" s="605" t="s">
        <v>413</v>
      </c>
      <c r="B17" s="606" t="s">
        <v>572</v>
      </c>
      <c r="C17" s="607"/>
      <c r="D17" s="608"/>
    </row>
    <row r="18" spans="1:4" ht="12.95" customHeight="1" x14ac:dyDescent="0.2">
      <c r="A18" s="605" t="s">
        <v>414</v>
      </c>
      <c r="B18" s="606" t="s">
        <v>573</v>
      </c>
      <c r="C18" s="607"/>
      <c r="D18" s="608"/>
    </row>
    <row r="19" spans="1:4" ht="12.95" customHeight="1" x14ac:dyDescent="0.2">
      <c r="A19" s="609" t="s">
        <v>415</v>
      </c>
      <c r="B19" s="610" t="s">
        <v>574</v>
      </c>
      <c r="C19" s="611"/>
      <c r="D19" s="612"/>
    </row>
    <row r="20" spans="1:4" ht="12.95" customHeight="1" x14ac:dyDescent="0.2">
      <c r="A20" s="750" t="s">
        <v>416</v>
      </c>
      <c r="B20" s="751" t="s">
        <v>575</v>
      </c>
      <c r="C20" s="752">
        <f>SUM(C13:C19)</f>
        <v>0</v>
      </c>
      <c r="D20" s="753">
        <f>SUM(D13:D19)</f>
        <v>0</v>
      </c>
    </row>
    <row r="21" spans="1:4" ht="12.95" customHeight="1" x14ac:dyDescent="0.2">
      <c r="A21" s="613" t="s">
        <v>417</v>
      </c>
      <c r="B21" s="614" t="s">
        <v>576</v>
      </c>
      <c r="C21" s="615"/>
      <c r="D21" s="616"/>
    </row>
    <row r="22" spans="1:4" ht="12.95" customHeight="1" x14ac:dyDescent="0.2">
      <c r="A22" s="609" t="s">
        <v>418</v>
      </c>
      <c r="B22" s="610" t="s">
        <v>577</v>
      </c>
      <c r="C22" s="611"/>
      <c r="D22" s="612"/>
    </row>
    <row r="23" spans="1:4" ht="12.95" customHeight="1" x14ac:dyDescent="0.2">
      <c r="A23" s="750" t="s">
        <v>419</v>
      </c>
      <c r="B23" s="751" t="s">
        <v>578</v>
      </c>
      <c r="C23" s="752">
        <f>SUM(C21:C22)</f>
        <v>0</v>
      </c>
      <c r="D23" s="753">
        <f>SUM(D21:D22)</f>
        <v>0</v>
      </c>
    </row>
    <row r="24" spans="1:4" ht="12.95" customHeight="1" x14ac:dyDescent="0.2">
      <c r="A24" s="750" t="s">
        <v>420</v>
      </c>
      <c r="B24" s="751" t="s">
        <v>579</v>
      </c>
      <c r="C24" s="752">
        <f>SUM(C23,C20,C12,C6)</f>
        <v>1221</v>
      </c>
      <c r="D24" s="753">
        <f>SUM(D23,D20,D12,D6)</f>
        <v>2096</v>
      </c>
    </row>
    <row r="25" spans="1:4" ht="12.95" customHeight="1" x14ac:dyDescent="0.2">
      <c r="A25" s="613" t="s">
        <v>421</v>
      </c>
      <c r="B25" s="614" t="s">
        <v>580</v>
      </c>
      <c r="C25" s="615"/>
      <c r="D25" s="616"/>
    </row>
    <row r="26" spans="1:4" ht="12.95" customHeight="1" x14ac:dyDescent="0.2">
      <c r="A26" s="605" t="s">
        <v>422</v>
      </c>
      <c r="B26" s="606" t="s">
        <v>581</v>
      </c>
      <c r="C26" s="607"/>
      <c r="D26" s="608"/>
    </row>
    <row r="27" spans="1:4" ht="12.95" customHeight="1" x14ac:dyDescent="0.2">
      <c r="A27" s="605" t="s">
        <v>423</v>
      </c>
      <c r="B27" s="606" t="s">
        <v>582</v>
      </c>
      <c r="C27" s="607"/>
      <c r="D27" s="608"/>
    </row>
    <row r="28" spans="1:4" ht="12.95" customHeight="1" x14ac:dyDescent="0.2">
      <c r="A28" s="605" t="s">
        <v>424</v>
      </c>
      <c r="B28" s="606" t="s">
        <v>583</v>
      </c>
      <c r="C28" s="607"/>
      <c r="D28" s="608"/>
    </row>
    <row r="29" spans="1:4" ht="12.95" customHeight="1" x14ac:dyDescent="0.2">
      <c r="A29" s="609" t="s">
        <v>425</v>
      </c>
      <c r="B29" s="610" t="s">
        <v>584</v>
      </c>
      <c r="C29" s="611"/>
      <c r="D29" s="612"/>
    </row>
    <row r="30" spans="1:4" ht="12.95" customHeight="1" x14ac:dyDescent="0.2">
      <c r="A30" s="750" t="s">
        <v>426</v>
      </c>
      <c r="B30" s="751" t="s">
        <v>585</v>
      </c>
      <c r="C30" s="752">
        <f>SUM(C25:C29)</f>
        <v>0</v>
      </c>
      <c r="D30" s="753">
        <f>SUM(D25:D29)</f>
        <v>0</v>
      </c>
    </row>
    <row r="31" spans="1:4" ht="12.95" customHeight="1" x14ac:dyDescent="0.2">
      <c r="A31" s="613" t="s">
        <v>427</v>
      </c>
      <c r="B31" s="614" t="s">
        <v>586</v>
      </c>
      <c r="C31" s="615"/>
      <c r="D31" s="616"/>
    </row>
    <row r="32" spans="1:4" ht="12.95" customHeight="1" x14ac:dyDescent="0.2">
      <c r="A32" s="605" t="s">
        <v>428</v>
      </c>
      <c r="B32" s="606" t="s">
        <v>587</v>
      </c>
      <c r="C32" s="607"/>
      <c r="D32" s="608"/>
    </row>
    <row r="33" spans="1:4" ht="12.95" customHeight="1" x14ac:dyDescent="0.2">
      <c r="A33" s="605" t="s">
        <v>429</v>
      </c>
      <c r="B33" s="606" t="s">
        <v>588</v>
      </c>
      <c r="C33" s="607"/>
      <c r="D33" s="608"/>
    </row>
    <row r="34" spans="1:4" ht="12.95" customHeight="1" x14ac:dyDescent="0.2">
      <c r="A34" s="605" t="s">
        <v>430</v>
      </c>
      <c r="B34" s="606" t="s">
        <v>589</v>
      </c>
      <c r="C34" s="607"/>
      <c r="D34" s="608"/>
    </row>
    <row r="35" spans="1:4" ht="12.95" customHeight="1" x14ac:dyDescent="0.2">
      <c r="A35" s="605" t="s">
        <v>431</v>
      </c>
      <c r="B35" s="606" t="s">
        <v>590</v>
      </c>
      <c r="C35" s="607"/>
      <c r="D35" s="608"/>
    </row>
    <row r="36" spans="1:4" ht="12.95" customHeight="1" x14ac:dyDescent="0.2">
      <c r="A36" s="605" t="s">
        <v>432</v>
      </c>
      <c r="B36" s="606" t="s">
        <v>591</v>
      </c>
      <c r="C36" s="607"/>
      <c r="D36" s="608"/>
    </row>
    <row r="37" spans="1:4" ht="12.95" customHeight="1" x14ac:dyDescent="0.2">
      <c r="A37" s="609" t="s">
        <v>433</v>
      </c>
      <c r="B37" s="610" t="s">
        <v>592</v>
      </c>
      <c r="C37" s="611"/>
      <c r="D37" s="612"/>
    </row>
    <row r="38" spans="1:4" ht="12.95" customHeight="1" x14ac:dyDescent="0.2">
      <c r="A38" s="750" t="s">
        <v>434</v>
      </c>
      <c r="B38" s="751" t="s">
        <v>593</v>
      </c>
      <c r="C38" s="752">
        <f>SUM(C31:C37)</f>
        <v>0</v>
      </c>
      <c r="D38" s="753">
        <f>SUM(D31:D37)</f>
        <v>0</v>
      </c>
    </row>
    <row r="39" spans="1:4" ht="12.95" customHeight="1" x14ac:dyDescent="0.2">
      <c r="A39" s="750" t="s">
        <v>435</v>
      </c>
      <c r="B39" s="751" t="s">
        <v>594</v>
      </c>
      <c r="C39" s="752">
        <f>SUM(C38,C30)</f>
        <v>0</v>
      </c>
      <c r="D39" s="753">
        <f>SUM(D38,D30)</f>
        <v>0</v>
      </c>
    </row>
    <row r="40" spans="1:4" ht="12.95" customHeight="1" x14ac:dyDescent="0.2">
      <c r="A40" s="613" t="s">
        <v>436</v>
      </c>
      <c r="B40" s="614" t="s">
        <v>595</v>
      </c>
      <c r="C40" s="615"/>
      <c r="D40" s="616"/>
    </row>
    <row r="41" spans="1:4" ht="12.95" customHeight="1" x14ac:dyDescent="0.2">
      <c r="A41" s="605" t="s">
        <v>437</v>
      </c>
      <c r="B41" s="606" t="s">
        <v>596</v>
      </c>
      <c r="C41" s="607">
        <v>39</v>
      </c>
      <c r="D41" s="871">
        <v>5</v>
      </c>
    </row>
    <row r="42" spans="1:4" ht="12.95" customHeight="1" x14ac:dyDescent="0.2">
      <c r="A42" s="605" t="s">
        <v>438</v>
      </c>
      <c r="B42" s="606" t="s">
        <v>597</v>
      </c>
      <c r="C42" s="607">
        <v>45445</v>
      </c>
      <c r="D42" s="871">
        <v>68770</v>
      </c>
    </row>
    <row r="43" spans="1:4" ht="12.95" customHeight="1" x14ac:dyDescent="0.2">
      <c r="A43" s="605" t="s">
        <v>439</v>
      </c>
      <c r="B43" s="606" t="s">
        <v>598</v>
      </c>
      <c r="C43" s="607"/>
      <c r="D43" s="608"/>
    </row>
    <row r="44" spans="1:4" ht="12.95" customHeight="1" x14ac:dyDescent="0.2">
      <c r="A44" s="609" t="s">
        <v>440</v>
      </c>
      <c r="B44" s="610" t="s">
        <v>599</v>
      </c>
      <c r="C44" s="611"/>
      <c r="D44" s="612"/>
    </row>
    <row r="45" spans="1:4" ht="12.95" customHeight="1" x14ac:dyDescent="0.2">
      <c r="A45" s="750" t="s">
        <v>441</v>
      </c>
      <c r="B45" s="751" t="s">
        <v>600</v>
      </c>
      <c r="C45" s="752">
        <f>SUM(C40:C44)</f>
        <v>45484</v>
      </c>
      <c r="D45" s="753">
        <f>SUM(D40:D44)</f>
        <v>68775</v>
      </c>
    </row>
    <row r="46" spans="1:4" ht="12.95" customHeight="1" x14ac:dyDescent="0.2">
      <c r="A46" s="613" t="s">
        <v>442</v>
      </c>
      <c r="B46" s="614" t="s">
        <v>601</v>
      </c>
      <c r="C46" s="872"/>
      <c r="D46" s="870"/>
    </row>
    <row r="47" spans="1:4" ht="12.95" customHeight="1" x14ac:dyDescent="0.2">
      <c r="A47" s="605" t="s">
        <v>443</v>
      </c>
      <c r="B47" s="606" t="s">
        <v>602</v>
      </c>
      <c r="C47" s="607"/>
      <c r="D47" s="608"/>
    </row>
    <row r="48" spans="1:4" ht="12.95" customHeight="1" x14ac:dyDescent="0.2">
      <c r="A48" s="605" t="s">
        <v>444</v>
      </c>
      <c r="B48" s="606" t="s">
        <v>603</v>
      </c>
      <c r="C48" s="607"/>
      <c r="D48" s="608"/>
    </row>
    <row r="49" spans="1:4" ht="12.95" customHeight="1" x14ac:dyDescent="0.2">
      <c r="A49" s="605" t="s">
        <v>445</v>
      </c>
      <c r="B49" s="606" t="s">
        <v>604</v>
      </c>
      <c r="C49" s="607"/>
      <c r="D49" s="608"/>
    </row>
    <row r="50" spans="1:4" ht="12.95" customHeight="1" x14ac:dyDescent="0.2">
      <c r="A50" s="605" t="s">
        <v>446</v>
      </c>
      <c r="B50" s="606" t="s">
        <v>605</v>
      </c>
      <c r="C50" s="607"/>
      <c r="D50" s="608"/>
    </row>
    <row r="51" spans="1:4" ht="12.95" customHeight="1" x14ac:dyDescent="0.2">
      <c r="A51" s="605" t="s">
        <v>447</v>
      </c>
      <c r="B51" s="606" t="s">
        <v>606</v>
      </c>
      <c r="C51" s="607">
        <v>1627</v>
      </c>
      <c r="D51" s="608">
        <v>1225</v>
      </c>
    </row>
    <row r="52" spans="1:4" ht="12.95" customHeight="1" x14ac:dyDescent="0.2">
      <c r="A52" s="605" t="s">
        <v>448</v>
      </c>
      <c r="B52" s="606" t="s">
        <v>607</v>
      </c>
      <c r="C52" s="607"/>
      <c r="D52" s="608"/>
    </row>
    <row r="53" spans="1:4" ht="12.95" customHeight="1" x14ac:dyDescent="0.2">
      <c r="A53" s="605" t="s">
        <v>449</v>
      </c>
      <c r="B53" s="606" t="s">
        <v>608</v>
      </c>
      <c r="C53" s="607"/>
      <c r="D53" s="608"/>
    </row>
    <row r="54" spans="1:4" ht="12.95" customHeight="1" x14ac:dyDescent="0.2">
      <c r="A54" s="605" t="s">
        <v>450</v>
      </c>
      <c r="B54" s="606" t="s">
        <v>609</v>
      </c>
      <c r="C54" s="607"/>
      <c r="D54" s="608"/>
    </row>
    <row r="55" spans="1:4" ht="12.95" customHeight="1" x14ac:dyDescent="0.2">
      <c r="A55" s="605" t="s">
        <v>451</v>
      </c>
      <c r="B55" s="606" t="s">
        <v>610</v>
      </c>
      <c r="C55" s="607"/>
      <c r="D55" s="608"/>
    </row>
    <row r="56" spans="1:4" ht="12.95" customHeight="1" x14ac:dyDescent="0.2">
      <c r="A56" s="605" t="s">
        <v>452</v>
      </c>
      <c r="B56" s="606" t="s">
        <v>611</v>
      </c>
      <c r="C56" s="607"/>
      <c r="D56" s="608"/>
    </row>
    <row r="57" spans="1:4" ht="12.95" customHeight="1" x14ac:dyDescent="0.2">
      <c r="A57" s="605" t="s">
        <v>453</v>
      </c>
      <c r="B57" s="606" t="s">
        <v>612</v>
      </c>
      <c r="C57" s="607"/>
      <c r="D57" s="608"/>
    </row>
    <row r="58" spans="1:4" ht="12.95" customHeight="1" x14ac:dyDescent="0.2">
      <c r="A58" s="609" t="s">
        <v>454</v>
      </c>
      <c r="B58" s="610" t="s">
        <v>613</v>
      </c>
      <c r="C58" s="611"/>
      <c r="D58" s="612"/>
    </row>
    <row r="59" spans="1:4" ht="12.95" customHeight="1" x14ac:dyDescent="0.2">
      <c r="A59" s="750" t="s">
        <v>455</v>
      </c>
      <c r="B59" s="751" t="s">
        <v>614</v>
      </c>
      <c r="C59" s="752">
        <f>SUM(C46:C58)</f>
        <v>1627</v>
      </c>
      <c r="D59" s="753">
        <f>SUM(D46:D58)</f>
        <v>1225</v>
      </c>
    </row>
    <row r="60" spans="1:4" ht="12.95" customHeight="1" x14ac:dyDescent="0.2">
      <c r="A60" s="613" t="s">
        <v>456</v>
      </c>
      <c r="B60" s="614" t="s">
        <v>615</v>
      </c>
      <c r="C60" s="615"/>
      <c r="D60" s="616"/>
    </row>
    <row r="61" spans="1:4" ht="12.95" customHeight="1" x14ac:dyDescent="0.2">
      <c r="A61" s="605" t="s">
        <v>457</v>
      </c>
      <c r="B61" s="606" t="s">
        <v>616</v>
      </c>
      <c r="C61" s="607"/>
      <c r="D61" s="608"/>
    </row>
    <row r="62" spans="1:4" ht="12.95" customHeight="1" x14ac:dyDescent="0.2">
      <c r="A62" s="605" t="s">
        <v>458</v>
      </c>
      <c r="B62" s="606" t="s">
        <v>617</v>
      </c>
      <c r="C62" s="607"/>
      <c r="D62" s="608"/>
    </row>
    <row r="63" spans="1:4" ht="12.95" customHeight="1" x14ac:dyDescent="0.2">
      <c r="A63" s="605" t="s">
        <v>459</v>
      </c>
      <c r="B63" s="606" t="s">
        <v>618</v>
      </c>
      <c r="C63" s="607"/>
      <c r="D63" s="608"/>
    </row>
    <row r="64" spans="1:4" ht="12.95" customHeight="1" x14ac:dyDescent="0.2">
      <c r="A64" s="605" t="s">
        <v>460</v>
      </c>
      <c r="B64" s="606" t="s">
        <v>619</v>
      </c>
      <c r="C64" s="607"/>
      <c r="D64" s="608"/>
    </row>
    <row r="65" spans="1:4" ht="12.95" customHeight="1" x14ac:dyDescent="0.2">
      <c r="A65" s="605" t="s">
        <v>461</v>
      </c>
      <c r="B65" s="606" t="s">
        <v>620</v>
      </c>
      <c r="C65" s="607"/>
      <c r="D65" s="608"/>
    </row>
    <row r="66" spans="1:4" ht="12.95" customHeight="1" x14ac:dyDescent="0.2">
      <c r="A66" s="605" t="s">
        <v>462</v>
      </c>
      <c r="B66" s="606" t="s">
        <v>621</v>
      </c>
      <c r="C66" s="607"/>
      <c r="D66" s="608"/>
    </row>
    <row r="67" spans="1:4" ht="12.95" customHeight="1" x14ac:dyDescent="0.2">
      <c r="A67" s="605" t="s">
        <v>463</v>
      </c>
      <c r="B67" s="606" t="s">
        <v>622</v>
      </c>
      <c r="C67" s="607"/>
      <c r="D67" s="608"/>
    </row>
    <row r="68" spans="1:4" ht="12.95" customHeight="1" x14ac:dyDescent="0.2">
      <c r="A68" s="605" t="s">
        <v>464</v>
      </c>
      <c r="B68" s="606" t="s">
        <v>623</v>
      </c>
      <c r="C68" s="607"/>
      <c r="D68" s="608"/>
    </row>
    <row r="69" spans="1:4" ht="12.95" customHeight="1" x14ac:dyDescent="0.2">
      <c r="A69" s="605" t="s">
        <v>465</v>
      </c>
      <c r="B69" s="606" t="s">
        <v>624</v>
      </c>
      <c r="C69" s="607"/>
      <c r="D69" s="608"/>
    </row>
    <row r="70" spans="1:4" ht="12.95" customHeight="1" x14ac:dyDescent="0.2">
      <c r="A70" s="605" t="s">
        <v>466</v>
      </c>
      <c r="B70" s="606" t="s">
        <v>625</v>
      </c>
      <c r="C70" s="607"/>
      <c r="D70" s="608"/>
    </row>
    <row r="71" spans="1:4" ht="12.95" customHeight="1" x14ac:dyDescent="0.2">
      <c r="A71" s="605" t="s">
        <v>467</v>
      </c>
      <c r="B71" s="606" t="s">
        <v>626</v>
      </c>
      <c r="C71" s="607"/>
      <c r="D71" s="608"/>
    </row>
    <row r="72" spans="1:4" ht="12.95" customHeight="1" x14ac:dyDescent="0.2">
      <c r="A72" s="609" t="s">
        <v>468</v>
      </c>
      <c r="B72" s="610" t="s">
        <v>627</v>
      </c>
      <c r="C72" s="611"/>
      <c r="D72" s="612"/>
    </row>
    <row r="73" spans="1:4" ht="12.95" customHeight="1" x14ac:dyDescent="0.2">
      <c r="A73" s="750" t="s">
        <v>469</v>
      </c>
      <c r="B73" s="751" t="s">
        <v>628</v>
      </c>
      <c r="C73" s="752">
        <f>SUM(C60:C72)</f>
        <v>0</v>
      </c>
      <c r="D73" s="753">
        <f>SUM(D60:D72)</f>
        <v>0</v>
      </c>
    </row>
    <row r="74" spans="1:4" ht="12.95" customHeight="1" x14ac:dyDescent="0.2">
      <c r="A74" s="613" t="s">
        <v>470</v>
      </c>
      <c r="B74" s="614" t="s">
        <v>629</v>
      </c>
      <c r="C74" s="615">
        <f>SUM(C75:C79)</f>
        <v>66</v>
      </c>
      <c r="D74" s="616">
        <f>SUM(D75:D79)</f>
        <v>15</v>
      </c>
    </row>
    <row r="75" spans="1:4" ht="12.95" customHeight="1" x14ac:dyDescent="0.2">
      <c r="A75" s="605" t="s">
        <v>471</v>
      </c>
      <c r="B75" s="606" t="s">
        <v>630</v>
      </c>
      <c r="C75" s="607"/>
      <c r="D75" s="608"/>
    </row>
    <row r="76" spans="1:4" ht="12.95" customHeight="1" x14ac:dyDescent="0.2">
      <c r="A76" s="605" t="s">
        <v>472</v>
      </c>
      <c r="B76" s="606" t="s">
        <v>631</v>
      </c>
      <c r="C76" s="607"/>
      <c r="D76" s="608"/>
    </row>
    <row r="77" spans="1:4" ht="12.95" customHeight="1" x14ac:dyDescent="0.2">
      <c r="A77" s="605" t="s">
        <v>473</v>
      </c>
      <c r="B77" s="606" t="s">
        <v>632</v>
      </c>
      <c r="C77" s="607"/>
      <c r="D77" s="608"/>
    </row>
    <row r="78" spans="1:4" ht="12.95" customHeight="1" x14ac:dyDescent="0.2">
      <c r="A78" s="605" t="s">
        <v>474</v>
      </c>
      <c r="B78" s="606" t="s">
        <v>633</v>
      </c>
      <c r="C78" s="607">
        <v>66</v>
      </c>
      <c r="D78" s="608">
        <v>15</v>
      </c>
    </row>
    <row r="79" spans="1:4" ht="12.95" customHeight="1" x14ac:dyDescent="0.2">
      <c r="A79" s="605" t="s">
        <v>475</v>
      </c>
      <c r="B79" s="606" t="s">
        <v>634</v>
      </c>
      <c r="C79" s="607"/>
      <c r="D79" s="608"/>
    </row>
    <row r="80" spans="1:4" ht="12.95" customHeight="1" x14ac:dyDescent="0.2">
      <c r="A80" s="605" t="s">
        <v>476</v>
      </c>
      <c r="B80" s="606" t="s">
        <v>635</v>
      </c>
      <c r="C80" s="607"/>
      <c r="D80" s="608"/>
    </row>
    <row r="81" spans="1:4" ht="12.95" customHeight="1" x14ac:dyDescent="0.2">
      <c r="A81" s="605" t="s">
        <v>477</v>
      </c>
      <c r="B81" s="606" t="s">
        <v>636</v>
      </c>
      <c r="C81" s="607"/>
      <c r="D81" s="608"/>
    </row>
    <row r="82" spans="1:4" ht="12.95" customHeight="1" x14ac:dyDescent="0.2">
      <c r="A82" s="605" t="s">
        <v>478</v>
      </c>
      <c r="B82" s="606" t="s">
        <v>637</v>
      </c>
      <c r="C82" s="607"/>
      <c r="D82" s="608"/>
    </row>
    <row r="83" spans="1:4" ht="12.95" customHeight="1" x14ac:dyDescent="0.2">
      <c r="A83" s="605" t="s">
        <v>479</v>
      </c>
      <c r="B83" s="606" t="s">
        <v>638</v>
      </c>
      <c r="C83" s="607"/>
      <c r="D83" s="608"/>
    </row>
    <row r="84" spans="1:4" ht="12.95" customHeight="1" x14ac:dyDescent="0.2">
      <c r="A84" s="605" t="s">
        <v>480</v>
      </c>
      <c r="B84" s="606" t="s">
        <v>639</v>
      </c>
      <c r="C84" s="607"/>
      <c r="D84" s="608"/>
    </row>
    <row r="85" spans="1:4" ht="12.95" customHeight="1" x14ac:dyDescent="0.2">
      <c r="A85" s="609" t="s">
        <v>481</v>
      </c>
      <c r="B85" s="610" t="s">
        <v>640</v>
      </c>
      <c r="C85" s="611"/>
      <c r="D85" s="612"/>
    </row>
    <row r="86" spans="1:4" ht="12.95" customHeight="1" x14ac:dyDescent="0.2">
      <c r="A86" s="750" t="s">
        <v>482</v>
      </c>
      <c r="B86" s="751" t="s">
        <v>641</v>
      </c>
      <c r="C86" s="752">
        <f>SUM(C74,C80:C85)</f>
        <v>66</v>
      </c>
      <c r="D86" s="753">
        <f>SUM(D74,D80:D85)</f>
        <v>15</v>
      </c>
    </row>
    <row r="87" spans="1:4" ht="12.95" customHeight="1" x14ac:dyDescent="0.2">
      <c r="A87" s="750" t="s">
        <v>483</v>
      </c>
      <c r="B87" s="751" t="s">
        <v>642</v>
      </c>
      <c r="C87" s="752">
        <f>SUM(C86,C73,C59,)</f>
        <v>1693</v>
      </c>
      <c r="D87" s="753">
        <f>SUM(D86,D73,D59,)</f>
        <v>1240</v>
      </c>
    </row>
    <row r="88" spans="1:4" ht="12.95" customHeight="1" x14ac:dyDescent="0.2">
      <c r="A88" s="750" t="s">
        <v>484</v>
      </c>
      <c r="B88" s="751" t="s">
        <v>1226</v>
      </c>
      <c r="C88" s="752">
        <v>-191</v>
      </c>
      <c r="D88" s="753">
        <v>-13</v>
      </c>
    </row>
    <row r="89" spans="1:4" ht="12.95" customHeight="1" x14ac:dyDescent="0.2">
      <c r="A89" s="613" t="s">
        <v>485</v>
      </c>
      <c r="B89" s="614" t="s">
        <v>643</v>
      </c>
      <c r="C89" s="615"/>
      <c r="D89" s="616"/>
    </row>
    <row r="90" spans="1:4" ht="12.95" customHeight="1" x14ac:dyDescent="0.2">
      <c r="A90" s="605" t="s">
        <v>486</v>
      </c>
      <c r="B90" s="606" t="s">
        <v>644</v>
      </c>
      <c r="C90" s="607">
        <v>371</v>
      </c>
      <c r="D90" s="608">
        <v>719</v>
      </c>
    </row>
    <row r="91" spans="1:4" ht="12.95" customHeight="1" x14ac:dyDescent="0.2">
      <c r="A91" s="609" t="s">
        <v>487</v>
      </c>
      <c r="B91" s="610" t="s">
        <v>645</v>
      </c>
      <c r="C91" s="611"/>
      <c r="D91" s="612"/>
    </row>
    <row r="92" spans="1:4" ht="12.95" customHeight="1" x14ac:dyDescent="0.2">
      <c r="A92" s="750" t="s">
        <v>488</v>
      </c>
      <c r="B92" s="751" t="s">
        <v>646</v>
      </c>
      <c r="C92" s="752">
        <f>SUM(C89:C91)</f>
        <v>371</v>
      </c>
      <c r="D92" s="753">
        <f>SUM(D89:D91)</f>
        <v>719</v>
      </c>
    </row>
    <row r="93" spans="1:4" ht="12.95" customHeight="1" x14ac:dyDescent="0.2">
      <c r="A93" s="750" t="s">
        <v>489</v>
      </c>
      <c r="B93" s="751" t="s">
        <v>647</v>
      </c>
      <c r="C93" s="752">
        <f>SUM(C24,C39,C45,C87,C88,C92)</f>
        <v>48578</v>
      </c>
      <c r="D93" s="753">
        <f>SUM(D24,D39,D45,D87,D88,D92)</f>
        <v>72817</v>
      </c>
    </row>
    <row r="94" spans="1:4" ht="12.95" customHeight="1" x14ac:dyDescent="0.2">
      <c r="A94" s="617" t="s">
        <v>557</v>
      </c>
      <c r="B94" s="618" t="s">
        <v>361</v>
      </c>
      <c r="C94" s="619"/>
      <c r="D94" s="620"/>
    </row>
    <row r="95" spans="1:4" ht="12.95" customHeight="1" x14ac:dyDescent="0.2">
      <c r="A95" s="605" t="s">
        <v>490</v>
      </c>
      <c r="B95" s="606" t="s">
        <v>648</v>
      </c>
      <c r="C95" s="607">
        <v>53405</v>
      </c>
      <c r="D95" s="871">
        <v>53405</v>
      </c>
    </row>
    <row r="96" spans="1:4" ht="12.95" customHeight="1" x14ac:dyDescent="0.2">
      <c r="A96" s="605" t="s">
        <v>491</v>
      </c>
      <c r="B96" s="606" t="s">
        <v>649</v>
      </c>
      <c r="C96" s="607"/>
      <c r="D96" s="871"/>
    </row>
    <row r="97" spans="1:4" ht="12.95" customHeight="1" x14ac:dyDescent="0.2">
      <c r="A97" s="605" t="s">
        <v>492</v>
      </c>
      <c r="B97" s="606" t="s">
        <v>650</v>
      </c>
      <c r="C97" s="607">
        <v>8925</v>
      </c>
      <c r="D97" s="871">
        <v>8925</v>
      </c>
    </row>
    <row r="98" spans="1:4" ht="12.95" customHeight="1" x14ac:dyDescent="0.2">
      <c r="A98" s="605" t="s">
        <v>493</v>
      </c>
      <c r="B98" s="606" t="s">
        <v>651</v>
      </c>
      <c r="C98" s="607">
        <v>-29008</v>
      </c>
      <c r="D98" s="871">
        <v>-32548</v>
      </c>
    </row>
    <row r="99" spans="1:4" ht="12.95" customHeight="1" x14ac:dyDescent="0.2">
      <c r="A99" s="605" t="s">
        <v>494</v>
      </c>
      <c r="B99" s="606" t="s">
        <v>652</v>
      </c>
      <c r="C99" s="607"/>
      <c r="D99" s="871"/>
    </row>
    <row r="100" spans="1:4" ht="12.95" customHeight="1" x14ac:dyDescent="0.2">
      <c r="A100" s="609" t="s">
        <v>495</v>
      </c>
      <c r="B100" s="610" t="s">
        <v>653</v>
      </c>
      <c r="C100" s="874">
        <v>-3540</v>
      </c>
      <c r="D100" s="873">
        <v>22075</v>
      </c>
    </row>
    <row r="101" spans="1:4" ht="12.95" customHeight="1" x14ac:dyDescent="0.2">
      <c r="A101" s="750" t="s">
        <v>496</v>
      </c>
      <c r="B101" s="751" t="s">
        <v>654</v>
      </c>
      <c r="C101" s="752">
        <f>SUM(C95:C100)</f>
        <v>29782</v>
      </c>
      <c r="D101" s="753">
        <f>SUM(D95:D100)</f>
        <v>51857</v>
      </c>
    </row>
    <row r="102" spans="1:4" ht="12.95" customHeight="1" x14ac:dyDescent="0.2">
      <c r="A102" s="613" t="s">
        <v>497</v>
      </c>
      <c r="B102" s="614" t="s">
        <v>655</v>
      </c>
      <c r="C102" s="615"/>
      <c r="D102" s="616"/>
    </row>
    <row r="103" spans="1:4" ht="12.95" customHeight="1" x14ac:dyDescent="0.2">
      <c r="A103" s="605" t="s">
        <v>498</v>
      </c>
      <c r="B103" s="606" t="s">
        <v>656</v>
      </c>
      <c r="C103" s="607"/>
      <c r="D103" s="608"/>
    </row>
    <row r="104" spans="1:4" ht="12.95" customHeight="1" x14ac:dyDescent="0.2">
      <c r="A104" s="605" t="s">
        <v>499</v>
      </c>
      <c r="B104" s="606" t="s">
        <v>657</v>
      </c>
      <c r="C104" s="607"/>
      <c r="D104" s="608"/>
    </row>
    <row r="105" spans="1:4" ht="12.95" customHeight="1" x14ac:dyDescent="0.2">
      <c r="A105" s="605" t="s">
        <v>500</v>
      </c>
      <c r="B105" s="606" t="s">
        <v>658</v>
      </c>
      <c r="C105" s="607"/>
      <c r="D105" s="608"/>
    </row>
    <row r="106" spans="1:4" ht="12.95" customHeight="1" x14ac:dyDescent="0.2">
      <c r="A106" s="605" t="s">
        <v>501</v>
      </c>
      <c r="B106" s="606" t="s">
        <v>659</v>
      </c>
      <c r="C106" s="607"/>
      <c r="D106" s="608"/>
    </row>
    <row r="107" spans="1:4" ht="12.95" customHeight="1" x14ac:dyDescent="0.2">
      <c r="A107" s="605" t="s">
        <v>502</v>
      </c>
      <c r="B107" s="606" t="s">
        <v>660</v>
      </c>
      <c r="C107" s="607"/>
      <c r="D107" s="608"/>
    </row>
    <row r="108" spans="1:4" ht="12.95" customHeight="1" x14ac:dyDescent="0.2">
      <c r="A108" s="605" t="s">
        <v>503</v>
      </c>
      <c r="B108" s="606" t="s">
        <v>661</v>
      </c>
      <c r="C108" s="607"/>
      <c r="D108" s="608"/>
    </row>
    <row r="109" spans="1:4" ht="12.95" customHeight="1" x14ac:dyDescent="0.2">
      <c r="A109" s="605" t="s">
        <v>504</v>
      </c>
      <c r="B109" s="606" t="s">
        <v>662</v>
      </c>
      <c r="C109" s="607"/>
      <c r="D109" s="608"/>
    </row>
    <row r="110" spans="1:4" ht="12.95" customHeight="1" x14ac:dyDescent="0.2">
      <c r="A110" s="605" t="s">
        <v>505</v>
      </c>
      <c r="B110" s="606" t="s">
        <v>663</v>
      </c>
      <c r="C110" s="607"/>
      <c r="D110" s="608"/>
    </row>
    <row r="111" spans="1:4" ht="12.95" customHeight="1" x14ac:dyDescent="0.2">
      <c r="A111" s="605" t="s">
        <v>506</v>
      </c>
      <c r="B111" s="606" t="s">
        <v>664</v>
      </c>
      <c r="C111" s="607"/>
      <c r="D111" s="608"/>
    </row>
    <row r="112" spans="1:4" ht="12.95" customHeight="1" x14ac:dyDescent="0.2">
      <c r="A112" s="605" t="s">
        <v>507</v>
      </c>
      <c r="B112" s="606" t="s">
        <v>665</v>
      </c>
      <c r="C112" s="607"/>
      <c r="D112" s="608"/>
    </row>
    <row r="113" spans="1:4" ht="12.95" customHeight="1" x14ac:dyDescent="0.2">
      <c r="A113" s="605" t="s">
        <v>508</v>
      </c>
      <c r="B113" s="606" t="s">
        <v>666</v>
      </c>
      <c r="C113" s="607"/>
      <c r="D113" s="608"/>
    </row>
    <row r="114" spans="1:4" ht="12.95" customHeight="1" x14ac:dyDescent="0.2">
      <c r="A114" s="605" t="s">
        <v>509</v>
      </c>
      <c r="B114" s="606" t="s">
        <v>667</v>
      </c>
      <c r="C114" s="607"/>
      <c r="D114" s="608"/>
    </row>
    <row r="115" spans="1:4" ht="12.95" customHeight="1" x14ac:dyDescent="0.2">
      <c r="A115" s="605" t="s">
        <v>510</v>
      </c>
      <c r="B115" s="606" t="s">
        <v>668</v>
      </c>
      <c r="C115" s="607"/>
      <c r="D115" s="608"/>
    </row>
    <row r="116" spans="1:4" ht="12.95" customHeight="1" x14ac:dyDescent="0.2">
      <c r="A116" s="605" t="s">
        <v>511</v>
      </c>
      <c r="B116" s="606" t="s">
        <v>669</v>
      </c>
      <c r="C116" s="607"/>
      <c r="D116" s="608"/>
    </row>
    <row r="117" spans="1:4" ht="12.95" customHeight="1" x14ac:dyDescent="0.2">
      <c r="A117" s="605" t="s">
        <v>512</v>
      </c>
      <c r="B117" s="606" t="s">
        <v>670</v>
      </c>
      <c r="C117" s="607"/>
      <c r="D117" s="608"/>
    </row>
    <row r="118" spans="1:4" ht="12.95" customHeight="1" x14ac:dyDescent="0.2">
      <c r="A118" s="605" t="s">
        <v>513</v>
      </c>
      <c r="B118" s="606" t="s">
        <v>671</v>
      </c>
      <c r="C118" s="607"/>
      <c r="D118" s="608"/>
    </row>
    <row r="119" spans="1:4" ht="12.95" customHeight="1" x14ac:dyDescent="0.2">
      <c r="A119" s="605" t="s">
        <v>514</v>
      </c>
      <c r="B119" s="606" t="s">
        <v>672</v>
      </c>
      <c r="C119" s="607"/>
      <c r="D119" s="608"/>
    </row>
    <row r="120" spans="1:4" ht="12.95" customHeight="1" x14ac:dyDescent="0.2">
      <c r="A120" s="609" t="s">
        <v>515</v>
      </c>
      <c r="B120" s="610" t="s">
        <v>673</v>
      </c>
      <c r="C120" s="611"/>
      <c r="D120" s="612"/>
    </row>
    <row r="121" spans="1:4" ht="12.95" customHeight="1" x14ac:dyDescent="0.2">
      <c r="A121" s="750" t="s">
        <v>516</v>
      </c>
      <c r="B121" s="751" t="s">
        <v>674</v>
      </c>
      <c r="C121" s="752">
        <f>SUM(C102:C120)</f>
        <v>0</v>
      </c>
      <c r="D121" s="753">
        <f>SUM(D102:D120)</f>
        <v>0</v>
      </c>
    </row>
    <row r="122" spans="1:4" ht="12.95" customHeight="1" x14ac:dyDescent="0.2">
      <c r="A122" s="613" t="s">
        <v>517</v>
      </c>
      <c r="B122" s="614" t="s">
        <v>675</v>
      </c>
      <c r="C122" s="615"/>
      <c r="D122" s="616"/>
    </row>
    <row r="123" spans="1:4" ht="12.95" customHeight="1" x14ac:dyDescent="0.2">
      <c r="A123" s="605" t="s">
        <v>518</v>
      </c>
      <c r="B123" s="606" t="s">
        <v>676</v>
      </c>
      <c r="C123" s="607"/>
      <c r="D123" s="608"/>
    </row>
    <row r="124" spans="1:4" ht="12.95" customHeight="1" x14ac:dyDescent="0.2">
      <c r="A124" s="605" t="s">
        <v>519</v>
      </c>
      <c r="B124" s="606" t="s">
        <v>677</v>
      </c>
      <c r="C124" s="607">
        <v>14</v>
      </c>
      <c r="D124" s="608">
        <v>95</v>
      </c>
    </row>
    <row r="125" spans="1:4" ht="12.95" customHeight="1" x14ac:dyDescent="0.2">
      <c r="A125" s="605" t="s">
        <v>520</v>
      </c>
      <c r="B125" s="606" t="s">
        <v>678</v>
      </c>
      <c r="C125" s="607"/>
      <c r="D125" s="608"/>
    </row>
    <row r="126" spans="1:4" ht="12.95" customHeight="1" x14ac:dyDescent="0.2">
      <c r="A126" s="605" t="s">
        <v>521</v>
      </c>
      <c r="B126" s="606" t="s">
        <v>679</v>
      </c>
      <c r="C126" s="607"/>
      <c r="D126" s="608"/>
    </row>
    <row r="127" spans="1:4" ht="12.95" customHeight="1" x14ac:dyDescent="0.2">
      <c r="A127" s="605" t="s">
        <v>522</v>
      </c>
      <c r="B127" s="606" t="s">
        <v>680</v>
      </c>
      <c r="C127" s="607"/>
      <c r="D127" s="608"/>
    </row>
    <row r="128" spans="1:4" ht="12.95" customHeight="1" x14ac:dyDescent="0.2">
      <c r="A128" s="605" t="s">
        <v>523</v>
      </c>
      <c r="B128" s="606" t="s">
        <v>681</v>
      </c>
      <c r="C128" s="607"/>
      <c r="D128" s="608"/>
    </row>
    <row r="129" spans="1:4" ht="12.95" customHeight="1" x14ac:dyDescent="0.2">
      <c r="A129" s="605" t="s">
        <v>524</v>
      </c>
      <c r="B129" s="606" t="s">
        <v>682</v>
      </c>
      <c r="C129" s="607"/>
      <c r="D129" s="608"/>
    </row>
    <row r="130" spans="1:4" ht="12.95" customHeight="1" x14ac:dyDescent="0.2">
      <c r="A130" s="605" t="s">
        <v>525</v>
      </c>
      <c r="B130" s="606" t="s">
        <v>683</v>
      </c>
      <c r="C130" s="607"/>
      <c r="D130" s="608"/>
    </row>
    <row r="131" spans="1:4" ht="12.95" customHeight="1" x14ac:dyDescent="0.2">
      <c r="A131" s="605" t="s">
        <v>526</v>
      </c>
      <c r="B131" s="606" t="s">
        <v>684</v>
      </c>
      <c r="C131" s="607"/>
      <c r="D131" s="608"/>
    </row>
    <row r="132" spans="1:4" ht="12.95" customHeight="1" x14ac:dyDescent="0.2">
      <c r="A132" s="605" t="s">
        <v>527</v>
      </c>
      <c r="B132" s="606" t="s">
        <v>685</v>
      </c>
      <c r="C132" s="607"/>
      <c r="D132" s="608"/>
    </row>
    <row r="133" spans="1:4" ht="12.95" customHeight="1" x14ac:dyDescent="0.2">
      <c r="A133" s="605" t="s">
        <v>528</v>
      </c>
      <c r="B133" s="606" t="s">
        <v>686</v>
      </c>
      <c r="C133" s="607"/>
      <c r="D133" s="608"/>
    </row>
    <row r="134" spans="1:4" ht="12.95" customHeight="1" x14ac:dyDescent="0.2">
      <c r="A134" s="605" t="s">
        <v>529</v>
      </c>
      <c r="B134" s="606" t="s">
        <v>687</v>
      </c>
      <c r="C134" s="607"/>
      <c r="D134" s="608"/>
    </row>
    <row r="135" spans="1:4" ht="12.95" customHeight="1" x14ac:dyDescent="0.2">
      <c r="A135" s="605" t="s">
        <v>530</v>
      </c>
      <c r="B135" s="606" t="s">
        <v>688</v>
      </c>
      <c r="C135" s="607"/>
      <c r="D135" s="608"/>
    </row>
    <row r="136" spans="1:4" ht="12.95" customHeight="1" x14ac:dyDescent="0.2">
      <c r="A136" s="605" t="s">
        <v>531</v>
      </c>
      <c r="B136" s="606" t="s">
        <v>689</v>
      </c>
      <c r="C136" s="607"/>
      <c r="D136" s="608"/>
    </row>
    <row r="137" spans="1:4" ht="12.95" customHeight="1" x14ac:dyDescent="0.2">
      <c r="A137" s="605" t="s">
        <v>532</v>
      </c>
      <c r="B137" s="606" t="s">
        <v>690</v>
      </c>
      <c r="C137" s="607"/>
      <c r="D137" s="608"/>
    </row>
    <row r="138" spans="1:4" ht="12.95" customHeight="1" x14ac:dyDescent="0.2">
      <c r="A138" s="605" t="s">
        <v>533</v>
      </c>
      <c r="B138" s="606" t="s">
        <v>691</v>
      </c>
      <c r="C138" s="607"/>
      <c r="D138" s="608"/>
    </row>
    <row r="139" spans="1:4" ht="12.95" customHeight="1" x14ac:dyDescent="0.2">
      <c r="A139" s="605" t="s">
        <v>534</v>
      </c>
      <c r="B139" s="606" t="s">
        <v>692</v>
      </c>
      <c r="C139" s="607"/>
      <c r="D139" s="608"/>
    </row>
    <row r="140" spans="1:4" ht="12.95" customHeight="1" x14ac:dyDescent="0.2">
      <c r="A140" s="609" t="s">
        <v>693</v>
      </c>
      <c r="B140" s="610" t="s">
        <v>694</v>
      </c>
      <c r="C140" s="611"/>
      <c r="D140" s="612"/>
    </row>
    <row r="141" spans="1:4" ht="12.95" customHeight="1" x14ac:dyDescent="0.2">
      <c r="A141" s="750" t="s">
        <v>695</v>
      </c>
      <c r="B141" s="751" t="s">
        <v>696</v>
      </c>
      <c r="C141" s="752">
        <f>SUM(C122:C140)</f>
        <v>14</v>
      </c>
      <c r="D141" s="753">
        <f>SUM(D122:D140)</f>
        <v>95</v>
      </c>
    </row>
    <row r="142" spans="1:4" ht="12.95" customHeight="1" x14ac:dyDescent="0.2">
      <c r="A142" s="613" t="s">
        <v>697</v>
      </c>
      <c r="B142" s="614" t="s">
        <v>698</v>
      </c>
      <c r="C142" s="615">
        <v>7</v>
      </c>
      <c r="D142" s="616">
        <v>7</v>
      </c>
    </row>
    <row r="143" spans="1:4" ht="12.95" customHeight="1" x14ac:dyDescent="0.2">
      <c r="A143" s="605" t="s">
        <v>699</v>
      </c>
      <c r="B143" s="606" t="s">
        <v>700</v>
      </c>
      <c r="C143" s="607"/>
      <c r="D143" s="608"/>
    </row>
    <row r="144" spans="1:4" ht="12.95" customHeight="1" x14ac:dyDescent="0.2">
      <c r="A144" s="605" t="s">
        <v>701</v>
      </c>
      <c r="B144" s="606" t="s">
        <v>702</v>
      </c>
      <c r="C144" s="607"/>
      <c r="D144" s="608"/>
    </row>
    <row r="145" spans="1:4" ht="12.95" customHeight="1" x14ac:dyDescent="0.2">
      <c r="A145" s="605" t="s">
        <v>703</v>
      </c>
      <c r="B145" s="606" t="s">
        <v>704</v>
      </c>
      <c r="C145" s="607"/>
      <c r="D145" s="608"/>
    </row>
    <row r="146" spans="1:4" ht="12.95" customHeight="1" x14ac:dyDescent="0.2">
      <c r="A146" s="605" t="s">
        <v>705</v>
      </c>
      <c r="B146" s="606" t="s">
        <v>706</v>
      </c>
      <c r="C146" s="607"/>
      <c r="D146" s="608"/>
    </row>
    <row r="147" spans="1:4" ht="12.95" customHeight="1" x14ac:dyDescent="0.2">
      <c r="A147" s="605" t="s">
        <v>707</v>
      </c>
      <c r="B147" s="606" t="s">
        <v>708</v>
      </c>
      <c r="C147" s="607"/>
      <c r="D147" s="608"/>
    </row>
    <row r="148" spans="1:4" ht="12.95" customHeight="1" x14ac:dyDescent="0.2">
      <c r="A148" s="609" t="s">
        <v>709</v>
      </c>
      <c r="B148" s="610" t="s">
        <v>710</v>
      </c>
      <c r="C148" s="611"/>
      <c r="D148" s="612"/>
    </row>
    <row r="149" spans="1:4" ht="12.95" customHeight="1" x14ac:dyDescent="0.2">
      <c r="A149" s="750" t="s">
        <v>711</v>
      </c>
      <c r="B149" s="751" t="s">
        <v>712</v>
      </c>
      <c r="C149" s="752">
        <f>+SUM(C142:C148)</f>
        <v>7</v>
      </c>
      <c r="D149" s="753">
        <f>+SUM(D142:D148)</f>
        <v>7</v>
      </c>
    </row>
    <row r="150" spans="1:4" ht="12.95" customHeight="1" x14ac:dyDescent="0.2">
      <c r="A150" s="750" t="s">
        <v>713</v>
      </c>
      <c r="B150" s="751" t="s">
        <v>714</v>
      </c>
      <c r="C150" s="752">
        <f>SUM(C141,C121,C149)</f>
        <v>21</v>
      </c>
      <c r="D150" s="753">
        <f>SUM(D141,D121,D149)</f>
        <v>102</v>
      </c>
    </row>
    <row r="151" spans="1:4" ht="12.95" customHeight="1" x14ac:dyDescent="0.2">
      <c r="A151" s="750">
        <v>148</v>
      </c>
      <c r="B151" s="751" t="s">
        <v>1177</v>
      </c>
      <c r="C151" s="752">
        <v>18775</v>
      </c>
      <c r="D151" s="753">
        <v>20858</v>
      </c>
    </row>
    <row r="152" spans="1:4" ht="12.95" customHeight="1" thickBot="1" x14ac:dyDescent="0.25">
      <c r="A152" s="621" t="s">
        <v>715</v>
      </c>
      <c r="B152" s="622" t="s">
        <v>716</v>
      </c>
      <c r="C152" s="623">
        <f>C150+C151+C101</f>
        <v>48578</v>
      </c>
      <c r="D152" s="623">
        <f>D150+D151+D101</f>
        <v>72817</v>
      </c>
    </row>
  </sheetData>
  <printOptions horizontalCentered="1"/>
  <pageMargins left="0.51181102362204722" right="0.51181102362204722" top="1.1417322834645669" bottom="0.74803149606299213" header="0.31496062992125984" footer="0.31496062992125984"/>
  <pageSetup paperSize="9" scale="61" fitToHeight="2" orientation="portrait" r:id="rId1"/>
  <headerFooter>
    <oddHeader>&amp;L&amp;"Times New Roman,Félkövér"&amp;12Szent László Völgye TKT&amp;C&amp;"Times New Roman,Félkövér"&amp;14  &amp;16 2023. ÉVI ZÁRSZÁMADÁSI BESZÁMOLÓ&amp;R&amp;11 10. sz. táblázat
VAGYONKIMUTATÁS
Adatok: eFt-ban</oddHeader>
    <oddFooter>&amp;L&amp;F&amp;R&amp;P</oddFooter>
  </headerFooter>
  <rowBreaks count="1" manualBreakCount="1">
    <brk id="93" max="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66"/>
  <sheetViews>
    <sheetView topLeftCell="A46" zoomScaleNormal="100" workbookViewId="0">
      <selection activeCell="C16" sqref="C16"/>
    </sheetView>
  </sheetViews>
  <sheetFormatPr defaultColWidth="8.85546875" defaultRowHeight="12.95" customHeight="1" x14ac:dyDescent="0.2"/>
  <cols>
    <col min="1" max="1" width="70.28515625" style="877" customWidth="1"/>
    <col min="2" max="2" width="4.42578125" style="552" customWidth="1"/>
    <col min="3" max="5" width="14.140625" style="552" customWidth="1"/>
    <col min="6" max="6" width="8.85546875" style="552"/>
    <col min="7" max="7" width="8.85546875" style="505"/>
    <col min="8" max="8" width="8.85546875" style="877"/>
    <col min="9" max="13" width="8.85546875" style="552"/>
    <col min="14" max="14" width="8.85546875" style="554"/>
    <col min="15" max="16384" width="8.85546875" style="505"/>
  </cols>
  <sheetData>
    <row r="1" spans="1:14" ht="12.95" customHeight="1" x14ac:dyDescent="0.2">
      <c r="A1" s="1405" t="s">
        <v>360</v>
      </c>
      <c r="B1" s="1408" t="s">
        <v>717</v>
      </c>
      <c r="C1" s="1411" t="s">
        <v>718</v>
      </c>
      <c r="D1" s="1411" t="s">
        <v>719</v>
      </c>
      <c r="E1" s="1413" t="s">
        <v>720</v>
      </c>
    </row>
    <row r="2" spans="1:14" ht="12.95" customHeight="1" x14ac:dyDescent="0.2">
      <c r="A2" s="1406"/>
      <c r="B2" s="1409"/>
      <c r="C2" s="1412"/>
      <c r="D2" s="1412"/>
      <c r="E2" s="1414"/>
    </row>
    <row r="3" spans="1:14" ht="15.75" customHeight="1" x14ac:dyDescent="0.25">
      <c r="A3" s="1407"/>
      <c r="B3" s="1410"/>
      <c r="C3" s="1415" t="s">
        <v>721</v>
      </c>
      <c r="D3" s="1415"/>
      <c r="E3" s="1416"/>
    </row>
    <row r="4" spans="1:14" ht="12.95" customHeight="1" thickBot="1" x14ac:dyDescent="0.25">
      <c r="A4" s="624" t="s">
        <v>722</v>
      </c>
      <c r="B4" s="625" t="s">
        <v>723</v>
      </c>
      <c r="C4" s="625" t="s">
        <v>724</v>
      </c>
      <c r="D4" s="625" t="s">
        <v>725</v>
      </c>
      <c r="E4" s="626" t="s">
        <v>726</v>
      </c>
    </row>
    <row r="5" spans="1:14" s="537" customFormat="1" ht="12.75" x14ac:dyDescent="0.2">
      <c r="A5" s="627" t="s">
        <v>727</v>
      </c>
      <c r="B5" s="628" t="s">
        <v>728</v>
      </c>
      <c r="C5" s="1268">
        <v>16115</v>
      </c>
      <c r="D5" s="1075">
        <v>0</v>
      </c>
      <c r="E5" s="629"/>
      <c r="F5" s="630"/>
      <c r="H5" s="878"/>
      <c r="I5" s="630"/>
      <c r="J5" s="630"/>
      <c r="K5" s="630"/>
      <c r="L5" s="630"/>
      <c r="M5" s="630"/>
      <c r="N5" s="631"/>
    </row>
    <row r="6" spans="1:14" s="537" customFormat="1" ht="12.75" x14ac:dyDescent="0.2">
      <c r="A6" s="754" t="s">
        <v>729</v>
      </c>
      <c r="B6" s="755" t="s">
        <v>730</v>
      </c>
      <c r="C6" s="756">
        <f>+C7+C12+C17+C22+C27</f>
        <v>40988</v>
      </c>
      <c r="D6" s="756">
        <f>+D7+D12+D17+D22+D27</f>
        <v>2096</v>
      </c>
      <c r="E6" s="757">
        <f>+E7+E12+E17+E22+E27</f>
        <v>0</v>
      </c>
      <c r="F6" s="630"/>
      <c r="H6" s="878"/>
      <c r="I6" s="630"/>
      <c r="J6" s="630"/>
      <c r="K6" s="630"/>
      <c r="L6" s="630"/>
      <c r="M6" s="630"/>
      <c r="N6" s="631"/>
    </row>
    <row r="7" spans="1:14" ht="12.75" x14ac:dyDescent="0.2">
      <c r="A7" s="758" t="s">
        <v>731</v>
      </c>
      <c r="B7" s="759" t="s">
        <v>732</v>
      </c>
      <c r="C7" s="760">
        <f>+C8+C9+C10+C11</f>
        <v>512</v>
      </c>
      <c r="D7" s="760">
        <f>+D8+D9+D10+D11</f>
        <v>411</v>
      </c>
      <c r="E7" s="761">
        <f>+E8+E9+E10+E11</f>
        <v>0</v>
      </c>
    </row>
    <row r="8" spans="1:14" ht="13.5" x14ac:dyDescent="0.2">
      <c r="A8" s="762" t="s">
        <v>733</v>
      </c>
      <c r="B8" s="759" t="s">
        <v>734</v>
      </c>
      <c r="C8" s="763"/>
      <c r="D8" s="763"/>
      <c r="E8" s="764"/>
    </row>
    <row r="9" spans="1:14" ht="25.5" x14ac:dyDescent="0.2">
      <c r="A9" s="762" t="s">
        <v>735</v>
      </c>
      <c r="B9" s="759" t="s">
        <v>736</v>
      </c>
      <c r="C9" s="765"/>
      <c r="D9" s="765"/>
      <c r="E9" s="766"/>
    </row>
    <row r="10" spans="1:14" ht="12.75" x14ac:dyDescent="0.2">
      <c r="A10" s="762" t="s">
        <v>737</v>
      </c>
      <c r="B10" s="759" t="s">
        <v>738</v>
      </c>
      <c r="C10" s="765">
        <v>512</v>
      </c>
      <c r="D10" s="765">
        <v>411</v>
      </c>
      <c r="E10" s="766"/>
    </row>
    <row r="11" spans="1:14" ht="12.75" x14ac:dyDescent="0.2">
      <c r="A11" s="762" t="s">
        <v>739</v>
      </c>
      <c r="B11" s="759" t="s">
        <v>740</v>
      </c>
      <c r="C11" s="765"/>
      <c r="D11" s="765"/>
      <c r="E11" s="766"/>
    </row>
    <row r="12" spans="1:14" ht="12.75" x14ac:dyDescent="0.2">
      <c r="A12" s="758" t="s">
        <v>741</v>
      </c>
      <c r="B12" s="759" t="s">
        <v>742</v>
      </c>
      <c r="C12" s="760">
        <f>+C13+C14+C15+C16</f>
        <v>40476</v>
      </c>
      <c r="D12" s="760">
        <f>+D13+D14+D15+D16</f>
        <v>1685</v>
      </c>
      <c r="E12" s="761">
        <f>+E13+E14+E15+E16</f>
        <v>0</v>
      </c>
    </row>
    <row r="13" spans="1:14" ht="12.75" x14ac:dyDescent="0.2">
      <c r="A13" s="762" t="s">
        <v>743</v>
      </c>
      <c r="B13" s="759" t="s">
        <v>744</v>
      </c>
      <c r="C13" s="765"/>
      <c r="D13" s="765"/>
      <c r="E13" s="766"/>
    </row>
    <row r="14" spans="1:14" ht="25.5" x14ac:dyDescent="0.2">
      <c r="A14" s="762" t="s">
        <v>745</v>
      </c>
      <c r="B14" s="759" t="s">
        <v>746</v>
      </c>
      <c r="C14" s="765"/>
      <c r="D14" s="765"/>
      <c r="E14" s="766"/>
    </row>
    <row r="15" spans="1:14" ht="12.75" x14ac:dyDescent="0.2">
      <c r="A15" s="762" t="s">
        <v>747</v>
      </c>
      <c r="B15" s="759" t="s">
        <v>748</v>
      </c>
      <c r="C15" s="765">
        <v>40476</v>
      </c>
      <c r="D15" s="765">
        <v>1685</v>
      </c>
      <c r="E15" s="766"/>
    </row>
    <row r="16" spans="1:14" ht="12.75" x14ac:dyDescent="0.2">
      <c r="A16" s="762" t="s">
        <v>749</v>
      </c>
      <c r="B16" s="759" t="s">
        <v>750</v>
      </c>
      <c r="C16" s="765">
        <v>0</v>
      </c>
      <c r="D16" s="765">
        <v>0</v>
      </c>
      <c r="E16" s="766"/>
    </row>
    <row r="17" spans="1:14" ht="12.75" x14ac:dyDescent="0.2">
      <c r="A17" s="758" t="s">
        <v>751</v>
      </c>
      <c r="B17" s="759" t="s">
        <v>752</v>
      </c>
      <c r="C17" s="760">
        <f>+C18+C19+C20+C21</f>
        <v>0</v>
      </c>
      <c r="D17" s="760">
        <f>+D18+D19+D20+D21</f>
        <v>0</v>
      </c>
      <c r="E17" s="761">
        <f>+E18+E19+E20+E21</f>
        <v>0</v>
      </c>
    </row>
    <row r="18" spans="1:14" ht="12.75" x14ac:dyDescent="0.2">
      <c r="A18" s="762" t="s">
        <v>753</v>
      </c>
      <c r="B18" s="759" t="s">
        <v>754</v>
      </c>
      <c r="C18" s="765"/>
      <c r="D18" s="765"/>
      <c r="E18" s="766"/>
    </row>
    <row r="19" spans="1:14" ht="12.75" x14ac:dyDescent="0.2">
      <c r="A19" s="762" t="s">
        <v>755</v>
      </c>
      <c r="B19" s="759" t="s">
        <v>756</v>
      </c>
      <c r="C19" s="765"/>
      <c r="D19" s="765"/>
      <c r="E19" s="766"/>
    </row>
    <row r="20" spans="1:14" ht="12.75" x14ac:dyDescent="0.2">
      <c r="A20" s="762" t="s">
        <v>757</v>
      </c>
      <c r="B20" s="759" t="s">
        <v>758</v>
      </c>
      <c r="C20" s="765"/>
      <c r="D20" s="765"/>
      <c r="E20" s="766"/>
    </row>
    <row r="21" spans="1:14" ht="12.75" x14ac:dyDescent="0.2">
      <c r="A21" s="762" t="s">
        <v>759</v>
      </c>
      <c r="B21" s="759" t="s">
        <v>760</v>
      </c>
      <c r="C21" s="765"/>
      <c r="D21" s="765"/>
      <c r="E21" s="766"/>
    </row>
    <row r="22" spans="1:14" ht="12.75" x14ac:dyDescent="0.2">
      <c r="A22" s="758" t="s">
        <v>761</v>
      </c>
      <c r="B22" s="759" t="s">
        <v>762</v>
      </c>
      <c r="C22" s="760">
        <f>+C23+C24+C25+C26</f>
        <v>0</v>
      </c>
      <c r="D22" s="760">
        <f>+D23+D24+D25+D26</f>
        <v>0</v>
      </c>
      <c r="E22" s="761">
        <f>+E23+E24+E25+E26</f>
        <v>0</v>
      </c>
    </row>
    <row r="23" spans="1:14" ht="12.75" x14ac:dyDescent="0.2">
      <c r="A23" s="762" t="s">
        <v>763</v>
      </c>
      <c r="B23" s="759" t="s">
        <v>764</v>
      </c>
      <c r="C23" s="765"/>
      <c r="D23" s="765"/>
      <c r="E23" s="766"/>
    </row>
    <row r="24" spans="1:14" ht="12.75" x14ac:dyDescent="0.2">
      <c r="A24" s="762" t="s">
        <v>765</v>
      </c>
      <c r="B24" s="759" t="s">
        <v>766</v>
      </c>
      <c r="C24" s="765"/>
      <c r="D24" s="765"/>
      <c r="E24" s="766"/>
    </row>
    <row r="25" spans="1:14" ht="12.75" x14ac:dyDescent="0.2">
      <c r="A25" s="762" t="s">
        <v>767</v>
      </c>
      <c r="B25" s="759" t="s">
        <v>768</v>
      </c>
      <c r="C25" s="765"/>
      <c r="D25" s="765"/>
      <c r="E25" s="766"/>
    </row>
    <row r="26" spans="1:14" ht="12.75" x14ac:dyDescent="0.2">
      <c r="A26" s="762" t="s">
        <v>769</v>
      </c>
      <c r="B26" s="759" t="s">
        <v>770</v>
      </c>
      <c r="C26" s="765"/>
      <c r="D26" s="765"/>
      <c r="E26" s="766"/>
    </row>
    <row r="27" spans="1:14" ht="12.75" x14ac:dyDescent="0.2">
      <c r="A27" s="758" t="s">
        <v>771</v>
      </c>
      <c r="B27" s="759" t="s">
        <v>772</v>
      </c>
      <c r="C27" s="760">
        <f>+C28+C29+C30+C31</f>
        <v>0</v>
      </c>
      <c r="D27" s="760">
        <f>+D28+D29+D30+D31</f>
        <v>0</v>
      </c>
      <c r="E27" s="761">
        <f>+E28+E29+E30+E31</f>
        <v>0</v>
      </c>
    </row>
    <row r="28" spans="1:14" ht="12.75" x14ac:dyDescent="0.2">
      <c r="A28" s="762" t="s">
        <v>773</v>
      </c>
      <c r="B28" s="759" t="s">
        <v>774</v>
      </c>
      <c r="C28" s="765"/>
      <c r="D28" s="765"/>
      <c r="E28" s="766"/>
    </row>
    <row r="29" spans="1:14" ht="25.5" x14ac:dyDescent="0.2">
      <c r="A29" s="762" t="s">
        <v>775</v>
      </c>
      <c r="B29" s="759" t="s">
        <v>776</v>
      </c>
      <c r="C29" s="765"/>
      <c r="D29" s="765"/>
      <c r="E29" s="766"/>
    </row>
    <row r="30" spans="1:14" ht="12.75" x14ac:dyDescent="0.2">
      <c r="A30" s="762" t="s">
        <v>777</v>
      </c>
      <c r="B30" s="759" t="s">
        <v>778</v>
      </c>
      <c r="C30" s="765"/>
      <c r="D30" s="765"/>
      <c r="E30" s="766"/>
    </row>
    <row r="31" spans="1:14" ht="12.75" x14ac:dyDescent="0.2">
      <c r="A31" s="762" t="s">
        <v>779</v>
      </c>
      <c r="B31" s="759" t="s">
        <v>780</v>
      </c>
      <c r="C31" s="765"/>
      <c r="D31" s="765"/>
      <c r="E31" s="766"/>
    </row>
    <row r="32" spans="1:14" s="537" customFormat="1" ht="12.75" x14ac:dyDescent="0.2">
      <c r="A32" s="754" t="s">
        <v>781</v>
      </c>
      <c r="B32" s="755" t="s">
        <v>782</v>
      </c>
      <c r="C32" s="756">
        <f>+C33+C38+C43</f>
        <v>0</v>
      </c>
      <c r="D32" s="756">
        <f>+D33+D38+D43</f>
        <v>0</v>
      </c>
      <c r="E32" s="757">
        <f>+E33+E38+E43</f>
        <v>0</v>
      </c>
      <c r="F32" s="630"/>
      <c r="H32" s="878"/>
      <c r="I32" s="630"/>
      <c r="J32" s="630"/>
      <c r="K32" s="630"/>
      <c r="L32" s="630"/>
      <c r="M32" s="630"/>
      <c r="N32" s="631"/>
    </row>
    <row r="33" spans="1:14" ht="12.75" x14ac:dyDescent="0.2">
      <c r="A33" s="758" t="s">
        <v>783</v>
      </c>
      <c r="B33" s="759" t="s">
        <v>784</v>
      </c>
      <c r="C33" s="760">
        <f>+C34+C35+C36+C37</f>
        <v>0</v>
      </c>
      <c r="D33" s="760">
        <f>+D34+D35+D36+D37</f>
        <v>0</v>
      </c>
      <c r="E33" s="761">
        <f>+E34+E35+E36+E37</f>
        <v>0</v>
      </c>
    </row>
    <row r="34" spans="1:14" ht="12.75" x14ac:dyDescent="0.2">
      <c r="A34" s="762" t="s">
        <v>785</v>
      </c>
      <c r="B34" s="759" t="s">
        <v>786</v>
      </c>
      <c r="C34" s="765"/>
      <c r="D34" s="765"/>
      <c r="E34" s="766"/>
    </row>
    <row r="35" spans="1:14" ht="12.75" x14ac:dyDescent="0.2">
      <c r="A35" s="762" t="s">
        <v>787</v>
      </c>
      <c r="B35" s="759" t="s">
        <v>788</v>
      </c>
      <c r="C35" s="765"/>
      <c r="D35" s="765"/>
      <c r="E35" s="766"/>
    </row>
    <row r="36" spans="1:14" ht="12.75" x14ac:dyDescent="0.2">
      <c r="A36" s="762" t="s">
        <v>789</v>
      </c>
      <c r="B36" s="759" t="s">
        <v>790</v>
      </c>
      <c r="C36" s="765"/>
      <c r="D36" s="765"/>
      <c r="E36" s="766"/>
    </row>
    <row r="37" spans="1:14" ht="12.75" x14ac:dyDescent="0.2">
      <c r="A37" s="762" t="s">
        <v>791</v>
      </c>
      <c r="B37" s="759" t="s">
        <v>792</v>
      </c>
      <c r="C37" s="765"/>
      <c r="D37" s="765"/>
      <c r="E37" s="766"/>
    </row>
    <row r="38" spans="1:14" ht="12.75" x14ac:dyDescent="0.2">
      <c r="A38" s="758" t="s">
        <v>793</v>
      </c>
      <c r="B38" s="759" t="s">
        <v>794</v>
      </c>
      <c r="C38" s="760">
        <f>+C39+C40+C41+C42</f>
        <v>0</v>
      </c>
      <c r="D38" s="760">
        <f>+D39+D40+D41+D42</f>
        <v>0</v>
      </c>
      <c r="E38" s="761">
        <f>+E39+E40+E41+E42</f>
        <v>0</v>
      </c>
    </row>
    <row r="39" spans="1:14" ht="12.75" x14ac:dyDescent="0.2">
      <c r="A39" s="762" t="s">
        <v>795</v>
      </c>
      <c r="B39" s="759" t="s">
        <v>796</v>
      </c>
      <c r="C39" s="765"/>
      <c r="D39" s="765"/>
      <c r="E39" s="766"/>
    </row>
    <row r="40" spans="1:14" ht="25.5" x14ac:dyDescent="0.2">
      <c r="A40" s="762" t="s">
        <v>797</v>
      </c>
      <c r="B40" s="759" t="s">
        <v>798</v>
      </c>
      <c r="C40" s="765"/>
      <c r="D40" s="765"/>
      <c r="E40" s="766"/>
    </row>
    <row r="41" spans="1:14" ht="12.75" x14ac:dyDescent="0.2">
      <c r="A41" s="762" t="s">
        <v>799</v>
      </c>
      <c r="B41" s="759" t="s">
        <v>800</v>
      </c>
      <c r="C41" s="765"/>
      <c r="D41" s="765"/>
      <c r="E41" s="766"/>
    </row>
    <row r="42" spans="1:14" ht="12.75" x14ac:dyDescent="0.2">
      <c r="A42" s="762" t="s">
        <v>801</v>
      </c>
      <c r="B42" s="759" t="s">
        <v>802</v>
      </c>
      <c r="C42" s="765"/>
      <c r="D42" s="765"/>
      <c r="E42" s="766"/>
    </row>
    <row r="43" spans="1:14" ht="12.75" x14ac:dyDescent="0.2">
      <c r="A43" s="758" t="s">
        <v>803</v>
      </c>
      <c r="B43" s="759" t="s">
        <v>804</v>
      </c>
      <c r="C43" s="760">
        <f>+C44+C45+C46+C47</f>
        <v>0</v>
      </c>
      <c r="D43" s="760">
        <f>+D44+D45+D46+D47</f>
        <v>0</v>
      </c>
      <c r="E43" s="761">
        <f>+E44+E45+E46+E47</f>
        <v>0</v>
      </c>
    </row>
    <row r="44" spans="1:14" ht="12.75" x14ac:dyDescent="0.2">
      <c r="A44" s="762" t="s">
        <v>805</v>
      </c>
      <c r="B44" s="759" t="s">
        <v>806</v>
      </c>
      <c r="C44" s="765"/>
      <c r="D44" s="765"/>
      <c r="E44" s="766"/>
    </row>
    <row r="45" spans="1:14" ht="25.5" x14ac:dyDescent="0.2">
      <c r="A45" s="762" t="s">
        <v>807</v>
      </c>
      <c r="B45" s="759" t="s">
        <v>808</v>
      </c>
      <c r="C45" s="765"/>
      <c r="D45" s="765"/>
      <c r="E45" s="766"/>
    </row>
    <row r="46" spans="1:14" ht="12.75" x14ac:dyDescent="0.2">
      <c r="A46" s="762" t="s">
        <v>809</v>
      </c>
      <c r="B46" s="759" t="s">
        <v>810</v>
      </c>
      <c r="C46" s="765"/>
      <c r="D46" s="765"/>
      <c r="E46" s="766"/>
    </row>
    <row r="47" spans="1:14" ht="12.75" x14ac:dyDescent="0.2">
      <c r="A47" s="762" t="s">
        <v>811</v>
      </c>
      <c r="B47" s="759" t="s">
        <v>812</v>
      </c>
      <c r="C47" s="765"/>
      <c r="D47" s="765"/>
      <c r="E47" s="766"/>
    </row>
    <row r="48" spans="1:14" s="537" customFormat="1" ht="12.75" x14ac:dyDescent="0.2">
      <c r="A48" s="754" t="s">
        <v>813</v>
      </c>
      <c r="B48" s="755" t="s">
        <v>814</v>
      </c>
      <c r="C48" s="767"/>
      <c r="D48" s="767"/>
      <c r="E48" s="768"/>
      <c r="F48" s="630"/>
      <c r="H48" s="878"/>
      <c r="I48" s="630"/>
      <c r="J48" s="630"/>
      <c r="K48" s="630"/>
      <c r="L48" s="630"/>
      <c r="M48" s="630"/>
      <c r="N48" s="631"/>
    </row>
    <row r="49" spans="1:14" s="537" customFormat="1" ht="25.5" x14ac:dyDescent="0.2">
      <c r="A49" s="754" t="s">
        <v>815</v>
      </c>
      <c r="B49" s="755" t="s">
        <v>816</v>
      </c>
      <c r="C49" s="756">
        <f>+C5+C6+C32+C48</f>
        <v>57103</v>
      </c>
      <c r="D49" s="756">
        <f>+D5+D6+D32+D48</f>
        <v>2096</v>
      </c>
      <c r="E49" s="757">
        <f>+E5+E6+E32+E48</f>
        <v>0</v>
      </c>
      <c r="F49" s="630"/>
      <c r="H49" s="878"/>
      <c r="I49" s="630"/>
      <c r="J49" s="630"/>
      <c r="K49" s="630"/>
      <c r="L49" s="630"/>
      <c r="M49" s="630"/>
      <c r="N49" s="631"/>
    </row>
    <row r="50" spans="1:14" ht="12.75" x14ac:dyDescent="0.2">
      <c r="A50" s="758" t="s">
        <v>817</v>
      </c>
      <c r="B50" s="759" t="s">
        <v>818</v>
      </c>
      <c r="C50" s="765"/>
      <c r="D50" s="765"/>
      <c r="E50" s="766"/>
    </row>
    <row r="51" spans="1:14" ht="12.75" x14ac:dyDescent="0.2">
      <c r="A51" s="758" t="s">
        <v>819</v>
      </c>
      <c r="B51" s="759" t="s">
        <v>820</v>
      </c>
      <c r="C51" s="765"/>
      <c r="D51" s="765"/>
      <c r="E51" s="766"/>
    </row>
    <row r="52" spans="1:14" s="537" customFormat="1" ht="12.75" x14ac:dyDescent="0.2">
      <c r="A52" s="754" t="s">
        <v>821</v>
      </c>
      <c r="B52" s="755" t="s">
        <v>822</v>
      </c>
      <c r="C52" s="756">
        <f>+C50+C51</f>
        <v>0</v>
      </c>
      <c r="D52" s="756">
        <f>+D50+D51</f>
        <v>0</v>
      </c>
      <c r="E52" s="757">
        <f>+E50+E51</f>
        <v>0</v>
      </c>
      <c r="F52" s="630"/>
      <c r="H52" s="878"/>
      <c r="I52" s="630"/>
      <c r="J52" s="630"/>
      <c r="K52" s="630"/>
      <c r="L52" s="630"/>
      <c r="M52" s="630"/>
      <c r="N52" s="631"/>
    </row>
    <row r="53" spans="1:14" ht="12.75" x14ac:dyDescent="0.2">
      <c r="A53" s="758" t="s">
        <v>823</v>
      </c>
      <c r="B53" s="759" t="s">
        <v>824</v>
      </c>
      <c r="C53" s="765"/>
      <c r="D53" s="765"/>
      <c r="E53" s="766"/>
    </row>
    <row r="54" spans="1:14" ht="12.75" x14ac:dyDescent="0.2">
      <c r="A54" s="758" t="s">
        <v>382</v>
      </c>
      <c r="B54" s="759" t="s">
        <v>825</v>
      </c>
      <c r="C54" s="765">
        <v>5</v>
      </c>
      <c r="D54" s="765">
        <v>5</v>
      </c>
      <c r="E54" s="766"/>
    </row>
    <row r="55" spans="1:14" ht="12.75" x14ac:dyDescent="0.2">
      <c r="A55" s="758" t="s">
        <v>826</v>
      </c>
      <c r="B55" s="759" t="s">
        <v>827</v>
      </c>
      <c r="C55" s="765">
        <v>68770</v>
      </c>
      <c r="D55" s="765">
        <v>68770</v>
      </c>
      <c r="E55" s="766"/>
    </row>
    <row r="56" spans="1:14" ht="12.75" x14ac:dyDescent="0.2">
      <c r="A56" s="758" t="s">
        <v>828</v>
      </c>
      <c r="B56" s="759" t="s">
        <v>829</v>
      </c>
      <c r="C56" s="765"/>
      <c r="D56" s="765"/>
      <c r="E56" s="766"/>
    </row>
    <row r="57" spans="1:14" s="537" customFormat="1" ht="12.75" x14ac:dyDescent="0.2">
      <c r="A57" s="754" t="s">
        <v>830</v>
      </c>
      <c r="B57" s="755" t="s">
        <v>831</v>
      </c>
      <c r="C57" s="756">
        <f>+C53+C54+C55+C56</f>
        <v>68775</v>
      </c>
      <c r="D57" s="756">
        <f>+D53+D54+D55+D56</f>
        <v>68775</v>
      </c>
      <c r="E57" s="757">
        <f>+E53+E54+E55+E56</f>
        <v>0</v>
      </c>
      <c r="F57" s="630"/>
      <c r="H57" s="878"/>
      <c r="I57" s="630"/>
      <c r="J57" s="630"/>
      <c r="K57" s="630"/>
      <c r="L57" s="630"/>
      <c r="M57" s="630"/>
      <c r="N57" s="631"/>
    </row>
    <row r="58" spans="1:14" ht="12.75" x14ac:dyDescent="0.2">
      <c r="A58" s="758" t="s">
        <v>385</v>
      </c>
      <c r="B58" s="759" t="s">
        <v>832</v>
      </c>
      <c r="C58" s="765">
        <v>1225</v>
      </c>
      <c r="D58" s="765">
        <v>1225</v>
      </c>
      <c r="E58" s="766"/>
    </row>
    <row r="59" spans="1:14" ht="12.75" x14ac:dyDescent="0.2">
      <c r="A59" s="758" t="s">
        <v>386</v>
      </c>
      <c r="B59" s="759" t="s">
        <v>833</v>
      </c>
      <c r="C59" s="765"/>
      <c r="D59" s="765"/>
      <c r="E59" s="766"/>
    </row>
    <row r="60" spans="1:14" ht="12.75" x14ac:dyDescent="0.2">
      <c r="A60" s="758" t="s">
        <v>387</v>
      </c>
      <c r="B60" s="759" t="s">
        <v>834</v>
      </c>
      <c r="C60" s="765">
        <v>15</v>
      </c>
      <c r="D60" s="765">
        <v>15</v>
      </c>
      <c r="E60" s="766"/>
    </row>
    <row r="61" spans="1:14" s="537" customFormat="1" ht="12.75" x14ac:dyDescent="0.2">
      <c r="A61" s="754" t="s">
        <v>835</v>
      </c>
      <c r="B61" s="755" t="s">
        <v>836</v>
      </c>
      <c r="C61" s="756">
        <f>+C58+C59+C60</f>
        <v>1240</v>
      </c>
      <c r="D61" s="756">
        <f>+D58+D59+D60</f>
        <v>1240</v>
      </c>
      <c r="E61" s="757">
        <f>+E58+E59+E60</f>
        <v>0</v>
      </c>
      <c r="F61" s="630"/>
      <c r="H61" s="878"/>
      <c r="I61" s="630"/>
      <c r="J61" s="630"/>
      <c r="K61" s="630"/>
      <c r="L61" s="630"/>
      <c r="M61" s="630"/>
      <c r="N61" s="631"/>
    </row>
    <row r="62" spans="1:14" ht="12.75" x14ac:dyDescent="0.2">
      <c r="A62" s="758" t="s">
        <v>837</v>
      </c>
      <c r="B62" s="759" t="s">
        <v>838</v>
      </c>
      <c r="C62" s="765"/>
      <c r="D62" s="765"/>
      <c r="E62" s="766"/>
    </row>
    <row r="63" spans="1:14" ht="25.5" x14ac:dyDescent="0.2">
      <c r="A63" s="758" t="s">
        <v>839</v>
      </c>
      <c r="B63" s="759" t="s">
        <v>840</v>
      </c>
      <c r="C63" s="765"/>
      <c r="D63" s="765"/>
      <c r="E63" s="766"/>
    </row>
    <row r="64" spans="1:14" s="537" customFormat="1" ht="12.75" x14ac:dyDescent="0.2">
      <c r="A64" s="754" t="s">
        <v>1224</v>
      </c>
      <c r="B64" s="755" t="s">
        <v>841</v>
      </c>
      <c r="C64" s="756">
        <v>-191</v>
      </c>
      <c r="D64" s="756">
        <v>-13</v>
      </c>
      <c r="E64" s="757">
        <f>+E62+E63</f>
        <v>0</v>
      </c>
      <c r="F64" s="630"/>
      <c r="H64" s="878"/>
      <c r="I64" s="630"/>
      <c r="J64" s="630"/>
      <c r="K64" s="630"/>
      <c r="L64" s="630"/>
      <c r="M64" s="630"/>
      <c r="N64" s="631"/>
    </row>
    <row r="65" spans="1:14" s="537" customFormat="1" ht="12.75" x14ac:dyDescent="0.2">
      <c r="A65" s="754" t="s">
        <v>842</v>
      </c>
      <c r="B65" s="755" t="s">
        <v>843</v>
      </c>
      <c r="C65" s="767"/>
      <c r="D65" s="767">
        <v>719</v>
      </c>
      <c r="E65" s="768"/>
      <c r="F65" s="630"/>
      <c r="H65" s="878"/>
      <c r="I65" s="630"/>
      <c r="J65" s="630"/>
      <c r="K65" s="630"/>
      <c r="L65" s="630"/>
      <c r="M65" s="630"/>
      <c r="N65" s="631"/>
    </row>
    <row r="66" spans="1:14" s="537" customFormat="1" ht="13.5" thickBot="1" x14ac:dyDescent="0.25">
      <c r="A66" s="632" t="s">
        <v>844</v>
      </c>
      <c r="B66" s="633" t="s">
        <v>845</v>
      </c>
      <c r="C66" s="634">
        <f>+C49+C52+C57+C61+C64+C65</f>
        <v>126927</v>
      </c>
      <c r="D66" s="634">
        <f>+D49+D52+D57+D61+D64+D65</f>
        <v>72817</v>
      </c>
      <c r="E66" s="635">
        <f>+E49+E52+E57+E61+E64+E65</f>
        <v>0</v>
      </c>
      <c r="F66" s="630"/>
      <c r="H66" s="878"/>
      <c r="I66" s="630"/>
      <c r="J66" s="630"/>
      <c r="K66" s="630"/>
      <c r="L66" s="630"/>
      <c r="M66" s="630"/>
      <c r="N66" s="631"/>
    </row>
  </sheetData>
  <mergeCells count="6">
    <mergeCell ref="A1:A3"/>
    <mergeCell ref="B1:B3"/>
    <mergeCell ref="C1:C2"/>
    <mergeCell ref="D1:D2"/>
    <mergeCell ref="E1:E2"/>
    <mergeCell ref="C3:E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76" orientation="portrait" r:id="rId1"/>
  <headerFooter>
    <oddHeader>&amp;L&amp;"Times New Roman,Félkövér"&amp;12Szent László Völgye TKT&amp;C&amp;"Times New Roman,Félkövér"&amp;14   2023. ÉVI ZÁRSZÁMADÁSI BESZÁMOLÓ&amp;R&amp;11 &amp;10 10/1. sz. táblázat
VAGYONKIMUTATÁS ESZKÖZÖKRŐL
Adatok: eFt-ban</oddHeader>
    <oddFooter>&amp;L&amp;F&amp;R&amp;P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7"/>
  <sheetViews>
    <sheetView zoomScaleNormal="100" workbookViewId="0">
      <selection activeCell="C17" sqref="C17"/>
    </sheetView>
  </sheetViews>
  <sheetFormatPr defaultColWidth="8.85546875" defaultRowHeight="12.75" x14ac:dyDescent="0.2"/>
  <cols>
    <col min="1" max="1" width="67.7109375" style="553" customWidth="1"/>
    <col min="2" max="2" width="3.42578125" style="552" bestFit="1" customWidth="1"/>
    <col min="3" max="3" width="16.42578125" style="552" customWidth="1"/>
    <col min="4" max="6" width="8.85546875" style="552"/>
    <col min="7" max="7" width="8.85546875" style="505"/>
    <col min="8" max="8" width="8.85546875" style="553"/>
    <col min="9" max="13" width="8.85546875" style="552"/>
    <col min="14" max="14" width="8.85546875" style="554"/>
    <col min="15" max="16384" width="8.85546875" style="505"/>
  </cols>
  <sheetData>
    <row r="1" spans="1:3" ht="16.5" customHeight="1" x14ac:dyDescent="0.2">
      <c r="A1" s="1417" t="s">
        <v>361</v>
      </c>
      <c r="B1" s="1419" t="s">
        <v>717</v>
      </c>
      <c r="C1" s="1421" t="s">
        <v>846</v>
      </c>
    </row>
    <row r="2" spans="1:3" ht="33.75" customHeight="1" x14ac:dyDescent="0.2">
      <c r="A2" s="1418"/>
      <c r="B2" s="1420"/>
      <c r="C2" s="1422"/>
    </row>
    <row r="3" spans="1:3" ht="16.5" customHeight="1" thickBot="1" x14ac:dyDescent="0.25">
      <c r="A3" s="636" t="s">
        <v>847</v>
      </c>
      <c r="B3" s="637" t="s">
        <v>723</v>
      </c>
      <c r="C3" s="638" t="s">
        <v>724</v>
      </c>
    </row>
    <row r="4" spans="1:3" ht="18.75" customHeight="1" x14ac:dyDescent="0.2">
      <c r="A4" s="758" t="s">
        <v>363</v>
      </c>
      <c r="B4" s="639" t="s">
        <v>728</v>
      </c>
      <c r="C4" s="640">
        <v>53405</v>
      </c>
    </row>
    <row r="5" spans="1:3" ht="18.75" customHeight="1" x14ac:dyDescent="0.2">
      <c r="A5" s="758" t="s">
        <v>365</v>
      </c>
      <c r="B5" s="769" t="s">
        <v>730</v>
      </c>
      <c r="C5" s="640"/>
    </row>
    <row r="6" spans="1:3" ht="18.75" customHeight="1" x14ac:dyDescent="0.2">
      <c r="A6" s="758" t="s">
        <v>366</v>
      </c>
      <c r="B6" s="769" t="s">
        <v>732</v>
      </c>
      <c r="C6" s="640">
        <v>8925</v>
      </c>
    </row>
    <row r="7" spans="1:3" ht="18.75" customHeight="1" x14ac:dyDescent="0.2">
      <c r="A7" s="758" t="s">
        <v>368</v>
      </c>
      <c r="B7" s="769" t="s">
        <v>734</v>
      </c>
      <c r="C7" s="770">
        <v>-32548</v>
      </c>
    </row>
    <row r="8" spans="1:3" ht="18.75" customHeight="1" x14ac:dyDescent="0.2">
      <c r="A8" s="758" t="s">
        <v>370</v>
      </c>
      <c r="B8" s="769" t="s">
        <v>736</v>
      </c>
      <c r="C8" s="770"/>
    </row>
    <row r="9" spans="1:3" ht="18.75" customHeight="1" x14ac:dyDescent="0.2">
      <c r="A9" s="758" t="s">
        <v>372</v>
      </c>
      <c r="B9" s="769" t="s">
        <v>738</v>
      </c>
      <c r="C9" s="770">
        <v>22075</v>
      </c>
    </row>
    <row r="10" spans="1:3" ht="18.75" customHeight="1" x14ac:dyDescent="0.2">
      <c r="A10" s="754" t="s">
        <v>848</v>
      </c>
      <c r="B10" s="769" t="s">
        <v>740</v>
      </c>
      <c r="C10" s="771">
        <f>+C4+C5+C6+C7+C8+C9</f>
        <v>51857</v>
      </c>
    </row>
    <row r="11" spans="1:3" ht="18.75" customHeight="1" x14ac:dyDescent="0.2">
      <c r="A11" s="758" t="s">
        <v>849</v>
      </c>
      <c r="B11" s="769" t="s">
        <v>742</v>
      </c>
      <c r="C11" s="770">
        <v>95</v>
      </c>
    </row>
    <row r="12" spans="1:3" ht="18.75" customHeight="1" x14ac:dyDescent="0.2">
      <c r="A12" s="758" t="s">
        <v>376</v>
      </c>
      <c r="B12" s="769" t="s">
        <v>744</v>
      </c>
      <c r="C12" s="770">
        <v>0</v>
      </c>
    </row>
    <row r="13" spans="1:3" ht="18.75" customHeight="1" x14ac:dyDescent="0.2">
      <c r="A13" s="758" t="s">
        <v>378</v>
      </c>
      <c r="B13" s="769" t="s">
        <v>746</v>
      </c>
      <c r="C13" s="770">
        <v>7</v>
      </c>
    </row>
    <row r="14" spans="1:3" ht="18.75" customHeight="1" x14ac:dyDescent="0.2">
      <c r="A14" s="754" t="s">
        <v>850</v>
      </c>
      <c r="B14" s="769" t="s">
        <v>748</v>
      </c>
      <c r="C14" s="771">
        <f>+C11+C12+C13</f>
        <v>102</v>
      </c>
    </row>
    <row r="15" spans="1:3" ht="18.75" customHeight="1" x14ac:dyDescent="0.2">
      <c r="A15" s="754" t="s">
        <v>851</v>
      </c>
      <c r="B15" s="769" t="s">
        <v>750</v>
      </c>
      <c r="C15" s="770"/>
    </row>
    <row r="16" spans="1:3" ht="18.75" customHeight="1" x14ac:dyDescent="0.2">
      <c r="A16" s="754" t="s">
        <v>852</v>
      </c>
      <c r="B16" s="769" t="s">
        <v>752</v>
      </c>
      <c r="C16" s="770">
        <v>20858</v>
      </c>
    </row>
    <row r="17" spans="1:3" ht="18.75" customHeight="1" thickBot="1" x14ac:dyDescent="0.25">
      <c r="A17" s="641" t="s">
        <v>853</v>
      </c>
      <c r="B17" s="642" t="s">
        <v>754</v>
      </c>
      <c r="C17" s="643">
        <f>+C10+C14+C15+C16</f>
        <v>72817</v>
      </c>
    </row>
  </sheetData>
  <mergeCells count="3">
    <mergeCell ref="A1:A2"/>
    <mergeCell ref="B1:B2"/>
    <mergeCell ref="C1:C2"/>
  </mergeCells>
  <printOptions horizontalCentered="1"/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&amp;L&amp;"Times New Roman,Félkövér"&amp;11Szent László Völgye TKT&amp;C&amp;"Times New Roman,Félkövér"&amp;14  &amp;12 2023. ÉVI ZÁRSZÁMADÁSI BESZÁMOLÓ&amp;R&amp;11 &amp;10 &amp;9 
10/2. sz. táblázat
VAGYONKIMUTATÁS FORRÁSOKRÓL
Adatok: eFt-ban</oddHeader>
    <oddFooter>&amp;L&amp;F&amp;R&amp;P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22"/>
  <sheetViews>
    <sheetView zoomScaleNormal="100" workbookViewId="0">
      <selection activeCell="D21" sqref="D21"/>
    </sheetView>
  </sheetViews>
  <sheetFormatPr defaultColWidth="8.85546875" defaultRowHeight="12.95" customHeight="1" x14ac:dyDescent="0.2"/>
  <cols>
    <col min="1" max="1" width="61.5703125" style="553" customWidth="1"/>
    <col min="2" max="2" width="4.85546875" style="552" bestFit="1" customWidth="1"/>
    <col min="3" max="4" width="13.28515625" style="552" customWidth="1"/>
    <col min="5" max="6" width="8.85546875" style="552"/>
    <col min="7" max="7" width="8.85546875" style="505"/>
    <col min="8" max="8" width="8.85546875" style="553"/>
    <col min="9" max="13" width="8.85546875" style="552"/>
    <col min="14" max="14" width="8.85546875" style="554"/>
    <col min="15" max="16384" width="8.85546875" style="505"/>
  </cols>
  <sheetData>
    <row r="1" spans="1:4" ht="43.5" customHeight="1" thickBot="1" x14ac:dyDescent="0.25">
      <c r="A1" s="644" t="s">
        <v>108</v>
      </c>
      <c r="B1" s="737" t="s">
        <v>717</v>
      </c>
      <c r="C1" s="645" t="s">
        <v>854</v>
      </c>
      <c r="D1" s="646" t="s">
        <v>855</v>
      </c>
    </row>
    <row r="2" spans="1:4" ht="12.95" customHeight="1" thickBot="1" x14ac:dyDescent="0.25">
      <c r="A2" s="647" t="s">
        <v>847</v>
      </c>
      <c r="B2" s="648" t="s">
        <v>723</v>
      </c>
      <c r="C2" s="648" t="s">
        <v>724</v>
      </c>
      <c r="D2" s="649" t="s">
        <v>725</v>
      </c>
    </row>
    <row r="3" spans="1:4" ht="12.95" customHeight="1" x14ac:dyDescent="0.2">
      <c r="A3" s="772" t="s">
        <v>856</v>
      </c>
      <c r="B3" s="650" t="s">
        <v>857</v>
      </c>
      <c r="C3" s="651">
        <v>43</v>
      </c>
      <c r="D3" s="652">
        <v>58554</v>
      </c>
    </row>
    <row r="4" spans="1:4" ht="12.95" customHeight="1" x14ac:dyDescent="0.2">
      <c r="A4" s="772" t="s">
        <v>858</v>
      </c>
      <c r="B4" s="773" t="s">
        <v>859</v>
      </c>
      <c r="C4" s="774">
        <v>1</v>
      </c>
      <c r="D4" s="775">
        <v>42</v>
      </c>
    </row>
    <row r="5" spans="1:4" ht="12.95" customHeight="1" x14ac:dyDescent="0.2">
      <c r="A5" s="772" t="s">
        <v>860</v>
      </c>
      <c r="B5" s="773" t="s">
        <v>861</v>
      </c>
      <c r="C5" s="774">
        <v>123</v>
      </c>
      <c r="D5" s="775">
        <v>6368</v>
      </c>
    </row>
    <row r="6" spans="1:4" ht="13.5" thickBot="1" x14ac:dyDescent="0.25">
      <c r="A6" s="653" t="s">
        <v>862</v>
      </c>
      <c r="B6" s="654" t="s">
        <v>863</v>
      </c>
      <c r="C6" s="655"/>
      <c r="D6" s="656"/>
    </row>
    <row r="7" spans="1:4" ht="12.95" customHeight="1" thickBot="1" x14ac:dyDescent="0.25">
      <c r="A7" s="657" t="s">
        <v>864</v>
      </c>
      <c r="B7" s="658" t="s">
        <v>865</v>
      </c>
      <c r="C7" s="659"/>
      <c r="D7" s="660">
        <f>+D8+D9+D10+D11</f>
        <v>153831</v>
      </c>
    </row>
    <row r="8" spans="1:4" ht="12.95" customHeight="1" x14ac:dyDescent="0.2">
      <c r="A8" s="661" t="s">
        <v>866</v>
      </c>
      <c r="B8" s="650" t="s">
        <v>867</v>
      </c>
      <c r="C8" s="651"/>
      <c r="D8" s="652"/>
    </row>
    <row r="9" spans="1:4" ht="12.95" customHeight="1" x14ac:dyDescent="0.2">
      <c r="A9" s="772" t="s">
        <v>868</v>
      </c>
      <c r="B9" s="773" t="s">
        <v>869</v>
      </c>
      <c r="C9" s="774"/>
      <c r="D9" s="775"/>
    </row>
    <row r="10" spans="1:4" ht="12.95" customHeight="1" x14ac:dyDescent="0.2">
      <c r="A10" s="772" t="s">
        <v>870</v>
      </c>
      <c r="B10" s="773" t="s">
        <v>871</v>
      </c>
      <c r="C10" s="774"/>
      <c r="D10" s="775">
        <v>153831</v>
      </c>
    </row>
    <row r="11" spans="1:4" ht="12.95" customHeight="1" thickBot="1" x14ac:dyDescent="0.25">
      <c r="A11" s="653" t="s">
        <v>872</v>
      </c>
      <c r="B11" s="654" t="s">
        <v>873</v>
      </c>
      <c r="C11" s="655"/>
      <c r="D11" s="656"/>
    </row>
    <row r="12" spans="1:4" ht="12.95" customHeight="1" thickBot="1" x14ac:dyDescent="0.25">
      <c r="A12" s="657" t="s">
        <v>874</v>
      </c>
      <c r="B12" s="658" t="s">
        <v>746</v>
      </c>
      <c r="C12" s="659"/>
      <c r="D12" s="660">
        <f>+D13+D14+D15</f>
        <v>0</v>
      </c>
    </row>
    <row r="13" spans="1:4" ht="12.95" customHeight="1" x14ac:dyDescent="0.2">
      <c r="A13" s="661" t="s">
        <v>875</v>
      </c>
      <c r="B13" s="650" t="s">
        <v>748</v>
      </c>
      <c r="C13" s="651"/>
      <c r="D13" s="652"/>
    </row>
    <row r="14" spans="1:4" ht="12.95" customHeight="1" x14ac:dyDescent="0.2">
      <c r="A14" s="772" t="s">
        <v>876</v>
      </c>
      <c r="B14" s="773" t="s">
        <v>750</v>
      </c>
      <c r="C14" s="774"/>
      <c r="D14" s="775"/>
    </row>
    <row r="15" spans="1:4" ht="12.95" customHeight="1" thickBot="1" x14ac:dyDescent="0.25">
      <c r="A15" s="653" t="s">
        <v>877</v>
      </c>
      <c r="B15" s="654" t="s">
        <v>752</v>
      </c>
      <c r="C15" s="655"/>
      <c r="D15" s="656"/>
    </row>
    <row r="16" spans="1:4" ht="12.95" customHeight="1" thickBot="1" x14ac:dyDescent="0.25">
      <c r="A16" s="657" t="s">
        <v>878</v>
      </c>
      <c r="B16" s="658" t="s">
        <v>754</v>
      </c>
      <c r="C16" s="659"/>
      <c r="D16" s="660">
        <f>+D17+D18+D19</f>
        <v>0</v>
      </c>
    </row>
    <row r="17" spans="1:4" ht="12.95" customHeight="1" x14ac:dyDescent="0.2">
      <c r="A17" s="661" t="s">
        <v>879</v>
      </c>
      <c r="B17" s="650" t="s">
        <v>756</v>
      </c>
      <c r="C17" s="651"/>
      <c r="D17" s="652"/>
    </row>
    <row r="18" spans="1:4" ht="12.95" customHeight="1" x14ac:dyDescent="0.2">
      <c r="A18" s="772" t="s">
        <v>880</v>
      </c>
      <c r="B18" s="773" t="s">
        <v>758</v>
      </c>
      <c r="C18" s="774"/>
      <c r="D18" s="775"/>
    </row>
    <row r="19" spans="1:4" ht="12.95" customHeight="1" x14ac:dyDescent="0.2">
      <c r="A19" s="772" t="s">
        <v>881</v>
      </c>
      <c r="B19" s="773" t="s">
        <v>760</v>
      </c>
      <c r="C19" s="774"/>
      <c r="D19" s="775"/>
    </row>
    <row r="20" spans="1:4" ht="12.95" customHeight="1" thickBot="1" x14ac:dyDescent="0.25">
      <c r="A20" s="772" t="s">
        <v>882</v>
      </c>
      <c r="B20" s="773" t="s">
        <v>762</v>
      </c>
      <c r="C20" s="774"/>
      <c r="D20" s="775"/>
    </row>
    <row r="21" spans="1:4" ht="12.95" customHeight="1" thickBot="1" x14ac:dyDescent="0.25">
      <c r="A21" s="1423" t="s">
        <v>883</v>
      </c>
      <c r="B21" s="1424"/>
      <c r="C21" s="662"/>
      <c r="D21" s="660">
        <f>+D3+D4+D5+D6+D7+D12+D16+D20</f>
        <v>218795</v>
      </c>
    </row>
    <row r="22" spans="1:4" ht="12.95" customHeight="1" x14ac:dyDescent="0.2">
      <c r="A22" s="663" t="s">
        <v>884</v>
      </c>
      <c r="B22" s="664"/>
      <c r="C22" s="664"/>
      <c r="D22" s="664"/>
    </row>
  </sheetData>
  <mergeCells count="1">
    <mergeCell ref="A21:B21"/>
  </mergeCells>
  <printOptions horizontalCentered="1"/>
  <pageMargins left="0.70866141732283472" right="0.70866141732283472" top="1.6141732283464567" bottom="0.74803149606299213" header="0.31496062992125984" footer="0.31496062992125984"/>
  <pageSetup paperSize="9" scale="96" orientation="portrait" r:id="rId1"/>
  <headerFooter>
    <oddHeader>&amp;L&amp;"Times New Roman,Félkövér"&amp;12Szent László Völgye TKT&amp;C&amp;"Times New Roman,Félkövér"&amp;14   
2023. ÉVI ZÁRSZÁMADÁSI BESZÁMOLÓ&amp;R&amp;11
 &amp;10 &amp;9 
10/3. sz. táblázat
VAGYONKIMUTATÁS ÉRTÉK NÉLKÜLI ESZKÖZÖKRŐL
Adatok: eFt-ban</oddHeader>
    <oddFooter>&amp;L&amp;F&amp;R&amp;P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40"/>
  <sheetViews>
    <sheetView showWhiteSpace="0" topLeftCell="A16" zoomScaleNormal="100" workbookViewId="0">
      <selection activeCell="H17" sqref="H17"/>
    </sheetView>
  </sheetViews>
  <sheetFormatPr defaultColWidth="8.85546875" defaultRowHeight="12.95" customHeight="1" x14ac:dyDescent="0.2"/>
  <cols>
    <col min="1" max="1" width="65.85546875" style="665" bestFit="1" customWidth="1"/>
    <col min="2" max="9" width="10.85546875" style="665" customWidth="1"/>
    <col min="10" max="10" width="8.85546875" style="665"/>
    <col min="11" max="11" width="11.140625" style="665" bestFit="1" customWidth="1"/>
    <col min="12" max="16384" width="8.85546875" style="665"/>
  </cols>
  <sheetData>
    <row r="1" spans="1:11" ht="22.5" customHeight="1" x14ac:dyDescent="0.2">
      <c r="A1" s="1425" t="s">
        <v>108</v>
      </c>
      <c r="B1" s="1427">
        <v>2022</v>
      </c>
      <c r="C1" s="1427"/>
      <c r="D1" s="1427"/>
      <c r="E1" s="1428"/>
      <c r="F1" s="1427">
        <v>2023</v>
      </c>
      <c r="G1" s="1427"/>
      <c r="H1" s="1427"/>
      <c r="I1" s="1428"/>
    </row>
    <row r="2" spans="1:11" ht="33.75" customHeight="1" x14ac:dyDescent="0.2">
      <c r="A2" s="1426"/>
      <c r="B2" s="666" t="s">
        <v>1084</v>
      </c>
      <c r="C2" s="667" t="s">
        <v>15</v>
      </c>
      <c r="D2" s="666" t="s">
        <v>287</v>
      </c>
      <c r="E2" s="668" t="s">
        <v>14</v>
      </c>
      <c r="F2" s="666" t="s">
        <v>1084</v>
      </c>
      <c r="G2" s="667" t="s">
        <v>15</v>
      </c>
      <c r="H2" s="666" t="s">
        <v>287</v>
      </c>
      <c r="I2" s="668" t="s">
        <v>14</v>
      </c>
    </row>
    <row r="3" spans="1:11" ht="15.75" customHeight="1" x14ac:dyDescent="0.2">
      <c r="A3" s="1069" t="s">
        <v>885</v>
      </c>
      <c r="B3" s="669"/>
      <c r="C3" s="669"/>
      <c r="D3" s="669"/>
      <c r="E3" s="670">
        <f>SUM(B3:D3)</f>
        <v>0</v>
      </c>
      <c r="F3" s="669"/>
      <c r="G3" s="669"/>
      <c r="H3" s="669"/>
      <c r="I3" s="670">
        <f>SUM(F3:H3)</f>
        <v>0</v>
      </c>
      <c r="K3" s="997"/>
    </row>
    <row r="4" spans="1:11" ht="15.75" customHeight="1" x14ac:dyDescent="0.2">
      <c r="A4" s="1070" t="s">
        <v>886</v>
      </c>
      <c r="B4" s="671"/>
      <c r="C4" s="671">
        <v>21566</v>
      </c>
      <c r="D4" s="671">
        <v>720</v>
      </c>
      <c r="E4" s="672">
        <f t="shared" ref="E4:E5" si="0">SUM(B4:D4)</f>
        <v>22286</v>
      </c>
      <c r="F4" s="671"/>
      <c r="G4" s="671">
        <v>24370</v>
      </c>
      <c r="H4" s="671">
        <v>700</v>
      </c>
      <c r="I4" s="672">
        <f t="shared" ref="I4:I5" si="1">SUM(F4:H4)</f>
        <v>25070</v>
      </c>
      <c r="K4" s="997"/>
    </row>
    <row r="5" spans="1:11" ht="15.75" customHeight="1" x14ac:dyDescent="0.2">
      <c r="A5" s="1071" t="s">
        <v>887</v>
      </c>
      <c r="B5" s="673"/>
      <c r="C5" s="673"/>
      <c r="D5" s="673"/>
      <c r="E5" s="674">
        <f t="shared" si="0"/>
        <v>0</v>
      </c>
      <c r="F5" s="673"/>
      <c r="G5" s="673">
        <v>3</v>
      </c>
      <c r="H5" s="673"/>
      <c r="I5" s="674">
        <f t="shared" si="1"/>
        <v>3</v>
      </c>
      <c r="K5" s="997"/>
    </row>
    <row r="6" spans="1:11" s="675" customFormat="1" ht="15.75" customHeight="1" x14ac:dyDescent="0.2">
      <c r="A6" s="1072" t="s">
        <v>888</v>
      </c>
      <c r="B6" s="776">
        <f>SUM(B3:B5)</f>
        <v>0</v>
      </c>
      <c r="C6" s="776">
        <f t="shared" ref="C6:E6" si="2">SUM(C3:C5)</f>
        <v>21566</v>
      </c>
      <c r="D6" s="776">
        <f t="shared" si="2"/>
        <v>720</v>
      </c>
      <c r="E6" s="777">
        <f t="shared" si="2"/>
        <v>22286</v>
      </c>
      <c r="F6" s="776">
        <f>SUM(F3:F5)</f>
        <v>0</v>
      </c>
      <c r="G6" s="776">
        <f t="shared" ref="G6:I6" si="3">SUM(G3:G5)</f>
        <v>24373</v>
      </c>
      <c r="H6" s="776">
        <f t="shared" si="3"/>
        <v>700</v>
      </c>
      <c r="I6" s="777">
        <f t="shared" si="3"/>
        <v>25073</v>
      </c>
      <c r="K6" s="998"/>
    </row>
    <row r="7" spans="1:11" ht="15.75" customHeight="1" x14ac:dyDescent="0.2">
      <c r="A7" s="1073" t="s">
        <v>889</v>
      </c>
      <c r="B7" s="676"/>
      <c r="C7" s="676"/>
      <c r="D7" s="676"/>
      <c r="E7" s="677">
        <f t="shared" ref="E7:E8" si="4">SUM(B7:D7)</f>
        <v>0</v>
      </c>
      <c r="F7" s="676"/>
      <c r="G7" s="676"/>
      <c r="H7" s="676"/>
      <c r="I7" s="677">
        <f t="shared" ref="I7:I8" si="5">SUM(F7:H7)</f>
        <v>0</v>
      </c>
      <c r="K7" s="997"/>
    </row>
    <row r="8" spans="1:11" ht="15.75" customHeight="1" x14ac:dyDescent="0.2">
      <c r="A8" s="1071" t="s">
        <v>890</v>
      </c>
      <c r="B8" s="673"/>
      <c r="C8" s="673"/>
      <c r="D8" s="673"/>
      <c r="E8" s="674">
        <f t="shared" si="4"/>
        <v>0</v>
      </c>
      <c r="F8" s="673"/>
      <c r="G8" s="673"/>
      <c r="H8" s="673"/>
      <c r="I8" s="674">
        <f t="shared" si="5"/>
        <v>0</v>
      </c>
      <c r="K8" s="997"/>
    </row>
    <row r="9" spans="1:11" s="675" customFormat="1" ht="15.75" customHeight="1" x14ac:dyDescent="0.2">
      <c r="A9" s="1072" t="s">
        <v>891</v>
      </c>
      <c r="B9" s="776">
        <f>SUM(B7:B8)</f>
        <v>0</v>
      </c>
      <c r="C9" s="776">
        <f t="shared" ref="C9:E9" si="6">SUM(C7:C8)</f>
        <v>0</v>
      </c>
      <c r="D9" s="776">
        <f t="shared" si="6"/>
        <v>0</v>
      </c>
      <c r="E9" s="777">
        <f t="shared" si="6"/>
        <v>0</v>
      </c>
      <c r="F9" s="776">
        <f>SUM(F7:F8)</f>
        <v>0</v>
      </c>
      <c r="G9" s="776">
        <f t="shared" ref="G9:I9" si="7">SUM(G7:G8)</f>
        <v>0</v>
      </c>
      <c r="H9" s="776">
        <f t="shared" si="7"/>
        <v>0</v>
      </c>
      <c r="I9" s="777">
        <f t="shared" si="7"/>
        <v>0</v>
      </c>
      <c r="K9" s="998"/>
    </row>
    <row r="10" spans="1:11" ht="15.75" customHeight="1" x14ac:dyDescent="0.2">
      <c r="A10" s="1073" t="s">
        <v>892</v>
      </c>
      <c r="B10" s="676"/>
      <c r="C10" s="676">
        <v>170657</v>
      </c>
      <c r="D10" s="676"/>
      <c r="E10" s="677">
        <f t="shared" ref="E10:E13" si="8">SUM(B10:D10)</f>
        <v>170657</v>
      </c>
      <c r="F10" s="676"/>
      <c r="G10" s="676">
        <v>215125</v>
      </c>
      <c r="H10" s="676"/>
      <c r="I10" s="677">
        <f t="shared" ref="I10:I13" si="9">SUM(F10:H10)</f>
        <v>215125</v>
      </c>
      <c r="K10" s="997"/>
    </row>
    <row r="11" spans="1:11" ht="15.75" customHeight="1" x14ac:dyDescent="0.2">
      <c r="A11" s="1070" t="s">
        <v>893</v>
      </c>
      <c r="B11" s="671"/>
      <c r="C11" s="671"/>
      <c r="D11" s="671">
        <v>257567</v>
      </c>
      <c r="E11" s="672">
        <f t="shared" si="8"/>
        <v>257567</v>
      </c>
      <c r="F11" s="671"/>
      <c r="G11" s="671">
        <v>202</v>
      </c>
      <c r="H11" s="671">
        <v>292344</v>
      </c>
      <c r="I11" s="672">
        <f t="shared" si="9"/>
        <v>292546</v>
      </c>
      <c r="K11" s="997"/>
    </row>
    <row r="12" spans="1:11" ht="15.75" customHeight="1" x14ac:dyDescent="0.2">
      <c r="A12" s="1070" t="s">
        <v>894</v>
      </c>
      <c r="B12" s="671"/>
      <c r="C12" s="671">
        <v>5</v>
      </c>
      <c r="D12" s="671"/>
      <c r="E12" s="672">
        <f t="shared" si="8"/>
        <v>5</v>
      </c>
      <c r="F12" s="671"/>
      <c r="G12" s="671"/>
      <c r="H12" s="671"/>
      <c r="I12" s="672">
        <f t="shared" si="9"/>
        <v>0</v>
      </c>
      <c r="K12" s="997"/>
    </row>
    <row r="13" spans="1:11" ht="15.75" customHeight="1" x14ac:dyDescent="0.2">
      <c r="A13" s="1074" t="s">
        <v>1055</v>
      </c>
      <c r="B13" s="790"/>
      <c r="C13" s="790"/>
      <c r="D13" s="790"/>
      <c r="E13" s="677">
        <f t="shared" si="8"/>
        <v>0</v>
      </c>
      <c r="F13" s="790"/>
      <c r="G13" s="790"/>
      <c r="H13" s="790"/>
      <c r="I13" s="677">
        <f t="shared" si="9"/>
        <v>0</v>
      </c>
      <c r="K13" s="997"/>
    </row>
    <row r="14" spans="1:11" s="675" customFormat="1" ht="15.75" customHeight="1" x14ac:dyDescent="0.2">
      <c r="A14" s="1072" t="s">
        <v>895</v>
      </c>
      <c r="B14" s="776">
        <f t="shared" ref="B14:C14" si="10">SUM(B10:B12)</f>
        <v>0</v>
      </c>
      <c r="C14" s="776">
        <f t="shared" si="10"/>
        <v>170662</v>
      </c>
      <c r="D14" s="776">
        <f>SUM(D10:D13)</f>
        <v>257567</v>
      </c>
      <c r="E14" s="777">
        <f>SUM(E10:E13)</f>
        <v>428229</v>
      </c>
      <c r="F14" s="776">
        <f t="shared" ref="F14:G14" si="11">SUM(F10:F12)</f>
        <v>0</v>
      </c>
      <c r="G14" s="776">
        <f t="shared" si="11"/>
        <v>215327</v>
      </c>
      <c r="H14" s="776">
        <f>SUM(H10:H13)</f>
        <v>292344</v>
      </c>
      <c r="I14" s="777">
        <f>SUM(I10:I13)</f>
        <v>507671</v>
      </c>
      <c r="K14" s="998"/>
    </row>
    <row r="15" spans="1:11" ht="15.75" customHeight="1" x14ac:dyDescent="0.2">
      <c r="A15" s="1073" t="s">
        <v>896</v>
      </c>
      <c r="B15" s="676"/>
      <c r="C15" s="676">
        <v>7534</v>
      </c>
      <c r="D15" s="676">
        <v>249</v>
      </c>
      <c r="E15" s="677">
        <f t="shared" ref="E15:E18" si="12">SUM(B15:D15)</f>
        <v>7783</v>
      </c>
      <c r="F15" s="676"/>
      <c r="G15" s="676">
        <v>6287</v>
      </c>
      <c r="H15" s="676">
        <v>196</v>
      </c>
      <c r="I15" s="677">
        <f t="shared" ref="I15:I18" si="13">SUM(F15:H15)</f>
        <v>6483</v>
      </c>
      <c r="K15" s="997"/>
    </row>
    <row r="16" spans="1:11" ht="15.75" customHeight="1" x14ac:dyDescent="0.2">
      <c r="A16" s="1070" t="s">
        <v>897</v>
      </c>
      <c r="B16" s="671"/>
      <c r="C16" s="671">
        <v>20887</v>
      </c>
      <c r="D16" s="671">
        <v>37545</v>
      </c>
      <c r="E16" s="672">
        <f t="shared" si="12"/>
        <v>58432</v>
      </c>
      <c r="F16" s="671"/>
      <c r="G16" s="671">
        <v>27106</v>
      </c>
      <c r="H16" s="671">
        <v>48443</v>
      </c>
      <c r="I16" s="672">
        <f t="shared" si="13"/>
        <v>75549</v>
      </c>
      <c r="K16" s="997"/>
    </row>
    <row r="17" spans="1:11" ht="15.75" customHeight="1" x14ac:dyDescent="0.2">
      <c r="A17" s="1070" t="s">
        <v>898</v>
      </c>
      <c r="B17" s="671"/>
      <c r="C17" s="671"/>
      <c r="D17" s="671"/>
      <c r="E17" s="672">
        <f t="shared" si="12"/>
        <v>0</v>
      </c>
      <c r="F17" s="671"/>
      <c r="G17" s="671"/>
      <c r="H17" s="671"/>
      <c r="I17" s="672">
        <f t="shared" si="13"/>
        <v>0</v>
      </c>
      <c r="K17" s="997"/>
    </row>
    <row r="18" spans="1:11" ht="15.75" customHeight="1" x14ac:dyDescent="0.2">
      <c r="A18" s="1071" t="s">
        <v>899</v>
      </c>
      <c r="B18" s="673"/>
      <c r="C18" s="673"/>
      <c r="D18" s="673"/>
      <c r="E18" s="674">
        <f t="shared" si="12"/>
        <v>0</v>
      </c>
      <c r="F18" s="673"/>
      <c r="G18" s="673"/>
      <c r="H18" s="673"/>
      <c r="I18" s="674">
        <f t="shared" si="13"/>
        <v>0</v>
      </c>
      <c r="K18" s="997"/>
    </row>
    <row r="19" spans="1:11" s="675" customFormat="1" ht="15.75" customHeight="1" x14ac:dyDescent="0.2">
      <c r="A19" s="1072" t="s">
        <v>900</v>
      </c>
      <c r="B19" s="776">
        <f>SUM(B15:B18)</f>
        <v>0</v>
      </c>
      <c r="C19" s="776">
        <f t="shared" ref="C19:E19" si="14">SUM(C15:C18)</f>
        <v>28421</v>
      </c>
      <c r="D19" s="776">
        <f t="shared" si="14"/>
        <v>37794</v>
      </c>
      <c r="E19" s="777">
        <f t="shared" si="14"/>
        <v>66215</v>
      </c>
      <c r="F19" s="776">
        <f>SUM(F15:F18)</f>
        <v>0</v>
      </c>
      <c r="G19" s="776">
        <f t="shared" ref="G19:I19" si="15">SUM(G15:G18)</f>
        <v>33393</v>
      </c>
      <c r="H19" s="776">
        <f t="shared" si="15"/>
        <v>48639</v>
      </c>
      <c r="I19" s="777">
        <f t="shared" si="15"/>
        <v>82032</v>
      </c>
      <c r="K19" s="998"/>
    </row>
    <row r="20" spans="1:11" ht="15.75" customHeight="1" x14ac:dyDescent="0.2">
      <c r="A20" s="1073" t="s">
        <v>901</v>
      </c>
      <c r="B20" s="676"/>
      <c r="C20" s="676">
        <v>132523</v>
      </c>
      <c r="D20" s="676"/>
      <c r="E20" s="677">
        <f t="shared" ref="E20:E22" si="16">SUM(B20:D20)</f>
        <v>132523</v>
      </c>
      <c r="F20" s="676"/>
      <c r="G20" s="676">
        <v>133162</v>
      </c>
      <c r="H20" s="676"/>
      <c r="I20" s="677">
        <f t="shared" ref="I20:I22" si="17">SUM(F20:H20)</f>
        <v>133162</v>
      </c>
      <c r="K20" s="997"/>
    </row>
    <row r="21" spans="1:11" ht="15.75" customHeight="1" x14ac:dyDescent="0.2">
      <c r="A21" s="1070" t="s">
        <v>902</v>
      </c>
      <c r="B21" s="671"/>
      <c r="C21" s="671">
        <v>19531</v>
      </c>
      <c r="D21" s="671"/>
      <c r="E21" s="672">
        <f t="shared" si="16"/>
        <v>19531</v>
      </c>
      <c r="F21" s="671"/>
      <c r="G21" s="671">
        <v>24998</v>
      </c>
      <c r="H21" s="671"/>
      <c r="I21" s="672">
        <f t="shared" si="17"/>
        <v>24998</v>
      </c>
      <c r="K21" s="997"/>
    </row>
    <row r="22" spans="1:11" ht="15.75" customHeight="1" x14ac:dyDescent="0.2">
      <c r="A22" s="1071" t="s">
        <v>903</v>
      </c>
      <c r="B22" s="673"/>
      <c r="C22" s="673">
        <v>20735</v>
      </c>
      <c r="D22" s="673"/>
      <c r="E22" s="674">
        <f t="shared" si="16"/>
        <v>20735</v>
      </c>
      <c r="F22" s="673"/>
      <c r="G22" s="673">
        <v>22979</v>
      </c>
      <c r="H22" s="673"/>
      <c r="I22" s="674">
        <f t="shared" si="17"/>
        <v>22979</v>
      </c>
      <c r="K22" s="997"/>
    </row>
    <row r="23" spans="1:11" s="675" customFormat="1" ht="15.75" customHeight="1" x14ac:dyDescent="0.2">
      <c r="A23" s="1072" t="s">
        <v>904</v>
      </c>
      <c r="B23" s="776">
        <f>SUM(B20:B22)</f>
        <v>0</v>
      </c>
      <c r="C23" s="776">
        <f t="shared" ref="C23:E23" si="18">SUM(C20:C22)</f>
        <v>172789</v>
      </c>
      <c r="D23" s="776">
        <f t="shared" si="18"/>
        <v>0</v>
      </c>
      <c r="E23" s="777">
        <f t="shared" si="18"/>
        <v>172789</v>
      </c>
      <c r="F23" s="776">
        <f>SUM(F20:F22)</f>
        <v>0</v>
      </c>
      <c r="G23" s="776">
        <f t="shared" ref="G23:I23" si="19">SUM(G20:G22)</f>
        <v>181139</v>
      </c>
      <c r="H23" s="776">
        <f t="shared" si="19"/>
        <v>0</v>
      </c>
      <c r="I23" s="777">
        <f t="shared" si="19"/>
        <v>181139</v>
      </c>
      <c r="K23" s="998"/>
    </row>
    <row r="24" spans="1:11" s="675" customFormat="1" ht="15.75" customHeight="1" x14ac:dyDescent="0.2">
      <c r="A24" s="1072" t="s">
        <v>905</v>
      </c>
      <c r="B24" s="776"/>
      <c r="C24" s="776">
        <v>739</v>
      </c>
      <c r="D24" s="776">
        <v>1380</v>
      </c>
      <c r="E24" s="777">
        <f t="shared" ref="E24:E25" si="20">SUM(B24:D24)</f>
        <v>2119</v>
      </c>
      <c r="F24" s="776"/>
      <c r="G24" s="776">
        <v>816</v>
      </c>
      <c r="H24" s="776">
        <v>29</v>
      </c>
      <c r="I24" s="777">
        <f t="shared" ref="I24:I25" si="21">SUM(F24:H24)</f>
        <v>845</v>
      </c>
      <c r="K24" s="998"/>
    </row>
    <row r="25" spans="1:11" s="675" customFormat="1" ht="15.75" customHeight="1" x14ac:dyDescent="0.2">
      <c r="A25" s="1072" t="s">
        <v>906</v>
      </c>
      <c r="B25" s="776"/>
      <c r="C25" s="776">
        <v>4616</v>
      </c>
      <c r="D25" s="776">
        <v>208316</v>
      </c>
      <c r="E25" s="777">
        <f t="shared" si="20"/>
        <v>212932</v>
      </c>
      <c r="F25" s="776"/>
      <c r="G25" s="776">
        <v>5875</v>
      </c>
      <c r="H25" s="776">
        <v>240778</v>
      </c>
      <c r="I25" s="777">
        <f t="shared" si="21"/>
        <v>246653</v>
      </c>
      <c r="K25" s="998"/>
    </row>
    <row r="26" spans="1:11" s="675" customFormat="1" ht="15.75" customHeight="1" x14ac:dyDescent="0.2">
      <c r="A26" s="1072" t="s">
        <v>907</v>
      </c>
      <c r="B26" s="776">
        <f t="shared" ref="B26:C26" si="22">+B6+B9+B14-B19-B23-B24-B25</f>
        <v>0</v>
      </c>
      <c r="C26" s="776">
        <f t="shared" si="22"/>
        <v>-14337</v>
      </c>
      <c r="D26" s="776">
        <f>+D6+D9+D14-D19-D23-D24-D25</f>
        <v>10797</v>
      </c>
      <c r="E26" s="777">
        <f t="shared" ref="E26" si="23">+E6+E9+E14-E19-E23-E24-E25</f>
        <v>-3540</v>
      </c>
      <c r="F26" s="776">
        <f t="shared" ref="F26:I26" si="24">+F6+F9+F14-F19-F23-F24-F25</f>
        <v>0</v>
      </c>
      <c r="G26" s="776">
        <f>+G6+G9+G14-G19-G23-G24-G25</f>
        <v>18477</v>
      </c>
      <c r="H26" s="776">
        <f>+H6+H9+H14-H19-H23-H24-H25</f>
        <v>3598</v>
      </c>
      <c r="I26" s="777">
        <f t="shared" si="24"/>
        <v>22075</v>
      </c>
      <c r="K26" s="998"/>
    </row>
    <row r="27" spans="1:11" ht="15.75" customHeight="1" x14ac:dyDescent="0.2">
      <c r="A27" s="1073" t="s">
        <v>908</v>
      </c>
      <c r="B27" s="676"/>
      <c r="C27" s="676"/>
      <c r="D27" s="676"/>
      <c r="E27" s="677">
        <f t="shared" ref="E27:E30" si="25">SUM(B27:D27)</f>
        <v>0</v>
      </c>
      <c r="F27" s="676"/>
      <c r="G27" s="676"/>
      <c r="H27" s="676"/>
      <c r="I27" s="677">
        <f t="shared" ref="I27:I30" si="26">SUM(F27:H27)</f>
        <v>0</v>
      </c>
      <c r="K27" s="997"/>
    </row>
    <row r="28" spans="1:11" ht="15.75" customHeight="1" x14ac:dyDescent="0.2">
      <c r="A28" s="1070" t="s">
        <v>909</v>
      </c>
      <c r="B28" s="671"/>
      <c r="C28" s="671"/>
      <c r="D28" s="671"/>
      <c r="E28" s="672">
        <f t="shared" si="25"/>
        <v>0</v>
      </c>
      <c r="F28" s="671"/>
      <c r="G28" s="671"/>
      <c r="H28" s="671"/>
      <c r="I28" s="672">
        <f t="shared" si="26"/>
        <v>0</v>
      </c>
      <c r="K28" s="997"/>
    </row>
    <row r="29" spans="1:11" ht="15.75" customHeight="1" x14ac:dyDescent="0.2">
      <c r="A29" s="1070" t="s">
        <v>910</v>
      </c>
      <c r="B29" s="671"/>
      <c r="C29" s="671"/>
      <c r="D29" s="671"/>
      <c r="E29" s="672">
        <f t="shared" si="25"/>
        <v>0</v>
      </c>
      <c r="F29" s="671"/>
      <c r="G29" s="671"/>
      <c r="H29" s="671"/>
      <c r="I29" s="672">
        <f t="shared" si="26"/>
        <v>0</v>
      </c>
      <c r="K29" s="997"/>
    </row>
    <row r="30" spans="1:11" ht="15.75" customHeight="1" x14ac:dyDescent="0.2">
      <c r="A30" s="1071" t="s">
        <v>911</v>
      </c>
      <c r="B30" s="673"/>
      <c r="C30" s="673"/>
      <c r="D30" s="673"/>
      <c r="E30" s="674">
        <f t="shared" si="25"/>
        <v>0</v>
      </c>
      <c r="F30" s="673"/>
      <c r="G30" s="673"/>
      <c r="H30" s="673"/>
      <c r="I30" s="674">
        <f t="shared" si="26"/>
        <v>0</v>
      </c>
      <c r="K30" s="997"/>
    </row>
    <row r="31" spans="1:11" s="675" customFormat="1" ht="15.75" customHeight="1" x14ac:dyDescent="0.2">
      <c r="A31" s="1072" t="s">
        <v>912</v>
      </c>
      <c r="B31" s="776">
        <f>SUM(B27:B30)</f>
        <v>0</v>
      </c>
      <c r="C31" s="776">
        <f t="shared" ref="C31:E31" si="27">SUM(C27:C30)</f>
        <v>0</v>
      </c>
      <c r="D31" s="776">
        <f t="shared" si="27"/>
        <v>0</v>
      </c>
      <c r="E31" s="777">
        <f t="shared" si="27"/>
        <v>0</v>
      </c>
      <c r="F31" s="776">
        <f>SUM(F27:F30)</f>
        <v>0</v>
      </c>
      <c r="G31" s="776">
        <f t="shared" ref="G31:I31" si="28">SUM(G27:G30)</f>
        <v>0</v>
      </c>
      <c r="H31" s="776">
        <f t="shared" si="28"/>
        <v>0</v>
      </c>
      <c r="I31" s="777">
        <f t="shared" si="28"/>
        <v>0</v>
      </c>
      <c r="K31" s="997"/>
    </row>
    <row r="32" spans="1:11" ht="15.75" customHeight="1" x14ac:dyDescent="0.2">
      <c r="A32" s="1073" t="s">
        <v>913</v>
      </c>
      <c r="B32" s="676"/>
      <c r="C32" s="676"/>
      <c r="D32" s="676"/>
      <c r="E32" s="677">
        <f t="shared" ref="E32:E35" si="29">SUM(B32:D32)</f>
        <v>0</v>
      </c>
      <c r="F32" s="676"/>
      <c r="G32" s="676"/>
      <c r="H32" s="676"/>
      <c r="I32" s="677">
        <f t="shared" ref="I32:I35" si="30">SUM(F32:H32)</f>
        <v>0</v>
      </c>
      <c r="K32" s="997"/>
    </row>
    <row r="33" spans="1:11" ht="15.75" customHeight="1" x14ac:dyDescent="0.2">
      <c r="A33" s="1070" t="s">
        <v>914</v>
      </c>
      <c r="B33" s="671"/>
      <c r="C33" s="671"/>
      <c r="D33" s="671"/>
      <c r="E33" s="672">
        <f t="shared" si="29"/>
        <v>0</v>
      </c>
      <c r="F33" s="671"/>
      <c r="G33" s="671"/>
      <c r="H33" s="671"/>
      <c r="I33" s="672">
        <f t="shared" si="30"/>
        <v>0</v>
      </c>
      <c r="K33" s="997"/>
    </row>
    <row r="34" spans="1:11" ht="15.75" customHeight="1" x14ac:dyDescent="0.2">
      <c r="A34" s="1070" t="s">
        <v>915</v>
      </c>
      <c r="B34" s="671"/>
      <c r="C34" s="671"/>
      <c r="D34" s="671"/>
      <c r="E34" s="672">
        <f t="shared" si="29"/>
        <v>0</v>
      </c>
      <c r="F34" s="671"/>
      <c r="G34" s="671"/>
      <c r="H34" s="671"/>
      <c r="I34" s="672">
        <f t="shared" si="30"/>
        <v>0</v>
      </c>
      <c r="K34" s="998"/>
    </row>
    <row r="35" spans="1:11" ht="15.75" customHeight="1" x14ac:dyDescent="0.2">
      <c r="A35" s="1071" t="s">
        <v>916</v>
      </c>
      <c r="B35" s="673"/>
      <c r="C35" s="673"/>
      <c r="D35" s="673"/>
      <c r="E35" s="674">
        <f t="shared" si="29"/>
        <v>0</v>
      </c>
      <c r="F35" s="673"/>
      <c r="G35" s="673"/>
      <c r="H35" s="673"/>
      <c r="I35" s="674">
        <f t="shared" si="30"/>
        <v>0</v>
      </c>
      <c r="K35" s="997"/>
    </row>
    <row r="36" spans="1:11" s="675" customFormat="1" ht="15.75" customHeight="1" x14ac:dyDescent="0.2">
      <c r="A36" s="1072" t="s">
        <v>917</v>
      </c>
      <c r="B36" s="776">
        <f>SUM(B32:B35)</f>
        <v>0</v>
      </c>
      <c r="C36" s="776">
        <f t="shared" ref="C36:E36" si="31">SUM(C32:C35)</f>
        <v>0</v>
      </c>
      <c r="D36" s="776">
        <f t="shared" si="31"/>
        <v>0</v>
      </c>
      <c r="E36" s="777">
        <f t="shared" si="31"/>
        <v>0</v>
      </c>
      <c r="F36" s="776">
        <f>SUM(F32:F35)</f>
        <v>0</v>
      </c>
      <c r="G36" s="776">
        <f t="shared" ref="G36:I36" si="32">SUM(G32:G35)</f>
        <v>0</v>
      </c>
      <c r="H36" s="776">
        <f t="shared" si="32"/>
        <v>0</v>
      </c>
      <c r="I36" s="777">
        <f t="shared" si="32"/>
        <v>0</v>
      </c>
      <c r="K36" s="997"/>
    </row>
    <row r="37" spans="1:11" s="675" customFormat="1" ht="15.75" customHeight="1" x14ac:dyDescent="0.2">
      <c r="A37" s="1072" t="s">
        <v>918</v>
      </c>
      <c r="B37" s="776">
        <f>+B31-B36</f>
        <v>0</v>
      </c>
      <c r="C37" s="776">
        <f t="shared" ref="C37:E37" si="33">+C31-C36</f>
        <v>0</v>
      </c>
      <c r="D37" s="776">
        <f t="shared" si="33"/>
        <v>0</v>
      </c>
      <c r="E37" s="777">
        <f t="shared" si="33"/>
        <v>0</v>
      </c>
      <c r="F37" s="776">
        <f>+F31-F36</f>
        <v>0</v>
      </c>
      <c r="G37" s="776">
        <f t="shared" ref="G37:I37" si="34">+G31-G36</f>
        <v>0</v>
      </c>
      <c r="H37" s="776">
        <f t="shared" si="34"/>
        <v>0</v>
      </c>
      <c r="I37" s="777">
        <f t="shared" si="34"/>
        <v>0</v>
      </c>
      <c r="K37" s="997"/>
    </row>
    <row r="38" spans="1:11" s="675" customFormat="1" ht="15.75" customHeight="1" x14ac:dyDescent="0.2">
      <c r="A38" s="1072" t="s">
        <v>1225</v>
      </c>
      <c r="B38" s="776">
        <f>+B26+B37</f>
        <v>0</v>
      </c>
      <c r="C38" s="776">
        <f t="shared" ref="C38:E38" si="35">+C26+C37</f>
        <v>-14337</v>
      </c>
      <c r="D38" s="776">
        <f t="shared" si="35"/>
        <v>10797</v>
      </c>
      <c r="E38" s="777">
        <f t="shared" si="35"/>
        <v>-3540</v>
      </c>
      <c r="F38" s="776">
        <f>+F26+F37</f>
        <v>0</v>
      </c>
      <c r="G38" s="776">
        <f t="shared" ref="G38:I38" si="36">+G26+G37</f>
        <v>18477</v>
      </c>
      <c r="H38" s="776">
        <f t="shared" si="36"/>
        <v>3598</v>
      </c>
      <c r="I38" s="777">
        <f t="shared" si="36"/>
        <v>22075</v>
      </c>
      <c r="K38" s="997"/>
    </row>
    <row r="39" spans="1:11" ht="12.95" customHeight="1" x14ac:dyDescent="0.2">
      <c r="K39" s="998"/>
    </row>
    <row r="40" spans="1:11" ht="12.95" customHeight="1" x14ac:dyDescent="0.2">
      <c r="K40" s="998"/>
    </row>
  </sheetData>
  <mergeCells count="3">
    <mergeCell ref="A1:A2"/>
    <mergeCell ref="B1:E1"/>
    <mergeCell ref="F1:I1"/>
  </mergeCells>
  <printOptions horizontalCentered="1"/>
  <pageMargins left="0.51181102362204722" right="0.51181102362204722" top="1.1417322834645669" bottom="0.74803149606299213" header="0.31496062992125984" footer="0.31496062992125984"/>
  <pageSetup paperSize="9" scale="61" orientation="portrait" r:id="rId1"/>
  <headerFooter>
    <oddHeader>&amp;L&amp;"Times New Roman,Félkövér"&amp;12Szent László Völgye TKT&amp;C&amp;"Times New Roman,Félkövér"&amp;14  &amp;16 2023. ÉVI ZÁRSZÁMADÁSI BESZÁMOLÓ&amp;R&amp;11 11. sz. táblázat
EREDMÉNYKIMUTATÁS
Adatok: eFt-ban</oddHeader>
    <oddFooter>&amp;L&amp;F&amp;R&amp;P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14"/>
  <sheetViews>
    <sheetView zoomScaleNormal="100" workbookViewId="0">
      <selection activeCell="C7" sqref="C7"/>
    </sheetView>
  </sheetViews>
  <sheetFormatPr defaultColWidth="8.85546875" defaultRowHeight="12.95" customHeight="1" x14ac:dyDescent="0.2"/>
  <cols>
    <col min="1" max="1" width="4.7109375" style="681" customWidth="1"/>
    <col min="2" max="2" width="36" style="681" customWidth="1"/>
    <col min="3" max="5" width="12.42578125" style="681" customWidth="1"/>
    <col min="6" max="16384" width="8.85546875" style="681"/>
  </cols>
  <sheetData>
    <row r="1" spans="1:5" ht="29.25" customHeight="1" x14ac:dyDescent="0.2">
      <c r="A1" s="678" t="s">
        <v>919</v>
      </c>
      <c r="B1" s="679" t="s">
        <v>108</v>
      </c>
      <c r="C1" s="599" t="s">
        <v>15</v>
      </c>
      <c r="D1" s="876" t="s">
        <v>287</v>
      </c>
      <c r="E1" s="680" t="s">
        <v>14</v>
      </c>
    </row>
    <row r="2" spans="1:5" s="686" customFormat="1" ht="27.75" customHeight="1" x14ac:dyDescent="0.2">
      <c r="A2" s="682" t="s">
        <v>857</v>
      </c>
      <c r="B2" s="683" t="s">
        <v>1269</v>
      </c>
      <c r="C2" s="684">
        <f t="shared" ref="C2" si="0">SUM(C3:C4)</f>
        <v>14173</v>
      </c>
      <c r="D2" s="684">
        <f>SUM(D3:D4)</f>
        <v>31311</v>
      </c>
      <c r="E2" s="685">
        <f>SUM(E3:E4)</f>
        <v>45484</v>
      </c>
    </row>
    <row r="3" spans="1:5" s="691" customFormat="1" ht="18" customHeight="1" x14ac:dyDescent="0.2">
      <c r="A3" s="687" t="s">
        <v>859</v>
      </c>
      <c r="B3" s="688" t="s">
        <v>920</v>
      </c>
      <c r="C3" s="689">
        <v>14135</v>
      </c>
      <c r="D3" s="689">
        <v>31310</v>
      </c>
      <c r="E3" s="690">
        <f t="shared" ref="E3:E8" si="1">SUM(C3:D3)</f>
        <v>45445</v>
      </c>
    </row>
    <row r="4" spans="1:5" s="691" customFormat="1" ht="18" customHeight="1" x14ac:dyDescent="0.2">
      <c r="A4" s="687" t="s">
        <v>861</v>
      </c>
      <c r="B4" s="688" t="s">
        <v>921</v>
      </c>
      <c r="C4" s="689">
        <v>38</v>
      </c>
      <c r="D4" s="689">
        <v>1</v>
      </c>
      <c r="E4" s="690">
        <f t="shared" si="1"/>
        <v>39</v>
      </c>
    </row>
    <row r="5" spans="1:5" ht="18" customHeight="1" x14ac:dyDescent="0.2">
      <c r="A5" s="692" t="s">
        <v>863</v>
      </c>
      <c r="B5" s="693" t="s">
        <v>922</v>
      </c>
      <c r="C5" s="694">
        <v>256610</v>
      </c>
      <c r="D5" s="694">
        <v>324818</v>
      </c>
      <c r="E5" s="695">
        <f>SUM(C5:D5)</f>
        <v>581428</v>
      </c>
    </row>
    <row r="6" spans="1:5" ht="18" customHeight="1" x14ac:dyDescent="0.2">
      <c r="A6" s="692" t="s">
        <v>865</v>
      </c>
      <c r="B6" s="693" t="s">
        <v>923</v>
      </c>
      <c r="C6" s="694">
        <v>-223526</v>
      </c>
      <c r="D6" s="694">
        <v>-289119</v>
      </c>
      <c r="E6" s="695">
        <f t="shared" si="1"/>
        <v>-512645</v>
      </c>
    </row>
    <row r="7" spans="1:5" ht="18" customHeight="1" x14ac:dyDescent="0.2">
      <c r="A7" s="692" t="s">
        <v>867</v>
      </c>
      <c r="B7" s="693" t="s">
        <v>924</v>
      </c>
      <c r="C7" s="694">
        <v>-14233</v>
      </c>
      <c r="D7" s="694">
        <v>-31311</v>
      </c>
      <c r="E7" s="695">
        <f t="shared" si="1"/>
        <v>-45544</v>
      </c>
    </row>
    <row r="8" spans="1:5" ht="27" customHeight="1" x14ac:dyDescent="0.2">
      <c r="A8" s="692" t="s">
        <v>869</v>
      </c>
      <c r="B8" s="693" t="s">
        <v>925</v>
      </c>
      <c r="C8" s="694">
        <v>52</v>
      </c>
      <c r="D8" s="694"/>
      <c r="E8" s="695">
        <f t="shared" si="1"/>
        <v>52</v>
      </c>
    </row>
    <row r="9" spans="1:5" s="686" customFormat="1" ht="27" customHeight="1" x14ac:dyDescent="0.2">
      <c r="A9" s="692" t="s">
        <v>871</v>
      </c>
      <c r="B9" s="696" t="s">
        <v>1270</v>
      </c>
      <c r="C9" s="697">
        <f>+C2+SUM(C5:C8)</f>
        <v>33076</v>
      </c>
      <c r="D9" s="697">
        <f>+D2+SUM(D5:D8)</f>
        <v>35699</v>
      </c>
      <c r="E9" s="695">
        <f>+E2+SUM(E5:E8)</f>
        <v>68775</v>
      </c>
    </row>
    <row r="10" spans="1:5" s="691" customFormat="1" ht="18" customHeight="1" x14ac:dyDescent="0.2">
      <c r="A10" s="687" t="s">
        <v>873</v>
      </c>
      <c r="B10" s="688" t="s">
        <v>920</v>
      </c>
      <c r="C10" s="689">
        <v>33074</v>
      </c>
      <c r="D10" s="689">
        <v>35696</v>
      </c>
      <c r="E10" s="690">
        <f>SUM(C10:D10)</f>
        <v>68770</v>
      </c>
    </row>
    <row r="11" spans="1:5" s="691" customFormat="1" ht="18" customHeight="1" thickBot="1" x14ac:dyDescent="0.25">
      <c r="A11" s="698" t="s">
        <v>746</v>
      </c>
      <c r="B11" s="699" t="s">
        <v>921</v>
      </c>
      <c r="C11" s="700">
        <v>2</v>
      </c>
      <c r="D11" s="700">
        <v>3</v>
      </c>
      <c r="E11" s="701">
        <f>SUM(C11:D11)</f>
        <v>5</v>
      </c>
    </row>
    <row r="12" spans="1:5" ht="12.95" customHeight="1" x14ac:dyDescent="0.2">
      <c r="B12" s="702"/>
    </row>
    <row r="13" spans="1:5" ht="12.95" customHeight="1" x14ac:dyDescent="0.2">
      <c r="B13" s="702"/>
    </row>
    <row r="14" spans="1:5" ht="12.95" customHeight="1" x14ac:dyDescent="0.2">
      <c r="B14" s="702"/>
    </row>
  </sheetData>
  <printOptions horizontalCentered="1"/>
  <pageMargins left="0.51181102362204722" right="0.51181102362204722" top="1.3385826771653544" bottom="0.74803149606299213" header="0.31496062992125984" footer="0.31496062992125984"/>
  <pageSetup paperSize="9" orientation="landscape" r:id="rId1"/>
  <headerFooter>
    <oddHeader>&amp;L&amp;"Times New Roman,Félkövér"&amp;12Szent László Völgye TKT&amp;C&amp;"Times New Roman,Félkövér"&amp;14  &amp;16 2023. ÉVI ZÁRSZÁMADÁSI BESZÁMOLÓ&amp;R&amp;11 12. sz. táblázat
PÉNZESZKÖZÖK VÁLTOZÁSA
Adatok: eFt-ban</oddHeader>
    <oddFooter>&amp;L&amp;F&amp;R&amp;P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24</vt:i4>
      </vt:variant>
    </vt:vector>
  </HeadingPairs>
  <TitlesOfParts>
    <vt:vector size="45" baseType="lpstr">
      <vt:lpstr>TARTALOM</vt:lpstr>
      <vt:lpstr>1.SZ.TÁBL. KONSZOLIDÁLT MÉRLEG</vt:lpstr>
      <vt:lpstr>2.SZ.TÁBL. TÁRSULÁS KV. MÉRLEG</vt:lpstr>
      <vt:lpstr>2.1.SZ.TÁBL. BEV - KIAD</vt:lpstr>
      <vt:lpstr>2.2.SZ.TÁBL. KIADÁS COFOG</vt:lpstr>
      <vt:lpstr>2.3.SZ.TÁBL. BEVÉTEL COFOG</vt:lpstr>
      <vt:lpstr>3.SZ.TÁBL. BEVÉTELEK</vt:lpstr>
      <vt:lpstr>4.SZ.TÁBL. SEGÍTŐ SZOLGÁLAT</vt:lpstr>
      <vt:lpstr>5.SZ.TÁBL. SZOCIÁLIS NORMATÍVA</vt:lpstr>
      <vt:lpstr>6.SZ.TÁBL. PÉNZE. ÁTAD - ÁTVÉT</vt:lpstr>
      <vt:lpstr>8.SZ.TÁBL. ELŐIRÁNYZAT FELHASZN</vt:lpstr>
      <vt:lpstr>7.SZ.TÁBL. MARADVÁNY</vt:lpstr>
      <vt:lpstr>8.SZ.TÁBL. LÉTSZÁMADATOK</vt:lpstr>
      <vt:lpstr>9.SZ.TÁBL. ÖNK. ELSZÁMOLÁSAI</vt:lpstr>
      <vt:lpstr>10.SZ.TÁBL. VAGYONKIMUTATÁS</vt:lpstr>
      <vt:lpstr>10.1.SZ.TÁBL. VAGYONK. ESZKÖZÖK</vt:lpstr>
      <vt:lpstr>10.2.SZ.TÁBL. VAGYONK. FORRÁSOK</vt:lpstr>
      <vt:lpstr>10.3.SZ.TÁBL. ÉRTÉK N. ESZKÖZÖK</vt:lpstr>
      <vt:lpstr>11.SZ.TÁBL. EREDMÉNYKIMUTATÁS</vt:lpstr>
      <vt:lpstr>12.SZ.TÁBL. PÉNZESZKÖZ VÁLT.</vt:lpstr>
      <vt:lpstr>Munka1</vt:lpstr>
      <vt:lpstr>'10.SZ.TÁBL. VAGYONKIMUTATÁS'!Nyomtatási_cím</vt:lpstr>
      <vt:lpstr>'2.1.SZ.TÁBL. BEV - KIAD'!Nyomtatási_cím</vt:lpstr>
      <vt:lpstr>'2.2.SZ.TÁBL. KIADÁS COFOG'!Nyomtatási_cím</vt:lpstr>
      <vt:lpstr>'2.3.SZ.TÁBL. BEVÉTEL COFOG'!Nyomtatási_cím</vt:lpstr>
      <vt:lpstr>'3.SZ.TÁBL. BEVÉTELEK'!Nyomtatási_cím</vt:lpstr>
      <vt:lpstr>'4.SZ.TÁBL. SEGÍTŐ SZOLGÁLAT'!Nyomtatási_cím</vt:lpstr>
      <vt:lpstr>'1.SZ.TÁBL. KONSZOLIDÁLT MÉRLEG'!Nyomtatási_terület</vt:lpstr>
      <vt:lpstr>'10.1.SZ.TÁBL. VAGYONK. ESZKÖZÖK'!Nyomtatási_terület</vt:lpstr>
      <vt:lpstr>'10.2.SZ.TÁBL. VAGYONK. FORRÁSOK'!Nyomtatási_terület</vt:lpstr>
      <vt:lpstr>'10.3.SZ.TÁBL. ÉRTÉK N. ESZKÖZÖK'!Nyomtatási_terület</vt:lpstr>
      <vt:lpstr>'10.SZ.TÁBL. VAGYONKIMUTATÁS'!Nyomtatási_terület</vt:lpstr>
      <vt:lpstr>'11.SZ.TÁBL. EREDMÉNYKIMUTATÁS'!Nyomtatási_terület</vt:lpstr>
      <vt:lpstr>'12.SZ.TÁBL. PÉNZESZKÖZ VÁLT.'!Nyomtatási_terület</vt:lpstr>
      <vt:lpstr>'2.1.SZ.TÁBL. BEV - KIAD'!Nyomtatási_terület</vt:lpstr>
      <vt:lpstr>'2.SZ.TÁBL. TÁRSULÁS KV. MÉRLEG'!Nyomtatási_terület</vt:lpstr>
      <vt:lpstr>'3.SZ.TÁBL. BEVÉTELEK'!Nyomtatási_terület</vt:lpstr>
      <vt:lpstr>'4.SZ.TÁBL. SEGÍTŐ SZOLGÁLAT'!Nyomtatási_terület</vt:lpstr>
      <vt:lpstr>'5.SZ.TÁBL. SZOCIÁLIS NORMATÍVA'!Nyomtatási_terület</vt:lpstr>
      <vt:lpstr>'6.SZ.TÁBL. PÉNZE. ÁTAD - ÁTVÉT'!Nyomtatási_terület</vt:lpstr>
      <vt:lpstr>'7.SZ.TÁBL. MARADVÁNY'!Nyomtatási_terület</vt:lpstr>
      <vt:lpstr>'8.SZ.TÁBL. ELŐIRÁNYZAT FELHASZN'!Nyomtatási_terület</vt:lpstr>
      <vt:lpstr>'8.SZ.TÁBL. LÉTSZÁMADATOK'!Nyomtatási_terület</vt:lpstr>
      <vt:lpstr>'9.SZ.TÁBL. ÖNK. ELSZÁMOLÁSAI'!Nyomtatási_terület</vt:lpstr>
      <vt:lpstr>TARTALOM!Nyomtatási_terület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2024-04-16T07:10:27Z</cp:lastPrinted>
  <dcterms:created xsi:type="dcterms:W3CDTF">2011-02-23T07:11:55Z</dcterms:created>
  <dcterms:modified xsi:type="dcterms:W3CDTF">2024-04-16T07:15:21Z</dcterms:modified>
</cp:coreProperties>
</file>