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05" windowWidth="15210" windowHeight="9165" activeTab="1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state="hidden" r:id="rId9"/>
    <sheet name="8.SZ.TÁBL. LÉTSZÁMADATOK" sheetId="13" r:id="rId10"/>
    <sheet name="Munka1" sheetId="2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KIAD'!$A$1:$U$113</definedName>
    <definedName name="_xlnm.Print_Area" localSheetId="0">'1.SZ.TÁBL. TÁRSULÁS KON. MÉRLEG'!$A$1:$J$18</definedName>
    <definedName name="_xlnm.Print_Area" localSheetId="2">'2.SZ.TÁBL. BEVÉTELEK'!$A$3:$F$98</definedName>
    <definedName name="_xlnm.Print_Area" localSheetId="3">'3.SZ.TÁBL. SEGÍTŐ SZOLGÁLAT'!$A$1:$Z$118</definedName>
    <definedName name="_xlnm.Print_Area" localSheetId="4">'4.SZ.TÁBL. ÓVODA'!$A$1:$T$116</definedName>
    <definedName name="_xlnm.Print_Area" localSheetId="5">'5.SZ.TÁBL. ÓVODAI NORMATÍVA'!$A$30:$N$46</definedName>
    <definedName name="_xlnm.Print_Area" localSheetId="6">'6.SZ.TÁBL. SZOCIÁLIS NORMATÍVA'!$A$1:$E$47</definedName>
    <definedName name="_xlnm.Print_Area" localSheetId="7">'7.SZ.TÁBL. PÉNZE. ÁTAD - ÁTVÉT'!$A$1:$P$56</definedName>
    <definedName name="_xlnm.Print_Area" localSheetId="8">'8.SZ.TÁBL. ELŐIRÁNYZAT FELHASZN'!$A$1:$O$32</definedName>
    <definedName name="_xlnm.Print_Area" localSheetId="9">'8.SZ.TÁBL. LÉTSZÁMADATOK'!$A$1:$J$26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T51" i="1"/>
  <c r="C39" i="18"/>
  <c r="C40"/>
  <c r="C41"/>
  <c r="C42"/>
  <c r="C43"/>
  <c r="C44"/>
  <c r="C38"/>
  <c r="C29"/>
  <c r="C30"/>
  <c r="C31"/>
  <c r="C32"/>
  <c r="C33"/>
  <c r="C34"/>
  <c r="C28"/>
  <c r="C20"/>
  <c r="C21"/>
  <c r="C22"/>
  <c r="C23"/>
  <c r="C24"/>
  <c r="C19"/>
  <c r="C14"/>
  <c r="C4"/>
  <c r="C5"/>
  <c r="C6"/>
  <c r="C7"/>
  <c r="C8"/>
  <c r="C9"/>
  <c r="C10"/>
  <c r="C3"/>
  <c r="L46" i="15"/>
  <c r="L44"/>
  <c r="L43"/>
  <c r="L42"/>
  <c r="L41"/>
  <c r="L40"/>
  <c r="L39"/>
  <c r="L38"/>
  <c r="L37"/>
  <c r="L36"/>
  <c r="L35"/>
  <c r="L34"/>
  <c r="L33"/>
  <c r="L32"/>
  <c r="L45"/>
  <c r="J45"/>
  <c r="J43"/>
  <c r="J41"/>
  <c r="J40"/>
  <c r="J38"/>
  <c r="J37"/>
  <c r="J36"/>
  <c r="J35"/>
  <c r="J33"/>
  <c r="J32"/>
  <c r="J42"/>
  <c r="J39"/>
  <c r="J34"/>
  <c r="J44" s="1"/>
  <c r="J46" s="1"/>
  <c r="H45"/>
  <c r="H43"/>
  <c r="H41"/>
  <c r="H40"/>
  <c r="H42" s="1"/>
  <c r="H38"/>
  <c r="H37"/>
  <c r="H36"/>
  <c r="H35"/>
  <c r="H33"/>
  <c r="H32"/>
  <c r="H34" s="1"/>
  <c r="H39"/>
  <c r="F45"/>
  <c r="F43"/>
  <c r="F41"/>
  <c r="F40"/>
  <c r="F38"/>
  <c r="F37"/>
  <c r="F36"/>
  <c r="F35"/>
  <c r="F33"/>
  <c r="F32"/>
  <c r="F42"/>
  <c r="F39"/>
  <c r="F34"/>
  <c r="D45"/>
  <c r="D43"/>
  <c r="D41"/>
  <c r="D40"/>
  <c r="D38"/>
  <c r="D37"/>
  <c r="D36"/>
  <c r="D35"/>
  <c r="D33"/>
  <c r="D32"/>
  <c r="D42"/>
  <c r="D39"/>
  <c r="D34"/>
  <c r="B45"/>
  <c r="B43"/>
  <c r="B41"/>
  <c r="B40"/>
  <c r="B37"/>
  <c r="B38"/>
  <c r="B36"/>
  <c r="B35"/>
  <c r="B33"/>
  <c r="B32"/>
  <c r="P109" i="10"/>
  <c r="P108"/>
  <c r="P107"/>
  <c r="P106"/>
  <c r="P104"/>
  <c r="P103"/>
  <c r="P102"/>
  <c r="P101"/>
  <c r="P100"/>
  <c r="P99"/>
  <c r="P98"/>
  <c r="P96"/>
  <c r="P95"/>
  <c r="P94"/>
  <c r="P93"/>
  <c r="P92"/>
  <c r="P91"/>
  <c r="P88"/>
  <c r="P87"/>
  <c r="P86"/>
  <c r="P85"/>
  <c r="P84"/>
  <c r="P82"/>
  <c r="P81"/>
  <c r="P79"/>
  <c r="P78"/>
  <c r="P77"/>
  <c r="P76"/>
  <c r="P75"/>
  <c r="P74"/>
  <c r="P73"/>
  <c r="P72"/>
  <c r="P71"/>
  <c r="P69"/>
  <c r="P68"/>
  <c r="P66"/>
  <c r="P65"/>
  <c r="P64"/>
  <c r="P63"/>
  <c r="P62"/>
  <c r="P61"/>
  <c r="P60"/>
  <c r="P59"/>
  <c r="P55"/>
  <c r="P54"/>
  <c r="P53"/>
  <c r="P51"/>
  <c r="P50"/>
  <c r="P49"/>
  <c r="P48"/>
  <c r="P47"/>
  <c r="P46"/>
  <c r="P45"/>
  <c r="P44"/>
  <c r="P43"/>
  <c r="P42"/>
  <c r="P41"/>
  <c r="P40"/>
  <c r="P39"/>
  <c r="P38"/>
  <c r="P34"/>
  <c r="P33"/>
  <c r="P32"/>
  <c r="P30"/>
  <c r="P28"/>
  <c r="P20"/>
  <c r="P19"/>
  <c r="P18"/>
  <c r="P17"/>
  <c r="P16"/>
  <c r="P15"/>
  <c r="P14"/>
  <c r="P13"/>
  <c r="P12"/>
  <c r="P110"/>
  <c r="P105"/>
  <c r="P97"/>
  <c r="P89"/>
  <c r="P83"/>
  <c r="P80"/>
  <c r="P70"/>
  <c r="P67"/>
  <c r="P90" s="1"/>
  <c r="P58"/>
  <c r="P56"/>
  <c r="P52"/>
  <c r="P31"/>
  <c r="P29" s="1"/>
  <c r="P36" s="1"/>
  <c r="P26"/>
  <c r="P24"/>
  <c r="P21"/>
  <c r="P7"/>
  <c r="P27" s="1"/>
  <c r="M109"/>
  <c r="M110" s="1"/>
  <c r="M108"/>
  <c r="M107"/>
  <c r="M106"/>
  <c r="M104"/>
  <c r="M103"/>
  <c r="M102"/>
  <c r="M101"/>
  <c r="M100"/>
  <c r="M105" s="1"/>
  <c r="M99"/>
  <c r="M98"/>
  <c r="M96"/>
  <c r="M95"/>
  <c r="M94"/>
  <c r="M93"/>
  <c r="M92"/>
  <c r="M91"/>
  <c r="M88"/>
  <c r="M87"/>
  <c r="M86"/>
  <c r="M85"/>
  <c r="M89" s="1"/>
  <c r="M84"/>
  <c r="M82"/>
  <c r="M81"/>
  <c r="M79"/>
  <c r="M78"/>
  <c r="M77"/>
  <c r="M76"/>
  <c r="M75"/>
  <c r="M74"/>
  <c r="M73"/>
  <c r="M72"/>
  <c r="M71"/>
  <c r="M80" s="1"/>
  <c r="M69"/>
  <c r="M68"/>
  <c r="M66"/>
  <c r="M65"/>
  <c r="M67" s="1"/>
  <c r="M90" s="1"/>
  <c r="M64"/>
  <c r="M63"/>
  <c r="M62"/>
  <c r="M61"/>
  <c r="M58" s="1"/>
  <c r="M60"/>
  <c r="M59"/>
  <c r="M55"/>
  <c r="M54"/>
  <c r="M56" s="1"/>
  <c r="M53"/>
  <c r="M51"/>
  <c r="M50"/>
  <c r="M49"/>
  <c r="M48"/>
  <c r="M47"/>
  <c r="M46"/>
  <c r="M45"/>
  <c r="M44"/>
  <c r="M43"/>
  <c r="M42"/>
  <c r="M41"/>
  <c r="M40"/>
  <c r="M39"/>
  <c r="M38"/>
  <c r="M34"/>
  <c r="M31" s="1"/>
  <c r="M29" s="1"/>
  <c r="M33"/>
  <c r="M32"/>
  <c r="M30"/>
  <c r="M28"/>
  <c r="M36" s="1"/>
  <c r="M20"/>
  <c r="M19"/>
  <c r="M18"/>
  <c r="M17"/>
  <c r="M16"/>
  <c r="M15"/>
  <c r="M14"/>
  <c r="M13"/>
  <c r="M21" s="1"/>
  <c r="M12"/>
  <c r="M97"/>
  <c r="M83"/>
  <c r="M70"/>
  <c r="M52"/>
  <c r="M26"/>
  <c r="M24"/>
  <c r="M7"/>
  <c r="J109"/>
  <c r="J108"/>
  <c r="J107"/>
  <c r="J106"/>
  <c r="J104"/>
  <c r="J103"/>
  <c r="J102"/>
  <c r="J101"/>
  <c r="J100"/>
  <c r="J99"/>
  <c r="J98"/>
  <c r="J96"/>
  <c r="J95"/>
  <c r="J94"/>
  <c r="J93"/>
  <c r="J92"/>
  <c r="J91"/>
  <c r="J88"/>
  <c r="J87"/>
  <c r="J86"/>
  <c r="J85"/>
  <c r="J84"/>
  <c r="J82"/>
  <c r="J81"/>
  <c r="J79"/>
  <c r="J78"/>
  <c r="J77"/>
  <c r="J76"/>
  <c r="J75"/>
  <c r="J74"/>
  <c r="J73"/>
  <c r="J72"/>
  <c r="J71"/>
  <c r="J69"/>
  <c r="J68"/>
  <c r="J66"/>
  <c r="J65"/>
  <c r="J64"/>
  <c r="J63"/>
  <c r="J62"/>
  <c r="J61"/>
  <c r="J60"/>
  <c r="J59"/>
  <c r="J55"/>
  <c r="J54"/>
  <c r="J53"/>
  <c r="J51"/>
  <c r="J50"/>
  <c r="J49"/>
  <c r="J48"/>
  <c r="J47"/>
  <c r="J46"/>
  <c r="J45"/>
  <c r="J44"/>
  <c r="J43"/>
  <c r="J42"/>
  <c r="J41"/>
  <c r="J40"/>
  <c r="J39"/>
  <c r="J38"/>
  <c r="J34"/>
  <c r="J33"/>
  <c r="J32"/>
  <c r="J30"/>
  <c r="J28"/>
  <c r="J20"/>
  <c r="J19"/>
  <c r="J18"/>
  <c r="J17"/>
  <c r="J16"/>
  <c r="J15"/>
  <c r="J14"/>
  <c r="J13"/>
  <c r="J21" s="1"/>
  <c r="J12"/>
  <c r="J110"/>
  <c r="J105"/>
  <c r="J97"/>
  <c r="J89"/>
  <c r="J83"/>
  <c r="J80"/>
  <c r="J70"/>
  <c r="J67"/>
  <c r="J58"/>
  <c r="J56"/>
  <c r="J52"/>
  <c r="J31"/>
  <c r="J29" s="1"/>
  <c r="J36" s="1"/>
  <c r="J26"/>
  <c r="J24"/>
  <c r="J7"/>
  <c r="G109"/>
  <c r="G108"/>
  <c r="G107"/>
  <c r="G106"/>
  <c r="G104"/>
  <c r="G103"/>
  <c r="G102"/>
  <c r="G101"/>
  <c r="G100"/>
  <c r="G99"/>
  <c r="G98"/>
  <c r="G96"/>
  <c r="G95"/>
  <c r="G94"/>
  <c r="G93"/>
  <c r="G92"/>
  <c r="G97" s="1"/>
  <c r="G91"/>
  <c r="G88"/>
  <c r="G87"/>
  <c r="G86"/>
  <c r="G85"/>
  <c r="G84"/>
  <c r="G82"/>
  <c r="G81"/>
  <c r="G79"/>
  <c r="G78"/>
  <c r="G77"/>
  <c r="G76"/>
  <c r="G75"/>
  <c r="G74"/>
  <c r="G73"/>
  <c r="G72"/>
  <c r="G71"/>
  <c r="G69"/>
  <c r="G68"/>
  <c r="G70" s="1"/>
  <c r="G66"/>
  <c r="G67" s="1"/>
  <c r="G90" s="1"/>
  <c r="G65"/>
  <c r="G64"/>
  <c r="G63"/>
  <c r="G62"/>
  <c r="G61"/>
  <c r="G60"/>
  <c r="G59"/>
  <c r="G55"/>
  <c r="G54"/>
  <c r="G53"/>
  <c r="G51"/>
  <c r="G50"/>
  <c r="G49"/>
  <c r="G48"/>
  <c r="G47"/>
  <c r="G46"/>
  <c r="G45"/>
  <c r="G44"/>
  <c r="G43"/>
  <c r="G42"/>
  <c r="G41"/>
  <c r="G40"/>
  <c r="G39"/>
  <c r="G38"/>
  <c r="G52" s="1"/>
  <c r="G57" s="1"/>
  <c r="G34"/>
  <c r="G33"/>
  <c r="G32"/>
  <c r="G31" s="1"/>
  <c r="G29" s="1"/>
  <c r="G30"/>
  <c r="G28"/>
  <c r="G20"/>
  <c r="G19"/>
  <c r="G18"/>
  <c r="G17"/>
  <c r="G16"/>
  <c r="G15"/>
  <c r="G14"/>
  <c r="G21" s="1"/>
  <c r="G13"/>
  <c r="G12"/>
  <c r="G110"/>
  <c r="G105"/>
  <c r="G89"/>
  <c r="G83"/>
  <c r="G80"/>
  <c r="G58"/>
  <c r="G56"/>
  <c r="G26"/>
  <c r="G24"/>
  <c r="G7"/>
  <c r="D17"/>
  <c r="D18"/>
  <c r="D19"/>
  <c r="D20"/>
  <c r="D12"/>
  <c r="D13"/>
  <c r="D14"/>
  <c r="D15"/>
  <c r="F67"/>
  <c r="C67"/>
  <c r="E67"/>
  <c r="D67"/>
  <c r="D109"/>
  <c r="D108"/>
  <c r="D107"/>
  <c r="D106"/>
  <c r="D104"/>
  <c r="D103"/>
  <c r="D102"/>
  <c r="D101"/>
  <c r="D100"/>
  <c r="D99"/>
  <c r="D98"/>
  <c r="D96"/>
  <c r="D95"/>
  <c r="D94"/>
  <c r="D93"/>
  <c r="D92"/>
  <c r="D91"/>
  <c r="D88"/>
  <c r="D87"/>
  <c r="D86"/>
  <c r="D85"/>
  <c r="D84"/>
  <c r="D82"/>
  <c r="D81"/>
  <c r="D79"/>
  <c r="D78"/>
  <c r="D77"/>
  <c r="D76"/>
  <c r="D75"/>
  <c r="D74"/>
  <c r="D73"/>
  <c r="D72"/>
  <c r="D71"/>
  <c r="D69"/>
  <c r="D68"/>
  <c r="D66"/>
  <c r="D65"/>
  <c r="D64"/>
  <c r="D63"/>
  <c r="D62"/>
  <c r="D61"/>
  <c r="D60"/>
  <c r="D59"/>
  <c r="D55"/>
  <c r="D54"/>
  <c r="D53"/>
  <c r="D39"/>
  <c r="D40"/>
  <c r="D41"/>
  <c r="D42"/>
  <c r="D43"/>
  <c r="D44"/>
  <c r="D45"/>
  <c r="D46"/>
  <c r="D47"/>
  <c r="D48"/>
  <c r="D49"/>
  <c r="D50"/>
  <c r="D51"/>
  <c r="D38"/>
  <c r="D34"/>
  <c r="D33"/>
  <c r="D32"/>
  <c r="D30"/>
  <c r="D28"/>
  <c r="D16"/>
  <c r="V111" i="9"/>
  <c r="V110"/>
  <c r="V109"/>
  <c r="V108"/>
  <c r="V106"/>
  <c r="V105"/>
  <c r="V104"/>
  <c r="V103"/>
  <c r="V102"/>
  <c r="V101"/>
  <c r="V100"/>
  <c r="V98"/>
  <c r="V97"/>
  <c r="V96"/>
  <c r="V95"/>
  <c r="V92"/>
  <c r="V91"/>
  <c r="V90"/>
  <c r="V89"/>
  <c r="V88"/>
  <c r="V86"/>
  <c r="V85"/>
  <c r="V83"/>
  <c r="V82"/>
  <c r="V81"/>
  <c r="V80"/>
  <c r="V79"/>
  <c r="V78"/>
  <c r="V77"/>
  <c r="V76"/>
  <c r="V75"/>
  <c r="V73"/>
  <c r="V72"/>
  <c r="V70"/>
  <c r="V69"/>
  <c r="V68"/>
  <c r="V67"/>
  <c r="V66"/>
  <c r="V65"/>
  <c r="V64"/>
  <c r="V63"/>
  <c r="V59"/>
  <c r="V58"/>
  <c r="V57"/>
  <c r="V55"/>
  <c r="V54"/>
  <c r="V53"/>
  <c r="V52"/>
  <c r="V51"/>
  <c r="V50"/>
  <c r="V49"/>
  <c r="V48"/>
  <c r="V47"/>
  <c r="V46"/>
  <c r="V45"/>
  <c r="V44"/>
  <c r="V43"/>
  <c r="V42"/>
  <c r="V38"/>
  <c r="V37"/>
  <c r="V36"/>
  <c r="V35"/>
  <c r="V34"/>
  <c r="V33"/>
  <c r="V32"/>
  <c r="V30"/>
  <c r="V28"/>
  <c r="V20"/>
  <c r="V19"/>
  <c r="V18"/>
  <c r="V17"/>
  <c r="V16"/>
  <c r="V15"/>
  <c r="V14"/>
  <c r="V13"/>
  <c r="V21" s="1"/>
  <c r="V112"/>
  <c r="V107"/>
  <c r="V99"/>
  <c r="V93"/>
  <c r="V87"/>
  <c r="V84"/>
  <c r="V74"/>
  <c r="V71"/>
  <c r="V94" s="1"/>
  <c r="V62"/>
  <c r="V60"/>
  <c r="V56"/>
  <c r="V31"/>
  <c r="V26"/>
  <c r="V24"/>
  <c r="V11"/>
  <c r="V7"/>
  <c r="S111"/>
  <c r="S110"/>
  <c r="S109"/>
  <c r="S108"/>
  <c r="S106"/>
  <c r="S105"/>
  <c r="S104"/>
  <c r="S103"/>
  <c r="S102"/>
  <c r="S101"/>
  <c r="S100"/>
  <c r="S98"/>
  <c r="S97"/>
  <c r="S96"/>
  <c r="S95"/>
  <c r="S92"/>
  <c r="S91"/>
  <c r="S90"/>
  <c r="S89"/>
  <c r="S88"/>
  <c r="S86"/>
  <c r="S85"/>
  <c r="S83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59"/>
  <c r="S58"/>
  <c r="S57"/>
  <c r="S55"/>
  <c r="S54"/>
  <c r="S53"/>
  <c r="S52"/>
  <c r="S51"/>
  <c r="S50"/>
  <c r="S49"/>
  <c r="S48"/>
  <c r="S47"/>
  <c r="S46"/>
  <c r="S45"/>
  <c r="S44"/>
  <c r="S43"/>
  <c r="S42"/>
  <c r="S38"/>
  <c r="S37"/>
  <c r="S36"/>
  <c r="S35"/>
  <c r="S34"/>
  <c r="S33"/>
  <c r="S31" s="1"/>
  <c r="S29" s="1"/>
  <c r="S32"/>
  <c r="S30"/>
  <c r="S28"/>
  <c r="S20"/>
  <c r="S19"/>
  <c r="S18"/>
  <c r="S17"/>
  <c r="S16"/>
  <c r="S15"/>
  <c r="S14"/>
  <c r="S13"/>
  <c r="S112"/>
  <c r="S107"/>
  <c r="S99"/>
  <c r="S93"/>
  <c r="S87"/>
  <c r="S84"/>
  <c r="S74"/>
  <c r="S71"/>
  <c r="S62"/>
  <c r="S60"/>
  <c r="S56"/>
  <c r="S61" s="1"/>
  <c r="S26"/>
  <c r="S24"/>
  <c r="S21"/>
  <c r="S11"/>
  <c r="S7"/>
  <c r="P111"/>
  <c r="P112" s="1"/>
  <c r="P110"/>
  <c r="P109"/>
  <c r="P108"/>
  <c r="P106"/>
  <c r="P105"/>
  <c r="P104"/>
  <c r="P103"/>
  <c r="P102"/>
  <c r="P101"/>
  <c r="P100"/>
  <c r="P98"/>
  <c r="P97"/>
  <c r="P99" s="1"/>
  <c r="P96"/>
  <c r="P95"/>
  <c r="P92"/>
  <c r="P91"/>
  <c r="P90"/>
  <c r="P89"/>
  <c r="P88"/>
  <c r="P86"/>
  <c r="P87" s="1"/>
  <c r="P85"/>
  <c r="P83"/>
  <c r="P82"/>
  <c r="P81"/>
  <c r="P80"/>
  <c r="P79"/>
  <c r="P78"/>
  <c r="P77"/>
  <c r="P76"/>
  <c r="P75"/>
  <c r="P73"/>
  <c r="P72"/>
  <c r="P74" s="1"/>
  <c r="P70"/>
  <c r="P69"/>
  <c r="P68"/>
  <c r="P67"/>
  <c r="P66"/>
  <c r="P65"/>
  <c r="P64"/>
  <c r="P63"/>
  <c r="P62" s="1"/>
  <c r="P59"/>
  <c r="P58"/>
  <c r="P57"/>
  <c r="P55"/>
  <c r="P54"/>
  <c r="P53"/>
  <c r="P52"/>
  <c r="P51"/>
  <c r="P50"/>
  <c r="P49"/>
  <c r="P48"/>
  <c r="P47"/>
  <c r="P46"/>
  <c r="P45"/>
  <c r="P44"/>
  <c r="P43"/>
  <c r="P56" s="1"/>
  <c r="P42"/>
  <c r="P38"/>
  <c r="P37"/>
  <c r="P36"/>
  <c r="P35"/>
  <c r="P34"/>
  <c r="P33"/>
  <c r="P32"/>
  <c r="P31" s="1"/>
  <c r="P29" s="1"/>
  <c r="P30"/>
  <c r="P28"/>
  <c r="P20"/>
  <c r="P19"/>
  <c r="P18"/>
  <c r="P17"/>
  <c r="P16"/>
  <c r="P15"/>
  <c r="P21" s="1"/>
  <c r="P14"/>
  <c r="P13"/>
  <c r="P107"/>
  <c r="P93"/>
  <c r="P84"/>
  <c r="P71"/>
  <c r="P60"/>
  <c r="P26"/>
  <c r="P24"/>
  <c r="P11"/>
  <c r="P7"/>
  <c r="M111"/>
  <c r="M110"/>
  <c r="M109"/>
  <c r="M108"/>
  <c r="M106"/>
  <c r="M105"/>
  <c r="M104"/>
  <c r="M103"/>
  <c r="M102"/>
  <c r="M101"/>
  <c r="M100"/>
  <c r="M98"/>
  <c r="M97"/>
  <c r="M96"/>
  <c r="M95"/>
  <c r="M92"/>
  <c r="M91"/>
  <c r="M90"/>
  <c r="M89"/>
  <c r="M88"/>
  <c r="M86"/>
  <c r="M85"/>
  <c r="M83"/>
  <c r="M82"/>
  <c r="M81"/>
  <c r="M80"/>
  <c r="M79"/>
  <c r="M78"/>
  <c r="M77"/>
  <c r="M76"/>
  <c r="M75"/>
  <c r="M73"/>
  <c r="M72"/>
  <c r="M70"/>
  <c r="M69"/>
  <c r="M68"/>
  <c r="M67"/>
  <c r="M66"/>
  <c r="M65"/>
  <c r="M64"/>
  <c r="M63"/>
  <c r="M59"/>
  <c r="M58"/>
  <c r="M57"/>
  <c r="M55"/>
  <c r="M54"/>
  <c r="M53"/>
  <c r="M52"/>
  <c r="M51"/>
  <c r="M50"/>
  <c r="M49"/>
  <c r="M48"/>
  <c r="M47"/>
  <c r="M46"/>
  <c r="M45"/>
  <c r="M44"/>
  <c r="M43"/>
  <c r="M42"/>
  <c r="M38"/>
  <c r="M37"/>
  <c r="M36"/>
  <c r="M35"/>
  <c r="M34"/>
  <c r="M33"/>
  <c r="M31" s="1"/>
  <c r="M29" s="1"/>
  <c r="M32"/>
  <c r="M30"/>
  <c r="M28"/>
  <c r="M20"/>
  <c r="M19"/>
  <c r="M18"/>
  <c r="M17"/>
  <c r="M16"/>
  <c r="M15"/>
  <c r="M14"/>
  <c r="M21" s="1"/>
  <c r="M13"/>
  <c r="M112"/>
  <c r="M107"/>
  <c r="M99"/>
  <c r="M93"/>
  <c r="M87"/>
  <c r="M84"/>
  <c r="M74"/>
  <c r="M71"/>
  <c r="M62"/>
  <c r="M60"/>
  <c r="M56"/>
  <c r="M26"/>
  <c r="M24"/>
  <c r="M11"/>
  <c r="M7"/>
  <c r="J111"/>
  <c r="J110"/>
  <c r="J109"/>
  <c r="J108"/>
  <c r="J106"/>
  <c r="J105"/>
  <c r="J104"/>
  <c r="J103"/>
  <c r="J102"/>
  <c r="J101"/>
  <c r="J100"/>
  <c r="J98"/>
  <c r="J97"/>
  <c r="J96"/>
  <c r="J95"/>
  <c r="J92"/>
  <c r="J91"/>
  <c r="J90"/>
  <c r="J89"/>
  <c r="J88"/>
  <c r="J86"/>
  <c r="J85"/>
  <c r="J83"/>
  <c r="J82"/>
  <c r="J81"/>
  <c r="J80"/>
  <c r="J79"/>
  <c r="J78"/>
  <c r="J77"/>
  <c r="J76"/>
  <c r="J75"/>
  <c r="J73"/>
  <c r="J72"/>
  <c r="J70"/>
  <c r="J69"/>
  <c r="J68"/>
  <c r="J67"/>
  <c r="J66"/>
  <c r="J65"/>
  <c r="J64"/>
  <c r="J63"/>
  <c r="J59"/>
  <c r="J58"/>
  <c r="J57"/>
  <c r="J55"/>
  <c r="J54"/>
  <c r="J53"/>
  <c r="J52"/>
  <c r="J51"/>
  <c r="J50"/>
  <c r="J49"/>
  <c r="J48"/>
  <c r="J47"/>
  <c r="J46"/>
  <c r="J45"/>
  <c r="J44"/>
  <c r="J43"/>
  <c r="J42"/>
  <c r="J38"/>
  <c r="J37"/>
  <c r="J36"/>
  <c r="J35"/>
  <c r="J34"/>
  <c r="J33"/>
  <c r="J31" s="1"/>
  <c r="J32"/>
  <c r="J30"/>
  <c r="J28"/>
  <c r="J20"/>
  <c r="J19"/>
  <c r="J18"/>
  <c r="J17"/>
  <c r="J16"/>
  <c r="J15"/>
  <c r="J14"/>
  <c r="J13"/>
  <c r="J112"/>
  <c r="J107"/>
  <c r="J99"/>
  <c r="J93"/>
  <c r="J87"/>
  <c r="J84"/>
  <c r="J74"/>
  <c r="J71"/>
  <c r="J62"/>
  <c r="J60"/>
  <c r="J56"/>
  <c r="J61" s="1"/>
  <c r="J26"/>
  <c r="J24"/>
  <c r="J21"/>
  <c r="J11"/>
  <c r="J7"/>
  <c r="G111"/>
  <c r="G110"/>
  <c r="G109"/>
  <c r="G108"/>
  <c r="G106"/>
  <c r="G105"/>
  <c r="G104"/>
  <c r="G103"/>
  <c r="G102"/>
  <c r="G101"/>
  <c r="G100"/>
  <c r="G98"/>
  <c r="G97"/>
  <c r="G96"/>
  <c r="G95"/>
  <c r="G92"/>
  <c r="G91"/>
  <c r="G90"/>
  <c r="G89"/>
  <c r="G88"/>
  <c r="G86"/>
  <c r="G85"/>
  <c r="G83"/>
  <c r="G82"/>
  <c r="G81"/>
  <c r="G80"/>
  <c r="G79"/>
  <c r="G78"/>
  <c r="G77"/>
  <c r="G76"/>
  <c r="G75"/>
  <c r="G73"/>
  <c r="G74" s="1"/>
  <c r="G72"/>
  <c r="G70"/>
  <c r="G69"/>
  <c r="G68"/>
  <c r="G67"/>
  <c r="G66"/>
  <c r="G65"/>
  <c r="G64"/>
  <c r="G63"/>
  <c r="G59"/>
  <c r="G58"/>
  <c r="G57"/>
  <c r="G60" s="1"/>
  <c r="G55"/>
  <c r="G54"/>
  <c r="G53"/>
  <c r="G52"/>
  <c r="G51"/>
  <c r="G50"/>
  <c r="G49"/>
  <c r="G48"/>
  <c r="G47"/>
  <c r="G46"/>
  <c r="G45"/>
  <c r="G44"/>
  <c r="G56" s="1"/>
  <c r="G61" s="1"/>
  <c r="G43"/>
  <c r="G42"/>
  <c r="G38"/>
  <c r="G37"/>
  <c r="G36"/>
  <c r="G35"/>
  <c r="G34"/>
  <c r="G33"/>
  <c r="G32"/>
  <c r="G30"/>
  <c r="G28"/>
  <c r="G20"/>
  <c r="G19"/>
  <c r="G18"/>
  <c r="G17"/>
  <c r="G16"/>
  <c r="G15"/>
  <c r="G14"/>
  <c r="G13"/>
  <c r="G21" s="1"/>
  <c r="G112"/>
  <c r="G107"/>
  <c r="G99"/>
  <c r="G93"/>
  <c r="G87"/>
  <c r="G84"/>
  <c r="G71"/>
  <c r="G62"/>
  <c r="G31"/>
  <c r="G26"/>
  <c r="G24"/>
  <c r="G11"/>
  <c r="G7"/>
  <c r="D111"/>
  <c r="D110"/>
  <c r="D109"/>
  <c r="D108"/>
  <c r="D106"/>
  <c r="D105"/>
  <c r="D104"/>
  <c r="D103"/>
  <c r="D102"/>
  <c r="D101"/>
  <c r="D100"/>
  <c r="D98"/>
  <c r="D97"/>
  <c r="D96"/>
  <c r="D95"/>
  <c r="D92"/>
  <c r="D91"/>
  <c r="D90"/>
  <c r="D89"/>
  <c r="D88"/>
  <c r="D86"/>
  <c r="D85"/>
  <c r="D83"/>
  <c r="D82"/>
  <c r="D81"/>
  <c r="D80"/>
  <c r="D79"/>
  <c r="D78"/>
  <c r="D77"/>
  <c r="D76"/>
  <c r="D75"/>
  <c r="D73"/>
  <c r="D72"/>
  <c r="D70"/>
  <c r="D69"/>
  <c r="D68"/>
  <c r="D67"/>
  <c r="D66"/>
  <c r="D65"/>
  <c r="D64"/>
  <c r="D63"/>
  <c r="D59"/>
  <c r="D58"/>
  <c r="D57"/>
  <c r="D43"/>
  <c r="D44"/>
  <c r="D45"/>
  <c r="D46"/>
  <c r="D47"/>
  <c r="D48"/>
  <c r="D49"/>
  <c r="D50"/>
  <c r="D51"/>
  <c r="D52"/>
  <c r="D53"/>
  <c r="D54"/>
  <c r="D55"/>
  <c r="D42"/>
  <c r="D38"/>
  <c r="D37"/>
  <c r="D36"/>
  <c r="D35"/>
  <c r="D34"/>
  <c r="D33"/>
  <c r="D32"/>
  <c r="D30"/>
  <c r="D28"/>
  <c r="D20"/>
  <c r="D19"/>
  <c r="D18"/>
  <c r="D17"/>
  <c r="D16"/>
  <c r="D15"/>
  <c r="D14"/>
  <c r="D13"/>
  <c r="O91" i="1"/>
  <c r="O92"/>
  <c r="O93"/>
  <c r="O90"/>
  <c r="O88"/>
  <c r="O87"/>
  <c r="O78"/>
  <c r="O73"/>
  <c r="O72"/>
  <c r="O28"/>
  <c r="O19"/>
  <c r="D95" i="2"/>
  <c r="D81"/>
  <c r="D82"/>
  <c r="D83"/>
  <c r="D84"/>
  <c r="D85"/>
  <c r="D86"/>
  <c r="D87"/>
  <c r="D80"/>
  <c r="F67"/>
  <c r="D67"/>
  <c r="D66"/>
  <c r="D64"/>
  <c r="D63"/>
  <c r="D62"/>
  <c r="D59"/>
  <c r="D56"/>
  <c r="D55"/>
  <c r="D54"/>
  <c r="D53"/>
  <c r="D52"/>
  <c r="D51"/>
  <c r="D50"/>
  <c r="D47"/>
  <c r="D46"/>
  <c r="D45"/>
  <c r="D44"/>
  <c r="D43"/>
  <c r="D42"/>
  <c r="D41"/>
  <c r="D38"/>
  <c r="D37"/>
  <c r="D36"/>
  <c r="D35"/>
  <c r="D34"/>
  <c r="D33"/>
  <c r="D32"/>
  <c r="D31"/>
  <c r="D28"/>
  <c r="D27"/>
  <c r="D26"/>
  <c r="D25"/>
  <c r="D24"/>
  <c r="D23"/>
  <c r="D22"/>
  <c r="D19"/>
  <c r="D18"/>
  <c r="D17"/>
  <c r="D9"/>
  <c r="D10"/>
  <c r="D11"/>
  <c r="D12"/>
  <c r="D13"/>
  <c r="D14"/>
  <c r="D8"/>
  <c r="D5"/>
  <c r="H44" i="15" l="1"/>
  <c r="H46" s="1"/>
  <c r="F44"/>
  <c r="F46" s="1"/>
  <c r="D44"/>
  <c r="D46" s="1"/>
  <c r="P37" i="10"/>
  <c r="P57"/>
  <c r="P112" s="1"/>
  <c r="P114" s="1"/>
  <c r="M57"/>
  <c r="M27"/>
  <c r="M37" s="1"/>
  <c r="M112"/>
  <c r="M114" s="1"/>
  <c r="J27"/>
  <c r="J37" s="1"/>
  <c r="J57"/>
  <c r="J90"/>
  <c r="G27"/>
  <c r="G36"/>
  <c r="G112"/>
  <c r="G114" s="1"/>
  <c r="V61" i="9"/>
  <c r="V27"/>
  <c r="V29"/>
  <c r="V40" s="1"/>
  <c r="V114"/>
  <c r="V116" s="1"/>
  <c r="S94"/>
  <c r="S27"/>
  <c r="S40"/>
  <c r="S114"/>
  <c r="S116" s="1"/>
  <c r="P61"/>
  <c r="P27"/>
  <c r="P41" s="1"/>
  <c r="P40"/>
  <c r="P94"/>
  <c r="M61"/>
  <c r="M27"/>
  <c r="M41" s="1"/>
  <c r="M40"/>
  <c r="M94"/>
  <c r="J94"/>
  <c r="J27"/>
  <c r="J29"/>
  <c r="J40" s="1"/>
  <c r="J41" s="1"/>
  <c r="J114"/>
  <c r="J116" s="1"/>
  <c r="G27"/>
  <c r="G40"/>
  <c r="G94"/>
  <c r="G114" s="1"/>
  <c r="G116" s="1"/>
  <c r="G29"/>
  <c r="J112" i="10" l="1"/>
  <c r="J114" s="1"/>
  <c r="G37"/>
  <c r="V41" i="9"/>
  <c r="S41"/>
  <c r="P114"/>
  <c r="P116" s="1"/>
  <c r="M114"/>
  <c r="M116" s="1"/>
  <c r="G41"/>
  <c r="D47" i="18" l="1"/>
  <c r="P51" i="21" l="1"/>
  <c r="P50"/>
  <c r="O51"/>
  <c r="N51"/>
  <c r="M51"/>
  <c r="L51"/>
  <c r="K51"/>
  <c r="J51"/>
  <c r="I51"/>
  <c r="H51"/>
  <c r="G51"/>
  <c r="F51"/>
  <c r="E51"/>
  <c r="K50"/>
  <c r="F50"/>
  <c r="G50"/>
  <c r="H50"/>
  <c r="I50"/>
  <c r="J50"/>
  <c r="L50"/>
  <c r="M50"/>
  <c r="E50"/>
  <c r="D50"/>
  <c r="C50"/>
  <c r="B50"/>
  <c r="O50"/>
  <c r="N50"/>
  <c r="P49"/>
  <c r="P48"/>
  <c r="P47"/>
  <c r="P17"/>
  <c r="P18"/>
  <c r="P19"/>
  <c r="P20"/>
  <c r="D33" i="18"/>
  <c r="D29"/>
  <c r="D28"/>
  <c r="D31"/>
  <c r="D30"/>
  <c r="D32"/>
  <c r="E67" i="2"/>
  <c r="W30" i="9"/>
  <c r="T30"/>
  <c r="Q30"/>
  <c r="N30"/>
  <c r="K30"/>
  <c r="H30"/>
  <c r="E30"/>
  <c r="G41" i="18"/>
  <c r="G43"/>
  <c r="G38"/>
  <c r="G39"/>
  <c r="G40"/>
  <c r="G42"/>
  <c r="G45" s="1"/>
  <c r="D41"/>
  <c r="D43"/>
  <c r="D38"/>
  <c r="D39"/>
  <c r="D40"/>
  <c r="D42"/>
  <c r="C45"/>
  <c r="D45" l="1"/>
  <c r="P73" i="1" l="1"/>
  <c r="P72"/>
  <c r="J24" i="13"/>
  <c r="I24"/>
  <c r="H24"/>
  <c r="J23"/>
  <c r="I23"/>
  <c r="H23"/>
  <c r="J22"/>
  <c r="J25" s="1"/>
  <c r="I22"/>
  <c r="H22"/>
  <c r="J21"/>
  <c r="I21"/>
  <c r="H21"/>
  <c r="J20"/>
  <c r="I20"/>
  <c r="H20"/>
  <c r="J19"/>
  <c r="I19"/>
  <c r="H19"/>
  <c r="J18"/>
  <c r="I18"/>
  <c r="I25" s="1"/>
  <c r="H18"/>
  <c r="J15"/>
  <c r="J14"/>
  <c r="J13"/>
  <c r="J12"/>
  <c r="J11"/>
  <c r="J10"/>
  <c r="J9"/>
  <c r="J8"/>
  <c r="J7"/>
  <c r="J6"/>
  <c r="J5"/>
  <c r="J4"/>
  <c r="I15"/>
  <c r="I14"/>
  <c r="I13"/>
  <c r="I12"/>
  <c r="I11"/>
  <c r="I10"/>
  <c r="I9"/>
  <c r="I8"/>
  <c r="I7"/>
  <c r="I6"/>
  <c r="I5"/>
  <c r="I4"/>
  <c r="H5"/>
  <c r="H6"/>
  <c r="H16" s="1"/>
  <c r="H7"/>
  <c r="H8"/>
  <c r="H9"/>
  <c r="H10"/>
  <c r="H11"/>
  <c r="H12"/>
  <c r="H13"/>
  <c r="H14"/>
  <c r="H15"/>
  <c r="H4"/>
  <c r="I16"/>
  <c r="H25"/>
  <c r="F26"/>
  <c r="E26"/>
  <c r="G25"/>
  <c r="G26" s="1"/>
  <c r="F25"/>
  <c r="C16"/>
  <c r="C26" s="1"/>
  <c r="D16"/>
  <c r="D26" s="1"/>
  <c r="B16"/>
  <c r="P53" i="21"/>
  <c r="D46"/>
  <c r="D51" s="1"/>
  <c r="E46"/>
  <c r="F46"/>
  <c r="G46"/>
  <c r="H46"/>
  <c r="I46"/>
  <c r="J46"/>
  <c r="K46"/>
  <c r="L46"/>
  <c r="M46"/>
  <c r="N46"/>
  <c r="O46"/>
  <c r="P41"/>
  <c r="P42"/>
  <c r="P43"/>
  <c r="P44"/>
  <c r="P45"/>
  <c r="P40"/>
  <c r="P39"/>
  <c r="B51"/>
  <c r="C46"/>
  <c r="C51" s="1"/>
  <c r="B46"/>
  <c r="J16" i="13" l="1"/>
  <c r="J26" s="1"/>
  <c r="I26"/>
  <c r="H26"/>
  <c r="P46" i="21"/>
  <c r="C34" l="1"/>
  <c r="P16"/>
  <c r="N22"/>
  <c r="J22"/>
  <c r="F22"/>
  <c r="C22"/>
  <c r="B22"/>
  <c r="B34" l="1"/>
  <c r="P8"/>
  <c r="F34"/>
  <c r="E22"/>
  <c r="M22"/>
  <c r="P11"/>
  <c r="P15"/>
  <c r="P27"/>
  <c r="D22"/>
  <c r="H22"/>
  <c r="L22"/>
  <c r="P6"/>
  <c r="P10"/>
  <c r="I22"/>
  <c r="P3"/>
  <c r="P7"/>
  <c r="E34"/>
  <c r="G22"/>
  <c r="K22"/>
  <c r="O22"/>
  <c r="P13"/>
  <c r="G34"/>
  <c r="K34"/>
  <c r="O34"/>
  <c r="P29"/>
  <c r="P33"/>
  <c r="P12"/>
  <c r="P21"/>
  <c r="J34"/>
  <c r="N34"/>
  <c r="P31"/>
  <c r="P14"/>
  <c r="P9"/>
  <c r="P5"/>
  <c r="P4"/>
  <c r="I34"/>
  <c r="M34"/>
  <c r="D34"/>
  <c r="H34"/>
  <c r="L34"/>
  <c r="P28"/>
  <c r="P30"/>
  <c r="P32"/>
  <c r="P2"/>
  <c r="P26"/>
  <c r="P22" l="1"/>
  <c r="P34"/>
  <c r="D34" i="18" l="1"/>
  <c r="T35" i="10"/>
  <c r="Z39" i="9"/>
  <c r="Y39"/>
  <c r="X39"/>
  <c r="W46" i="15"/>
  <c r="R17" i="10" l="1"/>
  <c r="G17" i="1" s="1"/>
  <c r="S17" i="10"/>
  <c r="H17" i="1" s="1"/>
  <c r="T17" i="10"/>
  <c r="I17" i="1" s="1"/>
  <c r="R18" i="10"/>
  <c r="S18"/>
  <c r="H18" i="1" s="1"/>
  <c r="T18" i="10"/>
  <c r="R19"/>
  <c r="G19" i="1" s="1"/>
  <c r="S19" i="10"/>
  <c r="T19"/>
  <c r="I19" i="1" s="1"/>
  <c r="G18"/>
  <c r="I18"/>
  <c r="H19"/>
  <c r="S20" i="10"/>
  <c r="H20" i="1" s="1"/>
  <c r="T20" i="10"/>
  <c r="I20" i="1" s="1"/>
  <c r="R20" i="10"/>
  <c r="G20" i="1" s="1"/>
  <c r="J20" l="1"/>
  <c r="Q28" l="1"/>
  <c r="Q19" l="1"/>
  <c r="D88" i="2"/>
  <c r="D61"/>
  <c r="D97" i="10" l="1"/>
  <c r="D70" i="2"/>
  <c r="N92" i="1" l="1"/>
  <c r="N91"/>
  <c r="N90"/>
  <c r="N89"/>
  <c r="N87"/>
  <c r="N78"/>
  <c r="N73"/>
  <c r="N72"/>
  <c r="E25" i="13"/>
  <c r="B26"/>
  <c r="B34" i="15"/>
  <c r="B42"/>
  <c r="B39"/>
  <c r="M36"/>
  <c r="O111" i="10"/>
  <c r="O109"/>
  <c r="O108"/>
  <c r="O107"/>
  <c r="O106"/>
  <c r="O104"/>
  <c r="O103"/>
  <c r="O102"/>
  <c r="O101"/>
  <c r="O100"/>
  <c r="O99"/>
  <c r="O98"/>
  <c r="O96"/>
  <c r="O95"/>
  <c r="O94"/>
  <c r="O93"/>
  <c r="O92"/>
  <c r="O88"/>
  <c r="O87"/>
  <c r="O86"/>
  <c r="O85"/>
  <c r="O84"/>
  <c r="O82"/>
  <c r="O81"/>
  <c r="O79"/>
  <c r="O78"/>
  <c r="O77"/>
  <c r="O76"/>
  <c r="O75"/>
  <c r="O74"/>
  <c r="O73"/>
  <c r="O72"/>
  <c r="O71"/>
  <c r="O69"/>
  <c r="O68"/>
  <c r="O66"/>
  <c r="O65"/>
  <c r="O64"/>
  <c r="O63"/>
  <c r="O62"/>
  <c r="O61"/>
  <c r="O60"/>
  <c r="O59"/>
  <c r="O55"/>
  <c r="O54"/>
  <c r="O53"/>
  <c r="O51"/>
  <c r="O50"/>
  <c r="O49"/>
  <c r="O48"/>
  <c r="O47"/>
  <c r="O46"/>
  <c r="O45"/>
  <c r="O44"/>
  <c r="O43"/>
  <c r="O42"/>
  <c r="O41"/>
  <c r="O40"/>
  <c r="O39"/>
  <c r="O38"/>
  <c r="O34"/>
  <c r="O33"/>
  <c r="O32"/>
  <c r="O30"/>
  <c r="O16"/>
  <c r="L111"/>
  <c r="L109"/>
  <c r="L108"/>
  <c r="L107"/>
  <c r="L106"/>
  <c r="L104"/>
  <c r="L103"/>
  <c r="L102"/>
  <c r="L101"/>
  <c r="L100"/>
  <c r="L99"/>
  <c r="L98"/>
  <c r="L96"/>
  <c r="L95"/>
  <c r="L94"/>
  <c r="L93"/>
  <c r="L92"/>
  <c r="L88"/>
  <c r="L87"/>
  <c r="L86"/>
  <c r="L85"/>
  <c r="L84"/>
  <c r="L82"/>
  <c r="L81"/>
  <c r="L79"/>
  <c r="L78"/>
  <c r="L77"/>
  <c r="L76"/>
  <c r="L75"/>
  <c r="L74"/>
  <c r="L73"/>
  <c r="L72"/>
  <c r="L71"/>
  <c r="L69"/>
  <c r="L68"/>
  <c r="L66"/>
  <c r="L65"/>
  <c r="L64"/>
  <c r="L63"/>
  <c r="L62"/>
  <c r="L61"/>
  <c r="L60"/>
  <c r="L59"/>
  <c r="L55"/>
  <c r="L54"/>
  <c r="L53"/>
  <c r="L51"/>
  <c r="L50"/>
  <c r="L49"/>
  <c r="L48"/>
  <c r="L47"/>
  <c r="L46"/>
  <c r="L45"/>
  <c r="L44"/>
  <c r="L43"/>
  <c r="L42"/>
  <c r="L41"/>
  <c r="L40"/>
  <c r="L39"/>
  <c r="L38"/>
  <c r="L34"/>
  <c r="L33"/>
  <c r="L32"/>
  <c r="L30"/>
  <c r="L16"/>
  <c r="I111"/>
  <c r="I109"/>
  <c r="I108"/>
  <c r="I107"/>
  <c r="I106"/>
  <c r="I104"/>
  <c r="I103"/>
  <c r="I102"/>
  <c r="I101"/>
  <c r="I100"/>
  <c r="I99"/>
  <c r="I98"/>
  <c r="I96"/>
  <c r="I95"/>
  <c r="I94"/>
  <c r="I93"/>
  <c r="I92"/>
  <c r="I88"/>
  <c r="I87"/>
  <c r="I86"/>
  <c r="I85"/>
  <c r="I84"/>
  <c r="I82"/>
  <c r="I81"/>
  <c r="I79"/>
  <c r="I78"/>
  <c r="I77"/>
  <c r="I76"/>
  <c r="I75"/>
  <c r="I74"/>
  <c r="I73"/>
  <c r="I72"/>
  <c r="I71"/>
  <c r="I69"/>
  <c r="I68"/>
  <c r="I66"/>
  <c r="I65"/>
  <c r="I64"/>
  <c r="I63"/>
  <c r="I62"/>
  <c r="I61"/>
  <c r="I60"/>
  <c r="I59"/>
  <c r="I55"/>
  <c r="I54"/>
  <c r="I53"/>
  <c r="I51"/>
  <c r="I50"/>
  <c r="I49"/>
  <c r="I48"/>
  <c r="I47"/>
  <c r="I46"/>
  <c r="I45"/>
  <c r="I44"/>
  <c r="I43"/>
  <c r="I42"/>
  <c r="I41"/>
  <c r="I40"/>
  <c r="I39"/>
  <c r="I38"/>
  <c r="I34"/>
  <c r="I33"/>
  <c r="I32"/>
  <c r="I30"/>
  <c r="I16"/>
  <c r="F111"/>
  <c r="F109"/>
  <c r="F108"/>
  <c r="F107"/>
  <c r="F106"/>
  <c r="F104"/>
  <c r="F103"/>
  <c r="F102"/>
  <c r="F101"/>
  <c r="F100"/>
  <c r="F99"/>
  <c r="F98"/>
  <c r="F96"/>
  <c r="F95"/>
  <c r="F94"/>
  <c r="F93"/>
  <c r="F92"/>
  <c r="F88"/>
  <c r="F87"/>
  <c r="F86"/>
  <c r="F85"/>
  <c r="F84"/>
  <c r="F82"/>
  <c r="F81"/>
  <c r="F79"/>
  <c r="F78"/>
  <c r="F77"/>
  <c r="F76"/>
  <c r="F75"/>
  <c r="F74"/>
  <c r="F73"/>
  <c r="F72"/>
  <c r="F71"/>
  <c r="F69"/>
  <c r="F68"/>
  <c r="F66"/>
  <c r="F65"/>
  <c r="F64"/>
  <c r="F63"/>
  <c r="F62"/>
  <c r="F61"/>
  <c r="F60"/>
  <c r="F59"/>
  <c r="F55"/>
  <c r="F54"/>
  <c r="F53"/>
  <c r="F51"/>
  <c r="F50"/>
  <c r="F49"/>
  <c r="F48"/>
  <c r="F47"/>
  <c r="F46"/>
  <c r="F45"/>
  <c r="F44"/>
  <c r="F43"/>
  <c r="F42"/>
  <c r="F41"/>
  <c r="F40"/>
  <c r="F39"/>
  <c r="F38"/>
  <c r="F34"/>
  <c r="F33"/>
  <c r="F32"/>
  <c r="F30"/>
  <c r="F16"/>
  <c r="O110"/>
  <c r="O105"/>
  <c r="O97"/>
  <c r="O89"/>
  <c r="O83"/>
  <c r="O80"/>
  <c r="O70"/>
  <c r="O67"/>
  <c r="O58"/>
  <c r="O56"/>
  <c r="O52"/>
  <c r="O31"/>
  <c r="O26"/>
  <c r="O24"/>
  <c r="O21"/>
  <c r="O11"/>
  <c r="O7"/>
  <c r="L110"/>
  <c r="L105"/>
  <c r="L97"/>
  <c r="L89"/>
  <c r="L83"/>
  <c r="L80"/>
  <c r="L70"/>
  <c r="L67"/>
  <c r="L58"/>
  <c r="L56"/>
  <c r="L52"/>
  <c r="L31"/>
  <c r="L26"/>
  <c r="L24"/>
  <c r="L21"/>
  <c r="L11"/>
  <c r="L7"/>
  <c r="I110"/>
  <c r="I105"/>
  <c r="I97"/>
  <c r="I89"/>
  <c r="I83"/>
  <c r="I80"/>
  <c r="I70"/>
  <c r="I67"/>
  <c r="I58"/>
  <c r="I56"/>
  <c r="I52"/>
  <c r="I31"/>
  <c r="I26"/>
  <c r="I24"/>
  <c r="I21"/>
  <c r="I11"/>
  <c r="I7"/>
  <c r="F110"/>
  <c r="F105"/>
  <c r="F97"/>
  <c r="F89"/>
  <c r="F83"/>
  <c r="F80"/>
  <c r="F70"/>
  <c r="F58"/>
  <c r="F56"/>
  <c r="F52"/>
  <c r="F26"/>
  <c r="F24"/>
  <c r="F21"/>
  <c r="F11"/>
  <c r="F7"/>
  <c r="C111"/>
  <c r="C109"/>
  <c r="C108"/>
  <c r="C107"/>
  <c r="C106"/>
  <c r="C104"/>
  <c r="C103"/>
  <c r="C102"/>
  <c r="C101"/>
  <c r="C100"/>
  <c r="C99"/>
  <c r="C98"/>
  <c r="C95"/>
  <c r="C96"/>
  <c r="C94"/>
  <c r="C93"/>
  <c r="C92"/>
  <c r="C88"/>
  <c r="C87"/>
  <c r="C86"/>
  <c r="C85"/>
  <c r="C84"/>
  <c r="C82"/>
  <c r="C81"/>
  <c r="C79"/>
  <c r="C78"/>
  <c r="C77"/>
  <c r="C76"/>
  <c r="C75"/>
  <c r="C74"/>
  <c r="C73"/>
  <c r="C72"/>
  <c r="C71"/>
  <c r="C69"/>
  <c r="C68"/>
  <c r="C66"/>
  <c r="C65"/>
  <c r="C64"/>
  <c r="C63"/>
  <c r="C62"/>
  <c r="C61"/>
  <c r="C60"/>
  <c r="C59"/>
  <c r="C55"/>
  <c r="C54"/>
  <c r="C53"/>
  <c r="C51"/>
  <c r="C50"/>
  <c r="C49"/>
  <c r="C48"/>
  <c r="C47"/>
  <c r="C46"/>
  <c r="C45"/>
  <c r="C44"/>
  <c r="C43"/>
  <c r="C42"/>
  <c r="C41"/>
  <c r="C40"/>
  <c r="C39"/>
  <c r="C38"/>
  <c r="C33"/>
  <c r="C34"/>
  <c r="C32"/>
  <c r="C30"/>
  <c r="C16"/>
  <c r="U92" i="9"/>
  <c r="U91"/>
  <c r="U90"/>
  <c r="U89"/>
  <c r="U88"/>
  <c r="U86"/>
  <c r="U85"/>
  <c r="U83"/>
  <c r="U82"/>
  <c r="U81"/>
  <c r="U80"/>
  <c r="U79"/>
  <c r="U78"/>
  <c r="U77"/>
  <c r="U76"/>
  <c r="U75"/>
  <c r="U73"/>
  <c r="U72"/>
  <c r="U70"/>
  <c r="U69"/>
  <c r="U68"/>
  <c r="U67"/>
  <c r="U66"/>
  <c r="U65"/>
  <c r="U64"/>
  <c r="U63"/>
  <c r="U59"/>
  <c r="U58"/>
  <c r="U57"/>
  <c r="U55"/>
  <c r="U54"/>
  <c r="U53"/>
  <c r="U52"/>
  <c r="U51"/>
  <c r="U50"/>
  <c r="U49"/>
  <c r="U48"/>
  <c r="U47"/>
  <c r="U46"/>
  <c r="U45"/>
  <c r="U44"/>
  <c r="U43"/>
  <c r="U42"/>
  <c r="U38"/>
  <c r="U37"/>
  <c r="U36"/>
  <c r="U35"/>
  <c r="U34"/>
  <c r="U33"/>
  <c r="U32"/>
  <c r="U30"/>
  <c r="U19"/>
  <c r="U18"/>
  <c r="U17"/>
  <c r="U16"/>
  <c r="U15"/>
  <c r="U14"/>
  <c r="U13"/>
  <c r="U112"/>
  <c r="U107"/>
  <c r="U96"/>
  <c r="U99" s="1"/>
  <c r="U87"/>
  <c r="U74"/>
  <c r="U60"/>
  <c r="U26"/>
  <c r="U24"/>
  <c r="U11"/>
  <c r="U7"/>
  <c r="R92"/>
  <c r="R91"/>
  <c r="R90"/>
  <c r="R89"/>
  <c r="R88"/>
  <c r="R86"/>
  <c r="R85"/>
  <c r="R83"/>
  <c r="R82"/>
  <c r="R81"/>
  <c r="R80"/>
  <c r="R79"/>
  <c r="R78"/>
  <c r="R77"/>
  <c r="R76"/>
  <c r="R75"/>
  <c r="R84" s="1"/>
  <c r="R73"/>
  <c r="R72"/>
  <c r="R70"/>
  <c r="R69"/>
  <c r="R68"/>
  <c r="R67"/>
  <c r="R66"/>
  <c r="R65"/>
  <c r="R64"/>
  <c r="R63"/>
  <c r="R59"/>
  <c r="R58"/>
  <c r="R57"/>
  <c r="R55"/>
  <c r="R54"/>
  <c r="R53"/>
  <c r="R52"/>
  <c r="R51"/>
  <c r="R50"/>
  <c r="R49"/>
  <c r="R48"/>
  <c r="R47"/>
  <c r="R46"/>
  <c r="R45"/>
  <c r="R44"/>
  <c r="R43"/>
  <c r="R42"/>
  <c r="R38"/>
  <c r="R37"/>
  <c r="R36"/>
  <c r="R35"/>
  <c r="R34"/>
  <c r="R33"/>
  <c r="R32"/>
  <c r="R30"/>
  <c r="R19"/>
  <c r="R18"/>
  <c r="R17"/>
  <c r="R16"/>
  <c r="R15"/>
  <c r="R14"/>
  <c r="R13"/>
  <c r="R112"/>
  <c r="R107"/>
  <c r="R96"/>
  <c r="R99" s="1"/>
  <c r="R60"/>
  <c r="R26"/>
  <c r="R24"/>
  <c r="R11"/>
  <c r="R7"/>
  <c r="O92"/>
  <c r="O91"/>
  <c r="O90"/>
  <c r="O89"/>
  <c r="O88"/>
  <c r="O86"/>
  <c r="O85"/>
  <c r="O83"/>
  <c r="O82"/>
  <c r="O81"/>
  <c r="O80"/>
  <c r="O79"/>
  <c r="O78"/>
  <c r="O77"/>
  <c r="O76"/>
  <c r="O75"/>
  <c r="O73"/>
  <c r="O72"/>
  <c r="O74" s="1"/>
  <c r="O70"/>
  <c r="O69"/>
  <c r="O68"/>
  <c r="O67"/>
  <c r="O66"/>
  <c r="O65"/>
  <c r="O64"/>
  <c r="O63"/>
  <c r="O62" s="1"/>
  <c r="O59"/>
  <c r="O58"/>
  <c r="O57"/>
  <c r="O55"/>
  <c r="O54"/>
  <c r="O53"/>
  <c r="O52"/>
  <c r="O51"/>
  <c r="O50"/>
  <c r="O49"/>
  <c r="O48"/>
  <c r="O47"/>
  <c r="O46"/>
  <c r="O45"/>
  <c r="O44"/>
  <c r="O43"/>
  <c r="O42"/>
  <c r="O38"/>
  <c r="O37"/>
  <c r="O36"/>
  <c r="O35"/>
  <c r="O34"/>
  <c r="O33"/>
  <c r="O32"/>
  <c r="O31" s="1"/>
  <c r="O30"/>
  <c r="O19"/>
  <c r="O18"/>
  <c r="O17"/>
  <c r="O16"/>
  <c r="O15"/>
  <c r="O14"/>
  <c r="O13"/>
  <c r="O112"/>
  <c r="O107"/>
  <c r="O96"/>
  <c r="O99" s="1"/>
  <c r="O93"/>
  <c r="O87"/>
  <c r="O71"/>
  <c r="O26"/>
  <c r="O24"/>
  <c r="O11"/>
  <c r="O7"/>
  <c r="L92"/>
  <c r="L91"/>
  <c r="L90"/>
  <c r="L89"/>
  <c r="L88"/>
  <c r="L86"/>
  <c r="L85"/>
  <c r="L83"/>
  <c r="L82"/>
  <c r="L81"/>
  <c r="L80"/>
  <c r="L79"/>
  <c r="L78"/>
  <c r="L77"/>
  <c r="L76"/>
  <c r="L75"/>
  <c r="L73"/>
  <c r="L72"/>
  <c r="L70"/>
  <c r="L69"/>
  <c r="L68"/>
  <c r="L67"/>
  <c r="L66"/>
  <c r="L65"/>
  <c r="L64"/>
  <c r="L63"/>
  <c r="L59"/>
  <c r="L58"/>
  <c r="L57"/>
  <c r="L55"/>
  <c r="L54"/>
  <c r="L53"/>
  <c r="L52"/>
  <c r="L51"/>
  <c r="L50"/>
  <c r="L49"/>
  <c r="L48"/>
  <c r="L47"/>
  <c r="L46"/>
  <c r="L45"/>
  <c r="L44"/>
  <c r="L43"/>
  <c r="L42"/>
  <c r="L38"/>
  <c r="L37"/>
  <c r="L36"/>
  <c r="L35"/>
  <c r="L34"/>
  <c r="L33"/>
  <c r="L32"/>
  <c r="L30"/>
  <c r="L19"/>
  <c r="L18"/>
  <c r="L17"/>
  <c r="L16"/>
  <c r="L15"/>
  <c r="L14"/>
  <c r="L13"/>
  <c r="L112"/>
  <c r="L107"/>
  <c r="L96"/>
  <c r="L99" s="1"/>
  <c r="L93"/>
  <c r="L87"/>
  <c r="L62"/>
  <c r="L26"/>
  <c r="L24"/>
  <c r="L11"/>
  <c r="L7"/>
  <c r="I92"/>
  <c r="I91"/>
  <c r="I90"/>
  <c r="I89"/>
  <c r="I88"/>
  <c r="I86"/>
  <c r="I85"/>
  <c r="I83"/>
  <c r="I82"/>
  <c r="I81"/>
  <c r="I80"/>
  <c r="I79"/>
  <c r="I78"/>
  <c r="I77"/>
  <c r="I76"/>
  <c r="I75"/>
  <c r="I73"/>
  <c r="I72"/>
  <c r="I70"/>
  <c r="I69"/>
  <c r="I68"/>
  <c r="I67"/>
  <c r="I66"/>
  <c r="I65"/>
  <c r="I64"/>
  <c r="I63"/>
  <c r="I59"/>
  <c r="I58"/>
  <c r="I57"/>
  <c r="I55"/>
  <c r="I54"/>
  <c r="I53"/>
  <c r="I52"/>
  <c r="I51"/>
  <c r="I50"/>
  <c r="I49"/>
  <c r="I48"/>
  <c r="I47"/>
  <c r="I46"/>
  <c r="I45"/>
  <c r="I44"/>
  <c r="I43"/>
  <c r="I42"/>
  <c r="I38"/>
  <c r="I37"/>
  <c r="I36"/>
  <c r="I35"/>
  <c r="I34"/>
  <c r="I33"/>
  <c r="I32"/>
  <c r="I30"/>
  <c r="I19"/>
  <c r="I18"/>
  <c r="I17"/>
  <c r="I16"/>
  <c r="I15"/>
  <c r="I14"/>
  <c r="I13"/>
  <c r="I112"/>
  <c r="I107"/>
  <c r="I96"/>
  <c r="I99" s="1"/>
  <c r="I93"/>
  <c r="I84"/>
  <c r="I71"/>
  <c r="I26"/>
  <c r="I24"/>
  <c r="I11"/>
  <c r="I7"/>
  <c r="F92"/>
  <c r="F91"/>
  <c r="F90"/>
  <c r="F89"/>
  <c r="F88"/>
  <c r="F86"/>
  <c r="F85"/>
  <c r="F83"/>
  <c r="F82"/>
  <c r="F81"/>
  <c r="F80"/>
  <c r="F79"/>
  <c r="F78"/>
  <c r="F77"/>
  <c r="F76"/>
  <c r="F75"/>
  <c r="F73"/>
  <c r="F72"/>
  <c r="F70"/>
  <c r="F69"/>
  <c r="F68"/>
  <c r="F67"/>
  <c r="F66"/>
  <c r="F65"/>
  <c r="F64"/>
  <c r="F63"/>
  <c r="F59"/>
  <c r="F58"/>
  <c r="F57"/>
  <c r="F55"/>
  <c r="F54"/>
  <c r="F53"/>
  <c r="F52"/>
  <c r="F51"/>
  <c r="F50"/>
  <c r="F49"/>
  <c r="F48"/>
  <c r="F47"/>
  <c r="F46"/>
  <c r="F45"/>
  <c r="F44"/>
  <c r="F43"/>
  <c r="F42"/>
  <c r="F38"/>
  <c r="F37"/>
  <c r="F36"/>
  <c r="F35"/>
  <c r="F34"/>
  <c r="F33"/>
  <c r="F32"/>
  <c r="F30"/>
  <c r="F19"/>
  <c r="F18"/>
  <c r="F17"/>
  <c r="F16"/>
  <c r="F15"/>
  <c r="F14"/>
  <c r="F13"/>
  <c r="F112"/>
  <c r="F107"/>
  <c r="F96"/>
  <c r="F99" s="1"/>
  <c r="F87"/>
  <c r="F71"/>
  <c r="F26"/>
  <c r="F24"/>
  <c r="F11"/>
  <c r="F7"/>
  <c r="C92"/>
  <c r="C91"/>
  <c r="C90"/>
  <c r="C89"/>
  <c r="C88"/>
  <c r="C86"/>
  <c r="C85"/>
  <c r="C83"/>
  <c r="C82"/>
  <c r="C81"/>
  <c r="C80"/>
  <c r="C79"/>
  <c r="C78"/>
  <c r="C77"/>
  <c r="C76"/>
  <c r="C75"/>
  <c r="C73"/>
  <c r="C72"/>
  <c r="C70"/>
  <c r="C69"/>
  <c r="C68"/>
  <c r="C67"/>
  <c r="C66"/>
  <c r="C65"/>
  <c r="C64"/>
  <c r="C63"/>
  <c r="C59"/>
  <c r="C58"/>
  <c r="C57"/>
  <c r="C50"/>
  <c r="C51"/>
  <c r="C52"/>
  <c r="C53"/>
  <c r="C54"/>
  <c r="C55"/>
  <c r="C47"/>
  <c r="C48"/>
  <c r="C49"/>
  <c r="C44"/>
  <c r="C45"/>
  <c r="C46"/>
  <c r="C43"/>
  <c r="C42"/>
  <c r="C38"/>
  <c r="C33"/>
  <c r="C34"/>
  <c r="C35"/>
  <c r="C36"/>
  <c r="C37"/>
  <c r="C32"/>
  <c r="C30"/>
  <c r="C14"/>
  <c r="C15"/>
  <c r="C16"/>
  <c r="C17"/>
  <c r="C18"/>
  <c r="C19"/>
  <c r="C13"/>
  <c r="C83" i="2"/>
  <c r="C80"/>
  <c r="C63"/>
  <c r="C62"/>
  <c r="C59"/>
  <c r="C51"/>
  <c r="C52"/>
  <c r="C53"/>
  <c r="C54"/>
  <c r="C55"/>
  <c r="C56"/>
  <c r="C50"/>
  <c r="C42"/>
  <c r="C43"/>
  <c r="C44"/>
  <c r="C45"/>
  <c r="C46"/>
  <c r="C47"/>
  <c r="C41"/>
  <c r="C32"/>
  <c r="C33"/>
  <c r="C34"/>
  <c r="C35"/>
  <c r="C36"/>
  <c r="C37"/>
  <c r="C38"/>
  <c r="C31"/>
  <c r="C23"/>
  <c r="C24"/>
  <c r="C25"/>
  <c r="C26"/>
  <c r="C27"/>
  <c r="C28"/>
  <c r="C22"/>
  <c r="C18"/>
  <c r="C19"/>
  <c r="C17"/>
  <c r="C14"/>
  <c r="C13"/>
  <c r="C12"/>
  <c r="C11"/>
  <c r="C10"/>
  <c r="C9"/>
  <c r="C8"/>
  <c r="C5"/>
  <c r="C61" l="1"/>
  <c r="I31" i="9"/>
  <c r="I29" s="1"/>
  <c r="I40" s="1"/>
  <c r="I87"/>
  <c r="U62"/>
  <c r="U93"/>
  <c r="I60"/>
  <c r="L21"/>
  <c r="L56"/>
  <c r="L60"/>
  <c r="U56"/>
  <c r="U61" s="1"/>
  <c r="U84"/>
  <c r="I62"/>
  <c r="I74"/>
  <c r="L74"/>
  <c r="F31" i="10"/>
  <c r="L71" i="9"/>
  <c r="L94" s="1"/>
  <c r="L84"/>
  <c r="F62"/>
  <c r="F74"/>
  <c r="F93"/>
  <c r="R21"/>
  <c r="L29" i="10"/>
  <c r="L36" s="1"/>
  <c r="I29"/>
  <c r="I36" s="1"/>
  <c r="F56" i="9"/>
  <c r="F61" s="1"/>
  <c r="O29"/>
  <c r="O40" s="1"/>
  <c r="F29" i="10"/>
  <c r="F36" s="1"/>
  <c r="O29"/>
  <c r="O36" s="1"/>
  <c r="F60" i="9"/>
  <c r="F84"/>
  <c r="F94" s="1"/>
  <c r="R31"/>
  <c r="R29" s="1"/>
  <c r="R62"/>
  <c r="F21"/>
  <c r="F27" s="1"/>
  <c r="F31"/>
  <c r="F29" s="1"/>
  <c r="I21"/>
  <c r="I27" s="1"/>
  <c r="R71"/>
  <c r="R74"/>
  <c r="R93"/>
  <c r="U21"/>
  <c r="U31"/>
  <c r="U71"/>
  <c r="U94" s="1"/>
  <c r="L31"/>
  <c r="L29" s="1"/>
  <c r="B44" i="15"/>
  <c r="B46" s="1"/>
  <c r="N5" i="1"/>
  <c r="I56" i="9"/>
  <c r="I61" s="1"/>
  <c r="O56"/>
  <c r="R56"/>
  <c r="R61" s="1"/>
  <c r="R87"/>
  <c r="O21"/>
  <c r="O27" s="1"/>
  <c r="O60"/>
  <c r="O84"/>
  <c r="O94" s="1"/>
  <c r="F27" i="10"/>
  <c r="I27"/>
  <c r="L27"/>
  <c r="O27"/>
  <c r="N36" i="15"/>
  <c r="L57" i="10"/>
  <c r="I57"/>
  <c r="F57"/>
  <c r="O57"/>
  <c r="O90"/>
  <c r="L90"/>
  <c r="I90"/>
  <c r="I112" s="1"/>
  <c r="I114" s="1"/>
  <c r="F90"/>
  <c r="U27" i="9"/>
  <c r="R27"/>
  <c r="L61"/>
  <c r="L27"/>
  <c r="I94"/>
  <c r="L37" i="10" l="1"/>
  <c r="U114" i="9"/>
  <c r="U116" s="1"/>
  <c r="F37" i="10"/>
  <c r="O41" i="9"/>
  <c r="F112" i="10"/>
  <c r="F114" s="1"/>
  <c r="I37"/>
  <c r="I41" i="9"/>
  <c r="O37" i="10"/>
  <c r="F40" i="9"/>
  <c r="F114"/>
  <c r="F116" s="1"/>
  <c r="U29"/>
  <c r="U40" s="1"/>
  <c r="U41" s="1"/>
  <c r="L40"/>
  <c r="L41" s="1"/>
  <c r="R40"/>
  <c r="R41" s="1"/>
  <c r="F41"/>
  <c r="F118" s="1"/>
  <c r="R94"/>
  <c r="R114" s="1"/>
  <c r="R116" s="1"/>
  <c r="I114"/>
  <c r="I116" s="1"/>
  <c r="I118" s="1"/>
  <c r="L114"/>
  <c r="L116" s="1"/>
  <c r="O61"/>
  <c r="O114" s="1"/>
  <c r="O116" s="1"/>
  <c r="O118" s="1"/>
  <c r="L112" i="10"/>
  <c r="L114" s="1"/>
  <c r="O112"/>
  <c r="O114" s="1"/>
  <c r="U118" i="9" l="1"/>
  <c r="L118"/>
  <c r="R118"/>
  <c r="P86" i="1"/>
  <c r="Q88" l="1"/>
  <c r="O74"/>
  <c r="F70" i="2"/>
  <c r="F56"/>
  <c r="F55"/>
  <c r="F54"/>
  <c r="F53"/>
  <c r="F52"/>
  <c r="F51"/>
  <c r="F50"/>
  <c r="F47"/>
  <c r="F46"/>
  <c r="F45"/>
  <c r="F44"/>
  <c r="F43"/>
  <c r="F42"/>
  <c r="F41"/>
  <c r="F38"/>
  <c r="F37"/>
  <c r="F36"/>
  <c r="F35"/>
  <c r="F34"/>
  <c r="F33"/>
  <c r="F32"/>
  <c r="F31"/>
  <c r="S6" i="10"/>
  <c r="H6" i="1" s="1"/>
  <c r="L6" s="1"/>
  <c r="R5" i="10"/>
  <c r="T5"/>
  <c r="I5" i="1" s="1"/>
  <c r="M5" s="1"/>
  <c r="R6" i="10"/>
  <c r="T6"/>
  <c r="I6" i="1" s="1"/>
  <c r="M6" s="1"/>
  <c r="S5" i="10"/>
  <c r="H5" i="1" s="1"/>
  <c r="L5" s="1"/>
  <c r="G5"/>
  <c r="K5" s="1"/>
  <c r="G6"/>
  <c r="K6" s="1"/>
  <c r="D7" i="10"/>
  <c r="D31"/>
  <c r="D29" s="1"/>
  <c r="D31" i="9"/>
  <c r="D29" s="1"/>
  <c r="P74" i="1"/>
  <c r="H56" i="9"/>
  <c r="K56"/>
  <c r="N56"/>
  <c r="Q56"/>
  <c r="T56"/>
  <c r="W56"/>
  <c r="W112"/>
  <c r="W107"/>
  <c r="W99"/>
  <c r="W93"/>
  <c r="W87"/>
  <c r="W84"/>
  <c r="W74"/>
  <c r="W71"/>
  <c r="W62"/>
  <c r="W60"/>
  <c r="W31"/>
  <c r="W29" s="1"/>
  <c r="W40" s="1"/>
  <c r="W26"/>
  <c r="W24"/>
  <c r="W21"/>
  <c r="W11"/>
  <c r="W7"/>
  <c r="T112"/>
  <c r="T107"/>
  <c r="T99"/>
  <c r="T93"/>
  <c r="T87"/>
  <c r="T84"/>
  <c r="T74"/>
  <c r="T71"/>
  <c r="T62"/>
  <c r="T60"/>
  <c r="T31"/>
  <c r="T29" s="1"/>
  <c r="T40" s="1"/>
  <c r="T26"/>
  <c r="T24"/>
  <c r="T21"/>
  <c r="T11"/>
  <c r="T7"/>
  <c r="Q112"/>
  <c r="Q107"/>
  <c r="Q99"/>
  <c r="Q93"/>
  <c r="Q87"/>
  <c r="Q84"/>
  <c r="Q74"/>
  <c r="Q71"/>
  <c r="Q62"/>
  <c r="Q60"/>
  <c r="Q31"/>
  <c r="Q29" s="1"/>
  <c r="Q40" s="1"/>
  <c r="Q26"/>
  <c r="Q24"/>
  <c r="Q21"/>
  <c r="Q11"/>
  <c r="Q7"/>
  <c r="N112"/>
  <c r="N107"/>
  <c r="N99"/>
  <c r="N93"/>
  <c r="N87"/>
  <c r="N84"/>
  <c r="N74"/>
  <c r="N71"/>
  <c r="N62"/>
  <c r="N60"/>
  <c r="N31"/>
  <c r="N29" s="1"/>
  <c r="N40" s="1"/>
  <c r="N26"/>
  <c r="N24"/>
  <c r="N21"/>
  <c r="N11"/>
  <c r="N7"/>
  <c r="K112"/>
  <c r="K107"/>
  <c r="K99"/>
  <c r="K93"/>
  <c r="K87"/>
  <c r="K84"/>
  <c r="K74"/>
  <c r="K71"/>
  <c r="K62"/>
  <c r="K60"/>
  <c r="K31"/>
  <c r="K29" s="1"/>
  <c r="K40" s="1"/>
  <c r="K26"/>
  <c r="K24"/>
  <c r="K21"/>
  <c r="K11"/>
  <c r="K7"/>
  <c r="H112"/>
  <c r="H107"/>
  <c r="H99"/>
  <c r="H93"/>
  <c r="H87"/>
  <c r="H84"/>
  <c r="H74"/>
  <c r="H71"/>
  <c r="H62"/>
  <c r="H60"/>
  <c r="H31"/>
  <c r="H29" s="1"/>
  <c r="H40" s="1"/>
  <c r="H26"/>
  <c r="H24"/>
  <c r="H21"/>
  <c r="H11"/>
  <c r="H7"/>
  <c r="P54" i="21"/>
  <c r="P38"/>
  <c r="B56"/>
  <c r="O56"/>
  <c r="N56"/>
  <c r="M56"/>
  <c r="L56"/>
  <c r="K56"/>
  <c r="J56"/>
  <c r="I56"/>
  <c r="H56"/>
  <c r="G56"/>
  <c r="F56"/>
  <c r="E56"/>
  <c r="C56"/>
  <c r="P55"/>
  <c r="W61" i="9" l="1"/>
  <c r="K61"/>
  <c r="N61"/>
  <c r="Q61"/>
  <c r="D56" i="21"/>
  <c r="H61" i="9"/>
  <c r="H27"/>
  <c r="H41" s="1"/>
  <c r="T94"/>
  <c r="W94"/>
  <c r="W114" s="1"/>
  <c r="W116" s="1"/>
  <c r="T61"/>
  <c r="W27"/>
  <c r="W41" s="1"/>
  <c r="T27"/>
  <c r="T41" s="1"/>
  <c r="Q94"/>
  <c r="Q27"/>
  <c r="Q41" s="1"/>
  <c r="N94"/>
  <c r="N27"/>
  <c r="N41" s="1"/>
  <c r="K94"/>
  <c r="K27"/>
  <c r="K41" s="1"/>
  <c r="H94"/>
  <c r="P56" i="21"/>
  <c r="O86" i="1"/>
  <c r="N114" i="9" l="1"/>
  <c r="N116" s="1"/>
  <c r="K114"/>
  <c r="K116" s="1"/>
  <c r="H114"/>
  <c r="H116" s="1"/>
  <c r="Q114"/>
  <c r="Q116" s="1"/>
  <c r="T114"/>
  <c r="T116" s="1"/>
  <c r="E62" i="2" l="1"/>
  <c r="G35" i="18"/>
  <c r="D35"/>
  <c r="C35"/>
  <c r="E34"/>
  <c r="E33"/>
  <c r="E32"/>
  <c r="E31"/>
  <c r="E30"/>
  <c r="E29"/>
  <c r="E28"/>
  <c r="G25"/>
  <c r="E64" i="2" s="1"/>
  <c r="F64" s="1"/>
  <c r="E24" i="18"/>
  <c r="E23"/>
  <c r="E22"/>
  <c r="E21"/>
  <c r="E20"/>
  <c r="E19"/>
  <c r="D25"/>
  <c r="C25"/>
  <c r="E66" i="2" l="1"/>
  <c r="G47" i="18"/>
  <c r="F62" i="2"/>
  <c r="E25" i="18"/>
  <c r="E35"/>
  <c r="F66" i="2" l="1"/>
  <c r="Q30" i="10"/>
  <c r="N30"/>
  <c r="K30"/>
  <c r="H30"/>
  <c r="E30"/>
  <c r="M47" i="15"/>
  <c r="M45"/>
  <c r="N45" l="1"/>
  <c r="E31" i="9" l="1"/>
  <c r="E29" s="1"/>
  <c r="E40" s="1"/>
  <c r="N7" i="10" l="1"/>
  <c r="H7"/>
  <c r="T4"/>
  <c r="S4"/>
  <c r="H4" i="1" s="1"/>
  <c r="L4" s="1"/>
  <c r="L7" s="1"/>
  <c r="R4" i="10"/>
  <c r="G4" i="1" s="1"/>
  <c r="K4" s="1"/>
  <c r="K7" s="1"/>
  <c r="Q92" i="10"/>
  <c r="Q87" i="1"/>
  <c r="Q78"/>
  <c r="Q73"/>
  <c r="Q72"/>
  <c r="I4" l="1"/>
  <c r="M4" s="1"/>
  <c r="M7" s="1"/>
  <c r="G7"/>
  <c r="H7"/>
  <c r="I7"/>
  <c r="P89"/>
  <c r="Q110" i="10"/>
  <c r="Q105"/>
  <c r="Q97"/>
  <c r="Q89"/>
  <c r="Q83"/>
  <c r="Q80"/>
  <c r="Q70"/>
  <c r="Q67"/>
  <c r="Q58"/>
  <c r="Q56"/>
  <c r="Q52"/>
  <c r="Q31"/>
  <c r="Q26"/>
  <c r="Q24"/>
  <c r="Q21"/>
  <c r="N110"/>
  <c r="N105"/>
  <c r="N97"/>
  <c r="N89"/>
  <c r="N83"/>
  <c r="N80"/>
  <c r="N70"/>
  <c r="N67"/>
  <c r="N58"/>
  <c r="N56"/>
  <c r="N52"/>
  <c r="N31"/>
  <c r="N26"/>
  <c r="N24"/>
  <c r="N21"/>
  <c r="K110"/>
  <c r="K105"/>
  <c r="K97"/>
  <c r="K89"/>
  <c r="K83"/>
  <c r="K80"/>
  <c r="K70"/>
  <c r="K67"/>
  <c r="K58"/>
  <c r="K56"/>
  <c r="K52"/>
  <c r="K57" s="1"/>
  <c r="K31"/>
  <c r="K26"/>
  <c r="K24"/>
  <c r="K21"/>
  <c r="H110"/>
  <c r="H105"/>
  <c r="H97"/>
  <c r="H89"/>
  <c r="H83"/>
  <c r="H80"/>
  <c r="H70"/>
  <c r="H67"/>
  <c r="H58"/>
  <c r="H56"/>
  <c r="H52"/>
  <c r="H31"/>
  <c r="H26"/>
  <c r="H24"/>
  <c r="H21"/>
  <c r="W118" i="9"/>
  <c r="T118"/>
  <c r="Q118"/>
  <c r="N118"/>
  <c r="K118"/>
  <c r="H118"/>
  <c r="Q29" i="10" l="1"/>
  <c r="Q36" s="1"/>
  <c r="Q37" s="1"/>
  <c r="H29"/>
  <c r="H36" s="1"/>
  <c r="K29"/>
  <c r="K36" s="1"/>
  <c r="N29"/>
  <c r="N36" s="1"/>
  <c r="Q27"/>
  <c r="Q57"/>
  <c r="N90"/>
  <c r="H90"/>
  <c r="H27"/>
  <c r="H57"/>
  <c r="Q90"/>
  <c r="K27"/>
  <c r="K90"/>
  <c r="K112" s="1"/>
  <c r="K114" s="1"/>
  <c r="N27"/>
  <c r="N57"/>
  <c r="V118" i="9"/>
  <c r="P118"/>
  <c r="J118"/>
  <c r="N37" i="10" l="1"/>
  <c r="H37"/>
  <c r="K37"/>
  <c r="Q112"/>
  <c r="Q114" s="1"/>
  <c r="N112"/>
  <c r="N114" s="1"/>
  <c r="H112"/>
  <c r="H114" s="1"/>
  <c r="G118" i="9"/>
  <c r="M118"/>
  <c r="S118"/>
  <c r="M22" i="20" l="1"/>
  <c r="L22"/>
  <c r="I22"/>
  <c r="N22"/>
  <c r="K22"/>
  <c r="J22"/>
  <c r="H22"/>
  <c r="G22"/>
  <c r="F22"/>
  <c r="E22"/>
  <c r="D22"/>
  <c r="C22"/>
  <c r="M23"/>
  <c r="N23"/>
  <c r="L23"/>
  <c r="K23"/>
  <c r="K20"/>
  <c r="F20"/>
  <c r="N20"/>
  <c r="M20"/>
  <c r="L20"/>
  <c r="J20"/>
  <c r="I20"/>
  <c r="H20"/>
  <c r="G20"/>
  <c r="E20"/>
  <c r="D20"/>
  <c r="C20"/>
  <c r="H19"/>
  <c r="G19"/>
  <c r="F19"/>
  <c r="E19"/>
  <c r="D19"/>
  <c r="C19"/>
  <c r="H18"/>
  <c r="D18"/>
  <c r="E18"/>
  <c r="F18"/>
  <c r="G18"/>
  <c r="C18"/>
  <c r="C14"/>
  <c r="F14"/>
  <c r="N14"/>
  <c r="H14"/>
  <c r="C15"/>
  <c r="F15"/>
  <c r="H3"/>
  <c r="G3"/>
  <c r="F3"/>
  <c r="E3"/>
  <c r="D3"/>
  <c r="C3"/>
  <c r="E69" i="2"/>
  <c r="R88" i="1" l="1"/>
  <c r="S88"/>
  <c r="U88" s="1"/>
  <c r="T88" l="1"/>
  <c r="D69" i="2"/>
  <c r="C69"/>
  <c r="F69" l="1"/>
  <c r="N30" i="1"/>
  <c r="O30"/>
  <c r="P30"/>
  <c r="Q30" l="1"/>
  <c r="O89"/>
  <c r="O94" s="1"/>
  <c r="Z28" i="9"/>
  <c r="E28" i="1" s="1"/>
  <c r="Y28" i="9"/>
  <c r="D28" i="1" s="1"/>
  <c r="X28" i="9"/>
  <c r="C28" i="1" s="1"/>
  <c r="S91" i="10"/>
  <c r="H85" i="1" s="1"/>
  <c r="R91" i="10"/>
  <c r="G85" i="1" s="1"/>
  <c r="Z95" i="9"/>
  <c r="Y95"/>
  <c r="D85" i="1" s="1"/>
  <c r="X95" i="9"/>
  <c r="C85" i="1" s="1"/>
  <c r="E99" i="9"/>
  <c r="D99"/>
  <c r="E85" i="1" l="1"/>
  <c r="F85" s="1"/>
  <c r="F28"/>
  <c r="L85"/>
  <c r="S85" s="1"/>
  <c r="H7" i="22" l="1"/>
  <c r="T91" i="10"/>
  <c r="T113"/>
  <c r="S113"/>
  <c r="T111"/>
  <c r="S111"/>
  <c r="S109"/>
  <c r="S108"/>
  <c r="S107"/>
  <c r="S106"/>
  <c r="S104"/>
  <c r="S103"/>
  <c r="S102"/>
  <c r="S101"/>
  <c r="S100"/>
  <c r="S99"/>
  <c r="S98"/>
  <c r="S96"/>
  <c r="S95"/>
  <c r="S94"/>
  <c r="S93"/>
  <c r="H87" i="1" s="1"/>
  <c r="S92" i="10"/>
  <c r="S88"/>
  <c r="S87"/>
  <c r="S86"/>
  <c r="S85"/>
  <c r="S84"/>
  <c r="S82"/>
  <c r="S81"/>
  <c r="S79"/>
  <c r="S78"/>
  <c r="S77"/>
  <c r="S76"/>
  <c r="S74"/>
  <c r="S73"/>
  <c r="S72"/>
  <c r="S71"/>
  <c r="S69"/>
  <c r="S68"/>
  <c r="S66"/>
  <c r="S65"/>
  <c r="S64"/>
  <c r="S63"/>
  <c r="S62"/>
  <c r="S61"/>
  <c r="S60"/>
  <c r="S59"/>
  <c r="S55"/>
  <c r="S54"/>
  <c r="S53"/>
  <c r="S51"/>
  <c r="S50"/>
  <c r="S49"/>
  <c r="S48"/>
  <c r="S47"/>
  <c r="S46"/>
  <c r="S45"/>
  <c r="S44"/>
  <c r="S43"/>
  <c r="S42"/>
  <c r="S41"/>
  <c r="S40"/>
  <c r="S39"/>
  <c r="S38"/>
  <c r="S34"/>
  <c r="S33"/>
  <c r="S32"/>
  <c r="S30"/>
  <c r="T28"/>
  <c r="E95" i="2" s="1"/>
  <c r="S28" i="10"/>
  <c r="T26"/>
  <c r="S26"/>
  <c r="T24"/>
  <c r="S24"/>
  <c r="S16"/>
  <c r="S21" s="1"/>
  <c r="T11"/>
  <c r="S11"/>
  <c r="T7"/>
  <c r="S7"/>
  <c r="P116"/>
  <c r="M116"/>
  <c r="J116"/>
  <c r="G116"/>
  <c r="D110"/>
  <c r="D105"/>
  <c r="D89"/>
  <c r="D83"/>
  <c r="D80"/>
  <c r="D70"/>
  <c r="D58"/>
  <c r="D56"/>
  <c r="D52"/>
  <c r="T109"/>
  <c r="T108"/>
  <c r="T107"/>
  <c r="T106"/>
  <c r="D26"/>
  <c r="E26"/>
  <c r="D24"/>
  <c r="E24"/>
  <c r="D21"/>
  <c r="D27" s="1"/>
  <c r="D112" i="9"/>
  <c r="E112"/>
  <c r="D107"/>
  <c r="E107"/>
  <c r="D93"/>
  <c r="D87"/>
  <c r="D84"/>
  <c r="D74"/>
  <c r="D71"/>
  <c r="D62"/>
  <c r="D60"/>
  <c r="D56"/>
  <c r="D40"/>
  <c r="E26"/>
  <c r="D26"/>
  <c r="D24"/>
  <c r="E24"/>
  <c r="D21"/>
  <c r="D27" s="1"/>
  <c r="D11"/>
  <c r="E11"/>
  <c r="D7"/>
  <c r="E7"/>
  <c r="Y7"/>
  <c r="Z7"/>
  <c r="Y11"/>
  <c r="Z11"/>
  <c r="Y12"/>
  <c r="Z12"/>
  <c r="Y13"/>
  <c r="Y14"/>
  <c r="Z14"/>
  <c r="E81" i="2" s="1"/>
  <c r="Y15" i="9"/>
  <c r="Y16"/>
  <c r="Y17"/>
  <c r="Z17"/>
  <c r="Y18"/>
  <c r="Z18"/>
  <c r="Y19"/>
  <c r="Z19"/>
  <c r="E86" i="2" s="1"/>
  <c r="Y20" i="9"/>
  <c r="Z20"/>
  <c r="E87" i="2" s="1"/>
  <c r="F87" s="1"/>
  <c r="Y24" i="9"/>
  <c r="Z24"/>
  <c r="Y26"/>
  <c r="Z26"/>
  <c r="Y30"/>
  <c r="Y32"/>
  <c r="Y33"/>
  <c r="Y34"/>
  <c r="Y35"/>
  <c r="Y36"/>
  <c r="Y37"/>
  <c r="Y38"/>
  <c r="Y42"/>
  <c r="Y43"/>
  <c r="Y44"/>
  <c r="Y45"/>
  <c r="Y46"/>
  <c r="Y47"/>
  <c r="Y48"/>
  <c r="Y49"/>
  <c r="Y50"/>
  <c r="Y51"/>
  <c r="Y52"/>
  <c r="Y53"/>
  <c r="Y54"/>
  <c r="Y55"/>
  <c r="Y57"/>
  <c r="Y58"/>
  <c r="Y59"/>
  <c r="Y63"/>
  <c r="Y64"/>
  <c r="Y65"/>
  <c r="Y66"/>
  <c r="Y67"/>
  <c r="Y68"/>
  <c r="Y69"/>
  <c r="Y70"/>
  <c r="Z70"/>
  <c r="Y72"/>
  <c r="Y73"/>
  <c r="Y75"/>
  <c r="Y76"/>
  <c r="Y77"/>
  <c r="Y78"/>
  <c r="Y80"/>
  <c r="Y81"/>
  <c r="Y82"/>
  <c r="Y83"/>
  <c r="Y85"/>
  <c r="Y86"/>
  <c r="Z86"/>
  <c r="Y88"/>
  <c r="Y89"/>
  <c r="Z89"/>
  <c r="Y90"/>
  <c r="Z90"/>
  <c r="Y91"/>
  <c r="Z91"/>
  <c r="Y92"/>
  <c r="Y97"/>
  <c r="Z97"/>
  <c r="Y98"/>
  <c r="Z98"/>
  <c r="Y100"/>
  <c r="Z100"/>
  <c r="Y101"/>
  <c r="Z101"/>
  <c r="Y102"/>
  <c r="Z102"/>
  <c r="Y103"/>
  <c r="Z103"/>
  <c r="Y104"/>
  <c r="Z104"/>
  <c r="Y105"/>
  <c r="Z105"/>
  <c r="Y106"/>
  <c r="Z106"/>
  <c r="Y108"/>
  <c r="Z108"/>
  <c r="Z112" s="1"/>
  <c r="Y109"/>
  <c r="Z109"/>
  <c r="Y110"/>
  <c r="Z110"/>
  <c r="Y111"/>
  <c r="Z111"/>
  <c r="Y113"/>
  <c r="Z113"/>
  <c r="Y115"/>
  <c r="Z115"/>
  <c r="D93" i="2"/>
  <c r="E93"/>
  <c r="D91"/>
  <c r="E91"/>
  <c r="D76"/>
  <c r="D78" s="1"/>
  <c r="E76"/>
  <c r="E78" s="1"/>
  <c r="D58"/>
  <c r="D49"/>
  <c r="D40"/>
  <c r="S97" i="10" l="1"/>
  <c r="Z107" i="9"/>
  <c r="Y112"/>
  <c r="S75" i="10"/>
  <c r="S80" s="1"/>
  <c r="S70"/>
  <c r="S110"/>
  <c r="S52"/>
  <c r="F95" i="2"/>
  <c r="S56" i="10"/>
  <c r="S58"/>
  <c r="S83"/>
  <c r="S105"/>
  <c r="T110"/>
  <c r="S67"/>
  <c r="S89"/>
  <c r="Y21" i="9"/>
  <c r="Y27" s="1"/>
  <c r="Y87"/>
  <c r="Y93"/>
  <c r="Y71"/>
  <c r="Y74"/>
  <c r="Y107"/>
  <c r="Y60"/>
  <c r="D94"/>
  <c r="D61"/>
  <c r="Y56"/>
  <c r="S27" i="10"/>
  <c r="S31"/>
  <c r="S29" s="1"/>
  <c r="D36"/>
  <c r="D37" s="1"/>
  <c r="Z96" i="9"/>
  <c r="Z99" s="1"/>
  <c r="Y96"/>
  <c r="Y99" s="1"/>
  <c r="D90" i="10"/>
  <c r="E110"/>
  <c r="H28" i="1"/>
  <c r="L28" s="1"/>
  <c r="S28" s="1"/>
  <c r="D97" i="2"/>
  <c r="I28" i="1"/>
  <c r="E97" i="2"/>
  <c r="I85" i="1"/>
  <c r="J85" s="1"/>
  <c r="D57" i="10"/>
  <c r="D41" i="9"/>
  <c r="Y79"/>
  <c r="Y84" s="1"/>
  <c r="Y62"/>
  <c r="Y31"/>
  <c r="Y29" s="1"/>
  <c r="P107" i="1"/>
  <c r="O107"/>
  <c r="N107"/>
  <c r="P102"/>
  <c r="O102"/>
  <c r="N102"/>
  <c r="O83"/>
  <c r="P77"/>
  <c r="O77"/>
  <c r="N77"/>
  <c r="P64"/>
  <c r="O64"/>
  <c r="N64"/>
  <c r="P61"/>
  <c r="O61"/>
  <c r="N61"/>
  <c r="O52"/>
  <c r="O50"/>
  <c r="P24"/>
  <c r="O24"/>
  <c r="N24"/>
  <c r="P21"/>
  <c r="O21"/>
  <c r="N21"/>
  <c r="P11"/>
  <c r="O11"/>
  <c r="S3"/>
  <c r="T3"/>
  <c r="S8"/>
  <c r="T8"/>
  <c r="S10"/>
  <c r="S9" s="1"/>
  <c r="T10"/>
  <c r="T9" s="1"/>
  <c r="T11" s="1"/>
  <c r="D12" i="22" s="1"/>
  <c r="S22" i="1"/>
  <c r="T22"/>
  <c r="S23"/>
  <c r="S24" s="1"/>
  <c r="C4" i="22" s="1"/>
  <c r="T23" i="1"/>
  <c r="T24" s="1"/>
  <c r="D4" i="22" s="1"/>
  <c r="S25" i="1"/>
  <c r="T25"/>
  <c r="T26" s="1"/>
  <c r="D13" i="22" s="1"/>
  <c r="S26" i="1"/>
  <c r="L24"/>
  <c r="M24"/>
  <c r="L26"/>
  <c r="M26"/>
  <c r="L92"/>
  <c r="S92" s="1"/>
  <c r="M92"/>
  <c r="L93"/>
  <c r="S93" s="1"/>
  <c r="M93"/>
  <c r="T93" s="1"/>
  <c r="H16"/>
  <c r="H21" s="1"/>
  <c r="H27" s="1"/>
  <c r="H24"/>
  <c r="I24"/>
  <c r="H26"/>
  <c r="I26"/>
  <c r="H32"/>
  <c r="H33"/>
  <c r="H34"/>
  <c r="H35"/>
  <c r="H36"/>
  <c r="H37"/>
  <c r="H38"/>
  <c r="H39"/>
  <c r="H40"/>
  <c r="H41"/>
  <c r="H42"/>
  <c r="H43"/>
  <c r="H44"/>
  <c r="H45"/>
  <c r="H47"/>
  <c r="H48"/>
  <c r="H49"/>
  <c r="H53"/>
  <c r="H54"/>
  <c r="H55"/>
  <c r="H56"/>
  <c r="H57"/>
  <c r="H58"/>
  <c r="H59"/>
  <c r="H60"/>
  <c r="H62"/>
  <c r="H63"/>
  <c r="H65"/>
  <c r="H66"/>
  <c r="H67"/>
  <c r="H68"/>
  <c r="H70"/>
  <c r="H71"/>
  <c r="H72"/>
  <c r="H73"/>
  <c r="H75"/>
  <c r="H76"/>
  <c r="H78"/>
  <c r="H79"/>
  <c r="H80"/>
  <c r="H81"/>
  <c r="H82"/>
  <c r="H86"/>
  <c r="H90"/>
  <c r="H91"/>
  <c r="L91" s="1"/>
  <c r="S91" s="1"/>
  <c r="H95"/>
  <c r="H96"/>
  <c r="H97"/>
  <c r="H98"/>
  <c r="H99"/>
  <c r="H100"/>
  <c r="H101"/>
  <c r="H103"/>
  <c r="I103"/>
  <c r="H104"/>
  <c r="I104"/>
  <c r="H105"/>
  <c r="I105"/>
  <c r="H106"/>
  <c r="I106"/>
  <c r="H108"/>
  <c r="I108"/>
  <c r="H110"/>
  <c r="I110"/>
  <c r="D12"/>
  <c r="L12" s="1"/>
  <c r="E12"/>
  <c r="M12" s="1"/>
  <c r="D13"/>
  <c r="L13" s="1"/>
  <c r="S13" s="1"/>
  <c r="D14"/>
  <c r="L14" s="1"/>
  <c r="S14" s="1"/>
  <c r="E14"/>
  <c r="D15"/>
  <c r="L15" s="1"/>
  <c r="S15" s="1"/>
  <c r="D16"/>
  <c r="D17"/>
  <c r="L17" s="1"/>
  <c r="S17" s="1"/>
  <c r="E17"/>
  <c r="M17" s="1"/>
  <c r="T17" s="1"/>
  <c r="D18"/>
  <c r="L18" s="1"/>
  <c r="S18" s="1"/>
  <c r="E18"/>
  <c r="M18" s="1"/>
  <c r="T18" s="1"/>
  <c r="D19"/>
  <c r="L19" s="1"/>
  <c r="S19" s="1"/>
  <c r="E19"/>
  <c r="M19" s="1"/>
  <c r="T19" s="1"/>
  <c r="D20"/>
  <c r="L20" s="1"/>
  <c r="S20" s="1"/>
  <c r="E20"/>
  <c r="M20" s="1"/>
  <c r="T20" s="1"/>
  <c r="D24"/>
  <c r="E24"/>
  <c r="D26"/>
  <c r="E26"/>
  <c r="D32"/>
  <c r="D33"/>
  <c r="D34"/>
  <c r="D35"/>
  <c r="D36"/>
  <c r="D37"/>
  <c r="D38"/>
  <c r="D39"/>
  <c r="D40"/>
  <c r="D41"/>
  <c r="D42"/>
  <c r="D43"/>
  <c r="D44"/>
  <c r="D45"/>
  <c r="D47"/>
  <c r="D48"/>
  <c r="D49"/>
  <c r="D53"/>
  <c r="D54"/>
  <c r="D55"/>
  <c r="D56"/>
  <c r="D57"/>
  <c r="D58"/>
  <c r="D59"/>
  <c r="D60"/>
  <c r="E60"/>
  <c r="D62"/>
  <c r="D63"/>
  <c r="L63" s="1"/>
  <c r="S63" s="1"/>
  <c r="D65"/>
  <c r="D66"/>
  <c r="L66" s="1"/>
  <c r="S66" s="1"/>
  <c r="D67"/>
  <c r="D68"/>
  <c r="L68" s="1"/>
  <c r="S68" s="1"/>
  <c r="D70"/>
  <c r="D71"/>
  <c r="L71" s="1"/>
  <c r="S71" s="1"/>
  <c r="D72"/>
  <c r="D73"/>
  <c r="L73" s="1"/>
  <c r="S73" s="1"/>
  <c r="D75"/>
  <c r="D76"/>
  <c r="L76" s="1"/>
  <c r="S76" s="1"/>
  <c r="E76"/>
  <c r="D78"/>
  <c r="L78" s="1"/>
  <c r="D79"/>
  <c r="E79"/>
  <c r="D80"/>
  <c r="E80"/>
  <c r="D81"/>
  <c r="E81"/>
  <c r="D82"/>
  <c r="E86"/>
  <c r="L87"/>
  <c r="S87" s="1"/>
  <c r="D89"/>
  <c r="E89"/>
  <c r="D95"/>
  <c r="E95"/>
  <c r="D96"/>
  <c r="L96" s="1"/>
  <c r="S96" s="1"/>
  <c r="E96"/>
  <c r="D97"/>
  <c r="L97" s="1"/>
  <c r="S97" s="1"/>
  <c r="E97"/>
  <c r="D98"/>
  <c r="L98" s="1"/>
  <c r="S98" s="1"/>
  <c r="E98"/>
  <c r="D99"/>
  <c r="E99"/>
  <c r="D100"/>
  <c r="L100" s="1"/>
  <c r="S100" s="1"/>
  <c r="E100"/>
  <c r="D101"/>
  <c r="L101" s="1"/>
  <c r="S101" s="1"/>
  <c r="E101"/>
  <c r="D103"/>
  <c r="E103"/>
  <c r="M103" s="1"/>
  <c r="D104"/>
  <c r="E104"/>
  <c r="M104" s="1"/>
  <c r="T104" s="1"/>
  <c r="D105"/>
  <c r="E105"/>
  <c r="M105" s="1"/>
  <c r="T105" s="1"/>
  <c r="D106"/>
  <c r="E106"/>
  <c r="M106" s="1"/>
  <c r="T106" s="1"/>
  <c r="D108"/>
  <c r="E108"/>
  <c r="M108" s="1"/>
  <c r="T108" s="1"/>
  <c r="I14" i="22" s="1"/>
  <c r="D110" i="1"/>
  <c r="E110"/>
  <c r="M110" s="1"/>
  <c r="C13" i="22"/>
  <c r="U19" i="1" l="1"/>
  <c r="U20"/>
  <c r="Q21"/>
  <c r="D114" i="9"/>
  <c r="D116" s="1"/>
  <c r="D118" s="1"/>
  <c r="S30" i="1"/>
  <c r="F81" i="2"/>
  <c r="S36" i="10"/>
  <c r="M14" i="1"/>
  <c r="T14" s="1"/>
  <c r="U14" s="1"/>
  <c r="F14"/>
  <c r="E102"/>
  <c r="L59"/>
  <c r="S59" s="1"/>
  <c r="L55"/>
  <c r="S55" s="1"/>
  <c r="L43"/>
  <c r="S43" s="1"/>
  <c r="L39"/>
  <c r="S39" s="1"/>
  <c r="L35"/>
  <c r="S35" s="1"/>
  <c r="L16"/>
  <c r="S16" s="1"/>
  <c r="L45"/>
  <c r="S45" s="1"/>
  <c r="L41"/>
  <c r="S41" s="1"/>
  <c r="L37"/>
  <c r="S37" s="1"/>
  <c r="L33"/>
  <c r="S33" s="1"/>
  <c r="L58"/>
  <c r="S58" s="1"/>
  <c r="L54"/>
  <c r="S54" s="1"/>
  <c r="L47"/>
  <c r="S47" s="1"/>
  <c r="L42"/>
  <c r="S42" s="1"/>
  <c r="L38"/>
  <c r="S38" s="1"/>
  <c r="L34"/>
  <c r="S34" s="1"/>
  <c r="I107"/>
  <c r="H64"/>
  <c r="S57" i="10"/>
  <c r="L106" i="1"/>
  <c r="S106" s="1"/>
  <c r="L104"/>
  <c r="S104" s="1"/>
  <c r="L81"/>
  <c r="S81" s="1"/>
  <c r="L60"/>
  <c r="S60" s="1"/>
  <c r="L56"/>
  <c r="S56" s="1"/>
  <c r="L49"/>
  <c r="S49" s="1"/>
  <c r="H77"/>
  <c r="S37" i="10"/>
  <c r="L108" i="1"/>
  <c r="S108" s="1"/>
  <c r="H14" i="22" s="1"/>
  <c r="L82" i="1"/>
  <c r="S82" s="1"/>
  <c r="L80"/>
  <c r="S80" s="1"/>
  <c r="L72"/>
  <c r="S72" s="1"/>
  <c r="L67"/>
  <c r="S67" s="1"/>
  <c r="L62"/>
  <c r="S62" s="1"/>
  <c r="H61"/>
  <c r="S90" i="10"/>
  <c r="L75" i="1"/>
  <c r="L77" s="1"/>
  <c r="L65"/>
  <c r="S65" s="1"/>
  <c r="D112" i="10"/>
  <c r="D114" s="1"/>
  <c r="D116" s="1"/>
  <c r="H83" i="1"/>
  <c r="Y94" i="9"/>
  <c r="D83" i="1"/>
  <c r="D61"/>
  <c r="Y61" i="9"/>
  <c r="D102" i="1"/>
  <c r="D86"/>
  <c r="D94" s="1"/>
  <c r="H107"/>
  <c r="H102"/>
  <c r="H50"/>
  <c r="H46"/>
  <c r="S11"/>
  <c r="C12" i="22" s="1"/>
  <c r="L79" i="1"/>
  <c r="S79" s="1"/>
  <c r="D50"/>
  <c r="D46"/>
  <c r="D21"/>
  <c r="D27" s="1"/>
  <c r="H29"/>
  <c r="H30" s="1"/>
  <c r="H31" s="1"/>
  <c r="L110"/>
  <c r="D107"/>
  <c r="L105"/>
  <c r="S105" s="1"/>
  <c r="L103"/>
  <c r="S103" s="1"/>
  <c r="L99"/>
  <c r="S99" s="1"/>
  <c r="L95"/>
  <c r="S95" s="1"/>
  <c r="E107"/>
  <c r="D77"/>
  <c r="D64"/>
  <c r="L57"/>
  <c r="S57" s="1"/>
  <c r="L48"/>
  <c r="S48" s="1"/>
  <c r="L44"/>
  <c r="S44" s="1"/>
  <c r="L40"/>
  <c r="S40" s="1"/>
  <c r="L36"/>
  <c r="S36" s="1"/>
  <c r="L32"/>
  <c r="S32" s="1"/>
  <c r="F97" i="2"/>
  <c r="L70" i="1"/>
  <c r="D69"/>
  <c r="D74" s="1"/>
  <c r="H69"/>
  <c r="H74" s="1"/>
  <c r="Y40" i="9"/>
  <c r="Y41" s="1"/>
  <c r="D29" i="1"/>
  <c r="S86"/>
  <c r="H6" i="22" s="1"/>
  <c r="O51" i="1"/>
  <c r="M28"/>
  <c r="T28" s="1"/>
  <c r="U28" s="1"/>
  <c r="J28"/>
  <c r="B27" i="20"/>
  <c r="E94" i="1"/>
  <c r="C5" i="22"/>
  <c r="D17"/>
  <c r="C17"/>
  <c r="O84" i="1"/>
  <c r="H89"/>
  <c r="L89" s="1"/>
  <c r="H52"/>
  <c r="L90"/>
  <c r="S90" s="1"/>
  <c r="S89" s="1"/>
  <c r="H8" i="22" s="1"/>
  <c r="T103" i="1"/>
  <c r="T107" s="1"/>
  <c r="I13" i="22" s="1"/>
  <c r="M107" i="1"/>
  <c r="S78"/>
  <c r="D52"/>
  <c r="L53"/>
  <c r="T12"/>
  <c r="S12"/>
  <c r="S21" s="1"/>
  <c r="S112" i="10" l="1"/>
  <c r="S114" s="1"/>
  <c r="S116" s="1"/>
  <c r="L21" i="1"/>
  <c r="L27" s="1"/>
  <c r="L64"/>
  <c r="Y114" i="9"/>
  <c r="Y116" s="1"/>
  <c r="Y118" s="1"/>
  <c r="L61" i="1"/>
  <c r="S75"/>
  <c r="S77" s="1"/>
  <c r="H84"/>
  <c r="H51"/>
  <c r="L86"/>
  <c r="L94" s="1"/>
  <c r="L83"/>
  <c r="L50"/>
  <c r="L102"/>
  <c r="D84"/>
  <c r="S107"/>
  <c r="H13" i="22" s="1"/>
  <c r="L107" i="1"/>
  <c r="L46"/>
  <c r="D51"/>
  <c r="S50"/>
  <c r="S102"/>
  <c r="H12" i="22" s="1"/>
  <c r="S70" i="1"/>
  <c r="S69" s="1"/>
  <c r="L69"/>
  <c r="L74" s="1"/>
  <c r="C3" i="22"/>
  <c r="S46" i="1"/>
  <c r="S61"/>
  <c r="S64"/>
  <c r="S83"/>
  <c r="O109"/>
  <c r="L29"/>
  <c r="D30"/>
  <c r="D31" s="1"/>
  <c r="T30"/>
  <c r="U30" s="1"/>
  <c r="D5" i="22"/>
  <c r="B14" i="20" s="1"/>
  <c r="F94" i="1"/>
  <c r="H94"/>
  <c r="S94"/>
  <c r="L52"/>
  <c r="S53"/>
  <c r="T92"/>
  <c r="N74"/>
  <c r="N9"/>
  <c r="N11" s="1"/>
  <c r="T104" i="10"/>
  <c r="I101" i="1" s="1"/>
  <c r="T103" i="10"/>
  <c r="I100" i="1" s="1"/>
  <c r="M100" s="1"/>
  <c r="T100" s="1"/>
  <c r="T102" i="10"/>
  <c r="I99" i="1" s="1"/>
  <c r="M99" s="1"/>
  <c r="T99" s="1"/>
  <c r="T101" i="10"/>
  <c r="I98" i="1" s="1"/>
  <c r="T100" i="10"/>
  <c r="I97" i="1" s="1"/>
  <c r="M97" s="1"/>
  <c r="T97" s="1"/>
  <c r="T99" i="10"/>
  <c r="I96" i="1" s="1"/>
  <c r="M96" s="1"/>
  <c r="T96" s="1"/>
  <c r="T96" i="10"/>
  <c r="I91" i="1" s="1"/>
  <c r="M91" s="1"/>
  <c r="T91" s="1"/>
  <c r="T95" i="10"/>
  <c r="I90" i="1" s="1"/>
  <c r="T93" i="10"/>
  <c r="T88"/>
  <c r="I82" i="1" s="1"/>
  <c r="T87" i="10"/>
  <c r="I81" i="1" s="1"/>
  <c r="M81" s="1"/>
  <c r="T81" s="1"/>
  <c r="T86" i="10"/>
  <c r="I80" i="1" s="1"/>
  <c r="M80" s="1"/>
  <c r="T80" s="1"/>
  <c r="T85" i="10"/>
  <c r="I79" i="1" s="1"/>
  <c r="M79" s="1"/>
  <c r="T79" s="1"/>
  <c r="T82" i="10"/>
  <c r="I76" i="1" s="1"/>
  <c r="M76" s="1"/>
  <c r="T76" s="1"/>
  <c r="T79" i="10"/>
  <c r="I73" i="1" s="1"/>
  <c r="J73" s="1"/>
  <c r="T78" i="10"/>
  <c r="I72" i="1" s="1"/>
  <c r="J72" s="1"/>
  <c r="T77" i="10"/>
  <c r="I71" i="1" s="1"/>
  <c r="T76" i="10"/>
  <c r="T74"/>
  <c r="I68" i="1" s="1"/>
  <c r="J68" s="1"/>
  <c r="T73" i="10"/>
  <c r="I67" i="1" s="1"/>
  <c r="T72" i="10"/>
  <c r="I66" i="1" s="1"/>
  <c r="J66" s="1"/>
  <c r="T69" i="10"/>
  <c r="I63" i="1" s="1"/>
  <c r="J63" s="1"/>
  <c r="T66" i="10"/>
  <c r="I60" i="1" s="1"/>
  <c r="M60" s="1"/>
  <c r="T60" s="1"/>
  <c r="T65" i="10"/>
  <c r="I59" i="1" s="1"/>
  <c r="J59" s="1"/>
  <c r="T63" i="10"/>
  <c r="I57" i="1" s="1"/>
  <c r="J57" s="1"/>
  <c r="T62" i="10"/>
  <c r="I56" i="1" s="1"/>
  <c r="J56" s="1"/>
  <c r="T61" i="10"/>
  <c r="I55" i="1" s="1"/>
  <c r="J55" s="1"/>
  <c r="T60" i="10"/>
  <c r="I54" i="1" s="1"/>
  <c r="J54" s="1"/>
  <c r="T55" i="10"/>
  <c r="I49" i="1" s="1"/>
  <c r="J49" s="1"/>
  <c r="T54" i="10"/>
  <c r="I48" i="1" s="1"/>
  <c r="J48" s="1"/>
  <c r="T51" i="10"/>
  <c r="I45" i="1" s="1"/>
  <c r="T50" i="10"/>
  <c r="I44" i="1" s="1"/>
  <c r="J44" s="1"/>
  <c r="T49" i="10"/>
  <c r="I43" i="1" s="1"/>
  <c r="T48" i="10"/>
  <c r="I42" i="1" s="1"/>
  <c r="T47" i="10"/>
  <c r="I41" i="1" s="1"/>
  <c r="T46" i="10"/>
  <c r="I40" i="1" s="1"/>
  <c r="J40" s="1"/>
  <c r="T45" i="10"/>
  <c r="I39" i="1" s="1"/>
  <c r="T44" i="10"/>
  <c r="I38" i="1" s="1"/>
  <c r="J38" s="1"/>
  <c r="T43" i="10"/>
  <c r="I37" i="1" s="1"/>
  <c r="T42" i="10"/>
  <c r="I36" i="1" s="1"/>
  <c r="T41" i="10"/>
  <c r="I35" i="1" s="1"/>
  <c r="J35" s="1"/>
  <c r="T40" i="10"/>
  <c r="I34" i="1" s="1"/>
  <c r="T39" i="10"/>
  <c r="I33" i="1" s="1"/>
  <c r="T34" i="10"/>
  <c r="E19" i="2" s="1"/>
  <c r="F19" s="1"/>
  <c r="T33" i="10"/>
  <c r="E18" i="2" s="1"/>
  <c r="Z92" i="9"/>
  <c r="E82" i="1" s="1"/>
  <c r="Z83" i="9"/>
  <c r="E73" i="1" s="1"/>
  <c r="Z82" i="9"/>
  <c r="E72" i="1" s="1"/>
  <c r="Z81" i="9"/>
  <c r="E71" i="1" s="1"/>
  <c r="Z80" i="9"/>
  <c r="Z78"/>
  <c r="E68" i="1" s="1"/>
  <c r="Z77" i="9"/>
  <c r="E67" i="1" s="1"/>
  <c r="M67" s="1"/>
  <c r="T67" s="1"/>
  <c r="Z76" i="9"/>
  <c r="E66" i="1" s="1"/>
  <c r="Z73" i="9"/>
  <c r="E63" i="1" s="1"/>
  <c r="Z69" i="9"/>
  <c r="E59" i="1" s="1"/>
  <c r="Z67" i="9"/>
  <c r="E57" i="1" s="1"/>
  <c r="Z66" i="9"/>
  <c r="E56" i="1" s="1"/>
  <c r="F56" s="1"/>
  <c r="Z65" i="9"/>
  <c r="E55" i="1" s="1"/>
  <c r="Z64" i="9"/>
  <c r="E54" i="1" s="1"/>
  <c r="Z59" i="9"/>
  <c r="E49" i="1" s="1"/>
  <c r="Z58" i="9"/>
  <c r="E48" i="1" s="1"/>
  <c r="Z55" i="9"/>
  <c r="E45" i="1" s="1"/>
  <c r="Z54" i="9"/>
  <c r="E44" i="1" s="1"/>
  <c r="Z53" i="9"/>
  <c r="E43" i="1" s="1"/>
  <c r="F43" s="1"/>
  <c r="Z52" i="9"/>
  <c r="E42" i="1" s="1"/>
  <c r="Z51" i="9"/>
  <c r="E41" i="1" s="1"/>
  <c r="Z50" i="9"/>
  <c r="E40" i="1" s="1"/>
  <c r="Z49" i="9"/>
  <c r="E39" i="1" s="1"/>
  <c r="Z48" i="9"/>
  <c r="E38" i="1" s="1"/>
  <c r="Z47" i="9"/>
  <c r="E37" i="1" s="1"/>
  <c r="Z46" i="9"/>
  <c r="E36" i="1" s="1"/>
  <c r="Z45" i="9"/>
  <c r="E35" i="1" s="1"/>
  <c r="Z44" i="9"/>
  <c r="E34" i="1" s="1"/>
  <c r="Z43" i="9"/>
  <c r="E33" i="1" s="1"/>
  <c r="Z38" i="9"/>
  <c r="E28" i="2" s="1"/>
  <c r="F28" s="1"/>
  <c r="Z37" i="9"/>
  <c r="E27" i="2" s="1"/>
  <c r="F27" s="1"/>
  <c r="Z36" i="9"/>
  <c r="E26" i="2" s="1"/>
  <c r="F26" s="1"/>
  <c r="Z35" i="9"/>
  <c r="E25" i="2" s="1"/>
  <c r="F25" s="1"/>
  <c r="Z34" i="9"/>
  <c r="E24" i="2" s="1"/>
  <c r="F24" s="1"/>
  <c r="Z33" i="9"/>
  <c r="E23" i="2" s="1"/>
  <c r="F23" s="1"/>
  <c r="Z32" i="9"/>
  <c r="Z16"/>
  <c r="E58" i="2"/>
  <c r="E49"/>
  <c r="F49" s="1"/>
  <c r="E40"/>
  <c r="F40" s="1"/>
  <c r="E30"/>
  <c r="E7"/>
  <c r="S74" i="1" l="1"/>
  <c r="M71"/>
  <c r="T71" s="1"/>
  <c r="U71" s="1"/>
  <c r="F71"/>
  <c r="H109"/>
  <c r="H111" s="1"/>
  <c r="H113" s="1"/>
  <c r="L84"/>
  <c r="L51"/>
  <c r="M34"/>
  <c r="T34" s="1"/>
  <c r="M42"/>
  <c r="T42" s="1"/>
  <c r="D109"/>
  <c r="D111" s="1"/>
  <c r="D113" s="1"/>
  <c r="H17" i="22"/>
  <c r="M33" i="1"/>
  <c r="T33" s="1"/>
  <c r="M41"/>
  <c r="T41" s="1"/>
  <c r="M45"/>
  <c r="T45" s="1"/>
  <c r="M39"/>
  <c r="T39" s="1"/>
  <c r="M43"/>
  <c r="T43" s="1"/>
  <c r="U43" s="1"/>
  <c r="S84"/>
  <c r="H4" i="22" s="1"/>
  <c r="E5"/>
  <c r="M36" i="1"/>
  <c r="T36" s="1"/>
  <c r="M56"/>
  <c r="T56" s="1"/>
  <c r="U56" s="1"/>
  <c r="E16"/>
  <c r="F16" s="1"/>
  <c r="S52"/>
  <c r="H3" i="22" s="1"/>
  <c r="L30" i="1"/>
  <c r="L31" s="1"/>
  <c r="O110"/>
  <c r="O111" s="1"/>
  <c r="S51"/>
  <c r="M98"/>
  <c r="T98" s="1"/>
  <c r="U98" s="1"/>
  <c r="J98"/>
  <c r="M101"/>
  <c r="T101" s="1"/>
  <c r="U101" s="1"/>
  <c r="J101"/>
  <c r="M35"/>
  <c r="T35" s="1"/>
  <c r="U35" s="1"/>
  <c r="F35"/>
  <c r="M37"/>
  <c r="T37" s="1"/>
  <c r="U37" s="1"/>
  <c r="F37"/>
  <c r="M38"/>
  <c r="T38" s="1"/>
  <c r="U38" s="1"/>
  <c r="F38"/>
  <c r="M40"/>
  <c r="T40" s="1"/>
  <c r="U40" s="1"/>
  <c r="F40"/>
  <c r="M44"/>
  <c r="T44" s="1"/>
  <c r="U44" s="1"/>
  <c r="F44"/>
  <c r="M48"/>
  <c r="T48" s="1"/>
  <c r="U48" s="1"/>
  <c r="F48"/>
  <c r="M49"/>
  <c r="T49" s="1"/>
  <c r="U49" s="1"/>
  <c r="F49"/>
  <c r="M54"/>
  <c r="T54" s="1"/>
  <c r="U54" s="1"/>
  <c r="F54"/>
  <c r="M55"/>
  <c r="T55" s="1"/>
  <c r="U55" s="1"/>
  <c r="F55"/>
  <c r="M57"/>
  <c r="T57" s="1"/>
  <c r="U57" s="1"/>
  <c r="F57"/>
  <c r="M59"/>
  <c r="T59" s="1"/>
  <c r="U59" s="1"/>
  <c r="F59"/>
  <c r="M63"/>
  <c r="T63" s="1"/>
  <c r="U63" s="1"/>
  <c r="F63"/>
  <c r="M66"/>
  <c r="T66" s="1"/>
  <c r="U66" s="1"/>
  <c r="F66"/>
  <c r="M68"/>
  <c r="T68" s="1"/>
  <c r="U68" s="1"/>
  <c r="F68"/>
  <c r="M72"/>
  <c r="T72" s="1"/>
  <c r="U72" s="1"/>
  <c r="F72"/>
  <c r="M73"/>
  <c r="T73" s="1"/>
  <c r="U73" s="1"/>
  <c r="F73"/>
  <c r="M82"/>
  <c r="T82" s="1"/>
  <c r="U82" s="1"/>
  <c r="F82"/>
  <c r="Z31" i="9"/>
  <c r="E22" i="2"/>
  <c r="F22" s="1"/>
  <c r="Q86" i="1"/>
  <c r="N86"/>
  <c r="N94" s="1"/>
  <c r="I87"/>
  <c r="C97" i="10"/>
  <c r="T94"/>
  <c r="E97"/>
  <c r="E21" i="9"/>
  <c r="E27" s="1"/>
  <c r="Z15"/>
  <c r="E15" i="1" s="1"/>
  <c r="M15" s="1"/>
  <c r="T15" s="1"/>
  <c r="Z30" i="9"/>
  <c r="E56"/>
  <c r="Z42"/>
  <c r="E60"/>
  <c r="Z57"/>
  <c r="E62"/>
  <c r="Z63"/>
  <c r="E71"/>
  <c r="Z68"/>
  <c r="E74"/>
  <c r="Z72"/>
  <c r="E84"/>
  <c r="Z75"/>
  <c r="E65" i="1" s="1"/>
  <c r="F65" s="1"/>
  <c r="Z79" i="9"/>
  <c r="E70" i="1"/>
  <c r="E69" s="1"/>
  <c r="F69" s="1"/>
  <c r="E87" i="9"/>
  <c r="Z85"/>
  <c r="E93"/>
  <c r="Z88"/>
  <c r="Z13"/>
  <c r="E80" i="2" s="1"/>
  <c r="F80" s="1"/>
  <c r="T16" i="10"/>
  <c r="E83" i="2" s="1"/>
  <c r="F83" s="1"/>
  <c r="E21" i="10"/>
  <c r="E27" s="1"/>
  <c r="T30"/>
  <c r="C31"/>
  <c r="C29" s="1"/>
  <c r="T38"/>
  <c r="E52"/>
  <c r="T53"/>
  <c r="E56"/>
  <c r="T59"/>
  <c r="E58"/>
  <c r="T64"/>
  <c r="T68"/>
  <c r="E70"/>
  <c r="T71"/>
  <c r="E80"/>
  <c r="T75"/>
  <c r="I70" i="1"/>
  <c r="I69" s="1"/>
  <c r="T81" i="10"/>
  <c r="E83"/>
  <c r="T84"/>
  <c r="E89"/>
  <c r="T92"/>
  <c r="I89" i="1"/>
  <c r="M89" s="1"/>
  <c r="M90"/>
  <c r="T90" s="1"/>
  <c r="T89" s="1"/>
  <c r="I8" i="22" s="1"/>
  <c r="T98" i="10"/>
  <c r="E105"/>
  <c r="P50" i="1"/>
  <c r="N50"/>
  <c r="N51" s="1"/>
  <c r="P52"/>
  <c r="N52"/>
  <c r="Q74"/>
  <c r="P83"/>
  <c r="Q83" s="1"/>
  <c r="N83"/>
  <c r="N84" s="1"/>
  <c r="P94"/>
  <c r="Q94" s="1"/>
  <c r="Q116" i="10"/>
  <c r="P5" i="1"/>
  <c r="M43" i="15"/>
  <c r="L109" i="1" l="1"/>
  <c r="L111" s="1"/>
  <c r="L113" s="1"/>
  <c r="E61" i="9"/>
  <c r="Z29"/>
  <c r="E90" i="10"/>
  <c r="E57"/>
  <c r="S109" i="1"/>
  <c r="S111" s="1"/>
  <c r="E21" i="2"/>
  <c r="P51" i="1"/>
  <c r="E88" i="2"/>
  <c r="F88" s="1"/>
  <c r="H2" i="22"/>
  <c r="H10" s="1"/>
  <c r="H18" s="1"/>
  <c r="M87" i="1"/>
  <c r="T87" s="1"/>
  <c r="J87"/>
  <c r="B23" i="20"/>
  <c r="J8" i="22"/>
  <c r="T97" i="10"/>
  <c r="I86" i="1"/>
  <c r="J86" s="1"/>
  <c r="N116" i="10"/>
  <c r="K116"/>
  <c r="H116"/>
  <c r="T105"/>
  <c r="I95" i="1"/>
  <c r="T89" i="10"/>
  <c r="I78" i="1"/>
  <c r="T83" i="10"/>
  <c r="I75" i="1"/>
  <c r="T80" i="10"/>
  <c r="I65" i="1"/>
  <c r="M65" s="1"/>
  <c r="T70" i="10"/>
  <c r="I62" i="1"/>
  <c r="T67" i="10"/>
  <c r="I58" i="1"/>
  <c r="T58" i="10"/>
  <c r="I53" i="1"/>
  <c r="T56" i="10"/>
  <c r="I47" i="1"/>
  <c r="I50" s="1"/>
  <c r="J50" s="1"/>
  <c r="T52" i="10"/>
  <c r="I32" i="1"/>
  <c r="T32" i="10"/>
  <c r="E17" i="2" s="1"/>
  <c r="E16" s="1"/>
  <c r="E31" i="10"/>
  <c r="E29" s="1"/>
  <c r="T21"/>
  <c r="T27" s="1"/>
  <c r="I16" i="1"/>
  <c r="Z21" i="9"/>
  <c r="Z27" s="1"/>
  <c r="E13" i="1"/>
  <c r="F13" s="1"/>
  <c r="Z93" i="9"/>
  <c r="E78" i="1"/>
  <c r="F78" s="1"/>
  <c r="Z87" i="9"/>
  <c r="E75" i="1"/>
  <c r="F75" s="1"/>
  <c r="Z84" i="9"/>
  <c r="E74" i="1"/>
  <c r="F74" s="1"/>
  <c r="Z74" i="9"/>
  <c r="E62" i="1"/>
  <c r="F62" s="1"/>
  <c r="Z71" i="9"/>
  <c r="E58" i="1"/>
  <c r="F58" s="1"/>
  <c r="Z62" i="9"/>
  <c r="E53" i="1"/>
  <c r="F53" s="1"/>
  <c r="Z60" i="9"/>
  <c r="E47" i="1"/>
  <c r="Z56" i="9"/>
  <c r="E32" i="1"/>
  <c r="F32" s="1"/>
  <c r="P84"/>
  <c r="N109"/>
  <c r="E112" i="10"/>
  <c r="E114" s="1"/>
  <c r="M70" i="1"/>
  <c r="E94" i="9"/>
  <c r="E114" s="1"/>
  <c r="E116" s="1"/>
  <c r="T5" i="1"/>
  <c r="E14" i="18"/>
  <c r="C15"/>
  <c r="J16" i="1" l="1"/>
  <c r="I21"/>
  <c r="E29"/>
  <c r="F29" s="1"/>
  <c r="Z40" i="9"/>
  <c r="Z41" s="1"/>
  <c r="Z61"/>
  <c r="T90" i="10"/>
  <c r="M85" i="1" s="1"/>
  <c r="T85" s="1"/>
  <c r="I7" i="22" s="1"/>
  <c r="J7" s="1"/>
  <c r="T57" i="10"/>
  <c r="T70" i="1"/>
  <c r="T69" s="1"/>
  <c r="U69" s="1"/>
  <c r="M69"/>
  <c r="M74" s="1"/>
  <c r="I94"/>
  <c r="J94" s="1"/>
  <c r="P109"/>
  <c r="Q109" s="1"/>
  <c r="Q84"/>
  <c r="T86"/>
  <c r="U87"/>
  <c r="I46"/>
  <c r="J32"/>
  <c r="I52"/>
  <c r="J52" s="1"/>
  <c r="J53"/>
  <c r="I61"/>
  <c r="J58"/>
  <c r="I64"/>
  <c r="J64" s="1"/>
  <c r="J62"/>
  <c r="I74"/>
  <c r="J74" s="1"/>
  <c r="J65"/>
  <c r="I77"/>
  <c r="J77" s="1"/>
  <c r="J75"/>
  <c r="I83"/>
  <c r="J83" s="1"/>
  <c r="J78"/>
  <c r="M32"/>
  <c r="E46"/>
  <c r="F46" s="1"/>
  <c r="M47"/>
  <c r="E50"/>
  <c r="F50" s="1"/>
  <c r="E52"/>
  <c r="F52" s="1"/>
  <c r="M53"/>
  <c r="M58"/>
  <c r="E61"/>
  <c r="F61" s="1"/>
  <c r="M62"/>
  <c r="E64"/>
  <c r="F64" s="1"/>
  <c r="T65"/>
  <c r="M75"/>
  <c r="E77"/>
  <c r="F77" s="1"/>
  <c r="M78"/>
  <c r="E83"/>
  <c r="F83" s="1"/>
  <c r="M13"/>
  <c r="E21"/>
  <c r="M16"/>
  <c r="T16" s="1"/>
  <c r="U16" s="1"/>
  <c r="T31" i="10"/>
  <c r="T29" s="1"/>
  <c r="E36"/>
  <c r="M86" i="1"/>
  <c r="I102"/>
  <c r="J102" s="1"/>
  <c r="M95"/>
  <c r="Z94" i="9"/>
  <c r="Z114" l="1"/>
  <c r="Z116" s="1"/>
  <c r="Z118" s="1"/>
  <c r="T112" i="10"/>
  <c r="T114" s="1"/>
  <c r="T36"/>
  <c r="T37" s="1"/>
  <c r="M94" i="1"/>
  <c r="E30"/>
  <c r="F30" s="1"/>
  <c r="T94"/>
  <c r="U94" s="1"/>
  <c r="U85"/>
  <c r="T74"/>
  <c r="U74" s="1"/>
  <c r="U65"/>
  <c r="I6" i="22"/>
  <c r="U86" i="1"/>
  <c r="I27"/>
  <c r="J27" s="1"/>
  <c r="J21"/>
  <c r="I84"/>
  <c r="J84" s="1"/>
  <c r="J61"/>
  <c r="I51"/>
  <c r="J51" s="1"/>
  <c r="J46"/>
  <c r="E27"/>
  <c r="F21"/>
  <c r="E37" i="10"/>
  <c r="E116" s="1"/>
  <c r="T95" i="1"/>
  <c r="T102" s="1"/>
  <c r="M102"/>
  <c r="I29"/>
  <c r="J29" s="1"/>
  <c r="T13"/>
  <c r="M21"/>
  <c r="M27" s="1"/>
  <c r="T78"/>
  <c r="M83"/>
  <c r="T75"/>
  <c r="M77"/>
  <c r="T62"/>
  <c r="M64"/>
  <c r="T58"/>
  <c r="M61"/>
  <c r="M52"/>
  <c r="T53"/>
  <c r="T47"/>
  <c r="T50" s="1"/>
  <c r="U50" s="1"/>
  <c r="M50"/>
  <c r="T32"/>
  <c r="M46"/>
  <c r="E84"/>
  <c r="F84" s="1"/>
  <c r="E51"/>
  <c r="T116" i="10" l="1"/>
  <c r="M51" i="1"/>
  <c r="M84"/>
  <c r="I109"/>
  <c r="I111" s="1"/>
  <c r="J111" s="1"/>
  <c r="T46"/>
  <c r="U32"/>
  <c r="T52"/>
  <c r="U53"/>
  <c r="T61"/>
  <c r="U58"/>
  <c r="T64"/>
  <c r="U64" s="1"/>
  <c r="U62"/>
  <c r="T77"/>
  <c r="U77" s="1"/>
  <c r="U75"/>
  <c r="T83"/>
  <c r="U83" s="1"/>
  <c r="U78"/>
  <c r="T21"/>
  <c r="U21" s="1"/>
  <c r="U13"/>
  <c r="I12" i="22"/>
  <c r="J12" s="1"/>
  <c r="U102" i="1"/>
  <c r="J6" i="22"/>
  <c r="B22" i="20"/>
  <c r="E109" i="1"/>
  <c r="F51"/>
  <c r="E31"/>
  <c r="F31" s="1"/>
  <c r="F27"/>
  <c r="I30"/>
  <c r="M29"/>
  <c r="N43" i="15"/>
  <c r="B25" i="20" l="1"/>
  <c r="M109" i="1"/>
  <c r="M111" s="1"/>
  <c r="D3" i="22"/>
  <c r="E3" s="1"/>
  <c r="J109" i="1"/>
  <c r="I17" i="22"/>
  <c r="J17" s="1"/>
  <c r="T84" i="1"/>
  <c r="U61"/>
  <c r="I3" i="22"/>
  <c r="U52" i="1"/>
  <c r="U46"/>
  <c r="I31"/>
  <c r="J30"/>
  <c r="E111"/>
  <c r="F109"/>
  <c r="M30"/>
  <c r="M31" s="1"/>
  <c r="P110"/>
  <c r="Q110" s="1"/>
  <c r="C24" i="20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3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O24" s="1"/>
  <c r="N15"/>
  <c r="M14"/>
  <c r="M15" s="1"/>
  <c r="L14"/>
  <c r="L15" s="1"/>
  <c r="K14"/>
  <c r="K15" s="1"/>
  <c r="J14"/>
  <c r="J15" s="1"/>
  <c r="I14"/>
  <c r="I15" s="1"/>
  <c r="H15"/>
  <c r="G14"/>
  <c r="G15" s="1"/>
  <c r="E14"/>
  <c r="E15" s="1"/>
  <c r="D14"/>
  <c r="D15" s="1"/>
  <c r="O13"/>
  <c r="O12"/>
  <c r="B15"/>
  <c r="O9"/>
  <c r="O8"/>
  <c r="O7"/>
  <c r="O10" s="1"/>
  <c r="O5"/>
  <c r="O4"/>
  <c r="M113" i="1" l="1"/>
  <c r="B4" i="20"/>
  <c r="U51" i="1"/>
  <c r="I2" i="22"/>
  <c r="T109" i="1"/>
  <c r="B19" i="20"/>
  <c r="J3" i="22"/>
  <c r="I4"/>
  <c r="U84" i="1"/>
  <c r="J31"/>
  <c r="I113"/>
  <c r="E113"/>
  <c r="F111"/>
  <c r="O6" i="20"/>
  <c r="O14"/>
  <c r="O15" s="1"/>
  <c r="C30"/>
  <c r="D30"/>
  <c r="E30"/>
  <c r="F30"/>
  <c r="G30"/>
  <c r="H30"/>
  <c r="I30"/>
  <c r="J30"/>
  <c r="K30"/>
  <c r="L30"/>
  <c r="M30"/>
  <c r="N30"/>
  <c r="C16"/>
  <c r="C32" s="1"/>
  <c r="D16"/>
  <c r="D32" s="1"/>
  <c r="E16"/>
  <c r="E32" s="1"/>
  <c r="F16"/>
  <c r="F32" s="1"/>
  <c r="G16"/>
  <c r="G32" s="1"/>
  <c r="H16"/>
  <c r="H32" s="1"/>
  <c r="I16"/>
  <c r="I32" s="1"/>
  <c r="J16"/>
  <c r="J32" s="1"/>
  <c r="K16"/>
  <c r="K32" s="1"/>
  <c r="L16"/>
  <c r="L32" s="1"/>
  <c r="M16"/>
  <c r="M32" s="1"/>
  <c r="N16"/>
  <c r="N32" s="1"/>
  <c r="O30"/>
  <c r="O16"/>
  <c r="O32" s="1"/>
  <c r="B20" l="1"/>
  <c r="J4" i="22"/>
  <c r="T111" i="1"/>
  <c r="U109"/>
  <c r="I10" i="22"/>
  <c r="B18" i="20"/>
  <c r="J2" i="22"/>
  <c r="U134" i="9"/>
  <c r="V128" s="1"/>
  <c r="W128" s="1"/>
  <c r="X134"/>
  <c r="K54" i="2"/>
  <c r="K53"/>
  <c r="K52"/>
  <c r="I18" i="22" l="1"/>
  <c r="J18" s="1"/>
  <c r="J10"/>
  <c r="U111" i="1"/>
  <c r="V127" i="9"/>
  <c r="V133"/>
  <c r="W133" s="1"/>
  <c r="V132"/>
  <c r="W132" s="1"/>
  <c r="V131"/>
  <c r="W131" s="1"/>
  <c r="V130"/>
  <c r="W130" s="1"/>
  <c r="V129"/>
  <c r="W129" s="1"/>
  <c r="Q128" i="10"/>
  <c r="N128"/>
  <c r="O127" s="1"/>
  <c r="P127" s="1"/>
  <c r="R96"/>
  <c r="G91" i="1" s="1"/>
  <c r="K91" s="1"/>
  <c r="R91" s="1"/>
  <c r="R95" i="10"/>
  <c r="G90" i="1" s="1"/>
  <c r="K93"/>
  <c r="R93" s="1"/>
  <c r="K92"/>
  <c r="C89"/>
  <c r="L49" i="2"/>
  <c r="K45"/>
  <c r="K48"/>
  <c r="C40"/>
  <c r="N26" i="1"/>
  <c r="R25"/>
  <c r="R26" s="1"/>
  <c r="B13" i="22" s="1"/>
  <c r="R23" i="1"/>
  <c r="R24" s="1"/>
  <c r="B4" i="22" s="1"/>
  <c r="R22" i="1"/>
  <c r="R10"/>
  <c r="R9" s="1"/>
  <c r="R8"/>
  <c r="R11" s="1"/>
  <c r="B12" i="22" s="1"/>
  <c r="R5" i="1"/>
  <c r="R3"/>
  <c r="J64" i="2"/>
  <c r="C58"/>
  <c r="M64"/>
  <c r="M65" s="1"/>
  <c r="K55"/>
  <c r="L55"/>
  <c r="J55"/>
  <c r="L39"/>
  <c r="K38"/>
  <c r="J39"/>
  <c r="K32"/>
  <c r="K33"/>
  <c r="K34"/>
  <c r="K35"/>
  <c r="K36"/>
  <c r="K37"/>
  <c r="K31"/>
  <c r="M15"/>
  <c r="J15"/>
  <c r="K9" s="1"/>
  <c r="H7"/>
  <c r="K26" i="1"/>
  <c r="K24"/>
  <c r="G26"/>
  <c r="G24"/>
  <c r="C26"/>
  <c r="C24"/>
  <c r="C93" i="2"/>
  <c r="C91"/>
  <c r="C76"/>
  <c r="C78" s="1"/>
  <c r="C153" i="9"/>
  <c r="D148" s="1"/>
  <c r="O138" s="1"/>
  <c r="F134"/>
  <c r="C134"/>
  <c r="X33"/>
  <c r="X34"/>
  <c r="X35"/>
  <c r="X36"/>
  <c r="X32"/>
  <c r="P144"/>
  <c r="M144"/>
  <c r="J144"/>
  <c r="G144"/>
  <c r="C144"/>
  <c r="D128"/>
  <c r="E128" s="1"/>
  <c r="D129"/>
  <c r="E129" s="1"/>
  <c r="D130"/>
  <c r="E130" s="1"/>
  <c r="D131"/>
  <c r="E131" s="1"/>
  <c r="D132"/>
  <c r="E132" s="1"/>
  <c r="D127"/>
  <c r="E127" s="1"/>
  <c r="K63" i="2" l="1"/>
  <c r="L63" s="1"/>
  <c r="J65"/>
  <c r="E134" i="9"/>
  <c r="K39" i="2"/>
  <c r="K59"/>
  <c r="K90" i="1"/>
  <c r="R90" s="1"/>
  <c r="G89"/>
  <c r="C7" i="2"/>
  <c r="C30"/>
  <c r="C49"/>
  <c r="W127" i="9"/>
  <c r="W134" s="1"/>
  <c r="V134"/>
  <c r="X38"/>
  <c r="O124" i="10"/>
  <c r="P124" s="1"/>
  <c r="O125"/>
  <c r="P125" s="1"/>
  <c r="O126"/>
  <c r="P126" s="1"/>
  <c r="K42" i="2"/>
  <c r="K43"/>
  <c r="K44"/>
  <c r="K46"/>
  <c r="K47"/>
  <c r="X37" i="9"/>
  <c r="C21" i="2"/>
  <c r="K70"/>
  <c r="L70" s="1"/>
  <c r="K69"/>
  <c r="L69" s="1"/>
  <c r="K58"/>
  <c r="L58" s="1"/>
  <c r="K62"/>
  <c r="L62" s="1"/>
  <c r="K61"/>
  <c r="L61" s="1"/>
  <c r="K60"/>
  <c r="L60" s="1"/>
  <c r="K10"/>
  <c r="L10" s="1"/>
  <c r="K11"/>
  <c r="L11" s="1"/>
  <c r="K12"/>
  <c r="L12" s="1"/>
  <c r="K13"/>
  <c r="L13" s="1"/>
  <c r="K14"/>
  <c r="L14" s="1"/>
  <c r="K8"/>
  <c r="L8" s="1"/>
  <c r="L9"/>
  <c r="D147" i="9"/>
  <c r="O137" s="1"/>
  <c r="D152"/>
  <c r="O142" s="1"/>
  <c r="D151"/>
  <c r="O141" s="1"/>
  <c r="D150"/>
  <c r="O140" s="1"/>
  <c r="D149"/>
  <c r="O139" s="1"/>
  <c r="D137"/>
  <c r="D143"/>
  <c r="D142"/>
  <c r="D141"/>
  <c r="D140"/>
  <c r="D139"/>
  <c r="D138"/>
  <c r="D134"/>
  <c r="X20"/>
  <c r="C20" i="1" s="1"/>
  <c r="K20" s="1"/>
  <c r="R20" s="1"/>
  <c r="X19" i="9"/>
  <c r="C19" i="1" s="1"/>
  <c r="K19" s="1"/>
  <c r="R19" s="1"/>
  <c r="X18" i="9"/>
  <c r="C18" i="1" s="1"/>
  <c r="K18" s="1"/>
  <c r="R18" s="1"/>
  <c r="X17" i="9"/>
  <c r="C17" i="1" s="1"/>
  <c r="K17" s="1"/>
  <c r="R17" s="1"/>
  <c r="X16" i="9"/>
  <c r="X15"/>
  <c r="X14"/>
  <c r="C14" i="1" s="1"/>
  <c r="K14" s="1"/>
  <c r="R14" s="1"/>
  <c r="X12" i="9"/>
  <c r="C12" i="1" s="1"/>
  <c r="K12" s="1"/>
  <c r="R12" s="1"/>
  <c r="X13" i="9"/>
  <c r="X115"/>
  <c r="C110" i="1" s="1"/>
  <c r="X113" i="9"/>
  <c r="C108" i="1" s="1"/>
  <c r="X111" i="9"/>
  <c r="C106" i="1" s="1"/>
  <c r="X110" i="9"/>
  <c r="C105" i="1" s="1"/>
  <c r="X109" i="9"/>
  <c r="C104" i="1" s="1"/>
  <c r="X108" i="9"/>
  <c r="C103" i="1" s="1"/>
  <c r="X106" i="9"/>
  <c r="C101" i="1" s="1"/>
  <c r="X105" i="9"/>
  <c r="C100" i="1" s="1"/>
  <c r="X104" i="9"/>
  <c r="C99" i="1" s="1"/>
  <c r="X103" i="9"/>
  <c r="C98" i="1" s="1"/>
  <c r="X102" i="9"/>
  <c r="C97" i="1" s="1"/>
  <c r="X101" i="9"/>
  <c r="C96" i="1" s="1"/>
  <c r="X100" i="9"/>
  <c r="C95" i="1" s="1"/>
  <c r="X98" i="9"/>
  <c r="X97"/>
  <c r="X96" s="1"/>
  <c r="X92"/>
  <c r="C82" i="1" s="1"/>
  <c r="X91" i="9"/>
  <c r="C81" i="1" s="1"/>
  <c r="X90" i="9"/>
  <c r="C80" i="1" s="1"/>
  <c r="X89" i="9"/>
  <c r="C79" i="1" s="1"/>
  <c r="X88" i="9"/>
  <c r="C78" i="1" s="1"/>
  <c r="X86" i="9"/>
  <c r="C76" i="1" s="1"/>
  <c r="X85" i="9"/>
  <c r="C75" i="1" s="1"/>
  <c r="X83" i="9"/>
  <c r="C73" i="1" s="1"/>
  <c r="X82" i="9"/>
  <c r="C72" i="1" s="1"/>
  <c r="X81" i="9"/>
  <c r="C71" i="1" s="1"/>
  <c r="X80" i="9"/>
  <c r="C70" i="1" s="1"/>
  <c r="X78" i="9"/>
  <c r="C68" i="1" s="1"/>
  <c r="X77" i="9"/>
  <c r="C67" i="1" s="1"/>
  <c r="X76" i="9"/>
  <c r="C66" i="1" s="1"/>
  <c r="X75" i="9"/>
  <c r="C65" i="1" s="1"/>
  <c r="X73" i="9"/>
  <c r="C63" i="1" s="1"/>
  <c r="X72" i="9"/>
  <c r="C62" i="1" s="1"/>
  <c r="X70" i="9"/>
  <c r="C60" i="1" s="1"/>
  <c r="X69" i="9"/>
  <c r="C59" i="1" s="1"/>
  <c r="X68" i="9"/>
  <c r="C58" i="1" s="1"/>
  <c r="X67" i="9"/>
  <c r="C57" i="1" s="1"/>
  <c r="X66" i="9"/>
  <c r="C56" i="1" s="1"/>
  <c r="X65" i="9"/>
  <c r="C55" i="1" s="1"/>
  <c r="X64" i="9"/>
  <c r="C54" i="1" s="1"/>
  <c r="X63" i="9"/>
  <c r="C62"/>
  <c r="X59"/>
  <c r="C49" i="1" s="1"/>
  <c r="X58" i="9"/>
  <c r="C48" i="1" s="1"/>
  <c r="X57" i="9"/>
  <c r="X43"/>
  <c r="C33" i="1" s="1"/>
  <c r="X44" i="9"/>
  <c r="C34" i="1" s="1"/>
  <c r="X45" i="9"/>
  <c r="C35" i="1" s="1"/>
  <c r="X46" i="9"/>
  <c r="C36" i="1" s="1"/>
  <c r="X47" i="9"/>
  <c r="C37" i="1" s="1"/>
  <c r="X48" i="9"/>
  <c r="C38" i="1" s="1"/>
  <c r="X49" i="9"/>
  <c r="C39" i="1" s="1"/>
  <c r="X50" i="9"/>
  <c r="C40" i="1" s="1"/>
  <c r="X51" i="9"/>
  <c r="C41" i="1" s="1"/>
  <c r="X52" i="9"/>
  <c r="C42" i="1" s="1"/>
  <c r="X53" i="9"/>
  <c r="C43" i="1" s="1"/>
  <c r="X54" i="9"/>
  <c r="C44" i="1" s="1"/>
  <c r="X55" i="9"/>
  <c r="C45" i="1" s="1"/>
  <c r="X42" i="9"/>
  <c r="X30"/>
  <c r="G11" i="18"/>
  <c r="E63" i="2" s="1"/>
  <c r="E61" s="1"/>
  <c r="X26" i="9"/>
  <c r="X24"/>
  <c r="X11"/>
  <c r="X7"/>
  <c r="C112"/>
  <c r="C107"/>
  <c r="C96"/>
  <c r="C99" s="1"/>
  <c r="C93"/>
  <c r="C87"/>
  <c r="C84"/>
  <c r="C74"/>
  <c r="C71"/>
  <c r="C60"/>
  <c r="C56"/>
  <c r="C31"/>
  <c r="C26"/>
  <c r="C24"/>
  <c r="C21"/>
  <c r="C11"/>
  <c r="C7"/>
  <c r="L59" i="2" l="1"/>
  <c r="C29" i="9"/>
  <c r="C40" s="1"/>
  <c r="X79"/>
  <c r="X93"/>
  <c r="X107"/>
  <c r="X99"/>
  <c r="X87"/>
  <c r="X112"/>
  <c r="X71"/>
  <c r="X31"/>
  <c r="C69" i="1"/>
  <c r="C74" s="1"/>
  <c r="C102"/>
  <c r="C107"/>
  <c r="X74" i="9"/>
  <c r="C61"/>
  <c r="E41"/>
  <c r="E118" s="1"/>
  <c r="X84"/>
  <c r="C86" i="1"/>
  <c r="C94" s="1"/>
  <c r="C15"/>
  <c r="K15" s="1"/>
  <c r="R15" s="1"/>
  <c r="C16"/>
  <c r="P128" i="10"/>
  <c r="O128"/>
  <c r="K49" i="2"/>
  <c r="K64"/>
  <c r="K65" s="1"/>
  <c r="X56" i="9"/>
  <c r="C32" i="1"/>
  <c r="X60" i="9"/>
  <c r="C47" i="1"/>
  <c r="X62" i="9"/>
  <c r="C53" i="1"/>
  <c r="C61"/>
  <c r="C64"/>
  <c r="C77"/>
  <c r="C83"/>
  <c r="X21" i="9"/>
  <c r="X27" s="1"/>
  <c r="C13" i="1"/>
  <c r="L64" i="2"/>
  <c r="L15"/>
  <c r="L138" i="9"/>
  <c r="I138"/>
  <c r="F138"/>
  <c r="L139"/>
  <c r="I139"/>
  <c r="F139"/>
  <c r="L140"/>
  <c r="I140"/>
  <c r="F140"/>
  <c r="L141"/>
  <c r="I141"/>
  <c r="F141"/>
  <c r="L142"/>
  <c r="I142"/>
  <c r="F142"/>
  <c r="L143"/>
  <c r="I143"/>
  <c r="F143"/>
  <c r="O144"/>
  <c r="L137"/>
  <c r="L144" s="1"/>
  <c r="I137"/>
  <c r="F137"/>
  <c r="F144" s="1"/>
  <c r="D144"/>
  <c r="C27"/>
  <c r="C94"/>
  <c r="C114" s="1"/>
  <c r="C116" s="1"/>
  <c r="D153"/>
  <c r="C121"/>
  <c r="F121"/>
  <c r="I121"/>
  <c r="L121"/>
  <c r="O121"/>
  <c r="R121"/>
  <c r="U121"/>
  <c r="R33" i="10"/>
  <c r="R34"/>
  <c r="O120"/>
  <c r="L120"/>
  <c r="I120"/>
  <c r="F120"/>
  <c r="R28"/>
  <c r="R16"/>
  <c r="G16" i="1" s="1"/>
  <c r="G21" s="1"/>
  <c r="G27" s="1"/>
  <c r="R26" i="10"/>
  <c r="R24"/>
  <c r="R11"/>
  <c r="R7"/>
  <c r="R93"/>
  <c r="C26"/>
  <c r="C24"/>
  <c r="C11"/>
  <c r="C7"/>
  <c r="C21"/>
  <c r="R92"/>
  <c r="C120"/>
  <c r="L65" i="2" l="1"/>
  <c r="C41" i="9"/>
  <c r="I144"/>
  <c r="X29"/>
  <c r="C29" i="1" s="1"/>
  <c r="C30" s="1"/>
  <c r="R21" i="10"/>
  <c r="R27" s="1"/>
  <c r="X94" i="9"/>
  <c r="F63" i="2"/>
  <c r="G87" i="1"/>
  <c r="K87" s="1"/>
  <c r="R87" s="1"/>
  <c r="R86" s="1"/>
  <c r="G6" i="22" s="1"/>
  <c r="C95" i="2"/>
  <c r="C97" s="1"/>
  <c r="G28" i="1"/>
  <c r="K28" s="1"/>
  <c r="R28" s="1"/>
  <c r="G86"/>
  <c r="R92"/>
  <c r="R89" s="1"/>
  <c r="C27" i="10"/>
  <c r="K16" i="1"/>
  <c r="R16" s="1"/>
  <c r="C52"/>
  <c r="C50"/>
  <c r="C46"/>
  <c r="X61" i="9"/>
  <c r="K13" i="1"/>
  <c r="C21"/>
  <c r="C27" s="1"/>
  <c r="C84"/>
  <c r="C118" i="9"/>
  <c r="R32" i="10"/>
  <c r="R31"/>
  <c r="C105"/>
  <c r="X40" i="9" l="1"/>
  <c r="X41" s="1"/>
  <c r="C31" i="1"/>
  <c r="F61" i="2"/>
  <c r="E72"/>
  <c r="E74" s="1"/>
  <c r="X114" i="9"/>
  <c r="X116" s="1"/>
  <c r="X118" s="1"/>
  <c r="C51" i="1"/>
  <c r="C109" s="1"/>
  <c r="C111" s="1"/>
  <c r="C113" s="1"/>
  <c r="B5" i="22"/>
  <c r="R30" i="1"/>
  <c r="K86"/>
  <c r="G94"/>
  <c r="C88" i="2"/>
  <c r="C16"/>
  <c r="C72" s="1"/>
  <c r="C74" s="1"/>
  <c r="K21" i="1"/>
  <c r="K27" s="1"/>
  <c r="R13"/>
  <c r="R21" s="1"/>
  <c r="R113" i="10"/>
  <c r="G110" i="1" s="1"/>
  <c r="K110" s="1"/>
  <c r="R111" i="10"/>
  <c r="G108" i="1" s="1"/>
  <c r="K108" s="1"/>
  <c r="R108" s="1"/>
  <c r="G14" i="22" s="1"/>
  <c r="R109" i="10"/>
  <c r="G106" i="1" s="1"/>
  <c r="K106" s="1"/>
  <c r="R106" s="1"/>
  <c r="R108" i="10"/>
  <c r="G105" i="1" s="1"/>
  <c r="K105" s="1"/>
  <c r="R105" s="1"/>
  <c r="R107" i="10"/>
  <c r="G104" i="1" s="1"/>
  <c r="K104" s="1"/>
  <c r="R104" s="1"/>
  <c r="R106" i="10"/>
  <c r="G103" i="1" s="1"/>
  <c r="R104" i="10"/>
  <c r="G101" i="1" s="1"/>
  <c r="K101" s="1"/>
  <c r="R101" s="1"/>
  <c r="R103" i="10"/>
  <c r="G100" i="1" s="1"/>
  <c r="K100" s="1"/>
  <c r="R100" s="1"/>
  <c r="R102" i="10"/>
  <c r="G99" i="1" s="1"/>
  <c r="K99" s="1"/>
  <c r="R99" s="1"/>
  <c r="R101" i="10"/>
  <c r="G98" i="1" s="1"/>
  <c r="R100" i="10"/>
  <c r="G97" i="1" s="1"/>
  <c r="K97" s="1"/>
  <c r="R97" s="1"/>
  <c r="R99" i="10"/>
  <c r="G96" i="1" s="1"/>
  <c r="K96" s="1"/>
  <c r="R96" s="1"/>
  <c r="R98" i="10"/>
  <c r="R94"/>
  <c r="R97" s="1"/>
  <c r="R88"/>
  <c r="G82" i="1" s="1"/>
  <c r="K82" s="1"/>
  <c r="R82" s="1"/>
  <c r="R87" i="10"/>
  <c r="G81" i="1" s="1"/>
  <c r="K81" s="1"/>
  <c r="R81" s="1"/>
  <c r="R86" i="10"/>
  <c r="G80" i="1" s="1"/>
  <c r="K80" s="1"/>
  <c r="R80" s="1"/>
  <c r="R85" i="10"/>
  <c r="G79" i="1" s="1"/>
  <c r="K79" s="1"/>
  <c r="R79" s="1"/>
  <c r="R84" i="10"/>
  <c r="G78" i="1" s="1"/>
  <c r="R82" i="10"/>
  <c r="G76" i="1" s="1"/>
  <c r="K76" s="1"/>
  <c r="R76" s="1"/>
  <c r="R81" i="10"/>
  <c r="G75" i="1" s="1"/>
  <c r="R79" i="10"/>
  <c r="G73" i="1" s="1"/>
  <c r="K73" s="1"/>
  <c r="R73" s="1"/>
  <c r="R78" i="10"/>
  <c r="G72" i="1" s="1"/>
  <c r="K72" s="1"/>
  <c r="R72" s="1"/>
  <c r="R77" i="10"/>
  <c r="G71" i="1" s="1"/>
  <c r="K71" s="1"/>
  <c r="R71" s="1"/>
  <c r="R76" i="10"/>
  <c r="G70" i="1" s="1"/>
  <c r="R74" i="10"/>
  <c r="G68" i="1" s="1"/>
  <c r="K68" s="1"/>
  <c r="R68" s="1"/>
  <c r="R73" i="10"/>
  <c r="G67" i="1" s="1"/>
  <c r="K67" s="1"/>
  <c r="R67" s="1"/>
  <c r="R72" i="10"/>
  <c r="G66" i="1" s="1"/>
  <c r="K66" s="1"/>
  <c r="R66" s="1"/>
  <c r="R71" i="10"/>
  <c r="G65" i="1" s="1"/>
  <c r="R69" i="10"/>
  <c r="G63" i="1" s="1"/>
  <c r="K63" s="1"/>
  <c r="R63" s="1"/>
  <c r="R68" i="10"/>
  <c r="G62" i="1" s="1"/>
  <c r="R66" i="10"/>
  <c r="G60" i="1" s="1"/>
  <c r="K60" s="1"/>
  <c r="R60" s="1"/>
  <c r="R65" i="10"/>
  <c r="G59" i="1" s="1"/>
  <c r="K59" s="1"/>
  <c r="R59" s="1"/>
  <c r="R64" i="10"/>
  <c r="G58" i="1" s="1"/>
  <c r="O118" i="10"/>
  <c r="L118"/>
  <c r="I118"/>
  <c r="F118"/>
  <c r="C110"/>
  <c r="C89"/>
  <c r="C83"/>
  <c r="C80"/>
  <c r="C70"/>
  <c r="R63"/>
  <c r="G57" i="1" s="1"/>
  <c r="K57" s="1"/>
  <c r="R57" s="1"/>
  <c r="R62" i="10"/>
  <c r="G56" i="1" s="1"/>
  <c r="K56" s="1"/>
  <c r="R56" s="1"/>
  <c r="R61" i="10"/>
  <c r="G55" i="1" s="1"/>
  <c r="K55" s="1"/>
  <c r="R55" s="1"/>
  <c r="R60" i="10"/>
  <c r="G54" i="1" s="1"/>
  <c r="K54" s="1"/>
  <c r="R54" s="1"/>
  <c r="R59" i="10"/>
  <c r="R55"/>
  <c r="G49" i="1" s="1"/>
  <c r="K49" s="1"/>
  <c r="R49" s="1"/>
  <c r="R54" i="10"/>
  <c r="G48" i="1" s="1"/>
  <c r="K48" s="1"/>
  <c r="R48" s="1"/>
  <c r="R53" i="10"/>
  <c r="R39"/>
  <c r="G33" i="1" s="1"/>
  <c r="K33" s="1"/>
  <c r="R33" s="1"/>
  <c r="R40" i="10"/>
  <c r="G34" i="1" s="1"/>
  <c r="K34" s="1"/>
  <c r="R34" s="1"/>
  <c r="R41" i="10"/>
  <c r="G35" i="1" s="1"/>
  <c r="K35" s="1"/>
  <c r="R35" s="1"/>
  <c r="R42" i="10"/>
  <c r="G36" i="1" s="1"/>
  <c r="K36" s="1"/>
  <c r="R36" s="1"/>
  <c r="R43" i="10"/>
  <c r="G37" i="1" s="1"/>
  <c r="K37" s="1"/>
  <c r="R37" s="1"/>
  <c r="R44" i="10"/>
  <c r="G38" i="1" s="1"/>
  <c r="K38" s="1"/>
  <c r="R38" s="1"/>
  <c r="R45" i="10"/>
  <c r="G39" i="1" s="1"/>
  <c r="K39" s="1"/>
  <c r="R39" s="1"/>
  <c r="R46" i="10"/>
  <c r="G40" i="1" s="1"/>
  <c r="K40" s="1"/>
  <c r="R40" s="1"/>
  <c r="R47" i="10"/>
  <c r="G41" i="1" s="1"/>
  <c r="K41" s="1"/>
  <c r="R41" s="1"/>
  <c r="R48" i="10"/>
  <c r="G42" i="1" s="1"/>
  <c r="K42" s="1"/>
  <c r="R42" s="1"/>
  <c r="R49" i="10"/>
  <c r="G43" i="1" s="1"/>
  <c r="K43" s="1"/>
  <c r="R43" s="1"/>
  <c r="R50" i="10"/>
  <c r="G44" i="1" s="1"/>
  <c r="K44" s="1"/>
  <c r="R44" s="1"/>
  <c r="R51" i="10"/>
  <c r="G45" i="1" s="1"/>
  <c r="K45" s="1"/>
  <c r="R45" s="1"/>
  <c r="R38" i="10"/>
  <c r="F116"/>
  <c r="E4" i="2" l="1"/>
  <c r="R110" i="10"/>
  <c r="P6" i="1"/>
  <c r="E94" i="2"/>
  <c r="E98" s="1"/>
  <c r="N6" i="1"/>
  <c r="N4" s="1"/>
  <c r="N7" s="1"/>
  <c r="N27" s="1"/>
  <c r="N31" s="1"/>
  <c r="R75" i="10"/>
  <c r="R89"/>
  <c r="R70"/>
  <c r="R67"/>
  <c r="R83"/>
  <c r="K70" i="1"/>
  <c r="G69"/>
  <c r="G74" s="1"/>
  <c r="B3" i="22"/>
  <c r="R80" i="10"/>
  <c r="G83" i="1"/>
  <c r="K78"/>
  <c r="R105" i="10"/>
  <c r="G95" i="1"/>
  <c r="K95" s="1"/>
  <c r="R95" s="1"/>
  <c r="G107"/>
  <c r="K103"/>
  <c r="R52" i="10"/>
  <c r="G32" i="1"/>
  <c r="R56" i="10"/>
  <c r="G47" i="1"/>
  <c r="R58" i="10"/>
  <c r="G53" i="1"/>
  <c r="G61"/>
  <c r="K58"/>
  <c r="G64"/>
  <c r="K62"/>
  <c r="K65"/>
  <c r="G77"/>
  <c r="K75"/>
  <c r="K98"/>
  <c r="I116" i="10"/>
  <c r="L116"/>
  <c r="O116"/>
  <c r="C36"/>
  <c r="C37" s="1"/>
  <c r="R30"/>
  <c r="R29" s="1"/>
  <c r="R36" s="1"/>
  <c r="C90"/>
  <c r="C118" s="1"/>
  <c r="C52"/>
  <c r="C56"/>
  <c r="C58"/>
  <c r="D15" i="18"/>
  <c r="E15" s="1"/>
  <c r="E9"/>
  <c r="C11"/>
  <c r="C47" s="1"/>
  <c r="E6"/>
  <c r="E5"/>
  <c r="E4"/>
  <c r="E3"/>
  <c r="J64" i="15"/>
  <c r="D64"/>
  <c r="C64"/>
  <c r="B64"/>
  <c r="J63"/>
  <c r="E63"/>
  <c r="J62"/>
  <c r="E62"/>
  <c r="J61"/>
  <c r="J65" s="1"/>
  <c r="E61"/>
  <c r="E60"/>
  <c r="E59"/>
  <c r="J57"/>
  <c r="J56"/>
  <c r="D56"/>
  <c r="C56"/>
  <c r="B56"/>
  <c r="J55"/>
  <c r="E55"/>
  <c r="J54"/>
  <c r="E54"/>
  <c r="E53"/>
  <c r="E52"/>
  <c r="E51"/>
  <c r="M41"/>
  <c r="N41" s="1"/>
  <c r="I42"/>
  <c r="G42"/>
  <c r="E42"/>
  <c r="C42"/>
  <c r="T33"/>
  <c r="S33"/>
  <c r="R33"/>
  <c r="U32"/>
  <c r="U33" s="1"/>
  <c r="M28"/>
  <c r="H28"/>
  <c r="D28"/>
  <c r="C28"/>
  <c r="B28"/>
  <c r="N27"/>
  <c r="J27"/>
  <c r="L27" s="1"/>
  <c r="N26"/>
  <c r="J26"/>
  <c r="E26"/>
  <c r="K26" s="1"/>
  <c r="L26" s="1"/>
  <c r="N25"/>
  <c r="J25"/>
  <c r="E25"/>
  <c r="K25" s="1"/>
  <c r="L25" s="1"/>
  <c r="N24"/>
  <c r="I24"/>
  <c r="I28" s="1"/>
  <c r="E24"/>
  <c r="K24" s="1"/>
  <c r="N23"/>
  <c r="M35" s="1"/>
  <c r="N35" s="1"/>
  <c r="J23"/>
  <c r="E23"/>
  <c r="E28" s="1"/>
  <c r="M19"/>
  <c r="H19"/>
  <c r="D19"/>
  <c r="C19"/>
  <c r="B19"/>
  <c r="N18"/>
  <c r="J18"/>
  <c r="L18" s="1"/>
  <c r="N17"/>
  <c r="J17"/>
  <c r="E17"/>
  <c r="K17" s="1"/>
  <c r="L17" s="1"/>
  <c r="N16"/>
  <c r="J16"/>
  <c r="E16"/>
  <c r="K16" s="1"/>
  <c r="L16" s="1"/>
  <c r="N15"/>
  <c r="I15"/>
  <c r="I19" s="1"/>
  <c r="E15"/>
  <c r="K15" s="1"/>
  <c r="N14"/>
  <c r="M33" s="1"/>
  <c r="N33" s="1"/>
  <c r="J14"/>
  <c r="E14"/>
  <c r="E19" s="1"/>
  <c r="M11"/>
  <c r="N11" s="1"/>
  <c r="H11"/>
  <c r="D11"/>
  <c r="C11"/>
  <c r="B11"/>
  <c r="N10"/>
  <c r="K34" s="1"/>
  <c r="J10"/>
  <c r="L10" s="1"/>
  <c r="N9"/>
  <c r="I34" s="1"/>
  <c r="J9"/>
  <c r="E9"/>
  <c r="K9" s="1"/>
  <c r="N8"/>
  <c r="G34" s="1"/>
  <c r="J8"/>
  <c r="E8"/>
  <c r="K8" s="1"/>
  <c r="N7"/>
  <c r="E34" s="1"/>
  <c r="I7"/>
  <c r="I11" s="1"/>
  <c r="E7"/>
  <c r="K7" s="1"/>
  <c r="N6"/>
  <c r="J6"/>
  <c r="E6"/>
  <c r="E11" s="1"/>
  <c r="P4" i="1" l="1"/>
  <c r="P7" s="1"/>
  <c r="P27" s="1"/>
  <c r="T6"/>
  <c r="T4" s="1"/>
  <c r="T7" s="1"/>
  <c r="G102"/>
  <c r="R90" i="10"/>
  <c r="K85" i="1" s="1"/>
  <c r="R85" s="1"/>
  <c r="R94" s="1"/>
  <c r="R70"/>
  <c r="R69" s="1"/>
  <c r="K69"/>
  <c r="K74" s="1"/>
  <c r="J58" i="15"/>
  <c r="F55"/>
  <c r="F63"/>
  <c r="F54"/>
  <c r="F62"/>
  <c r="F53"/>
  <c r="F61"/>
  <c r="F52"/>
  <c r="F60"/>
  <c r="E56"/>
  <c r="E64"/>
  <c r="C4" i="2"/>
  <c r="R103" i="1"/>
  <c r="R107" s="1"/>
  <c r="G13" i="22" s="1"/>
  <c r="K107" i="1"/>
  <c r="R78"/>
  <c r="R83" s="1"/>
  <c r="K83"/>
  <c r="R37" i="10"/>
  <c r="G29" i="1"/>
  <c r="R98"/>
  <c r="R102" s="1"/>
  <c r="G12" i="22" s="1"/>
  <c r="B28" i="20" s="1"/>
  <c r="K102" i="1"/>
  <c r="K77"/>
  <c r="R75"/>
  <c r="R77" s="1"/>
  <c r="R65"/>
  <c r="K64"/>
  <c r="R62"/>
  <c r="R64" s="1"/>
  <c r="K61"/>
  <c r="R58"/>
  <c r="R61" s="1"/>
  <c r="G52"/>
  <c r="K53"/>
  <c r="G50"/>
  <c r="K47"/>
  <c r="G46"/>
  <c r="K32"/>
  <c r="G84"/>
  <c r="R57" i="10"/>
  <c r="K89" i="1"/>
  <c r="C57" i="10"/>
  <c r="C112" s="1"/>
  <c r="C114" s="1"/>
  <c r="C116" s="1"/>
  <c r="E7" i="18"/>
  <c r="E8"/>
  <c r="E10"/>
  <c r="C34" i="15"/>
  <c r="M32"/>
  <c r="L8"/>
  <c r="L9"/>
  <c r="K6"/>
  <c r="K11" s="1"/>
  <c r="L6"/>
  <c r="J7"/>
  <c r="L7" s="1"/>
  <c r="K14"/>
  <c r="J15"/>
  <c r="J19" s="1"/>
  <c r="N19"/>
  <c r="K23"/>
  <c r="J24"/>
  <c r="J28" s="1"/>
  <c r="N28"/>
  <c r="V32"/>
  <c r="M40"/>
  <c r="F51"/>
  <c r="F59"/>
  <c r="R112" i="10" l="1"/>
  <c r="R114" s="1"/>
  <c r="R116" s="1"/>
  <c r="G7" i="22"/>
  <c r="K94" i="1"/>
  <c r="K84"/>
  <c r="R74"/>
  <c r="R84" s="1"/>
  <c r="G4" i="22" s="1"/>
  <c r="G51" i="1"/>
  <c r="G109" s="1"/>
  <c r="G111" s="1"/>
  <c r="P31"/>
  <c r="T27"/>
  <c r="D2" i="22"/>
  <c r="D10" s="1"/>
  <c r="M42" i="15"/>
  <c r="N42" s="1"/>
  <c r="N40"/>
  <c r="M34"/>
  <c r="N32"/>
  <c r="C94" i="2"/>
  <c r="K39" i="15"/>
  <c r="I39"/>
  <c r="G39"/>
  <c r="E39"/>
  <c r="E44" s="1"/>
  <c r="R6" i="1"/>
  <c r="K46"/>
  <c r="R32"/>
  <c r="R46" s="1"/>
  <c r="K50"/>
  <c r="R47"/>
  <c r="R50" s="1"/>
  <c r="K52"/>
  <c r="R53"/>
  <c r="R52" s="1"/>
  <c r="G3" i="22" s="1"/>
  <c r="G30" i="1"/>
  <c r="G31" s="1"/>
  <c r="K29"/>
  <c r="D11" i="18"/>
  <c r="F64" i="15"/>
  <c r="M38"/>
  <c r="N38" s="1"/>
  <c r="F56"/>
  <c r="V33"/>
  <c r="Q32"/>
  <c r="K28"/>
  <c r="L23"/>
  <c r="K19"/>
  <c r="L14"/>
  <c r="L24"/>
  <c r="L15"/>
  <c r="J11"/>
  <c r="L11" s="1"/>
  <c r="K44" l="1"/>
  <c r="K46" s="1"/>
  <c r="I44"/>
  <c r="I46" s="1"/>
  <c r="G44"/>
  <c r="G46" s="1"/>
  <c r="N34"/>
  <c r="E46"/>
  <c r="G113" i="1"/>
  <c r="R4"/>
  <c r="R7" s="1"/>
  <c r="B3" i="20"/>
  <c r="B6" s="1"/>
  <c r="B16" s="1"/>
  <c r="T31" i="1"/>
  <c r="E47" i="18"/>
  <c r="E11"/>
  <c r="C98" i="2"/>
  <c r="K30" i="1"/>
  <c r="K31" s="1"/>
  <c r="N110"/>
  <c r="R51"/>
  <c r="G2" i="22" s="1"/>
  <c r="K51" i="1"/>
  <c r="K109" s="1"/>
  <c r="K111" s="1"/>
  <c r="G8" i="22"/>
  <c r="Q33" i="15"/>
  <c r="C39"/>
  <c r="M37"/>
  <c r="L19"/>
  <c r="L28"/>
  <c r="C44" l="1"/>
  <c r="C46" s="1"/>
  <c r="K113" i="1"/>
  <c r="R109"/>
  <c r="R111" s="1"/>
  <c r="R27"/>
  <c r="R31" s="1"/>
  <c r="B2" i="22"/>
  <c r="T113" i="1"/>
  <c r="D18" i="22"/>
  <c r="N111" i="1"/>
  <c r="N113" s="1"/>
  <c r="P111"/>
  <c r="P113" s="1"/>
  <c r="M39" i="15"/>
  <c r="N37"/>
  <c r="B24" i="20"/>
  <c r="B30" s="1"/>
  <c r="B32" s="1"/>
  <c r="G17" i="22"/>
  <c r="B17"/>
  <c r="G10"/>
  <c r="B10"/>
  <c r="M44" i="15" l="1"/>
  <c r="M46" s="1"/>
  <c r="N46" s="1"/>
  <c r="R113" i="1"/>
  <c r="Q111"/>
  <c r="N39" i="15"/>
  <c r="G18" i="22"/>
  <c r="B18"/>
  <c r="N44" i="15" l="1"/>
  <c r="F5" i="2"/>
  <c r="O5" i="1" l="1"/>
  <c r="S5" l="1"/>
  <c r="Q5"/>
  <c r="U5" l="1"/>
  <c r="F18" i="2" l="1"/>
  <c r="F9"/>
  <c r="F10"/>
  <c r="F11"/>
  <c r="F12"/>
  <c r="F13"/>
  <c r="F14"/>
  <c r="D16" l="1"/>
  <c r="F16" s="1"/>
  <c r="F17"/>
  <c r="D7"/>
  <c r="F8"/>
  <c r="D30"/>
  <c r="F30" s="1"/>
  <c r="D21"/>
  <c r="F7" l="1"/>
  <c r="D72"/>
  <c r="D74" s="1"/>
  <c r="F21"/>
  <c r="O6" i="1" l="1"/>
  <c r="O4" s="1"/>
  <c r="D4" i="2"/>
  <c r="F4" s="1"/>
  <c r="F72"/>
  <c r="Q6" i="1" l="1"/>
  <c r="S6"/>
  <c r="U6" s="1"/>
  <c r="F74" i="2"/>
  <c r="D94"/>
  <c r="O7" i="1"/>
  <c r="Q4"/>
  <c r="S4" l="1"/>
  <c r="U4" s="1"/>
  <c r="D98" i="2"/>
  <c r="F98" s="1"/>
  <c r="F94"/>
  <c r="O27" i="1"/>
  <c r="Q7"/>
  <c r="S7" l="1"/>
  <c r="U7" s="1"/>
  <c r="O31"/>
  <c r="Q27"/>
  <c r="S27" l="1"/>
  <c r="U27" s="1"/>
  <c r="C2" i="22"/>
  <c r="C10" s="1"/>
  <c r="O113" i="1"/>
  <c r="Q31"/>
  <c r="E2" i="22" l="1"/>
  <c r="S31" i="1"/>
  <c r="U31" s="1"/>
  <c r="C18" i="22"/>
  <c r="E18" s="1"/>
  <c r="E10"/>
  <c r="S113" i="1" l="1"/>
</calcChain>
</file>

<file path=xl/sharedStrings.xml><?xml version="1.0" encoding="utf-8"?>
<sst xmlns="http://schemas.openxmlformats.org/spreadsheetml/2006/main" count="1319" uniqueCount="516">
  <si>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</si>
  <si>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</si>
  <si>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</si>
  <si>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</si>
  <si>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</si>
  <si>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</si>
  <si>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</si>
  <si>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</si>
  <si>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</si>
  <si>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</si>
  <si>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</si>
  <si>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</si>
  <si>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GYERMEKJÓLÉTI SZOLGÁLAT</t>
  </si>
  <si>
    <t>HÁZI SEGÍTSÉGNYÚJTÁS</t>
  </si>
  <si>
    <t>CSALÁDSEGÍTÉS</t>
  </si>
  <si>
    <t>TÁMOGATÓ SZOLGÁLAT</t>
  </si>
  <si>
    <t>SEGÍTŐ SZOLGÁLAT EGYÜTT</t>
  </si>
  <si>
    <t>létszám</t>
  </si>
  <si>
    <t>GÉZENGÚZ TAGÓVODA</t>
  </si>
  <si>
    <t>KÖZPONTI IGAZGATÁS</t>
  </si>
  <si>
    <t>Ft</t>
  </si>
  <si>
    <t>Egyéb dologi kiadások</t>
  </si>
  <si>
    <t>TANYAGONDNOKI SZOLGÁLTATÁS</t>
  </si>
  <si>
    <t>Közalkalmazotti státuszok</t>
  </si>
  <si>
    <t>Összesen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</si>
  <si>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</si>
  <si>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</si>
  <si>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</si>
  <si>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</si>
  <si>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</si>
  <si>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</si>
  <si>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Családgondozó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</si>
  <si>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</si>
  <si>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</si>
  <si>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</si>
  <si>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</si>
  <si>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</si>
  <si>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</si>
  <si>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MOVI</t>
  </si>
  <si>
    <t>BOVI</t>
  </si>
  <si>
    <t>GYOVI</t>
  </si>
  <si>
    <t>TOVI</t>
  </si>
  <si>
    <t>fő</t>
  </si>
  <si>
    <t>működési hó</t>
  </si>
  <si>
    <t xml:space="preserve">     Támogató szolgálat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</si>
  <si>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</si>
  <si>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</si>
  <si>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</si>
  <si>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</si>
  <si>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</si>
  <si>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</si>
  <si>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</si>
  <si>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</si>
  <si>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</si>
  <si>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</si>
  <si>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</si>
  <si>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</si>
  <si>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</si>
  <si>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</si>
  <si>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</si>
  <si>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</si>
  <si>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</si>
  <si>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</si>
  <si>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</si>
  <si>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</si>
  <si>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</si>
  <si>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</si>
  <si>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 xml:space="preserve">     Családsegítés - társulási kiegészítés (300 Ft/fő)</t>
  </si>
  <si>
    <t xml:space="preserve">     Családsegítés (lakosság/5.000*3.950.000/2)</t>
  </si>
  <si>
    <t xml:space="preserve">     Gyermekjóléti szolgálat (lakosság/5.000*3.950.000/2)</t>
  </si>
  <si>
    <t>NRSZH támogatás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</si>
  <si>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</si>
  <si>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</si>
  <si>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</si>
  <si>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</si>
  <si>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</si>
  <si>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</si>
  <si>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</si>
  <si>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</si>
  <si>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működtetési támogatás Ft/fő/év</t>
  </si>
  <si>
    <t>KIK</t>
  </si>
  <si>
    <t>NRSZH TÁMOGATÁS ÖSSZESEN</t>
  </si>
  <si>
    <t>Adminisztrátor</t>
  </si>
  <si>
    <t>Kiadások</t>
  </si>
  <si>
    <t xml:space="preserve">     Házi segítségnyújtás - társulási kiegészítéssel (188.500 Ft/fő)</t>
  </si>
  <si>
    <t xml:space="preserve">     Idősek klubja - társulási kiegészítéssel (163.500 Ft/fő)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</si>
  <si>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</si>
  <si>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</si>
  <si>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</si>
  <si>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</si>
  <si>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</si>
  <si>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</si>
  <si>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</si>
  <si>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</si>
  <si>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</si>
  <si>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</si>
  <si>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</si>
  <si>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</si>
  <si>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8hónap</t>
  </si>
  <si>
    <t>4hónap</t>
  </si>
  <si>
    <t>Dajka létszám</t>
  </si>
  <si>
    <t>Óvi titkár</t>
  </si>
  <si>
    <t>Ped.asszisztens</t>
  </si>
  <si>
    <t>Óvoda ped.seg. bére:</t>
  </si>
  <si>
    <t>Összeg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</si>
  <si>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</si>
  <si>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</si>
  <si>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</si>
  <si>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</si>
  <si>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</si>
  <si>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</si>
  <si>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</si>
  <si>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</si>
  <si>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</si>
  <si>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</si>
  <si>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</si>
  <si>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</si>
  <si>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</si>
  <si>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</si>
  <si>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</si>
  <si>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</si>
  <si>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</si>
  <si>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</si>
  <si>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</si>
  <si>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</si>
  <si>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</si>
  <si>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</si>
  <si>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</si>
  <si>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</si>
  <si>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</si>
  <si>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</si>
  <si>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</si>
  <si>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</si>
  <si>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</si>
  <si>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</si>
  <si>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</si>
  <si>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</si>
  <si>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</si>
  <si>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</si>
  <si>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</si>
  <si>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</si>
  <si>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</si>
  <si>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</si>
  <si>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</si>
  <si>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</si>
  <si>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</si>
  <si>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</si>
  <si>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</si>
  <si>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</si>
  <si>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</si>
  <si>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</si>
  <si>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</si>
  <si>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</si>
  <si>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</si>
  <si>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</si>
  <si>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</si>
  <si>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</si>
  <si>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</si>
  <si>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</si>
  <si>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</si>
  <si>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</si>
  <si>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</si>
  <si>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</si>
  <si>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</si>
  <si>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</si>
  <si>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</si>
  <si>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</si>
  <si>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</si>
  <si>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</si>
  <si>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</si>
  <si>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</si>
  <si>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</si>
  <si>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</si>
  <si>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</si>
  <si>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</si>
  <si>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</si>
  <si>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</si>
  <si>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</si>
  <si>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</si>
  <si>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</si>
  <si>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</si>
  <si>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</si>
  <si>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</si>
  <si>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</si>
  <si>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</si>
  <si>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</si>
  <si>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</si>
  <si>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</si>
  <si>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</si>
  <si>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</si>
  <si>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</si>
  <si>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</si>
  <si>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</si>
  <si>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</si>
  <si>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</si>
  <si>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</si>
  <si>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</si>
  <si>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</si>
  <si>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</si>
  <si>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</si>
  <si>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</si>
  <si>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</si>
  <si>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</si>
  <si>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</si>
  <si>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</si>
  <si>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</si>
  <si>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</si>
  <si>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</si>
  <si>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</si>
  <si>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</si>
  <si>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</si>
  <si>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</si>
  <si>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</si>
  <si>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</si>
  <si>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</si>
  <si>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</si>
  <si>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</si>
  <si>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</si>
  <si>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</si>
  <si>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</si>
  <si>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</si>
  <si>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</si>
  <si>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</si>
  <si>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</si>
  <si>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</si>
  <si>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</si>
  <si>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</si>
  <si>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</si>
  <si>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</si>
  <si>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</si>
  <si>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</si>
  <si>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</si>
  <si>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</si>
  <si>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</si>
  <si>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</si>
  <si>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</si>
  <si>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</si>
  <si>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</si>
  <si>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</si>
  <si>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</si>
  <si>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</si>
  <si>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</si>
  <si>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</si>
  <si>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</si>
  <si>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</si>
  <si>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</si>
  <si>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</si>
  <si>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</si>
  <si>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</si>
  <si>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</si>
  <si>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</si>
  <si>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</si>
  <si>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</si>
  <si>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</si>
  <si>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</si>
  <si>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</si>
  <si>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</si>
  <si>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</si>
  <si>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</si>
  <si>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</si>
  <si>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</si>
  <si>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</si>
  <si>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</si>
  <si>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</si>
  <si>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</si>
  <si>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</si>
  <si>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</si>
  <si>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</si>
  <si>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</si>
  <si>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</si>
  <si>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</si>
  <si>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</si>
  <si>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</si>
  <si>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</si>
  <si>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</si>
  <si>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</si>
  <si>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</si>
  <si>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</si>
  <si>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</si>
  <si>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</si>
  <si>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</si>
  <si>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</si>
  <si>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</si>
  <si>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</si>
  <si>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</si>
  <si>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</si>
  <si>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</si>
  <si>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</si>
  <si>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</si>
  <si>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</si>
  <si>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</si>
  <si>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</si>
  <si>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</si>
  <si>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</si>
  <si>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</si>
  <si>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</si>
  <si>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</si>
  <si>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</si>
  <si>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</si>
  <si>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</si>
  <si>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</si>
  <si>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</si>
  <si>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</si>
  <si>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</si>
  <si>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</si>
  <si>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</si>
  <si>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2013/2014 8 hó</t>
  </si>
  <si>
    <t>2014/2015 4 hó</t>
  </si>
  <si>
    <t>Óvodaped pótlólagos bértám</t>
  </si>
  <si>
    <t>Étkeztetés bér alapútámogatása Ft/fő/év</t>
  </si>
  <si>
    <t>2014. évre</t>
  </si>
  <si>
    <t>Elismert Dolgozói létszám</t>
  </si>
  <si>
    <t>100% kedv 3*étk</t>
  </si>
  <si>
    <t>50% kedv 3*étk</t>
  </si>
  <si>
    <t>Nem kedvezményes</t>
  </si>
  <si>
    <t>Összes étkező</t>
  </si>
  <si>
    <t>Ellátottaktól függő osztószám</t>
  </si>
  <si>
    <t>301-1500:</t>
  </si>
  <si>
    <t>Feladatellátási hely tényezőszáma</t>
  </si>
  <si>
    <t>4-6 hely:</t>
  </si>
  <si>
    <t>Étkeztetés dologi kiadásra támogatás</t>
  </si>
  <si>
    <t>Összes kiadás</t>
  </si>
  <si>
    <t>Térítési díj</t>
  </si>
  <si>
    <t>Elvárt tér.díj</t>
  </si>
  <si>
    <t>Csökkentő tétel</t>
  </si>
  <si>
    <t>Támogatás alapja</t>
  </si>
  <si>
    <t>Támogatás (95%)</t>
  </si>
  <si>
    <t xml:space="preserve">     Gyermekjóléti szolgálat - társulási kiegészítés (1.200 Ft/fő)</t>
  </si>
  <si>
    <t xml:space="preserve">     Falugondnoki feladatellátás (2.500.000 Ft)</t>
  </si>
  <si>
    <t xml:space="preserve">     Családi napközi ellátás (348.660 Ft/fő)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</si>
  <si>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</si>
  <si>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</si>
  <si>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</si>
  <si>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</si>
  <si>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</si>
  <si>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</si>
  <si>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</si>
  <si>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</si>
  <si>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</si>
  <si>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</si>
  <si>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</si>
  <si>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</si>
  <si>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</si>
  <si>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</si>
  <si>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</si>
  <si>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</si>
  <si>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</si>
  <si>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</si>
  <si>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</si>
  <si>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</si>
  <si>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</si>
  <si>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</si>
  <si>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</si>
  <si>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</si>
  <si>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</si>
  <si>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</si>
  <si>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</si>
  <si>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</si>
  <si>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</si>
  <si>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</si>
  <si>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</si>
  <si>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</si>
  <si>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</si>
  <si>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</si>
  <si>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</si>
  <si>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</si>
  <si>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</si>
  <si>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</si>
  <si>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</si>
  <si>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</si>
  <si>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</si>
  <si>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</si>
  <si>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</si>
  <si>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</si>
  <si>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</si>
  <si>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</si>
  <si>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</si>
  <si>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</si>
  <si>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</si>
  <si>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</si>
  <si>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</si>
  <si>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</si>
  <si>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</si>
  <si>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</si>
  <si>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</si>
  <si>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</si>
  <si>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</si>
  <si>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</si>
  <si>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</si>
  <si>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</si>
  <si>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</si>
  <si>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</si>
  <si>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</si>
  <si>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</si>
  <si>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</si>
  <si>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</si>
  <si>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</si>
  <si>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</si>
  <si>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</si>
  <si>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</si>
  <si>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</si>
  <si>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</si>
  <si>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</si>
  <si>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</si>
  <si>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</si>
  <si>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</si>
  <si>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</si>
  <si>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</si>
  <si>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</si>
  <si>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</si>
  <si>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</si>
  <si>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</si>
  <si>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</si>
  <si>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Önkormányzatok működési támogatásai (normatív)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</si>
  <si>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</si>
  <si>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</si>
  <si>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</si>
  <si>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</si>
  <si>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</si>
  <si>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</si>
  <si>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</si>
  <si>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</si>
  <si>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Bérkompenzáció</t>
  </si>
  <si>
    <t>Szociális ágazati pótlék</t>
  </si>
  <si>
    <t>Foglalkoztatottak egyéb személyi juttatásai (betegállomány, egyéb)</t>
  </si>
  <si>
    <t>K502</t>
  </si>
  <si>
    <t>Elvonások és befizetések (munkahelyvédelmi a.terv miatti befiz)</t>
  </si>
  <si>
    <t>Elvonások és befizetések</t>
  </si>
  <si>
    <t>Szent László Völgye Segítő Szolgálat</t>
  </si>
  <si>
    <t>ebből: táppénz hozzájárulás</t>
  </si>
  <si>
    <t>Előirányzat</t>
  </si>
  <si>
    <t>BÉRKOMPENZÁCIÓ</t>
  </si>
  <si>
    <t>ÁLLAMI TÁMOGATÁS ÖSSZESEN</t>
  </si>
  <si>
    <t xml:space="preserve">     Idősek klubja</t>
  </si>
  <si>
    <t xml:space="preserve">     Családi napközi ellátás</t>
  </si>
  <si>
    <t xml:space="preserve">     Gyermekjóléti szolgálat </t>
  </si>
  <si>
    <t xml:space="preserve">     Házi segítségnyújtás</t>
  </si>
  <si>
    <t xml:space="preserve">     Családsegítés</t>
  </si>
  <si>
    <t xml:space="preserve">     Falugondnoki feladatellátás</t>
  </si>
  <si>
    <t>BÉRKOMPENZÁCIÓ ÖSSZESEN</t>
  </si>
  <si>
    <t>Szociális ágazati bérpótlék</t>
  </si>
  <si>
    <t>SZOCIÁLIS ÁGAZATI BÉRPÓTLÉK</t>
  </si>
  <si>
    <t>Szent László Völgye - Bóbita Óvoda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</si>
  <si>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</si>
  <si>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</si>
  <si>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</si>
  <si>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</si>
  <si>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</si>
  <si>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</si>
  <si>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</si>
  <si>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</si>
  <si>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</si>
  <si>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</si>
  <si>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</si>
  <si>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</si>
  <si>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</si>
  <si>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</si>
  <si>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</si>
  <si>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</si>
  <si>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</si>
  <si>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</si>
  <si>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</si>
  <si>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Elnök tiszteletdíja</t>
  </si>
  <si>
    <t>Óvoda MOVI</t>
  </si>
  <si>
    <t>Óvoda KIK</t>
  </si>
  <si>
    <t>Óvoda saját</t>
  </si>
  <si>
    <t>Idősek nappali</t>
  </si>
  <si>
    <t>Házi gondozás</t>
  </si>
  <si>
    <t>Tanyabusz</t>
  </si>
  <si>
    <t>Családi napközi</t>
  </si>
  <si>
    <t>Támogató szolgálat normatíva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</si>
  <si>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</si>
  <si>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</si>
  <si>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</si>
  <si>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</si>
  <si>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</si>
  <si>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</si>
  <si>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</si>
  <si>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</si>
  <si>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</si>
  <si>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</si>
  <si>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</si>
  <si>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</si>
  <si>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</si>
  <si>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</si>
  <si>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</si>
  <si>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</si>
  <si>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Martonvásár normatíva visszafizetés</t>
  </si>
  <si>
    <t>Óvoda által önkormányzatoknak utalandó</t>
  </si>
  <si>
    <t>Gyúró óvoda üzemeltetés</t>
  </si>
  <si>
    <t>Tordas óvoda üzemeltetés</t>
  </si>
  <si>
    <t>Pedagógiai asszisztens</t>
  </si>
  <si>
    <t>2014/2015 8 hó</t>
  </si>
  <si>
    <t>2015/2016 4 hó</t>
  </si>
  <si>
    <t>Kieg.tám. Óvodaped. Minősítéshez</t>
  </si>
  <si>
    <t>ebből: 2014. évi zárszámadási elszámolás alapján kifizetés</t>
  </si>
  <si>
    <t>I) 2014. évi zárszámadási elszámolás</t>
  </si>
  <si>
    <t>Bérkompenzáció előleg (2015.évi)</t>
  </si>
  <si>
    <t>2015. évi eredeti ei.</t>
  </si>
  <si>
    <t>2015. évi módosított ei.</t>
  </si>
  <si>
    <t>Gyermekjóléti szolgálat</t>
  </si>
  <si>
    <t>Családsegítés</t>
  </si>
  <si>
    <t>Támogató szolgálat</t>
  </si>
  <si>
    <t>2014. évi zárszámadási elszámolás</t>
  </si>
  <si>
    <t>2014.évi zárszámadadási elszámolás összesen</t>
  </si>
  <si>
    <t>LÉTSZÁM</t>
  </si>
  <si>
    <t>Eredeti</t>
  </si>
  <si>
    <t>Módosított</t>
  </si>
  <si>
    <t>Gondozó (idősek n., házi sg)</t>
  </si>
  <si>
    <t>Személyi segítő (támogató)</t>
  </si>
  <si>
    <t>Kiegészítő szociális ágazati pótlék</t>
  </si>
  <si>
    <t>Kiegészítő szociális ágazati bérpótlék</t>
  </si>
  <si>
    <t>KIEGÉSZÍTŐ SZOCIÁLIS ÁGAZATI BÉRPÓTLÉK</t>
  </si>
  <si>
    <t>ebből: finanszírozási többelt (-) / hiány (+)</t>
  </si>
  <si>
    <t>Martonvásár pedagógiai szakszolg.</t>
  </si>
  <si>
    <t>Viharkárok enyhítésére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</si>
</sst>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0__"/>
  </numFmts>
  <fonts count="4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2" fillId="0" borderId="0"/>
  </cellStyleXfs>
  <cellXfs count="960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1" fillId="0" borderId="0" xfId="0" applyFont="1" applyFill="1"/>
    <xf numFmtId="0" fontId="26" fillId="0" borderId="46" xfId="0" applyFont="1" applyFill="1" applyBorder="1"/>
    <xf numFmtId="0" fontId="26" fillId="0" borderId="47" xfId="0" applyFont="1" applyFill="1" applyBorder="1"/>
    <xf numFmtId="0" fontId="26" fillId="0" borderId="48" xfId="0" applyFont="1" applyFill="1" applyBorder="1"/>
    <xf numFmtId="3" fontId="21" fillId="0" borderId="31" xfId="0" applyNumberFormat="1" applyFont="1" applyFill="1" applyBorder="1"/>
    <xf numFmtId="3" fontId="21" fillId="0" borderId="47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0" fontId="31" fillId="0" borderId="0" xfId="78" applyFont="1" applyFill="1"/>
    <xf numFmtId="0" fontId="26" fillId="0" borderId="46" xfId="78" applyFont="1" applyFill="1" applyBorder="1"/>
    <xf numFmtId="0" fontId="26" fillId="0" borderId="47" xfId="78" applyFont="1" applyFill="1" applyBorder="1"/>
    <xf numFmtId="0" fontId="26" fillId="0" borderId="48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0" fontId="21" fillId="0" borderId="37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50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1" xfId="0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right" vertical="center"/>
    </xf>
    <xf numFmtId="0" fontId="26" fillId="0" borderId="74" xfId="0" applyFont="1" applyFill="1" applyBorder="1" applyAlignment="1">
      <alignment vertical="center" wrapText="1"/>
    </xf>
    <xf numFmtId="0" fontId="26" fillId="0" borderId="29" xfId="0" applyFont="1" applyFill="1" applyBorder="1" applyAlignment="1">
      <alignment vertical="center" wrapText="1"/>
    </xf>
    <xf numFmtId="0" fontId="26" fillId="0" borderId="8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63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5" xfId="0" applyFont="1" applyFill="1" applyBorder="1" applyAlignment="1">
      <alignment vertical="center" wrapText="1"/>
    </xf>
    <xf numFmtId="0" fontId="31" fillId="0" borderId="35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 wrapText="1"/>
    </xf>
    <xf numFmtId="0" fontId="26" fillId="0" borderId="48" xfId="0" applyFont="1" applyFill="1" applyBorder="1" applyAlignment="1">
      <alignment horizontal="center" vertical="center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8" fillId="0" borderId="97" xfId="0" applyFont="1" applyBorder="1" applyAlignment="1">
      <alignment horizontal="center" vertical="center"/>
    </xf>
    <xf numFmtId="0" fontId="28" fillId="27" borderId="98" xfId="0" applyFont="1" applyFill="1" applyBorder="1" applyAlignment="1">
      <alignment horizontal="center" vertical="center" wrapText="1"/>
    </xf>
    <xf numFmtId="3" fontId="21" fillId="0" borderId="61" xfId="0" applyNumberFormat="1" applyFont="1" applyFill="1" applyBorder="1"/>
    <xf numFmtId="0" fontId="28" fillId="27" borderId="99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vertical="center"/>
    </xf>
    <xf numFmtId="3" fontId="28" fillId="0" borderId="88" xfId="0" applyNumberFormat="1" applyFont="1" applyBorder="1" applyAlignment="1">
      <alignment vertical="center"/>
    </xf>
    <xf numFmtId="9" fontId="28" fillId="0" borderId="10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3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5" xfId="0" applyNumberFormat="1" applyFont="1" applyFill="1" applyBorder="1" applyAlignment="1">
      <alignment vertical="center"/>
    </xf>
    <xf numFmtId="168" fontId="28" fillId="28" borderId="35" xfId="54" applyNumberFormat="1" applyFont="1" applyFill="1" applyBorder="1" applyAlignment="1">
      <alignment vertical="center"/>
    </xf>
    <xf numFmtId="0" fontId="28" fillId="0" borderId="63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1" fillId="0" borderId="60" xfId="0" applyNumberFormat="1" applyFont="1" applyFill="1" applyBorder="1"/>
    <xf numFmtId="168" fontId="28" fillId="0" borderId="88" xfId="54" applyNumberFormat="1" applyFont="1" applyBorder="1" applyAlignment="1">
      <alignment vertical="center"/>
    </xf>
    <xf numFmtId="0" fontId="28" fillId="0" borderId="79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left" vertical="center" wrapText="1"/>
    </xf>
    <xf numFmtId="3" fontId="29" fillId="0" borderId="31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3" xfId="54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left" vertical="center"/>
    </xf>
    <xf numFmtId="0" fontId="21" fillId="0" borderId="74" xfId="0" applyFont="1" applyFill="1" applyBorder="1" applyAlignment="1">
      <alignment horizontal="left" vertical="center"/>
    </xf>
    <xf numFmtId="0" fontId="21" fillId="0" borderId="61" xfId="0" applyFont="1" applyFill="1" applyBorder="1" applyAlignment="1">
      <alignment horizontal="left" vertical="center" wrapText="1"/>
    </xf>
    <xf numFmtId="0" fontId="29" fillId="0" borderId="74" xfId="0" applyFont="1" applyFill="1" applyBorder="1" applyAlignment="1">
      <alignment horizontal="left" vertical="center"/>
    </xf>
    <xf numFmtId="0" fontId="35" fillId="0" borderId="47" xfId="75" applyFont="1" applyFill="1" applyBorder="1" applyAlignment="1">
      <alignment vertical="center" wrapText="1"/>
    </xf>
    <xf numFmtId="170" fontId="37" fillId="0" borderId="47" xfId="75" applyNumberFormat="1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vertical="center"/>
    </xf>
    <xf numFmtId="0" fontId="31" fillId="0" borderId="63" xfId="0" applyFont="1" applyFill="1" applyBorder="1" applyAlignment="1">
      <alignment vertical="center" wrapText="1"/>
    </xf>
    <xf numFmtId="0" fontId="26" fillId="0" borderId="97" xfId="0" applyFont="1" applyFill="1" applyBorder="1" applyAlignment="1">
      <alignment vertical="center" wrapText="1"/>
    </xf>
    <xf numFmtId="0" fontId="26" fillId="0" borderId="98" xfId="0" applyFont="1" applyFill="1" applyBorder="1" applyAlignment="1">
      <alignment horizontal="center" vertical="center" wrapText="1"/>
    </xf>
    <xf numFmtId="3" fontId="31" fillId="0" borderId="38" xfId="0" applyNumberFormat="1" applyFont="1" applyFill="1" applyBorder="1" applyAlignment="1">
      <alignment horizontal="right" vertical="center"/>
    </xf>
    <xf numFmtId="0" fontId="29" fillId="0" borderId="85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85" xfId="0" applyFont="1" applyFill="1" applyBorder="1" applyAlignment="1">
      <alignment horizontal="left" vertical="center"/>
    </xf>
    <xf numFmtId="0" fontId="21" fillId="0" borderId="107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0" fontId="35" fillId="0" borderId="48" xfId="75" applyFont="1" applyFill="1" applyBorder="1" applyAlignment="1">
      <alignment vertical="center" wrapText="1"/>
    </xf>
    <xf numFmtId="0" fontId="36" fillId="0" borderId="64" xfId="75" applyFont="1" applyFill="1" applyBorder="1" applyAlignment="1">
      <alignment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77" xfId="0" applyFont="1" applyFill="1" applyBorder="1" applyAlignment="1">
      <alignment horizontal="left" vertical="center" wrapText="1"/>
    </xf>
    <xf numFmtId="0" fontId="21" fillId="0" borderId="78" xfId="0" applyFont="1" applyFill="1" applyBorder="1" applyAlignment="1">
      <alignment horizontal="left" vertical="center" wrapText="1"/>
    </xf>
    <xf numFmtId="0" fontId="21" fillId="0" borderId="109" xfId="0" applyFont="1" applyFill="1" applyBorder="1" applyAlignment="1">
      <alignment horizontal="left" vertical="center" wrapText="1"/>
    </xf>
    <xf numFmtId="0" fontId="28" fillId="0" borderId="109" xfId="0" applyFont="1" applyFill="1" applyBorder="1" applyAlignment="1">
      <alignment horizontal="left" vertical="center"/>
    </xf>
    <xf numFmtId="170" fontId="37" fillId="0" borderId="46" xfId="75" applyNumberFormat="1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vertical="center" wrapText="1"/>
    </xf>
    <xf numFmtId="0" fontId="29" fillId="0" borderId="48" xfId="75" applyFont="1" applyFill="1" applyBorder="1" applyAlignment="1">
      <alignment horizontal="left" vertical="center" wrapText="1"/>
    </xf>
    <xf numFmtId="0" fontId="35" fillId="0" borderId="84" xfId="75" applyFont="1" applyFill="1" applyBorder="1" applyAlignment="1">
      <alignment horizontal="left" vertical="center"/>
    </xf>
    <xf numFmtId="0" fontId="35" fillId="0" borderId="74" xfId="75" applyFont="1" applyFill="1" applyBorder="1" applyAlignment="1">
      <alignment horizontal="left" vertical="center"/>
    </xf>
    <xf numFmtId="0" fontId="35" fillId="0" borderId="85" xfId="75" applyFont="1" applyFill="1" applyBorder="1" applyAlignment="1">
      <alignment horizontal="left" vertical="center"/>
    </xf>
    <xf numFmtId="0" fontId="36" fillId="0" borderId="37" xfId="75" applyFont="1" applyFill="1" applyBorder="1" applyAlignment="1">
      <alignment horizontal="left" vertical="center"/>
    </xf>
    <xf numFmtId="0" fontId="37" fillId="0" borderId="84" xfId="75" applyFont="1" applyFill="1" applyBorder="1" applyAlignment="1">
      <alignment horizontal="left" vertical="center"/>
    </xf>
    <xf numFmtId="0" fontId="37" fillId="0" borderId="74" xfId="75" applyFont="1" applyFill="1" applyBorder="1" applyAlignment="1">
      <alignment horizontal="left" vertical="center"/>
    </xf>
    <xf numFmtId="0" fontId="37" fillId="0" borderId="85" xfId="75" applyFont="1" applyFill="1" applyBorder="1" applyAlignment="1">
      <alignment horizontal="left" vertical="center" wrapText="1"/>
    </xf>
    <xf numFmtId="0" fontId="36" fillId="0" borderId="37" xfId="75" applyFont="1" applyFill="1" applyBorder="1" applyAlignment="1">
      <alignment horizontal="left"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3" fontId="21" fillId="0" borderId="112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0" xfId="0" applyFont="1" applyFill="1" applyBorder="1" applyAlignment="1">
      <alignment horizontal="left"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115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3" fontId="28" fillId="0" borderId="122" xfId="54" applyNumberFormat="1" applyFont="1" applyFill="1" applyBorder="1" applyAlignment="1">
      <alignment horizontal="center" vertical="center" wrapText="1"/>
    </xf>
    <xf numFmtId="3" fontId="28" fillId="0" borderId="123" xfId="54" applyNumberFormat="1" applyFont="1" applyFill="1" applyBorder="1" applyAlignment="1">
      <alignment horizontal="center" vertical="center" wrapText="1"/>
    </xf>
    <xf numFmtId="0" fontId="29" fillId="0" borderId="60" xfId="0" applyFont="1" applyFill="1" applyBorder="1" applyAlignment="1">
      <alignment horizontal="left" vertical="center" wrapText="1" indent="5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32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0" fontId="28" fillId="0" borderId="38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3" fontId="21" fillId="0" borderId="132" xfId="0" applyNumberFormat="1" applyFont="1" applyFill="1" applyBorder="1" applyAlignment="1">
      <alignment vertical="center" wrapText="1"/>
    </xf>
    <xf numFmtId="3" fontId="21" fillId="0" borderId="92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36" fillId="0" borderId="107" xfId="0" applyFont="1" applyFill="1" applyBorder="1" applyAlignment="1">
      <alignment horizontal="left" vertical="center" wrapText="1"/>
    </xf>
    <xf numFmtId="0" fontId="35" fillId="0" borderId="77" xfId="75" applyFont="1" applyFill="1" applyBorder="1" applyAlignment="1">
      <alignment vertical="center" wrapText="1"/>
    </xf>
    <xf numFmtId="0" fontId="35" fillId="0" borderId="76" xfId="75" applyFont="1" applyFill="1" applyBorder="1" applyAlignment="1">
      <alignment vertical="center" wrapText="1"/>
    </xf>
    <xf numFmtId="0" fontId="35" fillId="0" borderId="78" xfId="75" applyFont="1" applyFill="1" applyBorder="1" applyAlignment="1">
      <alignment vertical="center" wrapText="1"/>
    </xf>
    <xf numFmtId="0" fontId="36" fillId="0" borderId="79" xfId="75" applyFont="1" applyFill="1" applyBorder="1" applyAlignment="1">
      <alignment vertical="center" wrapText="1"/>
    </xf>
    <xf numFmtId="170" fontId="37" fillId="0" borderId="77" xfId="75" applyNumberFormat="1" applyFont="1" applyFill="1" applyBorder="1" applyAlignment="1">
      <alignment horizontal="left" vertical="center" wrapText="1"/>
    </xf>
    <xf numFmtId="170" fontId="37" fillId="0" borderId="76" xfId="75" applyNumberFormat="1" applyFont="1" applyFill="1" applyBorder="1" applyAlignment="1">
      <alignment horizontal="left" vertical="center" wrapText="1"/>
    </xf>
    <xf numFmtId="0" fontId="28" fillId="0" borderId="109" xfId="0" applyFont="1" applyFill="1" applyBorder="1" applyAlignment="1">
      <alignment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166" fontId="21" fillId="0" borderId="6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0" fontId="21" fillId="0" borderId="57" xfId="0" applyFont="1" applyFill="1" applyBorder="1" applyAlignment="1">
      <alignment horizontal="left" vertical="center" wrapText="1"/>
    </xf>
    <xf numFmtId="0" fontId="21" fillId="0" borderId="74" xfId="0" applyFont="1" applyFill="1" applyBorder="1" applyAlignment="1">
      <alignment horizontal="left" vertical="center" wrapText="1"/>
    </xf>
    <xf numFmtId="0" fontId="29" fillId="0" borderId="74" xfId="0" applyFont="1" applyFill="1" applyBorder="1" applyAlignment="1">
      <alignment horizontal="left" vertical="center" wrapText="1"/>
    </xf>
    <xf numFmtId="3" fontId="29" fillId="0" borderId="65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9" fillId="0" borderId="11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40" xfId="0" applyNumberFormat="1" applyFont="1" applyFill="1" applyBorder="1" applyAlignment="1">
      <alignment vertical="center" wrapText="1"/>
    </xf>
    <xf numFmtId="3" fontId="29" fillId="0" borderId="139" xfId="0" applyNumberFormat="1" applyFont="1" applyFill="1" applyBorder="1" applyAlignment="1">
      <alignment vertical="center" wrapText="1"/>
    </xf>
    <xf numFmtId="3" fontId="29" fillId="0" borderId="141" xfId="0" applyNumberFormat="1" applyFont="1" applyFill="1" applyBorder="1" applyAlignment="1">
      <alignment vertical="center" wrapText="1"/>
    </xf>
    <xf numFmtId="0" fontId="28" fillId="0" borderId="86" xfId="0" applyFont="1" applyFill="1" applyBorder="1" applyAlignment="1">
      <alignment horizontal="left" vertical="center" wrapText="1"/>
    </xf>
    <xf numFmtId="0" fontId="28" fillId="0" borderId="150" xfId="0" applyFont="1" applyFill="1" applyBorder="1" applyAlignment="1">
      <alignment horizontal="left" vertical="center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2" xfId="0" applyNumberFormat="1" applyFont="1" applyFill="1" applyBorder="1" applyAlignment="1">
      <alignment vertical="center" wrapText="1"/>
    </xf>
    <xf numFmtId="3" fontId="29" fillId="0" borderId="52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4" xfId="0" applyNumberFormat="1" applyFont="1" applyFill="1" applyBorder="1" applyAlignment="1">
      <alignment vertical="center" wrapText="1"/>
    </xf>
    <xf numFmtId="3" fontId="28" fillId="0" borderId="30" xfId="0" applyNumberFormat="1" applyFont="1" applyFill="1" applyBorder="1" applyAlignment="1">
      <alignment vertical="center" wrapText="1"/>
    </xf>
    <xf numFmtId="3" fontId="28" fillId="0" borderId="58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68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2" xfId="0" applyNumberFormat="1" applyFont="1" applyFill="1" applyBorder="1" applyAlignment="1">
      <alignment vertical="center" wrapText="1"/>
    </xf>
    <xf numFmtId="3" fontId="28" fillId="0" borderId="69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0" fontId="35" fillId="0" borderId="56" xfId="75" applyFont="1" applyFill="1" applyBorder="1" applyAlignment="1">
      <alignment horizontal="left" vertical="center" wrapText="1"/>
    </xf>
    <xf numFmtId="0" fontId="21" fillId="0" borderId="40" xfId="75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4" xfId="54" applyNumberFormat="1" applyFont="1" applyFill="1" applyBorder="1"/>
    <xf numFmtId="3" fontId="21" fillId="0" borderId="113" xfId="54" applyNumberFormat="1" applyFont="1" applyFill="1" applyBorder="1"/>
    <xf numFmtId="3" fontId="21" fillId="0" borderId="65" xfId="54" applyNumberFormat="1" applyFont="1" applyFill="1" applyBorder="1"/>
    <xf numFmtId="3" fontId="29" fillId="0" borderId="65" xfId="54" applyNumberFormat="1" applyFont="1" applyFill="1" applyBorder="1"/>
    <xf numFmtId="3" fontId="21" fillId="0" borderId="124" xfId="54" applyNumberFormat="1" applyFont="1" applyFill="1" applyBorder="1"/>
    <xf numFmtId="3" fontId="21" fillId="0" borderId="32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4" xfId="54" applyNumberFormat="1" applyFont="1" applyFill="1" applyBorder="1"/>
    <xf numFmtId="3" fontId="29" fillId="0" borderId="32" xfId="0" applyNumberFormat="1" applyFont="1" applyFill="1" applyBorder="1"/>
    <xf numFmtId="3" fontId="21" fillId="0" borderId="34" xfId="0" applyNumberFormat="1" applyFont="1" applyFill="1" applyBorder="1"/>
    <xf numFmtId="3" fontId="28" fillId="0" borderId="128" xfId="54" applyNumberFormat="1" applyFont="1" applyFill="1" applyBorder="1" applyAlignment="1">
      <alignment vertical="center"/>
    </xf>
    <xf numFmtId="3" fontId="28" fillId="0" borderId="128" xfId="54" applyNumberFormat="1" applyFont="1" applyFill="1" applyBorder="1"/>
    <xf numFmtId="3" fontId="28" fillId="0" borderId="33" xfId="0" applyNumberFormat="1" applyFont="1" applyFill="1" applyBorder="1"/>
    <xf numFmtId="3" fontId="21" fillId="0" borderId="132" xfId="54" applyNumberFormat="1" applyFont="1" applyFill="1" applyBorder="1"/>
    <xf numFmtId="0" fontId="28" fillId="0" borderId="87" xfId="0" applyFont="1" applyFill="1" applyBorder="1" applyAlignment="1">
      <alignment horizontal="left" vertical="center"/>
    </xf>
    <xf numFmtId="3" fontId="28" fillId="0" borderId="157" xfId="54" applyNumberFormat="1" applyFont="1" applyFill="1" applyBorder="1"/>
    <xf numFmtId="3" fontId="28" fillId="0" borderId="58" xfId="54" applyNumberFormat="1" applyFont="1" applyFill="1" applyBorder="1"/>
    <xf numFmtId="3" fontId="40" fillId="0" borderId="0" xfId="0" applyNumberFormat="1" applyFont="1" applyFill="1" applyBorder="1"/>
    <xf numFmtId="0" fontId="40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0" xfId="0" applyFont="1" applyFill="1" applyBorder="1" applyAlignment="1">
      <alignment horizontal="left" vertical="center" wrapText="1" indent="2"/>
    </xf>
    <xf numFmtId="0" fontId="21" fillId="0" borderId="61" xfId="0" applyFont="1" applyBorder="1" applyAlignment="1">
      <alignment horizontal="left" indent="6"/>
    </xf>
    <xf numFmtId="0" fontId="21" fillId="0" borderId="60" xfId="0" applyFont="1" applyBorder="1" applyAlignment="1">
      <alignment horizontal="left" indent="6"/>
    </xf>
    <xf numFmtId="0" fontId="28" fillId="0" borderId="0" xfId="0" applyFont="1" applyFill="1" applyBorder="1"/>
    <xf numFmtId="0" fontId="21" fillId="0" borderId="60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0" xfId="0" applyFont="1" applyFill="1" applyBorder="1" applyAlignment="1">
      <alignment horizontal="left" vertical="center" wrapText="1" indent="2"/>
    </xf>
    <xf numFmtId="0" fontId="29" fillId="0" borderId="61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vertical="center" wrapText="1"/>
    </xf>
    <xf numFmtId="0" fontId="21" fillId="0" borderId="53" xfId="0" applyFont="1" applyBorder="1" applyAlignment="1">
      <alignment horizontal="left" indent="6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76" xfId="0" applyFont="1" applyFill="1" applyBorder="1" applyAlignment="1">
      <alignment horizontal="left" vertical="center" wrapText="1"/>
    </xf>
    <xf numFmtId="0" fontId="29" fillId="0" borderId="78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64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2" fontId="28" fillId="0" borderId="0" xfId="0" applyNumberFormat="1" applyFont="1" applyFill="1" applyAlignment="1">
      <alignment vertical="center"/>
    </xf>
    <xf numFmtId="0" fontId="21" fillId="0" borderId="37" xfId="0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39" fillId="0" borderId="0" xfId="0" applyNumberFormat="1" applyFont="1" applyBorder="1" applyAlignment="1">
      <alignment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55" xfId="0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3" fontId="21" fillId="0" borderId="51" xfId="0" applyNumberFormat="1" applyFont="1" applyFill="1" applyBorder="1" applyAlignment="1">
      <alignment vertical="center"/>
    </xf>
    <xf numFmtId="17" fontId="21" fillId="0" borderId="56" xfId="0" applyNumberFormat="1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3" fontId="21" fillId="0" borderId="38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79" xfId="0" applyNumberFormat="1" applyFont="1" applyFill="1" applyBorder="1" applyAlignment="1">
      <alignment vertical="center"/>
    </xf>
    <xf numFmtId="0" fontId="21" fillId="0" borderId="84" xfId="0" applyFont="1" applyFill="1" applyBorder="1" applyAlignment="1">
      <alignment vertical="center"/>
    </xf>
    <xf numFmtId="3" fontId="21" fillId="0" borderId="77" xfId="0" applyNumberFormat="1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81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0" fontId="21" fillId="0" borderId="45" xfId="0" applyFont="1" applyFill="1" applyBorder="1" applyAlignment="1">
      <alignment vertical="center"/>
    </xf>
    <xf numFmtId="3" fontId="21" fillId="0" borderId="43" xfId="0" applyNumberFormat="1" applyFont="1" applyFill="1" applyBorder="1" applyAlignment="1">
      <alignment vertical="center"/>
    </xf>
    <xf numFmtId="3" fontId="21" fillId="0" borderId="82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0" fontId="28" fillId="0" borderId="59" xfId="0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/>
    </xf>
    <xf numFmtId="3" fontId="28" fillId="0" borderId="36" xfId="0" applyNumberFormat="1" applyFont="1" applyFill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165" fontId="21" fillId="0" borderId="0" xfId="0" applyNumberFormat="1" applyFont="1" applyFill="1" applyAlignment="1">
      <alignment vertical="center"/>
    </xf>
    <xf numFmtId="165" fontId="28" fillId="0" borderId="0" xfId="0" applyNumberFormat="1" applyFont="1" applyFill="1" applyAlignment="1">
      <alignment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2" fontId="21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horizontal="right" vertical="center"/>
    </xf>
    <xf numFmtId="0" fontId="21" fillId="0" borderId="46" xfId="0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1" fillId="0" borderId="48" xfId="0" applyFont="1" applyFill="1" applyBorder="1" applyAlignment="1">
      <alignment vertical="center"/>
    </xf>
    <xf numFmtId="0" fontId="35" fillId="0" borderId="74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0" fontId="37" fillId="0" borderId="74" xfId="75" applyFont="1" applyFill="1" applyBorder="1" applyAlignment="1">
      <alignment horizontal="left"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7" fillId="0" borderId="56" xfId="75" applyFont="1" applyFill="1" applyBorder="1" applyAlignment="1">
      <alignment horizontal="left" vertical="center" wrapText="1"/>
    </xf>
    <xf numFmtId="0" fontId="29" fillId="0" borderId="154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7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0" fontId="36" fillId="29" borderId="85" xfId="0" applyFont="1" applyFill="1" applyBorder="1" applyAlignment="1">
      <alignment horizontal="left" vertical="center" wrapText="1"/>
    </xf>
    <xf numFmtId="0" fontId="28" fillId="29" borderId="48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0" borderId="98" xfId="91" applyNumberFormat="1" applyFont="1" applyFill="1" applyBorder="1" applyAlignment="1" applyProtection="1">
      <alignment horizontal="center" vertical="center"/>
    </xf>
    <xf numFmtId="3" fontId="28" fillId="0" borderId="98" xfId="91" applyNumberFormat="1" applyFont="1" applyFill="1" applyBorder="1" applyAlignment="1" applyProtection="1">
      <alignment horizontal="center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9" xfId="75" applyNumberFormat="1" applyFont="1" applyFill="1" applyBorder="1" applyAlignment="1">
      <alignment horizontal="right" vertical="center" wrapText="1"/>
    </xf>
    <xf numFmtId="3" fontId="28" fillId="0" borderId="34" xfId="91" applyNumberFormat="1" applyFont="1" applyFill="1" applyBorder="1" applyAlignment="1" applyProtection="1">
      <alignment horizontal="center" vertical="center"/>
    </xf>
    <xf numFmtId="3" fontId="28" fillId="0" borderId="33" xfId="75" applyNumberFormat="1" applyFont="1" applyFill="1" applyBorder="1" applyAlignment="1">
      <alignment horizontal="right"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0" xfId="91" applyNumberFormat="1" applyFont="1" applyFill="1" applyBorder="1" applyAlignment="1" applyProtection="1">
      <alignment vertical="center"/>
    </xf>
    <xf numFmtId="3" fontId="28" fillId="0" borderId="163" xfId="91" applyNumberFormat="1" applyFont="1" applyFill="1" applyBorder="1" applyAlignment="1" applyProtection="1">
      <alignment horizontal="center" vertical="center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8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 wrapText="1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114" xfId="91" applyNumberFormat="1" applyFont="1" applyFill="1" applyBorder="1" applyAlignment="1" applyProtection="1">
      <alignment horizontal="center" vertical="center"/>
    </xf>
    <xf numFmtId="3" fontId="28" fillId="0" borderId="129" xfId="75" applyNumberFormat="1" applyFont="1" applyFill="1" applyBorder="1" applyAlignment="1">
      <alignment horizontal="right" vertical="center" wrapText="1"/>
    </xf>
    <xf numFmtId="3" fontId="28" fillId="0" borderId="51" xfId="91" applyNumberFormat="1" applyFont="1" applyFill="1" applyBorder="1" applyAlignment="1" applyProtection="1">
      <alignment horizontal="center" vertical="center"/>
    </xf>
    <xf numFmtId="3" fontId="28" fillId="0" borderId="38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3" fontId="21" fillId="0" borderId="61" xfId="0" applyNumberFormat="1" applyFont="1" applyFill="1" applyBorder="1" applyAlignment="1">
      <alignment horizontal="right" vertical="center"/>
    </xf>
    <xf numFmtId="3" fontId="21" fillId="0" borderId="65" xfId="91" applyNumberFormat="1" applyFont="1" applyFill="1" applyBorder="1" applyAlignment="1" applyProtection="1">
      <alignment horizontal="right" vertical="center"/>
      <protection locked="0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5" xfId="91" applyNumberFormat="1" applyFont="1" applyFill="1" applyBorder="1" applyAlignment="1" applyProtection="1">
      <alignment horizontal="right" vertical="center"/>
      <protection locked="0"/>
    </xf>
    <xf numFmtId="3" fontId="28" fillId="0" borderId="62" xfId="91" applyNumberFormat="1" applyFont="1" applyFill="1" applyBorder="1" applyAlignment="1" applyProtection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8" fillId="0" borderId="128" xfId="0" applyNumberFormat="1" applyFont="1" applyFill="1" applyBorder="1" applyAlignment="1">
      <alignment horizontal="right" vertical="center"/>
    </xf>
    <xf numFmtId="3" fontId="28" fillId="0" borderId="33" xfId="0" applyNumberFormat="1" applyFont="1" applyFill="1" applyBorder="1" applyAlignment="1">
      <alignment horizontal="right" vertical="center"/>
    </xf>
    <xf numFmtId="3" fontId="28" fillId="0" borderId="129" xfId="0" applyNumberFormat="1" applyFont="1" applyFill="1" applyBorder="1" applyAlignment="1">
      <alignment horizontal="right" vertical="center"/>
    </xf>
    <xf numFmtId="3" fontId="28" fillId="0" borderId="39" xfId="0" applyNumberFormat="1" applyFont="1" applyFill="1" applyBorder="1" applyAlignment="1">
      <alignment horizontal="right" vertical="center"/>
    </xf>
    <xf numFmtId="3" fontId="21" fillId="0" borderId="50" xfId="0" applyNumberFormat="1" applyFont="1" applyFill="1" applyBorder="1" applyAlignment="1">
      <alignment horizontal="right" vertical="center"/>
    </xf>
    <xf numFmtId="3" fontId="21" fillId="0" borderId="113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14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49" xfId="91" applyNumberFormat="1" applyFont="1" applyFill="1" applyBorder="1" applyAlignment="1" applyProtection="1">
      <alignment horizontal="right" vertical="center"/>
      <protection locked="0"/>
    </xf>
    <xf numFmtId="3" fontId="28" fillId="0" borderId="62" xfId="91" applyNumberFormat="1" applyFont="1" applyFill="1" applyBorder="1" applyAlignment="1" applyProtection="1">
      <alignment horizontal="right" vertical="center"/>
      <protection locked="0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128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29" xfId="91" applyNumberFormat="1" applyFont="1" applyFill="1" applyBorder="1" applyAlignment="1" applyProtection="1">
      <alignment horizontal="right" vertical="center"/>
    </xf>
    <xf numFmtId="3" fontId="28" fillId="0" borderId="3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8" fillId="0" borderId="113" xfId="91" applyNumberFormat="1" applyFont="1" applyFill="1" applyBorder="1" applyAlignment="1" applyProtection="1">
      <alignment horizontal="right" vertical="center"/>
    </xf>
    <xf numFmtId="3" fontId="28" fillId="0" borderId="34" xfId="91" applyNumberFormat="1" applyFont="1" applyFill="1" applyBorder="1" applyAlignment="1" applyProtection="1">
      <alignment horizontal="right" vertical="center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128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29" xfId="91" applyNumberFormat="1" applyFont="1" applyFill="1" applyBorder="1" applyAlignment="1" applyProtection="1">
      <alignment horizontal="right" vertical="center"/>
      <protection locked="0"/>
    </xf>
    <xf numFmtId="3" fontId="28" fillId="0" borderId="103" xfId="91" applyNumberFormat="1" applyFont="1" applyFill="1" applyBorder="1" applyAlignment="1" applyProtection="1">
      <alignment horizontal="right" vertical="center"/>
    </xf>
    <xf numFmtId="3" fontId="28" fillId="0" borderId="161" xfId="91" applyNumberFormat="1" applyFont="1" applyFill="1" applyBorder="1" applyAlignment="1" applyProtection="1">
      <alignment horizontal="right" vertical="center"/>
    </xf>
    <xf numFmtId="3" fontId="28" fillId="0" borderId="158" xfId="91" applyNumberFormat="1" applyFont="1" applyFill="1" applyBorder="1" applyAlignment="1" applyProtection="1">
      <alignment horizontal="right" vertical="center"/>
    </xf>
    <xf numFmtId="3" fontId="28" fillId="0" borderId="162" xfId="91" applyNumberFormat="1" applyFont="1" applyFill="1" applyBorder="1" applyAlignment="1" applyProtection="1">
      <alignment horizontal="right" vertical="center"/>
    </xf>
    <xf numFmtId="3" fontId="28" fillId="0" borderId="104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/>
    </xf>
    <xf numFmtId="0" fontId="28" fillId="0" borderId="37" xfId="0" applyFont="1" applyBorder="1" applyAlignment="1">
      <alignment vertical="center"/>
    </xf>
    <xf numFmtId="0" fontId="28" fillId="0" borderId="57" xfId="0" applyFont="1" applyBorder="1" applyAlignment="1">
      <alignment vertical="center"/>
    </xf>
    <xf numFmtId="0" fontId="28" fillId="0" borderId="86" xfId="0" applyFont="1" applyBorder="1" applyAlignment="1">
      <alignment vertical="center"/>
    </xf>
    <xf numFmtId="3" fontId="28" fillId="28" borderId="59" xfId="0" applyNumberFormat="1" applyFont="1" applyFill="1" applyBorder="1" applyAlignment="1">
      <alignment horizontal="center" vertical="center"/>
    </xf>
    <xf numFmtId="3" fontId="28" fillId="0" borderId="164" xfId="0" applyNumberFormat="1" applyFont="1" applyFill="1" applyBorder="1" applyAlignment="1">
      <alignment vertical="center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79" xfId="0" applyFont="1" applyFill="1" applyBorder="1" applyAlignment="1">
      <alignment horizontal="center" vertical="center" wrapText="1"/>
    </xf>
    <xf numFmtId="3" fontId="21" fillId="0" borderId="84" xfId="0" applyNumberFormat="1" applyFont="1" applyFill="1" applyBorder="1" applyAlignment="1">
      <alignment vertical="center"/>
    </xf>
    <xf numFmtId="3" fontId="21" fillId="0" borderId="37" xfId="0" applyNumberFormat="1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3" fontId="28" fillId="0" borderId="59" xfId="0" applyNumberFormat="1" applyFont="1" applyFill="1" applyBorder="1" applyAlignment="1">
      <alignment vertical="center"/>
    </xf>
    <xf numFmtId="166" fontId="21" fillId="0" borderId="165" xfId="0" applyNumberFormat="1" applyFont="1" applyFill="1" applyBorder="1" applyAlignment="1">
      <alignment vertical="center"/>
    </xf>
    <xf numFmtId="166" fontId="21" fillId="0" borderId="168" xfId="0" applyNumberFormat="1" applyFont="1" applyFill="1" applyBorder="1" applyAlignment="1">
      <alignment vertical="center"/>
    </xf>
    <xf numFmtId="166" fontId="21" fillId="0" borderId="169" xfId="0" applyNumberFormat="1" applyFont="1" applyFill="1" applyBorder="1" applyAlignment="1">
      <alignment vertical="center"/>
    </xf>
    <xf numFmtId="166" fontId="21" fillId="0" borderId="170" xfId="0" applyNumberFormat="1" applyFont="1" applyFill="1" applyBorder="1" applyAlignment="1">
      <alignment vertical="center"/>
    </xf>
    <xf numFmtId="166" fontId="28" fillId="0" borderId="14" xfId="0" applyNumberFormat="1" applyFont="1" applyFill="1" applyBorder="1" applyAlignment="1">
      <alignment vertical="center"/>
    </xf>
    <xf numFmtId="1" fontId="26" fillId="0" borderId="99" xfId="0" applyNumberFormat="1" applyFont="1" applyFill="1" applyBorder="1" applyAlignment="1">
      <alignment horizontal="center" vertical="center" wrapText="1"/>
    </xf>
    <xf numFmtId="3" fontId="31" fillId="0" borderId="79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3" fontId="31" fillId="0" borderId="64" xfId="0" applyNumberFormat="1" applyFont="1" applyFill="1" applyBorder="1" applyAlignment="1">
      <alignment horizontal="right" vertical="center"/>
    </xf>
    <xf numFmtId="3" fontId="31" fillId="0" borderId="67" xfId="0" applyNumberFormat="1" applyFont="1" applyFill="1" applyBorder="1" applyAlignment="1">
      <alignment horizontal="right" vertical="center"/>
    </xf>
    <xf numFmtId="1" fontId="26" fillId="0" borderId="100" xfId="0" applyNumberFormat="1" applyFont="1" applyFill="1" applyBorder="1" applyAlignment="1">
      <alignment horizontal="center" vertical="center" wrapText="1"/>
    </xf>
    <xf numFmtId="3" fontId="26" fillId="0" borderId="51" xfId="0" applyNumberFormat="1" applyFont="1" applyFill="1" applyBorder="1" applyAlignment="1">
      <alignment horizontal="right" vertical="center"/>
    </xf>
    <xf numFmtId="1" fontId="26" fillId="0" borderId="102" xfId="0" applyNumberFormat="1" applyFont="1" applyFill="1" applyBorder="1" applyAlignment="1">
      <alignment horizontal="center" vertical="center" wrapText="1"/>
    </xf>
    <xf numFmtId="3" fontId="26" fillId="0" borderId="81" xfId="0" applyNumberFormat="1" applyFont="1" applyFill="1" applyBorder="1" applyAlignment="1">
      <alignment horizontal="right" vertical="center"/>
    </xf>
    <xf numFmtId="3" fontId="26" fillId="0" borderId="77" xfId="0" applyNumberFormat="1" applyFont="1" applyFill="1" applyBorder="1" applyAlignment="1">
      <alignment horizontal="right" vertical="center"/>
    </xf>
    <xf numFmtId="3" fontId="26" fillId="0" borderId="109" xfId="0" applyNumberFormat="1" applyFont="1" applyFill="1" applyBorder="1" applyAlignment="1">
      <alignment horizontal="right" vertical="center"/>
    </xf>
    <xf numFmtId="3" fontId="26" fillId="0" borderId="76" xfId="0" applyNumberFormat="1" applyFont="1" applyFill="1" applyBorder="1" applyAlignment="1">
      <alignment horizontal="right" vertical="center"/>
    </xf>
    <xf numFmtId="3" fontId="31" fillId="0" borderId="164" xfId="0" applyNumberFormat="1" applyFont="1" applyFill="1" applyBorder="1" applyAlignment="1">
      <alignment horizontal="right" vertical="center"/>
    </xf>
    <xf numFmtId="166" fontId="26" fillId="0" borderId="49" xfId="0" applyNumberFormat="1" applyFont="1" applyFill="1" applyBorder="1" applyAlignment="1">
      <alignment horizontal="right" vertical="center"/>
    </xf>
    <xf numFmtId="166" fontId="26" fillId="0" borderId="62" xfId="0" applyNumberFormat="1" applyFont="1" applyFill="1" applyBorder="1" applyAlignment="1">
      <alignment horizontal="right" vertical="center"/>
    </xf>
    <xf numFmtId="166" fontId="26" fillId="0" borderId="51" xfId="0" applyNumberFormat="1" applyFont="1" applyFill="1" applyBorder="1" applyAlignment="1">
      <alignment horizontal="right" vertical="center"/>
    </xf>
    <xf numFmtId="166" fontId="26" fillId="0" borderId="166" xfId="0" applyNumberFormat="1" applyFont="1" applyFill="1" applyBorder="1" applyAlignment="1">
      <alignment horizontal="right" vertical="center"/>
    </xf>
    <xf numFmtId="166" fontId="31" fillId="0" borderId="39" xfId="0" applyNumberFormat="1" applyFont="1" applyFill="1" applyBorder="1" applyAlignment="1">
      <alignment horizontal="right" vertical="center"/>
    </xf>
    <xf numFmtId="166" fontId="31" fillId="0" borderId="36" xfId="0" applyNumberFormat="1" applyFont="1" applyFill="1" applyBorder="1" applyAlignment="1">
      <alignment horizontal="right" vertical="center"/>
    </xf>
    <xf numFmtId="3" fontId="28" fillId="0" borderId="131" xfId="54" applyNumberFormat="1" applyFont="1" applyFill="1" applyBorder="1" applyAlignment="1">
      <alignment horizontal="center" vertical="center" wrapText="1"/>
    </xf>
    <xf numFmtId="0" fontId="35" fillId="0" borderId="85" xfId="75" applyFont="1" applyFill="1" applyBorder="1" applyAlignment="1">
      <alignment horizontal="left" vertical="center" wrapText="1"/>
    </xf>
    <xf numFmtId="0" fontId="21" fillId="0" borderId="48" xfId="75" applyFont="1" applyFill="1" applyBorder="1" applyAlignment="1">
      <alignment horizontal="left" vertical="center" wrapText="1"/>
    </xf>
    <xf numFmtId="3" fontId="21" fillId="0" borderId="49" xfId="0" applyNumberFormat="1" applyFont="1" applyFill="1" applyBorder="1"/>
    <xf numFmtId="3" fontId="28" fillId="0" borderId="39" xfId="0" applyNumberFormat="1" applyFont="1" applyBorder="1" applyAlignment="1">
      <alignment vertical="center"/>
    </xf>
    <xf numFmtId="3" fontId="28" fillId="0" borderId="41" xfId="0" applyNumberFormat="1" applyFont="1" applyBorder="1" applyAlignment="1">
      <alignment vertical="center"/>
    </xf>
    <xf numFmtId="168" fontId="28" fillId="0" borderId="89" xfId="54" applyNumberFormat="1" applyFont="1" applyBorder="1" applyAlignment="1">
      <alignment vertical="center"/>
    </xf>
    <xf numFmtId="168" fontId="28" fillId="28" borderId="36" xfId="54" applyNumberFormat="1" applyFont="1" applyFill="1" applyBorder="1" applyAlignment="1">
      <alignment vertical="center"/>
    </xf>
    <xf numFmtId="3" fontId="28" fillId="29" borderId="33" xfId="0" applyNumberFormat="1" applyFont="1" applyFill="1" applyBorder="1" applyAlignment="1">
      <alignment vertical="center" wrapText="1"/>
    </xf>
    <xf numFmtId="3" fontId="28" fillId="29" borderId="92" xfId="0" applyNumberFormat="1" applyFont="1" applyFill="1" applyBorder="1" applyAlignment="1">
      <alignment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3" fontId="28" fillId="0" borderId="171" xfId="54" applyNumberFormat="1" applyFont="1" applyFill="1" applyBorder="1" applyAlignment="1">
      <alignment horizontal="center"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111" xfId="0" applyNumberFormat="1" applyFont="1" applyFill="1" applyBorder="1" applyAlignment="1">
      <alignment vertical="center" wrapText="1"/>
    </xf>
    <xf numFmtId="3" fontId="28" fillId="0" borderId="38" xfId="0" applyNumberFormat="1" applyFont="1" applyFill="1" applyBorder="1" applyAlignment="1">
      <alignment vertical="center" wrapText="1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1" xfId="54" applyNumberFormat="1" applyFont="1" applyFill="1" applyBorder="1" applyAlignment="1">
      <alignment horizontal="right" vertical="center"/>
    </xf>
    <xf numFmtId="3" fontId="29" fillId="0" borderId="32" xfId="54" applyNumberFormat="1" applyFont="1" applyFill="1" applyBorder="1" applyAlignment="1">
      <alignment horizontal="right" vertical="center"/>
    </xf>
    <xf numFmtId="3" fontId="29" fillId="0" borderId="52" xfId="54" applyNumberFormat="1" applyFont="1" applyFill="1" applyBorder="1" applyAlignment="1">
      <alignment horizontal="right" vertical="center"/>
    </xf>
    <xf numFmtId="3" fontId="29" fillId="0" borderId="18" xfId="0" applyNumberFormat="1" applyFont="1" applyFill="1" applyBorder="1" applyAlignment="1">
      <alignment vertical="center" wrapText="1"/>
    </xf>
    <xf numFmtId="3" fontId="29" fillId="0" borderId="48" xfId="0" applyNumberFormat="1" applyFont="1" applyFill="1" applyBorder="1" applyAlignment="1">
      <alignment vertical="center" wrapText="1"/>
    </xf>
    <xf numFmtId="0" fontId="29" fillId="0" borderId="56" xfId="0" applyFont="1" applyFill="1" applyBorder="1" applyAlignment="1">
      <alignment horizontal="left" vertical="center"/>
    </xf>
    <xf numFmtId="0" fontId="29" fillId="0" borderId="42" xfId="0" applyFont="1" applyFill="1" applyBorder="1" applyAlignment="1">
      <alignment horizontal="left" vertical="center" wrapText="1" indent="5"/>
    </xf>
    <xf numFmtId="3" fontId="29" fillId="0" borderId="142" xfId="54" applyNumberFormat="1" applyFont="1" applyFill="1" applyBorder="1"/>
    <xf numFmtId="3" fontId="29" fillId="0" borderId="140" xfId="0" applyNumberFormat="1" applyFont="1" applyFill="1" applyBorder="1"/>
    <xf numFmtId="3" fontId="28" fillId="0" borderId="88" xfId="0" applyNumberFormat="1" applyFont="1" applyFill="1" applyBorder="1" applyAlignment="1">
      <alignment vertical="center"/>
    </xf>
    <xf numFmtId="3" fontId="28" fillId="0" borderId="150" xfId="0" applyNumberFormat="1" applyFont="1" applyFill="1" applyBorder="1" applyAlignment="1">
      <alignment vertical="center"/>
    </xf>
    <xf numFmtId="166" fontId="28" fillId="0" borderId="159" xfId="0" applyNumberFormat="1" applyFont="1" applyFill="1" applyBorder="1" applyAlignment="1">
      <alignment vertical="center"/>
    </xf>
    <xf numFmtId="3" fontId="21" fillId="0" borderId="70" xfId="0" applyNumberFormat="1" applyFont="1" applyFill="1" applyBorder="1" applyAlignment="1">
      <alignment vertical="center"/>
    </xf>
    <xf numFmtId="0" fontId="31" fillId="0" borderId="29" xfId="0" applyFont="1" applyFill="1" applyBorder="1" applyAlignment="1">
      <alignment vertical="center" wrapText="1"/>
    </xf>
    <xf numFmtId="0" fontId="31" fillId="0" borderId="83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9" xfId="0" applyNumberFormat="1" applyFont="1" applyFill="1" applyBorder="1" applyAlignment="1">
      <alignment horizontal="right" vertical="center"/>
    </xf>
    <xf numFmtId="166" fontId="31" fillId="0" borderId="166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1" xfId="0" applyFont="1" applyFill="1" applyBorder="1" applyAlignment="1">
      <alignment horizontal="center" vertical="center"/>
    </xf>
    <xf numFmtId="3" fontId="31" fillId="0" borderId="47" xfId="0" applyNumberFormat="1" applyFont="1" applyFill="1" applyBorder="1" applyAlignment="1">
      <alignment horizontal="right" vertical="center"/>
    </xf>
    <xf numFmtId="3" fontId="31" fillId="0" borderId="76" xfId="0" applyNumberFormat="1" applyFont="1" applyFill="1" applyBorder="1" applyAlignment="1">
      <alignment horizontal="right" vertical="center"/>
    </xf>
    <xf numFmtId="166" fontId="31" fillId="0" borderId="49" xfId="0" applyNumberFormat="1" applyFont="1" applyFill="1" applyBorder="1" applyAlignment="1">
      <alignment horizontal="right" vertical="center"/>
    </xf>
    <xf numFmtId="3" fontId="28" fillId="0" borderId="86" xfId="0" applyNumberFormat="1" applyFont="1" applyFill="1" applyBorder="1" applyAlignment="1">
      <alignment vertical="center"/>
    </xf>
    <xf numFmtId="3" fontId="28" fillId="0" borderId="89" xfId="0" applyNumberFormat="1" applyFont="1" applyFill="1" applyBorder="1" applyAlignment="1">
      <alignment vertical="center"/>
    </xf>
    <xf numFmtId="0" fontId="29" fillId="0" borderId="85" xfId="0" applyFont="1" applyFill="1" applyBorder="1" applyAlignment="1">
      <alignment horizontal="left" vertical="center" wrapText="1"/>
    </xf>
    <xf numFmtId="3" fontId="28" fillId="0" borderId="79" xfId="0" applyNumberFormat="1" applyFont="1" applyBorder="1" applyAlignment="1">
      <alignment vertical="center"/>
    </xf>
    <xf numFmtId="3" fontId="28" fillId="0" borderId="150" xfId="0" applyNumberFormat="1" applyFont="1" applyBorder="1" applyAlignment="1">
      <alignment vertical="center"/>
    </xf>
    <xf numFmtId="3" fontId="28" fillId="28" borderId="164" xfId="0" applyNumberFormat="1" applyFont="1" applyFill="1" applyBorder="1" applyAlignment="1">
      <alignment vertical="center"/>
    </xf>
    <xf numFmtId="10" fontId="21" fillId="0" borderId="51" xfId="54" applyNumberFormat="1" applyFont="1" applyBorder="1" applyAlignment="1">
      <alignment horizontal="right" vertical="center"/>
    </xf>
    <xf numFmtId="10" fontId="21" fillId="0" borderId="49" xfId="54" applyNumberFormat="1" applyFont="1" applyBorder="1" applyAlignment="1">
      <alignment horizontal="right" vertical="center"/>
    </xf>
    <xf numFmtId="10" fontId="21" fillId="0" borderId="49" xfId="0" applyNumberFormat="1" applyFont="1" applyBorder="1" applyAlignment="1">
      <alignment horizontal="right" vertical="center"/>
    </xf>
    <xf numFmtId="10" fontId="21" fillId="0" borderId="62" xfId="0" applyNumberFormat="1" applyFont="1" applyBorder="1" applyAlignment="1">
      <alignment horizontal="right" vertical="center"/>
    </xf>
    <xf numFmtId="10" fontId="28" fillId="0" borderId="39" xfId="54" applyNumberFormat="1" applyFont="1" applyBorder="1" applyAlignment="1">
      <alignment horizontal="right" vertical="center"/>
    </xf>
    <xf numFmtId="10" fontId="21" fillId="0" borderId="41" xfId="0" applyNumberFormat="1" applyFont="1" applyBorder="1" applyAlignment="1">
      <alignment horizontal="right" vertical="center"/>
    </xf>
    <xf numFmtId="10" fontId="21" fillId="0" borderId="89" xfId="54" applyNumberFormat="1" applyFont="1" applyBorder="1" applyAlignment="1">
      <alignment horizontal="right" vertical="center"/>
    </xf>
    <xf numFmtId="10" fontId="28" fillId="0" borderId="36" xfId="54" applyNumberFormat="1" applyFont="1" applyBorder="1" applyAlignment="1">
      <alignment horizontal="right" vertical="center"/>
    </xf>
    <xf numFmtId="3" fontId="28" fillId="0" borderId="67" xfId="0" applyNumberFormat="1" applyFont="1" applyFill="1" applyBorder="1" applyAlignment="1">
      <alignment vertical="center" wrapText="1"/>
    </xf>
    <xf numFmtId="3" fontId="28" fillId="29" borderId="129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125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8" fillId="29" borderId="133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3" fontId="28" fillId="0" borderId="39" xfId="54" applyNumberFormat="1" applyFont="1" applyFill="1" applyBorder="1" applyAlignment="1">
      <alignment horizontal="center" vertical="center" wrapText="1"/>
    </xf>
    <xf numFmtId="3" fontId="28" fillId="0" borderId="36" xfId="0" applyNumberFormat="1" applyFont="1" applyFill="1" applyBorder="1" applyAlignment="1">
      <alignment vertical="center" wrapText="1"/>
    </xf>
    <xf numFmtId="10" fontId="28" fillId="0" borderId="39" xfId="0" applyNumberFormat="1" applyFont="1" applyFill="1" applyBorder="1" applyAlignment="1">
      <alignment vertical="center" wrapText="1"/>
    </xf>
    <xf numFmtId="10" fontId="21" fillId="0" borderId="166" xfId="0" applyNumberFormat="1" applyFont="1" applyFill="1" applyBorder="1" applyAlignment="1">
      <alignment vertical="center" wrapText="1"/>
    </xf>
    <xf numFmtId="10" fontId="28" fillId="29" borderId="39" xfId="0" applyNumberFormat="1" applyFont="1" applyFill="1" applyBorder="1" applyAlignment="1">
      <alignment vertical="center" wrapText="1"/>
    </xf>
    <xf numFmtId="10" fontId="21" fillId="0" borderId="51" xfId="0" applyNumberFormat="1" applyFont="1" applyFill="1" applyBorder="1" applyAlignment="1">
      <alignment vertical="center" wrapText="1"/>
    </xf>
    <xf numFmtId="10" fontId="21" fillId="0" borderId="49" xfId="0" applyNumberFormat="1" applyFont="1" applyFill="1" applyBorder="1" applyAlignment="1">
      <alignment vertical="center" wrapText="1"/>
    </xf>
    <xf numFmtId="10" fontId="21" fillId="0" borderId="62" xfId="0" applyNumberFormat="1" applyFont="1" applyFill="1" applyBorder="1" applyAlignment="1">
      <alignment vertical="center" wrapText="1"/>
    </xf>
    <xf numFmtId="10" fontId="29" fillId="0" borderId="51" xfId="0" applyNumberFormat="1" applyFont="1" applyFill="1" applyBorder="1" applyAlignment="1">
      <alignment vertical="center" wrapText="1"/>
    </xf>
    <xf numFmtId="10" fontId="29" fillId="0" borderId="49" xfId="0" applyNumberFormat="1" applyFont="1" applyFill="1" applyBorder="1" applyAlignment="1">
      <alignment vertical="center" wrapText="1"/>
    </xf>
    <xf numFmtId="10" fontId="29" fillId="0" borderId="62" xfId="0" applyNumberFormat="1" applyFont="1" applyFill="1" applyBorder="1" applyAlignment="1">
      <alignment vertical="center" wrapText="1"/>
    </xf>
    <xf numFmtId="10" fontId="29" fillId="0" borderId="174" xfId="0" applyNumberFormat="1" applyFont="1" applyFill="1" applyBorder="1" applyAlignment="1">
      <alignment vertical="center" wrapText="1"/>
    </xf>
    <xf numFmtId="10" fontId="28" fillId="29" borderId="166" xfId="0" applyNumberFormat="1" applyFont="1" applyFill="1" applyBorder="1" applyAlignment="1">
      <alignment vertical="center" wrapText="1"/>
    </xf>
    <xf numFmtId="10" fontId="28" fillId="0" borderId="36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9" fillId="0" borderId="125" xfId="54" applyNumberFormat="1" applyFont="1" applyFill="1" applyBorder="1" applyAlignment="1">
      <alignment horizontal="right" vertical="center"/>
    </xf>
    <xf numFmtId="10" fontId="21" fillId="0" borderId="51" xfId="54" applyNumberFormat="1" applyFont="1" applyFill="1" applyBorder="1" applyAlignment="1">
      <alignment horizontal="right" vertical="center"/>
    </xf>
    <xf numFmtId="10" fontId="21" fillId="0" borderId="166" xfId="54" applyNumberFormat="1" applyFont="1" applyFill="1" applyBorder="1" applyAlignment="1">
      <alignment horizontal="right" vertical="center"/>
    </xf>
    <xf numFmtId="10" fontId="28" fillId="0" borderId="39" xfId="54" applyNumberFormat="1" applyFont="1" applyFill="1" applyBorder="1" applyAlignment="1">
      <alignment horizontal="right" vertical="center"/>
    </xf>
    <xf numFmtId="10" fontId="21" fillId="0" borderId="49" xfId="54" applyNumberFormat="1" applyFont="1" applyFill="1" applyBorder="1" applyAlignment="1">
      <alignment horizontal="right" vertical="center"/>
    </xf>
    <xf numFmtId="10" fontId="28" fillId="0" borderId="36" xfId="54" applyNumberFormat="1" applyFont="1" applyFill="1" applyBorder="1" applyAlignment="1">
      <alignment horizontal="right" vertical="center"/>
    </xf>
    <xf numFmtId="10" fontId="21" fillId="0" borderId="62" xfId="54" applyNumberFormat="1" applyFont="1" applyFill="1" applyBorder="1" applyAlignment="1">
      <alignment horizontal="right" vertical="center"/>
    </xf>
    <xf numFmtId="10" fontId="21" fillId="0" borderId="51" xfId="0" applyNumberFormat="1" applyFont="1" applyFill="1" applyBorder="1" applyAlignment="1">
      <alignment horizontal="right" vertical="center" wrapText="1"/>
    </xf>
    <xf numFmtId="10" fontId="29" fillId="0" borderId="166" xfId="0" applyNumberFormat="1" applyFont="1" applyFill="1" applyBorder="1" applyAlignment="1">
      <alignment horizontal="right" vertical="center" wrapText="1"/>
    </xf>
    <xf numFmtId="10" fontId="21" fillId="0" borderId="49" xfId="0" applyNumberFormat="1" applyFont="1" applyFill="1" applyBorder="1" applyAlignment="1">
      <alignment horizontal="right" vertical="center" wrapText="1"/>
    </xf>
    <xf numFmtId="10" fontId="21" fillId="0" borderId="62" xfId="0" applyNumberFormat="1" applyFont="1" applyFill="1" applyBorder="1" applyAlignment="1">
      <alignment horizontal="right" vertical="center" wrapText="1"/>
    </xf>
    <xf numFmtId="10" fontId="28" fillId="0" borderId="39" xfId="0" applyNumberFormat="1" applyFont="1" applyFill="1" applyBorder="1" applyAlignment="1">
      <alignment horizontal="right" vertical="center" wrapText="1"/>
    </xf>
    <xf numFmtId="10" fontId="21" fillId="0" borderId="166" xfId="0" applyNumberFormat="1" applyFont="1" applyFill="1" applyBorder="1" applyAlignment="1">
      <alignment horizontal="right" vertical="center" wrapText="1"/>
    </xf>
    <xf numFmtId="10" fontId="28" fillId="29" borderId="39" xfId="0" applyNumberFormat="1" applyFont="1" applyFill="1" applyBorder="1" applyAlignment="1">
      <alignment horizontal="right" vertical="center" wrapText="1"/>
    </xf>
    <xf numFmtId="10" fontId="21" fillId="0" borderId="62" xfId="54" applyNumberFormat="1" applyFont="1" applyFill="1" applyBorder="1" applyAlignment="1">
      <alignment horizontal="right" vertical="center" wrapText="1"/>
    </xf>
    <xf numFmtId="10" fontId="29" fillId="0" borderId="51" xfId="0" applyNumberFormat="1" applyFont="1" applyFill="1" applyBorder="1" applyAlignment="1">
      <alignment horizontal="right" vertical="center" wrapText="1"/>
    </xf>
    <xf numFmtId="10" fontId="29" fillId="0" borderId="49" xfId="0" applyNumberFormat="1" applyFont="1" applyFill="1" applyBorder="1" applyAlignment="1">
      <alignment horizontal="right" vertical="center" wrapText="1"/>
    </xf>
    <xf numFmtId="10" fontId="29" fillId="0" borderId="62" xfId="0" applyNumberFormat="1" applyFont="1" applyFill="1" applyBorder="1" applyAlignment="1">
      <alignment horizontal="right" vertical="center" wrapText="1"/>
    </xf>
    <xf numFmtId="10" fontId="28" fillId="29" borderId="62" xfId="0" applyNumberFormat="1" applyFont="1" applyFill="1" applyBorder="1" applyAlignment="1">
      <alignment horizontal="right" vertical="center" wrapText="1"/>
    </xf>
    <xf numFmtId="10" fontId="28" fillId="0" borderId="36" xfId="0" applyNumberFormat="1" applyFont="1" applyFill="1" applyBorder="1" applyAlignment="1">
      <alignment horizontal="right" vertical="center" wrapText="1"/>
    </xf>
    <xf numFmtId="3" fontId="21" fillId="0" borderId="21" xfId="54" applyNumberFormat="1" applyFont="1" applyFill="1" applyBorder="1" applyAlignment="1">
      <alignment horizontal="right" vertical="center"/>
    </xf>
    <xf numFmtId="3" fontId="21" fillId="0" borderId="32" xfId="54" applyNumberFormat="1" applyFont="1" applyFill="1" applyBorder="1" applyAlignment="1">
      <alignment horizontal="right" vertical="center"/>
    </xf>
    <xf numFmtId="3" fontId="21" fillId="0" borderId="52" xfId="54" applyNumberFormat="1" applyFont="1" applyFill="1" applyBorder="1" applyAlignment="1">
      <alignment horizontal="right" vertical="center"/>
    </xf>
    <xf numFmtId="3" fontId="21" fillId="0" borderId="125" xfId="54" applyNumberFormat="1" applyFont="1" applyFill="1" applyBorder="1" applyAlignment="1">
      <alignment horizontal="right" vertical="center"/>
    </xf>
    <xf numFmtId="0" fontId="28" fillId="0" borderId="105" xfId="77" applyFont="1" applyFill="1" applyBorder="1" applyAlignment="1">
      <alignment horizontal="left" vertical="center" wrapText="1"/>
    </xf>
    <xf numFmtId="0" fontId="28" fillId="0" borderId="98" xfId="77" applyFont="1" applyFill="1" applyBorder="1" applyAlignment="1">
      <alignment horizontal="center" vertical="center" wrapText="1"/>
    </xf>
    <xf numFmtId="0" fontId="28" fillId="0" borderId="121" xfId="77" applyFont="1" applyFill="1" applyBorder="1" applyAlignment="1">
      <alignment horizontal="center" vertical="center" wrapText="1"/>
    </xf>
    <xf numFmtId="0" fontId="28" fillId="0" borderId="118" xfId="77" applyFont="1" applyFill="1" applyBorder="1" applyAlignment="1">
      <alignment horizontal="center" vertical="center" wrapText="1"/>
    </xf>
    <xf numFmtId="0" fontId="28" fillId="0" borderId="119" xfId="77" applyFont="1" applyFill="1" applyBorder="1" applyAlignment="1">
      <alignment horizontal="center" vertical="center" wrapText="1"/>
    </xf>
    <xf numFmtId="3" fontId="21" fillId="0" borderId="65" xfId="77" applyNumberFormat="1" applyFont="1" applyFill="1" applyBorder="1" applyAlignment="1">
      <alignment horizontal="right" vertical="center"/>
    </xf>
    <xf numFmtId="3" fontId="28" fillId="0" borderId="88" xfId="77" applyNumberFormat="1" applyFont="1" applyFill="1" applyBorder="1" applyAlignment="1">
      <alignment horizontal="right" vertical="center"/>
    </xf>
    <xf numFmtId="3" fontId="28" fillId="0" borderId="152" xfId="77" applyNumberFormat="1" applyFont="1" applyFill="1" applyBorder="1" applyAlignment="1">
      <alignment horizontal="right" vertical="center"/>
    </xf>
    <xf numFmtId="0" fontId="28" fillId="0" borderId="100" xfId="77" applyFont="1" applyFill="1" applyBorder="1" applyAlignment="1">
      <alignment horizontal="center" vertical="center" wrapText="1"/>
    </xf>
    <xf numFmtId="3" fontId="21" fillId="0" borderId="49" xfId="77" applyNumberFormat="1" applyFont="1" applyFill="1" applyBorder="1" applyAlignment="1">
      <alignment horizontal="right" vertical="center"/>
    </xf>
    <xf numFmtId="3" fontId="28" fillId="0" borderId="89" xfId="77" applyNumberFormat="1" applyFont="1" applyFill="1" applyBorder="1" applyAlignment="1">
      <alignment horizontal="right" vertical="center"/>
    </xf>
    <xf numFmtId="0" fontId="28" fillId="0" borderId="180" xfId="0" applyFont="1" applyFill="1" applyBorder="1" applyAlignment="1">
      <alignment vertical="center" wrapText="1"/>
    </xf>
    <xf numFmtId="0" fontId="28" fillId="0" borderId="181" xfId="77" applyFont="1" applyFill="1" applyBorder="1" applyAlignment="1">
      <alignment horizontal="center" vertical="center" wrapText="1"/>
    </xf>
    <xf numFmtId="0" fontId="28" fillId="0" borderId="182" xfId="0" applyFont="1" applyFill="1" applyBorder="1" applyAlignment="1">
      <alignment horizontal="center" vertical="center" wrapText="1"/>
    </xf>
    <xf numFmtId="0" fontId="28" fillId="0" borderId="93" xfId="0" applyFont="1" applyFill="1" applyBorder="1" applyAlignment="1">
      <alignment horizontal="center" vertical="center" wrapText="1"/>
    </xf>
    <xf numFmtId="0" fontId="28" fillId="0" borderId="183" xfId="0" applyFont="1" applyFill="1" applyBorder="1" applyAlignment="1">
      <alignment horizontal="center" vertical="center" wrapText="1"/>
    </xf>
    <xf numFmtId="0" fontId="21" fillId="0" borderId="85" xfId="0" applyFont="1" applyFill="1" applyBorder="1" applyAlignment="1">
      <alignment vertical="center"/>
    </xf>
    <xf numFmtId="3" fontId="21" fillId="0" borderId="124" xfId="0" applyNumberFormat="1" applyFont="1" applyFill="1" applyBorder="1"/>
    <xf numFmtId="3" fontId="21" fillId="0" borderId="125" xfId="0" applyNumberFormat="1" applyFont="1" applyFill="1" applyBorder="1"/>
    <xf numFmtId="0" fontId="21" fillId="0" borderId="13" xfId="0" applyFont="1" applyFill="1" applyBorder="1"/>
    <xf numFmtId="0" fontId="28" fillId="0" borderId="59" xfId="0" applyFont="1" applyFill="1" applyBorder="1" applyAlignment="1">
      <alignment vertical="center"/>
    </xf>
    <xf numFmtId="3" fontId="28" fillId="0" borderId="58" xfId="0" applyNumberFormat="1" applyFont="1" applyFill="1" applyBorder="1" applyAlignment="1">
      <alignment vertical="center"/>
    </xf>
    <xf numFmtId="3" fontId="28" fillId="0" borderId="54" xfId="0" applyNumberFormat="1" applyFont="1" applyFill="1" applyBorder="1" applyAlignment="1">
      <alignment vertical="center"/>
    </xf>
    <xf numFmtId="0" fontId="28" fillId="0" borderId="84" xfId="0" applyFont="1" applyFill="1" applyBorder="1" applyAlignment="1">
      <alignment wrapText="1"/>
    </xf>
    <xf numFmtId="3" fontId="21" fillId="0" borderId="50" xfId="0" applyNumberFormat="1" applyFont="1" applyFill="1" applyBorder="1"/>
    <xf numFmtId="3" fontId="21" fillId="0" borderId="113" xfId="0" applyNumberFormat="1" applyFont="1" applyFill="1" applyBorder="1"/>
    <xf numFmtId="3" fontId="21" fillId="0" borderId="114" xfId="0" applyNumberFormat="1" applyFont="1" applyFill="1" applyBorder="1"/>
    <xf numFmtId="0" fontId="21" fillId="0" borderId="74" xfId="0" applyFont="1" applyFill="1" applyBorder="1" applyAlignment="1">
      <alignment vertical="center"/>
    </xf>
    <xf numFmtId="3" fontId="21" fillId="0" borderId="65" xfId="0" applyNumberFormat="1" applyFont="1" applyFill="1" applyBorder="1"/>
    <xf numFmtId="3" fontId="21" fillId="0" borderId="73" xfId="0" applyNumberFormat="1" applyFont="1" applyFill="1" applyBorder="1"/>
    <xf numFmtId="3" fontId="28" fillId="0" borderId="67" xfId="0" applyNumberFormat="1" applyFont="1" applyFill="1" applyBorder="1" applyAlignment="1">
      <alignment vertical="center"/>
    </xf>
    <xf numFmtId="0" fontId="28" fillId="0" borderId="184" xfId="0" applyFont="1" applyFill="1" applyBorder="1" applyAlignment="1">
      <alignment horizontal="center" vertical="center" wrapText="1"/>
    </xf>
    <xf numFmtId="3" fontId="21" fillId="0" borderId="185" xfId="0" applyNumberFormat="1" applyFont="1" applyFill="1" applyBorder="1"/>
    <xf numFmtId="0" fontId="21" fillId="0" borderId="19" xfId="0" applyFont="1" applyBorder="1" applyAlignment="1">
      <alignment horizontal="left" indent="6"/>
    </xf>
    <xf numFmtId="3" fontId="31" fillId="0" borderId="43" xfId="0" applyNumberFormat="1" applyFont="1" applyFill="1" applyBorder="1" applyAlignment="1">
      <alignment horizontal="right" vertical="center"/>
    </xf>
    <xf numFmtId="3" fontId="31" fillId="0" borderId="61" xfId="0" applyNumberFormat="1" applyFont="1" applyFill="1" applyBorder="1" applyAlignment="1">
      <alignment horizontal="right" vertical="center"/>
    </xf>
    <xf numFmtId="3" fontId="21" fillId="0" borderId="114" xfId="54" applyNumberFormat="1" applyFont="1" applyFill="1" applyBorder="1"/>
    <xf numFmtId="3" fontId="21" fillId="0" borderId="47" xfId="54" applyNumberFormat="1" applyFont="1" applyFill="1" applyBorder="1"/>
    <xf numFmtId="3" fontId="29" fillId="0" borderId="73" xfId="0" applyNumberFormat="1" applyFont="1" applyFill="1" applyBorder="1"/>
    <xf numFmtId="3" fontId="29" fillId="0" borderId="125" xfId="0" applyNumberFormat="1" applyFont="1" applyFill="1" applyBorder="1"/>
    <xf numFmtId="3" fontId="21" fillId="0" borderId="48" xfId="54" applyNumberFormat="1" applyFont="1" applyFill="1" applyBorder="1"/>
    <xf numFmtId="3" fontId="29" fillId="0" borderId="143" xfId="0" applyNumberFormat="1" applyFont="1" applyFill="1" applyBorder="1"/>
    <xf numFmtId="3" fontId="28" fillId="0" borderId="64" xfId="54" applyNumberFormat="1" applyFont="1" applyFill="1" applyBorder="1" applyAlignment="1">
      <alignment vertical="center"/>
    </xf>
    <xf numFmtId="3" fontId="28" fillId="0" borderId="64" xfId="54" applyNumberFormat="1" applyFont="1" applyFill="1" applyBorder="1"/>
    <xf numFmtId="3" fontId="28" fillId="0" borderId="129" xfId="0" applyNumberFormat="1" applyFont="1" applyFill="1" applyBorder="1"/>
    <xf numFmtId="3" fontId="21" fillId="0" borderId="133" xfId="0" applyNumberFormat="1" applyFont="1" applyFill="1" applyBorder="1"/>
    <xf numFmtId="3" fontId="28" fillId="0" borderId="129" xfId="54" applyNumberFormat="1" applyFont="1" applyFill="1" applyBorder="1"/>
    <xf numFmtId="3" fontId="28" fillId="0" borderId="187" xfId="54" applyNumberFormat="1" applyFont="1" applyFill="1" applyBorder="1"/>
    <xf numFmtId="3" fontId="28" fillId="0" borderId="67" xfId="54" applyNumberFormat="1" applyFont="1" applyFill="1" applyBorder="1"/>
    <xf numFmtId="10" fontId="21" fillId="0" borderId="51" xfId="90" applyNumberFormat="1" applyFont="1" applyFill="1" applyBorder="1"/>
    <xf numFmtId="10" fontId="21" fillId="0" borderId="49" xfId="90" applyNumberFormat="1" applyFont="1" applyFill="1" applyBorder="1"/>
    <xf numFmtId="10" fontId="21" fillId="0" borderId="62" xfId="90" applyNumberFormat="1" applyFont="1" applyFill="1" applyBorder="1"/>
    <xf numFmtId="10" fontId="28" fillId="0" borderId="39" xfId="90" applyNumberFormat="1" applyFont="1" applyFill="1" applyBorder="1"/>
    <xf numFmtId="10" fontId="21" fillId="0" borderId="166" xfId="90" applyNumberFormat="1" applyFont="1" applyFill="1" applyBorder="1"/>
    <xf numFmtId="10" fontId="28" fillId="0" borderId="44" xfId="90" applyNumberFormat="1" applyFont="1" applyFill="1" applyBorder="1"/>
    <xf numFmtId="10" fontId="28" fillId="0" borderId="36" xfId="90" applyNumberFormat="1" applyFont="1" applyFill="1" applyBorder="1"/>
    <xf numFmtId="10" fontId="21" fillId="0" borderId="39" xfId="90" applyNumberFormat="1" applyFont="1" applyFill="1" applyBorder="1"/>
    <xf numFmtId="0" fontId="26" fillId="0" borderId="13" xfId="0" applyFont="1" applyFill="1" applyBorder="1" applyAlignment="1">
      <alignment vertical="center"/>
    </xf>
    <xf numFmtId="0" fontId="21" fillId="0" borderId="81" xfId="75" applyFont="1" applyFill="1" applyBorder="1" applyAlignment="1">
      <alignment vertical="center" wrapText="1"/>
    </xf>
    <xf numFmtId="0" fontId="21" fillId="0" borderId="77" xfId="75" applyFont="1" applyFill="1" applyBorder="1" applyAlignment="1">
      <alignment vertical="center" wrapText="1"/>
    </xf>
    <xf numFmtId="0" fontId="29" fillId="0" borderId="78" xfId="75" applyFont="1" applyFill="1" applyBorder="1" applyAlignment="1">
      <alignment horizontal="left" vertical="center" wrapText="1"/>
    </xf>
    <xf numFmtId="0" fontId="21" fillId="0" borderId="75" xfId="75" applyFont="1" applyFill="1" applyBorder="1" applyAlignment="1">
      <alignment horizontal="left"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79" xfId="0" applyNumberFormat="1" applyFont="1" applyFill="1" applyBorder="1" applyAlignment="1">
      <alignment vertical="center" wrapText="1"/>
    </xf>
    <xf numFmtId="3" fontId="28" fillId="0" borderId="190" xfId="0" applyNumberFormat="1" applyFont="1" applyFill="1" applyBorder="1" applyAlignment="1">
      <alignment vertical="center" wrapText="1"/>
    </xf>
    <xf numFmtId="3" fontId="28" fillId="0" borderId="191" xfId="0" applyNumberFormat="1" applyFont="1" applyFill="1" applyBorder="1" applyAlignment="1">
      <alignment vertical="center" wrapText="1"/>
    </xf>
    <xf numFmtId="3" fontId="28" fillId="0" borderId="39" xfId="0" applyNumberFormat="1" applyFont="1" applyFill="1" applyBorder="1" applyAlignment="1">
      <alignment vertical="center" wrapText="1"/>
    </xf>
    <xf numFmtId="0" fontId="21" fillId="0" borderId="37" xfId="0" applyFont="1" applyFill="1" applyBorder="1"/>
    <xf numFmtId="0" fontId="31" fillId="0" borderId="97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164" fontId="31" fillId="0" borderId="50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left" vertical="center"/>
    </xf>
    <xf numFmtId="164" fontId="26" fillId="0" borderId="61" xfId="0" applyNumberFormat="1" applyFont="1" applyFill="1" applyBorder="1" applyAlignment="1">
      <alignment vertical="center" wrapText="1"/>
    </xf>
    <xf numFmtId="164" fontId="31" fillId="0" borderId="61" xfId="0" applyNumberFormat="1" applyFont="1" applyFill="1" applyBorder="1" applyAlignment="1">
      <alignment vertical="center" wrapText="1"/>
    </xf>
    <xf numFmtId="164" fontId="26" fillId="0" borderId="61" xfId="0" applyNumberFormat="1" applyFont="1" applyFill="1" applyBorder="1" applyAlignment="1">
      <alignment vertical="center"/>
    </xf>
    <xf numFmtId="0" fontId="31" fillId="0" borderId="25" xfId="0" applyFont="1" applyFill="1" applyBorder="1" applyAlignment="1">
      <alignment vertical="center"/>
    </xf>
    <xf numFmtId="164" fontId="31" fillId="0" borderId="35" xfId="0" applyNumberFormat="1" applyFont="1" applyFill="1" applyBorder="1" applyAlignment="1">
      <alignment vertical="center"/>
    </xf>
    <xf numFmtId="3" fontId="21" fillId="0" borderId="24" xfId="54" applyNumberFormat="1" applyFont="1" applyFill="1" applyBorder="1" applyAlignment="1">
      <alignment horizontal="right" vertical="center"/>
    </xf>
    <xf numFmtId="0" fontId="21" fillId="0" borderId="85" xfId="0" applyFont="1" applyFill="1" applyBorder="1" applyAlignment="1">
      <alignment horizontal="left"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3" fontId="29" fillId="0" borderId="124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3" fontId="21" fillId="0" borderId="192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0" fontId="21" fillId="0" borderId="84" xfId="77" applyFont="1" applyFill="1" applyBorder="1"/>
    <xf numFmtId="4" fontId="21" fillId="0" borderId="0" xfId="77" applyNumberFormat="1" applyFont="1" applyFill="1"/>
    <xf numFmtId="0" fontId="21" fillId="0" borderId="0" xfId="77" applyFont="1" applyFill="1"/>
    <xf numFmtId="3" fontId="21" fillId="0" borderId="0" xfId="77" applyNumberFormat="1" applyFont="1" applyFill="1"/>
    <xf numFmtId="0" fontId="21" fillId="0" borderId="74" xfId="77" applyFont="1" applyFill="1" applyBorder="1"/>
    <xf numFmtId="0" fontId="21" fillId="0" borderId="85" xfId="77" applyFont="1" applyFill="1" applyBorder="1"/>
    <xf numFmtId="3" fontId="21" fillId="0" borderId="124" xfId="77" applyNumberFormat="1" applyFont="1" applyFill="1" applyBorder="1" applyAlignment="1">
      <alignment horizontal="right" vertical="center"/>
    </xf>
    <xf numFmtId="0" fontId="21" fillId="0" borderId="177" xfId="77" applyFont="1" applyFill="1" applyBorder="1"/>
    <xf numFmtId="0" fontId="28" fillId="0" borderId="86" xfId="77" applyFont="1" applyFill="1" applyBorder="1"/>
    <xf numFmtId="3" fontId="28" fillId="0" borderId="157" xfId="77" applyNumberFormat="1" applyFont="1" applyFill="1" applyBorder="1" applyAlignment="1">
      <alignment horizontal="right" vertical="center"/>
    </xf>
    <xf numFmtId="3" fontId="21" fillId="0" borderId="50" xfId="77" applyNumberFormat="1" applyFont="1" applyFill="1" applyBorder="1"/>
    <xf numFmtId="3" fontId="21" fillId="0" borderId="146" xfId="77" applyNumberFormat="1" applyFont="1" applyFill="1" applyBorder="1"/>
    <xf numFmtId="3" fontId="21" fillId="0" borderId="147" xfId="77" applyNumberFormat="1" applyFont="1" applyFill="1" applyBorder="1"/>
    <xf numFmtId="3" fontId="21" fillId="0" borderId="178" xfId="77" applyNumberFormat="1" applyFont="1" applyFill="1" applyBorder="1"/>
    <xf numFmtId="3" fontId="21" fillId="0" borderId="61" xfId="77" applyNumberFormat="1" applyFont="1" applyFill="1" applyBorder="1"/>
    <xf numFmtId="3" fontId="21" fillId="0" borderId="65" xfId="77" applyNumberFormat="1" applyFont="1" applyFill="1" applyBorder="1"/>
    <xf numFmtId="3" fontId="21" fillId="0" borderId="60" xfId="77" applyNumberFormat="1" applyFont="1" applyFill="1" applyBorder="1"/>
    <xf numFmtId="3" fontId="21" fillId="0" borderId="124" xfId="77" applyNumberFormat="1" applyFont="1" applyFill="1" applyBorder="1"/>
    <xf numFmtId="0" fontId="21" fillId="0" borderId="56" xfId="77" applyFont="1" applyFill="1" applyBorder="1"/>
    <xf numFmtId="3" fontId="21" fillId="0" borderId="42" xfId="77" applyNumberFormat="1" applyFont="1" applyFill="1" applyBorder="1"/>
    <xf numFmtId="3" fontId="21" fillId="0" borderId="142" xfId="77" applyNumberFormat="1" applyFont="1" applyFill="1" applyBorder="1"/>
    <xf numFmtId="3" fontId="28" fillId="0" borderId="88" xfId="77" applyNumberFormat="1" applyFont="1" applyFill="1" applyBorder="1"/>
    <xf numFmtId="3" fontId="28" fillId="0" borderId="157" xfId="77" applyNumberFormat="1" applyFont="1" applyFill="1" applyBorder="1"/>
    <xf numFmtId="3" fontId="28" fillId="0" borderId="89" xfId="77" applyNumberFormat="1" applyFont="1" applyFill="1" applyBorder="1"/>
    <xf numFmtId="3" fontId="21" fillId="0" borderId="166" xfId="77" applyNumberFormat="1" applyFont="1" applyFill="1" applyBorder="1" applyAlignment="1">
      <alignment horizontal="right" vertical="center"/>
    </xf>
    <xf numFmtId="3" fontId="21" fillId="0" borderId="51" xfId="77" applyNumberFormat="1" applyFont="1" applyFill="1" applyBorder="1"/>
    <xf numFmtId="3" fontId="21" fillId="0" borderId="49" xfId="77" applyNumberFormat="1" applyFont="1" applyFill="1" applyBorder="1"/>
    <xf numFmtId="3" fontId="21" fillId="0" borderId="62" xfId="77" applyNumberFormat="1" applyFont="1" applyFill="1" applyBorder="1"/>
    <xf numFmtId="3" fontId="21" fillId="0" borderId="38" xfId="0" applyNumberFormat="1" applyFont="1" applyFill="1" applyBorder="1"/>
    <xf numFmtId="3" fontId="21" fillId="0" borderId="128" xfId="0" applyNumberFormat="1" applyFont="1" applyFill="1" applyBorder="1"/>
    <xf numFmtId="3" fontId="21" fillId="0" borderId="33" xfId="0" applyNumberFormat="1" applyFont="1" applyFill="1" applyBorder="1"/>
    <xf numFmtId="3" fontId="21" fillId="0" borderId="129" xfId="0" applyNumberFormat="1" applyFont="1" applyFill="1" applyBorder="1"/>
    <xf numFmtId="3" fontId="21" fillId="0" borderId="39" xfId="0" applyNumberFormat="1" applyFont="1" applyFill="1" applyBorder="1"/>
    <xf numFmtId="0" fontId="21" fillId="0" borderId="63" xfId="0" applyFont="1" applyFill="1" applyBorder="1"/>
    <xf numFmtId="3" fontId="21" fillId="0" borderId="40" xfId="0" applyNumberFormat="1" applyFont="1" applyFill="1" applyBorder="1"/>
    <xf numFmtId="3" fontId="21" fillId="0" borderId="146" xfId="0" applyNumberFormat="1" applyFont="1" applyFill="1" applyBorder="1"/>
    <xf numFmtId="3" fontId="21" fillId="0" borderId="147" xfId="0" applyNumberFormat="1" applyFont="1" applyFill="1" applyBorder="1"/>
    <xf numFmtId="3" fontId="21" fillId="0" borderId="173" xfId="0" applyNumberFormat="1" applyFont="1" applyFill="1" applyBorder="1"/>
    <xf numFmtId="3" fontId="21" fillId="0" borderId="41" xfId="0" applyNumberFormat="1" applyFont="1" applyFill="1" applyBorder="1"/>
    <xf numFmtId="0" fontId="21" fillId="0" borderId="18" xfId="0" applyFont="1" applyFill="1" applyBorder="1"/>
    <xf numFmtId="0" fontId="21" fillId="0" borderId="28" xfId="0" applyFont="1" applyFill="1" applyBorder="1" applyAlignment="1">
      <alignment vertical="center"/>
    </xf>
    <xf numFmtId="3" fontId="21" fillId="0" borderId="88" xfId="0" applyNumberFormat="1" applyFont="1" applyFill="1" applyBorder="1"/>
    <xf numFmtId="3" fontId="21" fillId="0" borderId="152" xfId="0" applyNumberFormat="1" applyFont="1" applyFill="1" applyBorder="1"/>
    <xf numFmtId="3" fontId="21" fillId="0" borderId="89" xfId="0" applyNumberFormat="1" applyFont="1" applyFill="1" applyBorder="1"/>
    <xf numFmtId="3" fontId="21" fillId="0" borderId="155" xfId="0" applyNumberFormat="1" applyFont="1" applyFill="1" applyBorder="1"/>
    <xf numFmtId="3" fontId="21" fillId="0" borderId="179" xfId="0" applyNumberFormat="1" applyFont="1" applyFill="1" applyBorder="1"/>
    <xf numFmtId="3" fontId="28" fillId="0" borderId="138" xfId="0" applyNumberFormat="1" applyFont="1" applyFill="1" applyBorder="1" applyAlignment="1">
      <alignment vertical="center"/>
    </xf>
    <xf numFmtId="3" fontId="28" fillId="0" borderId="155" xfId="0" applyNumberFormat="1" applyFont="1" applyFill="1" applyBorder="1" applyAlignment="1">
      <alignment vertical="center" wrapText="1"/>
    </xf>
    <xf numFmtId="3" fontId="28" fillId="0" borderId="88" xfId="0" applyNumberFormat="1" applyFont="1" applyFill="1" applyBorder="1" applyAlignment="1">
      <alignment vertical="center" wrapText="1"/>
    </xf>
    <xf numFmtId="3" fontId="28" fillId="0" borderId="157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89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31" fillId="0" borderId="51" xfId="0" applyNumberFormat="1" applyFont="1" applyFill="1" applyBorder="1" applyAlignment="1">
      <alignment horizontal="center" vertical="center" wrapText="1"/>
    </xf>
    <xf numFmtId="164" fontId="31" fillId="0" borderId="36" xfId="0" applyNumberFormat="1" applyFont="1" applyFill="1" applyBorder="1" applyAlignment="1">
      <alignment vertical="center"/>
    </xf>
    <xf numFmtId="164" fontId="31" fillId="0" borderId="77" xfId="0" applyNumberFormat="1" applyFont="1" applyFill="1" applyBorder="1" applyAlignment="1">
      <alignment horizontal="center" vertical="center" wrapText="1"/>
    </xf>
    <xf numFmtId="164" fontId="31" fillId="0" borderId="76" xfId="0" applyNumberFormat="1" applyFont="1" applyFill="1" applyBorder="1" applyAlignment="1">
      <alignment vertical="center" wrapText="1"/>
    </xf>
    <xf numFmtId="164" fontId="26" fillId="0" borderId="76" xfId="0" applyNumberFormat="1" applyFont="1" applyFill="1" applyBorder="1" applyAlignment="1">
      <alignment vertical="center"/>
    </xf>
    <xf numFmtId="164" fontId="31" fillId="0" borderId="164" xfId="0" applyNumberFormat="1" applyFont="1" applyFill="1" applyBorder="1" applyAlignment="1">
      <alignment vertical="center"/>
    </xf>
    <xf numFmtId="164" fontId="31" fillId="0" borderId="84" xfId="0" applyNumberFormat="1" applyFont="1" applyFill="1" applyBorder="1" applyAlignment="1">
      <alignment horizontal="center" vertical="center" wrapText="1"/>
    </xf>
    <xf numFmtId="164" fontId="26" fillId="0" borderId="49" xfId="0" applyNumberFormat="1" applyFont="1" applyFill="1" applyBorder="1" applyAlignment="1">
      <alignment vertical="center" wrapText="1"/>
    </xf>
    <xf numFmtId="164" fontId="31" fillId="0" borderId="59" xfId="0" applyNumberFormat="1" applyFont="1" applyFill="1" applyBorder="1" applyAlignment="1">
      <alignment vertical="center"/>
    </xf>
    <xf numFmtId="0" fontId="26" fillId="0" borderId="18" xfId="0" applyFont="1" applyFill="1" applyBorder="1" applyAlignment="1">
      <alignment horizontal="left" vertical="center"/>
    </xf>
    <xf numFmtId="164" fontId="26" fillId="0" borderId="60" xfId="0" applyNumberFormat="1" applyFont="1" applyFill="1" applyBorder="1" applyAlignment="1">
      <alignment vertical="center" wrapText="1"/>
    </xf>
    <xf numFmtId="164" fontId="31" fillId="0" borderId="60" xfId="0" applyNumberFormat="1" applyFont="1" applyFill="1" applyBorder="1" applyAlignment="1">
      <alignment vertical="center" wrapText="1"/>
    </xf>
    <xf numFmtId="164" fontId="31" fillId="0" borderId="78" xfId="0" applyNumberFormat="1" applyFont="1" applyFill="1" applyBorder="1" applyAlignment="1">
      <alignment vertical="center" wrapText="1"/>
    </xf>
    <xf numFmtId="164" fontId="26" fillId="0" borderId="62" xfId="0" applyNumberFormat="1" applyFont="1" applyFill="1" applyBorder="1" applyAlignment="1">
      <alignment vertical="center" wrapText="1"/>
    </xf>
    <xf numFmtId="164" fontId="31" fillId="0" borderId="50" xfId="0" applyNumberFormat="1" applyFont="1" applyFill="1" applyBorder="1" applyAlignment="1">
      <alignment vertical="center" wrapText="1"/>
    </xf>
    <xf numFmtId="164" fontId="31" fillId="0" borderId="77" xfId="0" applyNumberFormat="1" applyFont="1" applyFill="1" applyBorder="1" applyAlignment="1">
      <alignment vertical="center" wrapText="1"/>
    </xf>
    <xf numFmtId="164" fontId="31" fillId="0" borderId="84" xfId="0" applyNumberFormat="1" applyFont="1" applyFill="1" applyBorder="1" applyAlignment="1">
      <alignment vertical="center" wrapText="1"/>
    </xf>
    <xf numFmtId="164" fontId="31" fillId="0" borderId="51" xfId="0" applyNumberFormat="1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left" vertical="center"/>
    </xf>
    <xf numFmtId="164" fontId="32" fillId="0" borderId="38" xfId="0" applyNumberFormat="1" applyFont="1" applyFill="1" applyBorder="1" applyAlignment="1">
      <alignment vertical="center" wrapText="1"/>
    </xf>
    <xf numFmtId="164" fontId="32" fillId="0" borderId="79" xfId="0" applyNumberFormat="1" applyFont="1" applyFill="1" applyBorder="1" applyAlignment="1">
      <alignment vertical="center" wrapText="1"/>
    </xf>
    <xf numFmtId="164" fontId="32" fillId="0" borderId="37" xfId="0" applyNumberFormat="1" applyFont="1" applyFill="1" applyBorder="1" applyAlignment="1">
      <alignment vertical="center" wrapText="1"/>
    </xf>
    <xf numFmtId="164" fontId="32" fillId="0" borderId="39" xfId="0" applyNumberFormat="1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/>
    </xf>
    <xf numFmtId="164" fontId="26" fillId="0" borderId="60" xfId="0" applyNumberFormat="1" applyFont="1" applyFill="1" applyBorder="1" applyAlignment="1">
      <alignment vertical="center"/>
    </xf>
    <xf numFmtId="164" fontId="26" fillId="0" borderId="78" xfId="0" applyNumberFormat="1" applyFont="1" applyFill="1" applyBorder="1" applyAlignment="1">
      <alignment vertical="center"/>
    </xf>
    <xf numFmtId="0" fontId="32" fillId="0" borderId="28" xfId="0" applyFont="1" applyFill="1" applyBorder="1" applyAlignment="1">
      <alignment vertical="center"/>
    </xf>
    <xf numFmtId="164" fontId="32" fillId="0" borderId="88" xfId="0" applyNumberFormat="1" applyFont="1" applyFill="1" applyBorder="1" applyAlignment="1">
      <alignment vertical="center"/>
    </xf>
    <xf numFmtId="164" fontId="32" fillId="0" borderId="150" xfId="0" applyNumberFormat="1" applyFont="1" applyFill="1" applyBorder="1" applyAlignment="1">
      <alignment vertical="center"/>
    </xf>
    <xf numFmtId="164" fontId="32" fillId="0" borderId="86" xfId="0" applyNumberFormat="1" applyFont="1" applyFill="1" applyBorder="1" applyAlignment="1">
      <alignment vertical="center"/>
    </xf>
    <xf numFmtId="164" fontId="32" fillId="0" borderId="89" xfId="0" applyNumberFormat="1" applyFont="1" applyFill="1" applyBorder="1" applyAlignment="1">
      <alignment vertical="center"/>
    </xf>
    <xf numFmtId="164" fontId="31" fillId="0" borderId="38" xfId="0" applyNumberFormat="1" applyFont="1" applyFill="1" applyBorder="1" applyAlignment="1">
      <alignment horizontal="center" vertical="center" wrapText="1"/>
    </xf>
    <xf numFmtId="164" fontId="31" fillId="0" borderId="79" xfId="0" applyNumberFormat="1" applyFont="1" applyFill="1" applyBorder="1" applyAlignment="1">
      <alignment horizontal="center" vertical="center" wrapText="1"/>
    </xf>
    <xf numFmtId="164" fontId="31" fillId="0" borderId="37" xfId="0" applyNumberFormat="1" applyFont="1" applyFill="1" applyBorder="1" applyAlignment="1">
      <alignment horizontal="center" vertical="center" wrapText="1"/>
    </xf>
    <xf numFmtId="164" fontId="31" fillId="0" borderId="39" xfId="0" applyNumberFormat="1" applyFont="1" applyFill="1" applyBorder="1" applyAlignment="1">
      <alignment horizontal="center" vertical="center" wrapText="1"/>
    </xf>
    <xf numFmtId="164" fontId="26" fillId="0" borderId="74" xfId="0" applyNumberFormat="1" applyFont="1" applyFill="1" applyBorder="1" applyAlignment="1">
      <alignment vertical="center" wrapText="1"/>
    </xf>
    <xf numFmtId="164" fontId="26" fillId="0" borderId="85" xfId="0" applyNumberFormat="1" applyFont="1" applyFill="1" applyBorder="1" applyAlignment="1">
      <alignment vertical="center" wrapText="1"/>
    </xf>
    <xf numFmtId="0" fontId="21" fillId="0" borderId="193" xfId="0" applyFont="1" applyFill="1" applyBorder="1" applyAlignment="1">
      <alignment vertical="center"/>
    </xf>
    <xf numFmtId="3" fontId="21" fillId="0" borderId="43" xfId="0" applyNumberFormat="1" applyFont="1" applyFill="1" applyBorder="1"/>
    <xf numFmtId="3" fontId="21" fillId="0" borderId="194" xfId="0" applyNumberFormat="1" applyFont="1" applyFill="1" applyBorder="1"/>
    <xf numFmtId="3" fontId="21" fillId="0" borderId="195" xfId="0" applyNumberFormat="1" applyFont="1" applyFill="1" applyBorder="1"/>
    <xf numFmtId="3" fontId="21" fillId="0" borderId="196" xfId="0" applyNumberFormat="1" applyFont="1" applyFill="1" applyBorder="1"/>
    <xf numFmtId="3" fontId="21" fillId="0" borderId="44" xfId="0" applyNumberFormat="1" applyFont="1" applyFill="1" applyBorder="1"/>
    <xf numFmtId="0" fontId="21" fillId="0" borderId="16" xfId="0" applyFont="1" applyFill="1" applyBorder="1"/>
    <xf numFmtId="3" fontId="21" fillId="0" borderId="51" xfId="0" applyNumberFormat="1" applyFont="1" applyFill="1" applyBorder="1"/>
    <xf numFmtId="0" fontId="21" fillId="0" borderId="22" xfId="0" applyFont="1" applyFill="1" applyBorder="1"/>
    <xf numFmtId="3" fontId="28" fillId="0" borderId="137" xfId="0" applyNumberFormat="1" applyFont="1" applyFill="1" applyBorder="1" applyAlignment="1">
      <alignment vertical="center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50" xfId="0" applyNumberFormat="1" applyFont="1" applyBorder="1" applyAlignment="1">
      <alignment vertical="center"/>
    </xf>
    <xf numFmtId="3" fontId="21" fillId="0" borderId="77" xfId="0" applyNumberFormat="1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3" fontId="21" fillId="0" borderId="51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1" xfId="0" applyNumberFormat="1" applyFont="1" applyBorder="1" applyAlignment="1">
      <alignment vertical="center"/>
    </xf>
    <xf numFmtId="3" fontId="21" fillId="0" borderId="76" xfId="0" applyNumberFormat="1" applyFont="1" applyBorder="1" applyAlignment="1">
      <alignment vertical="center"/>
    </xf>
    <xf numFmtId="0" fontId="21" fillId="0" borderId="74" xfId="0" applyFont="1" applyBorder="1" applyAlignment="1">
      <alignment vertical="center"/>
    </xf>
    <xf numFmtId="3" fontId="21" fillId="0" borderId="61" xfId="0" applyNumberFormat="1" applyFont="1" applyBorder="1" applyAlignment="1">
      <alignment vertical="center" wrapText="1"/>
    </xf>
    <xf numFmtId="3" fontId="21" fillId="0" borderId="49" xfId="0" applyNumberFormat="1" applyFont="1" applyBorder="1" applyAlignment="1">
      <alignment vertical="center" wrapText="1"/>
    </xf>
    <xf numFmtId="3" fontId="21" fillId="0" borderId="61" xfId="0" applyNumberFormat="1" applyFont="1" applyFill="1" applyBorder="1" applyAlignment="1">
      <alignment vertical="center"/>
    </xf>
    <xf numFmtId="3" fontId="21" fillId="0" borderId="76" xfId="0" applyNumberFormat="1" applyFont="1" applyFill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9" fontId="21" fillId="0" borderId="76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0" xfId="0" applyNumberFormat="1" applyFont="1" applyFill="1" applyBorder="1" applyAlignment="1">
      <alignment vertical="center"/>
    </xf>
    <xf numFmtId="3" fontId="21" fillId="27" borderId="48" xfId="0" applyNumberFormat="1" applyFont="1" applyFill="1" applyBorder="1" applyAlignment="1">
      <alignment vertical="center"/>
    </xf>
    <xf numFmtId="9" fontId="21" fillId="0" borderId="78" xfId="0" applyNumberFormat="1" applyFont="1" applyBorder="1" applyAlignment="1">
      <alignment vertical="center"/>
    </xf>
    <xf numFmtId="0" fontId="34" fillId="27" borderId="85" xfId="0" applyFont="1" applyFill="1" applyBorder="1" applyAlignment="1">
      <alignment vertical="center"/>
    </xf>
    <xf numFmtId="0" fontId="34" fillId="27" borderId="60" xfId="0" applyFont="1" applyFill="1" applyBorder="1" applyAlignment="1">
      <alignment vertical="center"/>
    </xf>
    <xf numFmtId="0" fontId="34" fillId="27" borderId="62" xfId="0" applyFont="1" applyFill="1" applyBorder="1" applyAlignment="1">
      <alignment vertical="center"/>
    </xf>
    <xf numFmtId="9" fontId="21" fillId="0" borderId="81" xfId="0" applyNumberFormat="1" applyFont="1" applyBorder="1" applyAlignment="1">
      <alignment vertical="center"/>
    </xf>
    <xf numFmtId="168" fontId="21" fillId="0" borderId="50" xfId="54" applyNumberFormat="1" applyFont="1" applyBorder="1" applyAlignment="1">
      <alignment vertical="center"/>
    </xf>
    <xf numFmtId="168" fontId="21" fillId="0" borderId="51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168" fontId="21" fillId="0" borderId="61" xfId="54" applyNumberFormat="1" applyFont="1" applyBorder="1" applyAlignment="1">
      <alignment vertical="center"/>
    </xf>
    <xf numFmtId="168" fontId="21" fillId="0" borderId="49" xfId="54" applyNumberFormat="1" applyFont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168" fontId="21" fillId="0" borderId="61" xfId="54" applyNumberFormat="1" applyFont="1" applyBorder="1" applyAlignment="1">
      <alignment horizontal="right" vertical="center"/>
    </xf>
    <xf numFmtId="168" fontId="21" fillId="0" borderId="49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0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0" fontId="21" fillId="0" borderId="85" xfId="0" applyFont="1" applyBorder="1" applyAlignment="1">
      <alignment vertical="center"/>
    </xf>
    <xf numFmtId="168" fontId="21" fillId="0" borderId="60" xfId="54" applyNumberFormat="1" applyFont="1" applyBorder="1" applyAlignment="1">
      <alignment vertical="center"/>
    </xf>
    <xf numFmtId="168" fontId="21" fillId="0" borderId="62" xfId="54" applyNumberFormat="1" applyFont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4" xfId="54" applyNumberFormat="1" applyFont="1" applyFill="1" applyBorder="1" applyAlignment="1">
      <alignment horizontal="right" vertical="center"/>
    </xf>
    <xf numFmtId="3" fontId="21" fillId="0" borderId="114" xfId="54" applyNumberFormat="1" applyFont="1" applyFill="1" applyBorder="1" applyAlignment="1">
      <alignment horizontal="right" vertical="center"/>
    </xf>
    <xf numFmtId="3" fontId="21" fillId="0" borderId="68" xfId="54" applyNumberFormat="1" applyFont="1" applyFill="1" applyBorder="1" applyAlignment="1">
      <alignment horizontal="right" vertical="center"/>
    </xf>
    <xf numFmtId="3" fontId="21" fillId="0" borderId="148" xfId="54" applyNumberFormat="1" applyFont="1" applyFill="1" applyBorder="1" applyAlignment="1">
      <alignment horizontal="right" vertical="center"/>
    </xf>
    <xf numFmtId="3" fontId="21" fillId="0" borderId="147" xfId="54" applyNumberFormat="1" applyFont="1" applyFill="1" applyBorder="1" applyAlignment="1">
      <alignment horizontal="right" vertical="center"/>
    </xf>
    <xf numFmtId="3" fontId="21" fillId="0" borderId="173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7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3" fontId="29" fillId="0" borderId="24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3" fontId="29" fillId="0" borderId="73" xfId="54" applyNumberFormat="1" applyFont="1" applyFill="1" applyBorder="1" applyAlignment="1">
      <alignment horizontal="right" vertical="center"/>
    </xf>
    <xf numFmtId="10" fontId="29" fillId="0" borderId="49" xfId="54" applyNumberFormat="1" applyFont="1" applyFill="1" applyBorder="1" applyAlignment="1">
      <alignment horizontal="right" vertical="center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4" xfId="54" applyNumberFormat="1" applyFont="1" applyFill="1" applyBorder="1" applyAlignment="1">
      <alignment horizontal="right" vertical="center"/>
    </xf>
    <xf numFmtId="3" fontId="29" fillId="0" borderId="114" xfId="54" applyNumberFormat="1" applyFont="1" applyFill="1" applyBorder="1" applyAlignment="1">
      <alignment horizontal="right" vertical="center"/>
    </xf>
    <xf numFmtId="10" fontId="29" fillId="0" borderId="62" xfId="54" applyNumberFormat="1" applyFont="1" applyFill="1" applyBorder="1" applyAlignment="1">
      <alignment horizontal="right" vertical="center"/>
    </xf>
    <xf numFmtId="3" fontId="28" fillId="0" borderId="23" xfId="54" applyNumberFormat="1" applyFont="1" applyFill="1" applyBorder="1" applyAlignment="1">
      <alignment horizontal="right" vertical="center"/>
    </xf>
    <xf numFmtId="3" fontId="28" fillId="0" borderId="33" xfId="54" applyNumberFormat="1" applyFont="1" applyFill="1" applyBorder="1" applyAlignment="1">
      <alignment horizontal="right" vertical="center"/>
    </xf>
    <xf numFmtId="3" fontId="28" fillId="0" borderId="129" xfId="54" applyNumberFormat="1" applyFont="1" applyFill="1" applyBorder="1" applyAlignment="1">
      <alignment horizontal="right" vertical="center"/>
    </xf>
    <xf numFmtId="3" fontId="28" fillId="0" borderId="15" xfId="54" applyNumberFormat="1" applyFont="1" applyFill="1" applyBorder="1" applyAlignment="1">
      <alignment horizontal="right" vertical="center"/>
    </xf>
    <xf numFmtId="3" fontId="21" fillId="0" borderId="34" xfId="0" applyNumberFormat="1" applyFont="1" applyFill="1" applyBorder="1" applyAlignment="1">
      <alignment horizontal="right" vertical="center"/>
    </xf>
    <xf numFmtId="3" fontId="21" fillId="0" borderId="114" xfId="0" applyNumberFormat="1" applyFont="1" applyFill="1" applyBorder="1" applyAlignment="1">
      <alignment horizontal="right" vertical="center"/>
    </xf>
    <xf numFmtId="10" fontId="21" fillId="0" borderId="51" xfId="0" applyNumberFormat="1" applyFont="1" applyFill="1" applyBorder="1" applyAlignment="1">
      <alignment horizontal="right" vertical="center"/>
    </xf>
    <xf numFmtId="3" fontId="21" fillId="0" borderId="31" xfId="0" applyNumberFormat="1" applyFont="1" applyFill="1" applyBorder="1" applyAlignment="1">
      <alignment horizontal="right" vertical="center"/>
    </xf>
    <xf numFmtId="3" fontId="21" fillId="0" borderId="73" xfId="0" applyNumberFormat="1" applyFont="1" applyFill="1" applyBorder="1" applyAlignment="1">
      <alignment horizontal="right" vertical="center"/>
    </xf>
    <xf numFmtId="10" fontId="21" fillId="0" borderId="49" xfId="0" applyNumberFormat="1" applyFont="1" applyFill="1" applyBorder="1" applyAlignment="1">
      <alignment horizontal="right" vertical="center"/>
    </xf>
    <xf numFmtId="3" fontId="29" fillId="0" borderId="32" xfId="0" applyNumberFormat="1" applyFont="1" applyFill="1" applyBorder="1" applyAlignment="1">
      <alignment horizontal="right" vertical="center"/>
    </xf>
    <xf numFmtId="3" fontId="29" fillId="0" borderId="125" xfId="0" applyNumberFormat="1" applyFont="1" applyFill="1" applyBorder="1" applyAlignment="1">
      <alignment horizontal="right" vertical="center"/>
    </xf>
    <xf numFmtId="10" fontId="29" fillId="0" borderId="62" xfId="0" applyNumberFormat="1" applyFont="1" applyFill="1" applyBorder="1" applyAlignment="1">
      <alignment horizontal="right" vertical="center"/>
    </xf>
    <xf numFmtId="10" fontId="28" fillId="0" borderId="39" xfId="0" applyNumberFormat="1" applyFont="1" applyFill="1" applyBorder="1" applyAlignment="1">
      <alignment horizontal="right" vertical="center"/>
    </xf>
    <xf numFmtId="10" fontId="21" fillId="0" borderId="41" xfId="54" applyNumberFormat="1" applyFont="1" applyFill="1" applyBorder="1" applyAlignment="1">
      <alignment horizontal="right" vertical="center"/>
    </xf>
    <xf numFmtId="3" fontId="21" fillId="0" borderId="149" xfId="54" applyNumberFormat="1" applyFont="1" applyFill="1" applyBorder="1" applyAlignment="1">
      <alignment horizontal="right" vertical="center"/>
    </xf>
    <xf numFmtId="3" fontId="21" fillId="0" borderId="27" xfId="54" applyNumberFormat="1" applyFont="1" applyFill="1" applyBorder="1" applyAlignment="1">
      <alignment horizontal="right" vertical="center"/>
    </xf>
    <xf numFmtId="3" fontId="21" fillId="0" borderId="92" xfId="54" applyNumberFormat="1" applyFont="1" applyFill="1" applyBorder="1" applyAlignment="1">
      <alignment horizontal="right" vertical="center"/>
    </xf>
    <xf numFmtId="3" fontId="21" fillId="0" borderId="133" xfId="54" applyNumberFormat="1" applyFont="1" applyFill="1" applyBorder="1" applyAlignment="1">
      <alignment horizontal="right" vertical="center"/>
    </xf>
    <xf numFmtId="3" fontId="28" fillId="0" borderId="31" xfId="0" applyNumberFormat="1" applyFont="1" applyFill="1" applyBorder="1" applyAlignment="1">
      <alignment vertical="center" wrapText="1"/>
    </xf>
    <xf numFmtId="3" fontId="28" fillId="29" borderId="23" xfId="54" applyNumberFormat="1" applyFont="1" applyFill="1" applyBorder="1" applyAlignment="1">
      <alignment horizontal="right" vertical="center"/>
    </xf>
    <xf numFmtId="3" fontId="28" fillId="29" borderId="33" xfId="54" applyNumberFormat="1" applyFont="1" applyFill="1" applyBorder="1" applyAlignment="1">
      <alignment horizontal="right" vertical="center"/>
    </xf>
    <xf numFmtId="3" fontId="28" fillId="29" borderId="15" xfId="54" applyNumberFormat="1" applyFont="1" applyFill="1" applyBorder="1" applyAlignment="1">
      <alignment horizontal="right" vertical="center"/>
    </xf>
    <xf numFmtId="3" fontId="28" fillId="29" borderId="129" xfId="54" applyNumberFormat="1" applyFont="1" applyFill="1" applyBorder="1" applyAlignment="1">
      <alignment horizontal="right" vertical="center"/>
    </xf>
    <xf numFmtId="3" fontId="28" fillId="0" borderId="27" xfId="54" applyNumberFormat="1" applyFont="1" applyFill="1" applyBorder="1" applyAlignment="1">
      <alignment horizontal="right" vertical="center"/>
    </xf>
    <xf numFmtId="3" fontId="28" fillId="0" borderId="92" xfId="54" applyNumberFormat="1" applyFont="1" applyFill="1" applyBorder="1" applyAlignment="1">
      <alignment horizontal="right" vertical="center"/>
    </xf>
    <xf numFmtId="3" fontId="28" fillId="0" borderId="133" xfId="54" applyNumberFormat="1" applyFont="1" applyFill="1" applyBorder="1" applyAlignment="1">
      <alignment horizontal="right" vertical="center"/>
    </xf>
    <xf numFmtId="10" fontId="28" fillId="0" borderId="166" xfId="54" applyNumberFormat="1" applyFont="1" applyFill="1" applyBorder="1" applyAlignment="1">
      <alignment horizontal="right" vertical="center"/>
    </xf>
    <xf numFmtId="3" fontId="28" fillId="0" borderId="69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54" xfId="54" applyNumberFormat="1" applyFont="1" applyFill="1" applyBorder="1" applyAlignment="1">
      <alignment horizontal="right" vertical="center"/>
    </xf>
    <xf numFmtId="3" fontId="28" fillId="0" borderId="137" xfId="54" applyNumberFormat="1" applyFont="1" applyFill="1" applyBorder="1" applyAlignment="1">
      <alignment horizontal="right" vertical="center"/>
    </xf>
    <xf numFmtId="3" fontId="28" fillId="0" borderId="30" xfId="54" applyNumberFormat="1" applyFont="1" applyFill="1" applyBorder="1" applyAlignment="1">
      <alignment horizontal="right" vertical="center"/>
    </xf>
    <xf numFmtId="3" fontId="21" fillId="0" borderId="32" xfId="54" applyNumberFormat="1" applyFont="1" applyFill="1" applyBorder="1" applyAlignment="1">
      <alignment vertical="center" wrapText="1"/>
    </xf>
    <xf numFmtId="3" fontId="21" fillId="0" borderId="125" xfId="54" applyNumberFormat="1" applyFont="1" applyFill="1" applyBorder="1" applyAlignment="1">
      <alignment vertical="center" wrapText="1"/>
    </xf>
    <xf numFmtId="3" fontId="29" fillId="0" borderId="68" xfId="54" applyNumberFormat="1" applyFont="1" applyFill="1" applyBorder="1" applyAlignment="1">
      <alignment horizontal="right" vertical="center"/>
    </xf>
    <xf numFmtId="3" fontId="29" fillId="0" borderId="17" xfId="54" applyNumberFormat="1" applyFont="1" applyFill="1" applyBorder="1" applyAlignment="1">
      <alignment horizontal="right" vertical="center"/>
    </xf>
    <xf numFmtId="3" fontId="28" fillId="29" borderId="27" xfId="54" applyNumberFormat="1" applyFont="1" applyFill="1" applyBorder="1" applyAlignment="1">
      <alignment horizontal="right" vertical="center"/>
    </xf>
    <xf numFmtId="3" fontId="28" fillId="29" borderId="92" xfId="54" applyNumberFormat="1" applyFont="1" applyFill="1" applyBorder="1" applyAlignment="1">
      <alignment horizontal="right" vertical="center"/>
    </xf>
    <xf numFmtId="3" fontId="28" fillId="29" borderId="69" xfId="54" applyNumberFormat="1" applyFont="1" applyFill="1" applyBorder="1" applyAlignment="1">
      <alignment horizontal="right" vertical="center"/>
    </xf>
    <xf numFmtId="3" fontId="28" fillId="29" borderId="21" xfId="0" applyNumberFormat="1" applyFont="1" applyFill="1" applyBorder="1" applyAlignment="1">
      <alignment vertical="center" wrapText="1"/>
    </xf>
    <xf numFmtId="3" fontId="28" fillId="29" borderId="32" xfId="0" applyNumberFormat="1" applyFont="1" applyFill="1" applyBorder="1" applyAlignment="1">
      <alignment vertical="center" wrapText="1"/>
    </xf>
    <xf numFmtId="3" fontId="28" fillId="29" borderId="125" xfId="0" applyNumberFormat="1" applyFont="1" applyFill="1" applyBorder="1" applyAlignment="1">
      <alignment vertical="center" wrapText="1"/>
    </xf>
    <xf numFmtId="3" fontId="28" fillId="29" borderId="21" xfId="54" applyNumberFormat="1" applyFont="1" applyFill="1" applyBorder="1" applyAlignment="1">
      <alignment horizontal="right" vertical="center"/>
    </xf>
    <xf numFmtId="3" fontId="28" fillId="29" borderId="32" xfId="54" applyNumberFormat="1" applyFont="1" applyFill="1" applyBorder="1" applyAlignment="1">
      <alignment horizontal="right" vertical="center"/>
    </xf>
    <xf numFmtId="3" fontId="28" fillId="29" borderId="125" xfId="54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168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168" fontId="21" fillId="0" borderId="0" xfId="54" applyNumberFormat="1" applyFont="1" applyFill="1" applyAlignment="1">
      <alignment vertical="center" wrapText="1"/>
    </xf>
    <xf numFmtId="3" fontId="21" fillId="0" borderId="197" xfId="0" applyNumberFormat="1" applyFont="1" applyFill="1" applyBorder="1" applyAlignment="1">
      <alignment vertical="center"/>
    </xf>
    <xf numFmtId="3" fontId="28" fillId="0" borderId="103" xfId="0" applyNumberFormat="1" applyFont="1" applyFill="1" applyBorder="1" applyAlignment="1">
      <alignment vertical="center"/>
    </xf>
    <xf numFmtId="3" fontId="28" fillId="0" borderId="71" xfId="0" applyNumberFormat="1" applyFont="1" applyFill="1" applyBorder="1" applyAlignment="1">
      <alignment horizontal="center" vertical="center" wrapText="1"/>
    </xf>
    <xf numFmtId="3" fontId="28" fillId="0" borderId="93" xfId="0" applyNumberFormat="1" applyFont="1" applyFill="1" applyBorder="1" applyAlignment="1">
      <alignment horizontal="center" vertical="center" wrapText="1"/>
    </xf>
    <xf numFmtId="3" fontId="28" fillId="0" borderId="80" xfId="0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75" xfId="0" applyNumberFormat="1" applyFont="1" applyFill="1" applyBorder="1" applyAlignment="1">
      <alignment horizontal="center" vertical="center" wrapText="1"/>
    </xf>
    <xf numFmtId="3" fontId="28" fillId="0" borderId="70" xfId="0" applyNumberFormat="1" applyFont="1" applyFill="1" applyBorder="1" applyAlignment="1">
      <alignment horizontal="center" vertical="center" wrapText="1"/>
    </xf>
    <xf numFmtId="3" fontId="28" fillId="0" borderId="176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3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0" fontId="28" fillId="0" borderId="105" xfId="75" applyFont="1" applyFill="1" applyBorder="1" applyAlignment="1">
      <alignment horizontal="center" vertical="center" wrapText="1"/>
    </xf>
    <xf numFmtId="0" fontId="28" fillId="0" borderId="37" xfId="75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9" fontId="28" fillId="0" borderId="184" xfId="90" applyFont="1" applyFill="1" applyBorder="1" applyAlignment="1">
      <alignment horizontal="center" vertical="center" wrapText="1"/>
    </xf>
    <xf numFmtId="9" fontId="28" fillId="0" borderId="188" xfId="90" applyFont="1" applyFill="1" applyBorder="1" applyAlignment="1">
      <alignment horizontal="center" vertical="center" wrapText="1"/>
    </xf>
    <xf numFmtId="3" fontId="28" fillId="0" borderId="183" xfId="54" applyNumberFormat="1" applyFont="1" applyFill="1" applyBorder="1" applyAlignment="1">
      <alignment horizontal="center" vertical="center" wrapText="1"/>
    </xf>
    <xf numFmtId="3" fontId="28" fillId="0" borderId="186" xfId="54" applyNumberFormat="1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56" xfId="75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/>
    </xf>
    <xf numFmtId="0" fontId="28" fillId="0" borderId="156" xfId="0" applyFont="1" applyFill="1" applyBorder="1" applyAlignment="1">
      <alignment horizontal="center" vertical="center"/>
    </xf>
    <xf numFmtId="3" fontId="28" fillId="0" borderId="72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3" fontId="28" fillId="0" borderId="90" xfId="54" applyNumberFormat="1" applyFont="1" applyFill="1" applyBorder="1" applyAlignment="1">
      <alignment horizontal="center"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0" fontId="28" fillId="0" borderId="117" xfId="0" applyFont="1" applyFill="1" applyBorder="1" applyAlignment="1">
      <alignment horizontal="center" vertical="center" wrapText="1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 wrapText="1"/>
    </xf>
    <xf numFmtId="0" fontId="28" fillId="0" borderId="95" xfId="0" applyFont="1" applyFill="1" applyBorder="1" applyAlignment="1">
      <alignment horizontal="center" vertical="center" wrapText="1"/>
    </xf>
    <xf numFmtId="0" fontId="28" fillId="0" borderId="96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18" xfId="0" applyNumberFormat="1" applyFont="1" applyFill="1" applyBorder="1" applyAlignment="1">
      <alignment horizontal="center" vertical="center" wrapText="1"/>
    </xf>
    <xf numFmtId="166" fontId="28" fillId="0" borderId="119" xfId="0" applyNumberFormat="1" applyFont="1" applyFill="1" applyBorder="1" applyAlignment="1">
      <alignment horizontal="center" vertical="center" wrapText="1"/>
    </xf>
    <xf numFmtId="166" fontId="28" fillId="0" borderId="117" xfId="0" applyNumberFormat="1" applyFont="1" applyFill="1" applyBorder="1" applyAlignment="1">
      <alignment horizontal="center" vertical="center" wrapText="1"/>
    </xf>
    <xf numFmtId="166" fontId="28" fillId="0" borderId="96" xfId="0" applyNumberFormat="1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189" xfId="0" applyFont="1" applyFill="1" applyBorder="1" applyAlignment="1">
      <alignment horizontal="center" vertical="center"/>
    </xf>
    <xf numFmtId="0" fontId="28" fillId="0" borderId="75" xfId="0" applyFont="1" applyFill="1" applyBorder="1" applyAlignment="1">
      <alignment horizontal="center" vertical="center"/>
    </xf>
    <xf numFmtId="0" fontId="28" fillId="0" borderId="137" xfId="0" applyFont="1" applyFill="1" applyBorder="1" applyAlignment="1">
      <alignment horizontal="center" vertical="center" wrapText="1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18" xfId="0" applyNumberFormat="1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horizontal="center" vertical="center" wrapText="1"/>
    </xf>
    <xf numFmtId="0" fontId="28" fillId="0" borderId="97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3" fontId="21" fillId="0" borderId="105" xfId="0" applyNumberFormat="1" applyFont="1" applyFill="1" applyBorder="1" applyAlignment="1">
      <alignment horizontal="center" vertical="center"/>
    </xf>
    <xf numFmtId="3" fontId="21" fillId="0" borderId="98" xfId="0" applyNumberFormat="1" applyFont="1" applyFill="1" applyBorder="1" applyAlignment="1">
      <alignment horizontal="center" vertical="center"/>
    </xf>
    <xf numFmtId="0" fontId="21" fillId="0" borderId="98" xfId="0" applyFont="1" applyFill="1" applyBorder="1" applyAlignment="1">
      <alignment horizontal="center" vertical="center"/>
    </xf>
    <xf numFmtId="4" fontId="21" fillId="0" borderId="98" xfId="0" applyNumberFormat="1" applyFont="1" applyFill="1" applyBorder="1" applyAlignment="1">
      <alignment horizontal="center" vertical="center"/>
    </xf>
    <xf numFmtId="0" fontId="21" fillId="0" borderId="102" xfId="0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/>
    </xf>
    <xf numFmtId="0" fontId="21" fillId="0" borderId="100" xfId="0" applyFont="1" applyFill="1" applyBorder="1" applyAlignment="1">
      <alignment horizontal="center" vertical="center"/>
    </xf>
    <xf numFmtId="10" fontId="21" fillId="0" borderId="167" xfId="0" applyNumberFormat="1" applyFont="1" applyFill="1" applyBorder="1" applyAlignment="1">
      <alignment horizontal="center" vertical="center"/>
    </xf>
    <xf numFmtId="10" fontId="21" fillId="0" borderId="165" xfId="0" applyNumberFormat="1" applyFont="1" applyFill="1" applyBorder="1" applyAlignment="1">
      <alignment horizontal="center" vertical="center"/>
    </xf>
    <xf numFmtId="0" fontId="31" fillId="0" borderId="102" xfId="0" applyFont="1" applyFill="1" applyBorder="1" applyAlignment="1">
      <alignment horizontal="center" vertical="center" wrapText="1"/>
    </xf>
    <xf numFmtId="0" fontId="31" fillId="0" borderId="99" xfId="0" applyFont="1" applyFill="1" applyBorder="1" applyAlignment="1">
      <alignment horizontal="center" vertical="center" wrapText="1"/>
    </xf>
    <xf numFmtId="0" fontId="31" fillId="0" borderId="163" xfId="0" applyFont="1" applyFill="1" applyBorder="1" applyAlignment="1">
      <alignment horizontal="center" vertical="center" wrapText="1"/>
    </xf>
    <xf numFmtId="0" fontId="31" fillId="0" borderId="98" xfId="0" applyFont="1" applyFill="1" applyBorder="1" applyAlignment="1">
      <alignment horizontal="center" vertical="center" wrapText="1"/>
    </xf>
    <xf numFmtId="0" fontId="31" fillId="0" borderId="105" xfId="0" applyFont="1" applyFill="1" applyBorder="1" applyAlignment="1">
      <alignment horizontal="center" vertical="center" wrapText="1"/>
    </xf>
    <xf numFmtId="0" fontId="31" fillId="0" borderId="100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4/2014.&#233;vi%20eredeti%20kv/Szent%20L&#225;szl&#243;%20V&#246;lgye%20TKT%202014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5/2015.&#233;vi%20II.m&#243;d.kv/Szent%20L&#225;szl&#243;%20V&#246;lgye%20TKT%202015.&#233;vi%20II.kv.m&#243;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5/2015.&#233;vi%20eredeti%20kv/Szent%20L&#225;szl&#243;%20V&#246;lgye%20TKT%202015.&#233;vi%20k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5/2015.&#233;vi%20I.m&#243;d.kv/Szent%20L&#225;szl&#243;%20V&#246;lgye%20TKT%202015.&#233;vi%20I.kv.m&#243;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289949</v>
          </cell>
        </row>
      </sheetData>
      <sheetData sheetId="1">
        <row r="5">
          <cell r="L5">
            <v>27960</v>
          </cell>
        </row>
        <row r="9">
          <cell r="L9">
            <v>0</v>
          </cell>
        </row>
      </sheetData>
      <sheetData sheetId="2">
        <row r="5">
          <cell r="D5">
            <v>27960</v>
          </cell>
        </row>
      </sheetData>
      <sheetData sheetId="3">
        <row r="13">
          <cell r="R13">
            <v>500</v>
          </cell>
        </row>
      </sheetData>
      <sheetData sheetId="4">
        <row r="16">
          <cell r="C16">
            <v>3393</v>
          </cell>
        </row>
      </sheetData>
      <sheetData sheetId="5"/>
      <sheetData sheetId="6"/>
      <sheetData sheetId="7">
        <row r="3">
          <cell r="O3">
            <v>11871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19">
          <cell r="N19">
            <v>12</v>
          </cell>
        </row>
        <row r="28">
          <cell r="N28">
            <v>15007</v>
          </cell>
        </row>
        <row r="72">
          <cell r="N72">
            <v>42112</v>
          </cell>
        </row>
        <row r="73">
          <cell r="N73">
            <v>800</v>
          </cell>
        </row>
        <row r="78">
          <cell r="N78">
            <v>786</v>
          </cell>
        </row>
        <row r="87">
          <cell r="N87">
            <v>9826</v>
          </cell>
        </row>
        <row r="88">
          <cell r="N88">
            <v>8301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4387</v>
          </cell>
        </row>
        <row r="93">
          <cell r="N93">
            <v>320</v>
          </cell>
        </row>
      </sheetData>
      <sheetData sheetId="2">
        <row r="4">
          <cell r="E4">
            <v>29220</v>
          </cell>
        </row>
        <row r="7">
          <cell r="E7">
            <v>1140</v>
          </cell>
        </row>
        <row r="8">
          <cell r="E8">
            <v>3548</v>
          </cell>
        </row>
        <row r="9">
          <cell r="E9">
            <v>518</v>
          </cell>
        </row>
        <row r="10">
          <cell r="E10">
            <v>447</v>
          </cell>
        </row>
        <row r="11">
          <cell r="E11">
            <v>2354</v>
          </cell>
        </row>
        <row r="12">
          <cell r="E12">
            <v>1411</v>
          </cell>
        </row>
        <row r="13">
          <cell r="E13">
            <v>842</v>
          </cell>
        </row>
        <row r="16">
          <cell r="E16">
            <v>3309</v>
          </cell>
        </row>
        <row r="17">
          <cell r="E17">
            <v>1004</v>
          </cell>
        </row>
        <row r="18">
          <cell r="E18">
            <v>2030</v>
          </cell>
        </row>
        <row r="21">
          <cell r="E21">
            <v>5003</v>
          </cell>
        </row>
        <row r="22">
          <cell r="E22">
            <v>1172</v>
          </cell>
        </row>
        <row r="23">
          <cell r="E23">
            <v>1271</v>
          </cell>
        </row>
        <row r="24">
          <cell r="E24">
            <v>7149</v>
          </cell>
        </row>
        <row r="25">
          <cell r="E25">
            <v>3455</v>
          </cell>
        </row>
        <row r="26">
          <cell r="E26">
            <v>1907</v>
          </cell>
        </row>
        <row r="27">
          <cell r="E27">
            <v>1921</v>
          </cell>
        </row>
        <row r="30">
          <cell r="E30">
            <v>274</v>
          </cell>
        </row>
        <row r="31">
          <cell r="E31">
            <v>854</v>
          </cell>
        </row>
        <row r="32">
          <cell r="E32">
            <v>125</v>
          </cell>
        </row>
        <row r="33">
          <cell r="E33">
            <v>107</v>
          </cell>
        </row>
        <row r="34">
          <cell r="E34">
            <v>567</v>
          </cell>
        </row>
        <row r="35">
          <cell r="E35">
            <v>340</v>
          </cell>
        </row>
        <row r="36">
          <cell r="E36">
            <v>203</v>
          </cell>
        </row>
        <row r="37">
          <cell r="E37">
            <v>252</v>
          </cell>
        </row>
        <row r="40">
          <cell r="E40">
            <v>248</v>
          </cell>
        </row>
        <row r="41">
          <cell r="E41">
            <v>335</v>
          </cell>
        </row>
        <row r="42">
          <cell r="E42">
            <v>385</v>
          </cell>
        </row>
        <row r="43">
          <cell r="E43">
            <v>935</v>
          </cell>
        </row>
        <row r="44">
          <cell r="E44">
            <v>447</v>
          </cell>
        </row>
        <row r="45">
          <cell r="E45">
            <v>273</v>
          </cell>
        </row>
        <row r="46">
          <cell r="E46">
            <v>385</v>
          </cell>
        </row>
        <row r="49">
          <cell r="E49">
            <v>1890</v>
          </cell>
        </row>
        <row r="50">
          <cell r="E50">
            <v>412</v>
          </cell>
        </row>
        <row r="51">
          <cell r="E51">
            <v>921</v>
          </cell>
        </row>
        <row r="52">
          <cell r="E52">
            <v>203</v>
          </cell>
        </row>
        <row r="53">
          <cell r="E53">
            <v>643</v>
          </cell>
        </row>
        <row r="54">
          <cell r="E54">
            <v>1755</v>
          </cell>
        </row>
        <row r="55">
          <cell r="E55">
            <v>477</v>
          </cell>
        </row>
        <row r="58">
          <cell r="E58">
            <v>0</v>
          </cell>
        </row>
        <row r="61">
          <cell r="E61">
            <v>162497</v>
          </cell>
        </row>
        <row r="62">
          <cell r="E62">
            <v>61306</v>
          </cell>
        </row>
        <row r="63">
          <cell r="E63">
            <v>2964</v>
          </cell>
        </row>
        <row r="64">
          <cell r="E64">
            <v>4210</v>
          </cell>
        </row>
        <row r="65">
          <cell r="E65">
            <v>2743</v>
          </cell>
        </row>
        <row r="78">
          <cell r="E78">
            <v>2586</v>
          </cell>
        </row>
        <row r="79">
          <cell r="E79">
            <v>21</v>
          </cell>
        </row>
        <row r="80">
          <cell r="E80">
            <v>0</v>
          </cell>
        </row>
        <row r="81">
          <cell r="E81">
            <v>10180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15</v>
          </cell>
        </row>
        <row r="85">
          <cell r="E85">
            <v>2</v>
          </cell>
        </row>
        <row r="93">
          <cell r="E93">
            <v>15584</v>
          </cell>
        </row>
      </sheetData>
      <sheetData sheetId="3">
        <row r="13">
          <cell r="E13">
            <v>1300</v>
          </cell>
          <cell r="H13">
            <v>208</v>
          </cell>
          <cell r="K13">
            <v>0</v>
          </cell>
          <cell r="N13">
            <v>0</v>
          </cell>
          <cell r="Q13">
            <v>278</v>
          </cell>
          <cell r="T13">
            <v>800</v>
          </cell>
          <cell r="W13">
            <v>0</v>
          </cell>
        </row>
        <row r="14">
          <cell r="E14">
            <v>0</v>
          </cell>
          <cell r="H14">
            <v>14</v>
          </cell>
          <cell r="K14">
            <v>4</v>
          </cell>
          <cell r="N14">
            <v>0</v>
          </cell>
          <cell r="Q14">
            <v>3</v>
          </cell>
          <cell r="T14">
            <v>0</v>
          </cell>
          <cell r="W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</row>
        <row r="16">
          <cell r="E16">
            <v>1000</v>
          </cell>
          <cell r="H16">
            <v>0</v>
          </cell>
          <cell r="K16">
            <v>1700</v>
          </cell>
          <cell r="N16">
            <v>0</v>
          </cell>
          <cell r="Q16">
            <v>1335</v>
          </cell>
          <cell r="T16">
            <v>0</v>
          </cell>
          <cell r="W16">
            <v>2691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1</v>
          </cell>
          <cell r="Q19">
            <v>0</v>
          </cell>
          <cell r="T19">
            <v>0</v>
          </cell>
          <cell r="W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</row>
        <row r="28">
          <cell r="E28">
            <v>68</v>
          </cell>
          <cell r="H28">
            <v>83</v>
          </cell>
          <cell r="K28">
            <v>53</v>
          </cell>
          <cell r="N28">
            <v>83</v>
          </cell>
          <cell r="Q28">
            <v>53</v>
          </cell>
          <cell r="T28">
            <v>0</v>
          </cell>
          <cell r="W28">
            <v>5</v>
          </cell>
        </row>
        <row r="30">
          <cell r="E30">
            <v>1924</v>
          </cell>
          <cell r="H30">
            <v>14007</v>
          </cell>
          <cell r="K30">
            <v>25687</v>
          </cell>
          <cell r="N30">
            <v>14592</v>
          </cell>
          <cell r="Q30">
            <v>9695</v>
          </cell>
          <cell r="T30">
            <v>2698</v>
          </cell>
          <cell r="W30">
            <v>1783</v>
          </cell>
        </row>
        <row r="32">
          <cell r="E32">
            <v>260</v>
          </cell>
          <cell r="H32">
            <v>1160</v>
          </cell>
          <cell r="K32">
            <v>813</v>
          </cell>
          <cell r="N32">
            <v>120</v>
          </cell>
          <cell r="Q32">
            <v>487</v>
          </cell>
          <cell r="T32">
            <v>2163</v>
          </cell>
          <cell r="W32">
            <v>0</v>
          </cell>
        </row>
        <row r="33">
          <cell r="E33">
            <v>0</v>
          </cell>
          <cell r="H33">
            <v>527</v>
          </cell>
          <cell r="K33">
            <v>369</v>
          </cell>
          <cell r="N33">
            <v>55</v>
          </cell>
          <cell r="Q33">
            <v>221</v>
          </cell>
          <cell r="T33">
            <v>0</v>
          </cell>
          <cell r="W33">
            <v>0</v>
          </cell>
        </row>
        <row r="34">
          <cell r="E34">
            <v>260</v>
          </cell>
          <cell r="H34">
            <v>454</v>
          </cell>
          <cell r="K34">
            <v>319</v>
          </cell>
          <cell r="N34">
            <v>47</v>
          </cell>
          <cell r="Q34">
            <v>191</v>
          </cell>
          <cell r="T34">
            <v>0</v>
          </cell>
          <cell r="W34">
            <v>0</v>
          </cell>
        </row>
        <row r="35">
          <cell r="E35">
            <v>1822</v>
          </cell>
          <cell r="H35">
            <v>2395</v>
          </cell>
          <cell r="K35">
            <v>1679</v>
          </cell>
          <cell r="N35">
            <v>248</v>
          </cell>
          <cell r="Q35">
            <v>1005</v>
          </cell>
          <cell r="T35">
            <v>0</v>
          </cell>
          <cell r="W35">
            <v>0</v>
          </cell>
        </row>
        <row r="36">
          <cell r="E36">
            <v>260</v>
          </cell>
          <cell r="H36">
            <v>1436</v>
          </cell>
          <cell r="K36">
            <v>1007</v>
          </cell>
          <cell r="N36">
            <v>149</v>
          </cell>
          <cell r="Q36">
            <v>603</v>
          </cell>
          <cell r="T36">
            <v>0</v>
          </cell>
          <cell r="W36">
            <v>0</v>
          </cell>
        </row>
        <row r="37">
          <cell r="E37">
            <v>0</v>
          </cell>
          <cell r="H37">
            <v>857</v>
          </cell>
          <cell r="K37">
            <v>601</v>
          </cell>
          <cell r="N37">
            <v>89</v>
          </cell>
          <cell r="Q37">
            <v>360</v>
          </cell>
          <cell r="T37">
            <v>0</v>
          </cell>
          <cell r="W37">
            <v>0</v>
          </cell>
        </row>
        <row r="38">
          <cell r="E38">
            <v>0</v>
          </cell>
          <cell r="H38">
            <v>1065</v>
          </cell>
          <cell r="K38">
            <v>746</v>
          </cell>
          <cell r="N38">
            <v>110</v>
          </cell>
          <cell r="Q38">
            <v>0</v>
          </cell>
          <cell r="T38">
            <v>0</v>
          </cell>
          <cell r="W38">
            <v>0</v>
          </cell>
        </row>
        <row r="41">
          <cell r="E41">
            <v>3120</v>
          </cell>
          <cell r="H41">
            <v>13531</v>
          </cell>
          <cell r="K41">
            <v>21298</v>
          </cell>
          <cell r="N41">
            <v>7715</v>
          </cell>
          <cell r="Q41">
            <v>6966</v>
          </cell>
          <cell r="T41">
            <v>771</v>
          </cell>
          <cell r="W41">
            <v>3003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E44">
            <v>25</v>
          </cell>
          <cell r="H44">
            <v>87</v>
          </cell>
          <cell r="K44">
            <v>100</v>
          </cell>
          <cell r="N44">
            <v>0</v>
          </cell>
          <cell r="Q44">
            <v>50</v>
          </cell>
          <cell r="T44">
            <v>0</v>
          </cell>
          <cell r="W44">
            <v>31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0</v>
          </cell>
          <cell r="K46">
            <v>488</v>
          </cell>
          <cell r="N46">
            <v>0</v>
          </cell>
          <cell r="Q46">
            <v>485</v>
          </cell>
          <cell r="T46">
            <v>0</v>
          </cell>
          <cell r="W46">
            <v>0</v>
          </cell>
        </row>
        <row r="47">
          <cell r="E47">
            <v>90</v>
          </cell>
          <cell r="H47">
            <v>330</v>
          </cell>
          <cell r="K47">
            <v>780</v>
          </cell>
          <cell r="N47">
            <v>210</v>
          </cell>
          <cell r="Q47">
            <v>210</v>
          </cell>
          <cell r="T47">
            <v>60</v>
          </cell>
          <cell r="W47">
            <v>90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</row>
        <row r="49">
          <cell r="E49">
            <v>11</v>
          </cell>
          <cell r="H49">
            <v>112</v>
          </cell>
          <cell r="K49">
            <v>112</v>
          </cell>
          <cell r="N49">
            <v>118</v>
          </cell>
          <cell r="Q49">
            <v>280</v>
          </cell>
          <cell r="T49">
            <v>0</v>
          </cell>
          <cell r="W49">
            <v>11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  <cell r="T50">
            <v>0</v>
          </cell>
          <cell r="W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50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E53">
            <v>0</v>
          </cell>
          <cell r="H53">
            <v>312</v>
          </cell>
          <cell r="K53">
            <v>646</v>
          </cell>
          <cell r="N53">
            <v>453</v>
          </cell>
          <cell r="Q53">
            <v>243</v>
          </cell>
          <cell r="T53">
            <v>189</v>
          </cell>
          <cell r="W53">
            <v>23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  <cell r="T54">
            <v>0</v>
          </cell>
          <cell r="W54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Q56">
            <v>0</v>
          </cell>
          <cell r="T56">
            <v>0</v>
          </cell>
          <cell r="W56">
            <v>0</v>
          </cell>
        </row>
        <row r="57">
          <cell r="E57">
            <v>0</v>
          </cell>
          <cell r="H57">
            <v>150</v>
          </cell>
          <cell r="K57">
            <v>100</v>
          </cell>
          <cell r="N57">
            <v>150</v>
          </cell>
          <cell r="Q57">
            <v>8</v>
          </cell>
          <cell r="T57">
            <v>1000</v>
          </cell>
          <cell r="W57">
            <v>0</v>
          </cell>
        </row>
        <row r="58">
          <cell r="E58">
            <v>5</v>
          </cell>
          <cell r="H58">
            <v>25</v>
          </cell>
          <cell r="K58">
            <v>15</v>
          </cell>
          <cell r="N58">
            <v>50</v>
          </cell>
          <cell r="Q58">
            <v>10</v>
          </cell>
          <cell r="T58">
            <v>0</v>
          </cell>
          <cell r="W58">
            <v>0</v>
          </cell>
        </row>
        <row r="62">
          <cell r="E62">
            <v>843</v>
          </cell>
          <cell r="H62">
            <v>3813</v>
          </cell>
          <cell r="K62">
            <v>6057</v>
          </cell>
          <cell r="N62">
            <v>2231</v>
          </cell>
          <cell r="Q62">
            <v>2094</v>
          </cell>
          <cell r="T62">
            <v>428</v>
          </cell>
          <cell r="W62">
            <v>814</v>
          </cell>
        </row>
        <row r="63">
          <cell r="E63">
            <v>92</v>
          </cell>
          <cell r="H63">
            <v>337</v>
          </cell>
          <cell r="K63">
            <v>858</v>
          </cell>
          <cell r="N63">
            <v>214</v>
          </cell>
          <cell r="Q63">
            <v>214</v>
          </cell>
          <cell r="T63">
            <v>61</v>
          </cell>
          <cell r="W63">
            <v>139</v>
          </cell>
        </row>
        <row r="64">
          <cell r="E64">
            <v>17</v>
          </cell>
          <cell r="H64">
            <v>63</v>
          </cell>
          <cell r="K64">
            <v>135</v>
          </cell>
          <cell r="N64">
            <v>51</v>
          </cell>
          <cell r="Q64">
            <v>38</v>
          </cell>
          <cell r="T64">
            <v>10</v>
          </cell>
          <cell r="W64">
            <v>15</v>
          </cell>
        </row>
        <row r="65">
          <cell r="E65">
            <v>0</v>
          </cell>
          <cell r="H65">
            <v>2</v>
          </cell>
          <cell r="K65">
            <v>10</v>
          </cell>
          <cell r="N65">
            <v>0</v>
          </cell>
          <cell r="Q65">
            <v>0</v>
          </cell>
          <cell r="T65">
            <v>145</v>
          </cell>
          <cell r="W65">
            <v>0</v>
          </cell>
        </row>
        <row r="66">
          <cell r="E66">
            <v>18</v>
          </cell>
          <cell r="H66">
            <v>67</v>
          </cell>
          <cell r="K66">
            <v>151</v>
          </cell>
          <cell r="N66">
            <v>50</v>
          </cell>
          <cell r="Q66">
            <v>42</v>
          </cell>
          <cell r="T66">
            <v>11</v>
          </cell>
          <cell r="W66">
            <v>17</v>
          </cell>
        </row>
        <row r="67">
          <cell r="E67">
            <v>23</v>
          </cell>
          <cell r="H67">
            <v>24</v>
          </cell>
          <cell r="K67">
            <v>0</v>
          </cell>
          <cell r="N67">
            <v>4</v>
          </cell>
          <cell r="Q67">
            <v>0</v>
          </cell>
          <cell r="T67">
            <v>0</v>
          </cell>
          <cell r="W67">
            <v>17</v>
          </cell>
        </row>
        <row r="68">
          <cell r="E68">
            <v>378</v>
          </cell>
          <cell r="H68">
            <v>60</v>
          </cell>
          <cell r="K68">
            <v>395</v>
          </cell>
          <cell r="N68">
            <v>56</v>
          </cell>
          <cell r="Q68">
            <v>1091</v>
          </cell>
          <cell r="T68">
            <v>1102</v>
          </cell>
          <cell r="W68">
            <v>30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0</v>
          </cell>
          <cell r="T69">
            <v>0</v>
          </cell>
          <cell r="W69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300</v>
          </cell>
          <cell r="Q71">
            <v>0</v>
          </cell>
          <cell r="T71">
            <v>0</v>
          </cell>
          <cell r="W71">
            <v>0</v>
          </cell>
        </row>
        <row r="72">
          <cell r="E72">
            <v>50</v>
          </cell>
          <cell r="H72">
            <v>154</v>
          </cell>
          <cell r="K72">
            <v>52</v>
          </cell>
          <cell r="N72">
            <v>140</v>
          </cell>
          <cell r="Q72">
            <v>76</v>
          </cell>
          <cell r="T72">
            <v>12</v>
          </cell>
          <cell r="W72">
            <v>50</v>
          </cell>
        </row>
        <row r="74">
          <cell r="E74">
            <v>536</v>
          </cell>
          <cell r="H74">
            <v>430</v>
          </cell>
          <cell r="K74">
            <v>429</v>
          </cell>
          <cell r="N74">
            <v>430</v>
          </cell>
          <cell r="Q74">
            <v>429</v>
          </cell>
          <cell r="T74">
            <v>0</v>
          </cell>
          <cell r="W74">
            <v>76</v>
          </cell>
        </row>
        <row r="75">
          <cell r="E75">
            <v>250</v>
          </cell>
          <cell r="H75">
            <v>102</v>
          </cell>
          <cell r="K75">
            <v>0</v>
          </cell>
          <cell r="N75">
            <v>0</v>
          </cell>
          <cell r="Q75">
            <v>0</v>
          </cell>
          <cell r="T75">
            <v>0</v>
          </cell>
          <cell r="W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</row>
        <row r="77">
          <cell r="E77">
            <v>70</v>
          </cell>
          <cell r="H77">
            <v>0</v>
          </cell>
          <cell r="K77">
            <v>140</v>
          </cell>
          <cell r="N77">
            <v>200</v>
          </cell>
          <cell r="Q77">
            <v>547</v>
          </cell>
          <cell r="T77">
            <v>959</v>
          </cell>
          <cell r="W77">
            <v>0</v>
          </cell>
        </row>
        <row r="78">
          <cell r="E78">
            <v>0</v>
          </cell>
          <cell r="H78">
            <v>14</v>
          </cell>
          <cell r="K78">
            <v>4</v>
          </cell>
          <cell r="N78">
            <v>0</v>
          </cell>
          <cell r="Q78">
            <v>3</v>
          </cell>
          <cell r="T78">
            <v>0</v>
          </cell>
          <cell r="W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</row>
        <row r="80">
          <cell r="E80">
            <v>0</v>
          </cell>
          <cell r="H80">
            <v>14</v>
          </cell>
          <cell r="K80">
            <v>4</v>
          </cell>
          <cell r="N80">
            <v>0</v>
          </cell>
          <cell r="Q80">
            <v>3</v>
          </cell>
          <cell r="T80">
            <v>0</v>
          </cell>
          <cell r="W80">
            <v>0</v>
          </cell>
        </row>
        <row r="81">
          <cell r="E81">
            <v>3</v>
          </cell>
          <cell r="H81">
            <v>910</v>
          </cell>
          <cell r="K81">
            <v>0</v>
          </cell>
          <cell r="N81">
            <v>630</v>
          </cell>
          <cell r="Q81">
            <v>0</v>
          </cell>
          <cell r="T81">
            <v>0</v>
          </cell>
          <cell r="W81">
            <v>0</v>
          </cell>
        </row>
        <row r="82">
          <cell r="E82">
            <v>753</v>
          </cell>
          <cell r="H82">
            <v>660</v>
          </cell>
          <cell r="K82">
            <v>642</v>
          </cell>
          <cell r="N82">
            <v>1362</v>
          </cell>
          <cell r="Q82">
            <v>575</v>
          </cell>
          <cell r="T82">
            <v>30</v>
          </cell>
          <cell r="W82">
            <v>74</v>
          </cell>
        </row>
        <row r="84">
          <cell r="E84">
            <v>15</v>
          </cell>
          <cell r="H84">
            <v>380</v>
          </cell>
          <cell r="K84">
            <v>60</v>
          </cell>
          <cell r="N84">
            <v>280</v>
          </cell>
          <cell r="Q84">
            <v>70</v>
          </cell>
          <cell r="T84">
            <v>0</v>
          </cell>
          <cell r="W84">
            <v>15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  <cell r="T85">
            <v>0</v>
          </cell>
          <cell r="W85">
            <v>0</v>
          </cell>
        </row>
        <row r="87">
          <cell r="E87">
            <v>558</v>
          </cell>
          <cell r="H87">
            <v>514</v>
          </cell>
          <cell r="K87">
            <v>447</v>
          </cell>
          <cell r="N87">
            <v>835</v>
          </cell>
          <cell r="Q87">
            <v>729</v>
          </cell>
          <cell r="T87">
            <v>568</v>
          </cell>
          <cell r="W87">
            <v>67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  <cell r="T88">
            <v>0</v>
          </cell>
          <cell r="W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</row>
        <row r="91">
          <cell r="E91">
            <v>30</v>
          </cell>
          <cell r="H91">
            <v>79</v>
          </cell>
          <cell r="K91">
            <v>44</v>
          </cell>
          <cell r="N91">
            <v>0</v>
          </cell>
          <cell r="Q91">
            <v>71</v>
          </cell>
          <cell r="T91">
            <v>300</v>
          </cell>
          <cell r="W91">
            <v>0</v>
          </cell>
        </row>
        <row r="94">
          <cell r="E94">
            <v>7</v>
          </cell>
          <cell r="H94">
            <v>0</v>
          </cell>
          <cell r="K94">
            <v>15</v>
          </cell>
          <cell r="N94">
            <v>15</v>
          </cell>
          <cell r="Q94">
            <v>0</v>
          </cell>
          <cell r="T94">
            <v>15</v>
          </cell>
          <cell r="W94">
            <v>7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  <cell r="T95">
            <v>0</v>
          </cell>
          <cell r="W95">
            <v>0</v>
          </cell>
        </row>
        <row r="96">
          <cell r="E96">
            <v>0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  <cell r="T102">
            <v>0</v>
          </cell>
          <cell r="W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  <cell r="T105">
            <v>0</v>
          </cell>
          <cell r="W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</row>
      </sheetData>
      <sheetData sheetId="4">
        <row r="16">
          <cell r="E16">
            <v>3454</v>
          </cell>
          <cell r="H16">
            <v>0</v>
          </cell>
          <cell r="K16">
            <v>0</v>
          </cell>
          <cell r="N16">
            <v>0</v>
          </cell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2</v>
          </cell>
        </row>
        <row r="20">
          <cell r="Q20">
            <v>2</v>
          </cell>
        </row>
        <row r="28">
          <cell r="E28">
            <v>131</v>
          </cell>
          <cell r="H28">
            <v>101</v>
          </cell>
          <cell r="K28">
            <v>0</v>
          </cell>
          <cell r="N28">
            <v>0</v>
          </cell>
          <cell r="Q28">
            <v>0</v>
          </cell>
        </row>
        <row r="30">
          <cell r="E30">
            <v>30342</v>
          </cell>
          <cell r="H30">
            <v>51297</v>
          </cell>
          <cell r="K30">
            <v>26993</v>
          </cell>
          <cell r="N30">
            <v>49537</v>
          </cell>
          <cell r="Q30">
            <v>5244</v>
          </cell>
        </row>
        <row r="32">
          <cell r="E32">
            <v>0</v>
          </cell>
          <cell r="H32">
            <v>1279</v>
          </cell>
          <cell r="K32">
            <v>0</v>
          </cell>
          <cell r="N32">
            <v>0</v>
          </cell>
          <cell r="Q32">
            <v>2030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Q33">
            <v>1004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Q34">
            <v>2030</v>
          </cell>
        </row>
        <row r="37">
          <cell r="E37">
            <v>15618</v>
          </cell>
          <cell r="H37">
            <v>32482</v>
          </cell>
          <cell r="K37">
            <v>16163</v>
          </cell>
          <cell r="N37">
            <v>28551</v>
          </cell>
          <cell r="Q37">
            <v>5373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Q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554</v>
          </cell>
          <cell r="H40">
            <v>665</v>
          </cell>
          <cell r="K40">
            <v>643</v>
          </cell>
          <cell r="N40">
            <v>705</v>
          </cell>
          <cell r="Q40">
            <v>91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Q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E43">
            <v>390</v>
          </cell>
          <cell r="H43">
            <v>792</v>
          </cell>
          <cell r="K43">
            <v>360</v>
          </cell>
          <cell r="N43">
            <v>720</v>
          </cell>
          <cell r="Q43">
            <v>108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</row>
        <row r="45">
          <cell r="E45">
            <v>117</v>
          </cell>
          <cell r="H45">
            <v>310</v>
          </cell>
          <cell r="K45">
            <v>99</v>
          </cell>
          <cell r="N45">
            <v>260</v>
          </cell>
          <cell r="Q45">
            <v>52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424</v>
          </cell>
          <cell r="H49">
            <v>524</v>
          </cell>
          <cell r="K49">
            <v>281</v>
          </cell>
          <cell r="N49">
            <v>386</v>
          </cell>
          <cell r="Q49">
            <v>250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</row>
        <row r="53">
          <cell r="E53">
            <v>482</v>
          </cell>
          <cell r="H53">
            <v>1022</v>
          </cell>
          <cell r="K53">
            <v>0</v>
          </cell>
          <cell r="N53">
            <v>1680</v>
          </cell>
          <cell r="Q53">
            <v>0</v>
          </cell>
        </row>
        <row r="54">
          <cell r="E54">
            <v>20</v>
          </cell>
          <cell r="H54">
            <v>20</v>
          </cell>
          <cell r="K54">
            <v>0</v>
          </cell>
          <cell r="N54">
            <v>0</v>
          </cell>
          <cell r="Q54">
            <v>20</v>
          </cell>
        </row>
        <row r="58">
          <cell r="E58">
            <v>4598</v>
          </cell>
          <cell r="H58">
            <v>9377</v>
          </cell>
          <cell r="K58">
            <v>4587</v>
          </cell>
          <cell r="N58">
            <v>8463</v>
          </cell>
          <cell r="Q58">
            <v>1543</v>
          </cell>
        </row>
        <row r="59">
          <cell r="E59">
            <v>159</v>
          </cell>
          <cell r="H59">
            <v>322</v>
          </cell>
          <cell r="K59">
            <v>146</v>
          </cell>
          <cell r="N59">
            <v>293</v>
          </cell>
          <cell r="Q59">
            <v>44</v>
          </cell>
        </row>
        <row r="60">
          <cell r="E60">
            <v>71</v>
          </cell>
          <cell r="H60">
            <v>138</v>
          </cell>
          <cell r="K60">
            <v>60</v>
          </cell>
          <cell r="N60">
            <v>120</v>
          </cell>
          <cell r="Q60">
            <v>24</v>
          </cell>
        </row>
        <row r="61">
          <cell r="E61">
            <v>5</v>
          </cell>
          <cell r="H61">
            <v>0</v>
          </cell>
          <cell r="K61">
            <v>7</v>
          </cell>
          <cell r="N61">
            <v>124</v>
          </cell>
          <cell r="Q61">
            <v>0</v>
          </cell>
        </row>
        <row r="62">
          <cell r="E62">
            <v>78</v>
          </cell>
          <cell r="H62">
            <v>155</v>
          </cell>
          <cell r="K62">
            <v>69</v>
          </cell>
          <cell r="N62">
            <v>137</v>
          </cell>
          <cell r="Q62">
            <v>24</v>
          </cell>
        </row>
        <row r="63">
          <cell r="E63">
            <v>291</v>
          </cell>
          <cell r="H63">
            <v>531</v>
          </cell>
          <cell r="K63">
            <v>0</v>
          </cell>
          <cell r="N63">
            <v>0</v>
          </cell>
          <cell r="Q63">
            <v>94</v>
          </cell>
        </row>
        <row r="64">
          <cell r="E64">
            <v>290</v>
          </cell>
          <cell r="H64">
            <v>481</v>
          </cell>
          <cell r="K64">
            <v>0</v>
          </cell>
          <cell r="N64">
            <v>0</v>
          </cell>
          <cell r="Q64">
            <v>240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Q67">
            <v>180</v>
          </cell>
        </row>
        <row r="68">
          <cell r="E68">
            <v>150</v>
          </cell>
          <cell r="H68">
            <v>140</v>
          </cell>
          <cell r="K68">
            <v>40</v>
          </cell>
          <cell r="N68">
            <v>40</v>
          </cell>
          <cell r="Q68">
            <v>50</v>
          </cell>
        </row>
        <row r="70">
          <cell r="E70">
            <v>865</v>
          </cell>
          <cell r="H70">
            <v>2401</v>
          </cell>
          <cell r="K70">
            <v>0</v>
          </cell>
          <cell r="N70">
            <v>0</v>
          </cell>
          <cell r="Q70">
            <v>0</v>
          </cell>
        </row>
        <row r="71">
          <cell r="E71">
            <v>6230</v>
          </cell>
          <cell r="H71">
            <v>0</v>
          </cell>
          <cell r="K71">
            <v>0</v>
          </cell>
          <cell r="N71">
            <v>0</v>
          </cell>
          <cell r="Q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250</v>
          </cell>
          <cell r="H73">
            <v>273</v>
          </cell>
          <cell r="K73">
            <v>0</v>
          </cell>
          <cell r="N73">
            <v>0</v>
          </cell>
          <cell r="Q73">
            <v>100</v>
          </cell>
        </row>
        <row r="74">
          <cell r="E74">
            <v>0</v>
          </cell>
          <cell r="H74">
            <v>0</v>
          </cell>
          <cell r="K74">
            <v>0</v>
          </cell>
          <cell r="N74">
            <v>0</v>
          </cell>
          <cell r="Q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474</v>
          </cell>
          <cell r="H77">
            <v>646</v>
          </cell>
          <cell r="K77">
            <v>19</v>
          </cell>
          <cell r="N77">
            <v>142</v>
          </cell>
          <cell r="Q77">
            <v>250</v>
          </cell>
        </row>
        <row r="78">
          <cell r="E78">
            <v>120</v>
          </cell>
          <cell r="H78">
            <v>235</v>
          </cell>
          <cell r="K78">
            <v>17</v>
          </cell>
          <cell r="N78">
            <v>31</v>
          </cell>
          <cell r="Q78">
            <v>1300</v>
          </cell>
        </row>
        <row r="80">
          <cell r="E80">
            <v>50</v>
          </cell>
          <cell r="H80">
            <v>50</v>
          </cell>
          <cell r="K80">
            <v>2</v>
          </cell>
          <cell r="N80">
            <v>19</v>
          </cell>
          <cell r="Q80">
            <v>80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</row>
        <row r="83">
          <cell r="E83">
            <v>2387</v>
          </cell>
          <cell r="H83">
            <v>1262</v>
          </cell>
          <cell r="K83">
            <v>21</v>
          </cell>
          <cell r="N83">
            <v>63</v>
          </cell>
          <cell r="Q83">
            <v>583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Q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90">
          <cell r="E90">
            <v>15</v>
          </cell>
          <cell r="H90">
            <v>0</v>
          </cell>
          <cell r="K90">
            <v>29</v>
          </cell>
          <cell r="N90">
            <v>27</v>
          </cell>
          <cell r="Q90">
            <v>0</v>
          </cell>
        </row>
        <row r="91">
          <cell r="E91">
            <v>131</v>
          </cell>
          <cell r="H91">
            <v>0</v>
          </cell>
          <cell r="K91">
            <v>4450</v>
          </cell>
          <cell r="N91">
            <v>7776</v>
          </cell>
          <cell r="Q91">
            <v>0</v>
          </cell>
        </row>
        <row r="92">
          <cell r="E92">
            <v>131</v>
          </cell>
          <cell r="H92">
            <v>0</v>
          </cell>
          <cell r="K92">
            <v>4450</v>
          </cell>
          <cell r="N92">
            <v>7776</v>
          </cell>
          <cell r="Q92">
            <v>0</v>
          </cell>
        </row>
        <row r="93">
          <cell r="E93">
            <v>0</v>
          </cell>
          <cell r="H93">
            <v>0</v>
          </cell>
          <cell r="K93">
            <v>0</v>
          </cell>
          <cell r="N93">
            <v>0</v>
          </cell>
          <cell r="Q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Q94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</row>
        <row r="100">
          <cell r="E100">
            <v>0</v>
          </cell>
          <cell r="H100">
            <v>670</v>
          </cell>
          <cell r="K100">
            <v>0</v>
          </cell>
          <cell r="N100">
            <v>0</v>
          </cell>
          <cell r="Q100">
            <v>50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</row>
        <row r="103">
          <cell r="E103">
            <v>0</v>
          </cell>
          <cell r="H103">
            <v>181</v>
          </cell>
          <cell r="K103">
            <v>0</v>
          </cell>
          <cell r="N103">
            <v>0</v>
          </cell>
          <cell r="Q103">
            <v>14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</row>
        <row r="106">
          <cell r="E106">
            <v>0</v>
          </cell>
          <cell r="H106">
            <v>0</v>
          </cell>
          <cell r="K106">
            <v>0</v>
          </cell>
          <cell r="N106">
            <v>0</v>
          </cell>
          <cell r="Q106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</row>
      </sheetData>
      <sheetData sheetId="5">
        <row r="32">
          <cell r="D32">
            <v>11902400</v>
          </cell>
          <cell r="G32">
            <v>23528000</v>
          </cell>
          <cell r="J32">
            <v>13009600</v>
          </cell>
          <cell r="M32">
            <v>22420800</v>
          </cell>
          <cell r="P32">
            <v>2214400</v>
          </cell>
        </row>
        <row r="33">
          <cell r="D33">
            <v>6089600</v>
          </cell>
          <cell r="G33">
            <v>11210400</v>
          </cell>
          <cell r="J33">
            <v>5951200</v>
          </cell>
          <cell r="M33">
            <v>10795200</v>
          </cell>
          <cell r="P33">
            <v>1107200</v>
          </cell>
        </row>
        <row r="35">
          <cell r="D35">
            <v>154000</v>
          </cell>
          <cell r="G35">
            <v>283500</v>
          </cell>
          <cell r="J35">
            <v>150500</v>
          </cell>
          <cell r="M35">
            <v>273000</v>
          </cell>
          <cell r="P35">
            <v>28000</v>
          </cell>
        </row>
        <row r="36">
          <cell r="D36">
            <v>352000</v>
          </cell>
          <cell r="G36">
            <v>352000</v>
          </cell>
          <cell r="J36">
            <v>352000</v>
          </cell>
          <cell r="M36">
            <v>352000</v>
          </cell>
          <cell r="P36">
            <v>352000</v>
          </cell>
        </row>
        <row r="37">
          <cell r="D37">
            <v>2400000</v>
          </cell>
          <cell r="G37">
            <v>6240000</v>
          </cell>
          <cell r="J37">
            <v>2400000</v>
          </cell>
          <cell r="M37">
            <v>6000000</v>
          </cell>
          <cell r="P37">
            <v>960000</v>
          </cell>
        </row>
        <row r="38">
          <cell r="D38">
            <v>1200000</v>
          </cell>
          <cell r="G38">
            <v>3120000</v>
          </cell>
          <cell r="J38">
            <v>1200000</v>
          </cell>
          <cell r="M38">
            <v>3000000</v>
          </cell>
          <cell r="P38">
            <v>480000</v>
          </cell>
        </row>
        <row r="40">
          <cell r="D40">
            <v>2286666.6666666665</v>
          </cell>
          <cell r="G40">
            <v>4386666.666666666</v>
          </cell>
          <cell r="J40">
            <v>2566666.6666666665</v>
          </cell>
          <cell r="M40">
            <v>4386666.666666666</v>
          </cell>
          <cell r="P40">
            <v>0</v>
          </cell>
        </row>
        <row r="41">
          <cell r="D41">
            <v>1166666.6666666665</v>
          </cell>
          <cell r="G41">
            <v>2100000</v>
          </cell>
          <cell r="J41">
            <v>1166666.6666666665</v>
          </cell>
          <cell r="M41">
            <v>2100000</v>
          </cell>
          <cell r="P41">
            <v>0</v>
          </cell>
        </row>
        <row r="43">
          <cell r="D43">
            <v>4458806.3595505618</v>
          </cell>
          <cell r="G43">
            <v>0</v>
          </cell>
          <cell r="J43">
            <v>0</v>
          </cell>
          <cell r="M43">
            <v>0</v>
          </cell>
          <cell r="P43">
            <v>0</v>
          </cell>
        </row>
        <row r="45">
          <cell r="D45">
            <v>332000</v>
          </cell>
          <cell r="G45">
            <v>77000</v>
          </cell>
          <cell r="J45">
            <v>196000</v>
          </cell>
          <cell r="M45">
            <v>209000</v>
          </cell>
          <cell r="P45">
            <v>102000</v>
          </cell>
        </row>
      </sheetData>
      <sheetData sheetId="6">
        <row r="3">
          <cell r="D3">
            <v>7377415</v>
          </cell>
        </row>
        <row r="4">
          <cell r="D4">
            <v>5603100</v>
          </cell>
        </row>
        <row r="5">
          <cell r="D5">
            <v>7377415</v>
          </cell>
        </row>
        <row r="6">
          <cell r="D6">
            <v>4437600</v>
          </cell>
        </row>
        <row r="7">
          <cell r="D7">
            <v>22431500</v>
          </cell>
        </row>
        <row r="8">
          <cell r="D8">
            <v>1635000</v>
          </cell>
        </row>
        <row r="9">
          <cell r="D9">
            <v>2500000</v>
          </cell>
        </row>
        <row r="10">
          <cell r="D10">
            <v>1394640</v>
          </cell>
        </row>
        <row r="14">
          <cell r="D14">
            <v>8550000</v>
          </cell>
        </row>
        <row r="17">
          <cell r="D17">
            <v>19000</v>
          </cell>
        </row>
        <row r="18">
          <cell r="D18">
            <v>364000</v>
          </cell>
        </row>
        <row r="19">
          <cell r="D19">
            <v>757000</v>
          </cell>
        </row>
        <row r="20">
          <cell r="D20">
            <v>487000</v>
          </cell>
        </row>
        <row r="21">
          <cell r="D21">
            <v>296000</v>
          </cell>
        </row>
        <row r="22">
          <cell r="D22">
            <v>125000</v>
          </cell>
        </row>
        <row r="25">
          <cell r="D25">
            <v>237000</v>
          </cell>
        </row>
        <row r="26">
          <cell r="D26">
            <v>214000</v>
          </cell>
        </row>
        <row r="27">
          <cell r="D27">
            <v>823000</v>
          </cell>
        </row>
        <row r="28">
          <cell r="D28">
            <v>1721000</v>
          </cell>
        </row>
        <row r="29">
          <cell r="D29">
            <v>608000</v>
          </cell>
        </row>
        <row r="30">
          <cell r="D30">
            <v>534000</v>
          </cell>
        </row>
        <row r="31">
          <cell r="D31">
            <v>73000</v>
          </cell>
        </row>
        <row r="34">
          <cell r="D34">
            <v>52000</v>
          </cell>
        </row>
        <row r="35">
          <cell r="D35">
            <v>155000</v>
          </cell>
        </row>
        <row r="36">
          <cell r="D36">
            <v>926000</v>
          </cell>
        </row>
        <row r="37">
          <cell r="D37">
            <v>778000</v>
          </cell>
        </row>
        <row r="38">
          <cell r="D38">
            <v>517000</v>
          </cell>
        </row>
        <row r="39">
          <cell r="D39">
            <v>315000</v>
          </cell>
        </row>
        <row r="40">
          <cell r="D40">
            <v>0</v>
          </cell>
        </row>
      </sheetData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72">
          <cell r="L72">
            <v>41848</v>
          </cell>
        </row>
        <row r="73">
          <cell r="L73">
            <v>522</v>
          </cell>
        </row>
        <row r="78">
          <cell r="L78">
            <v>640</v>
          </cell>
        </row>
        <row r="86">
          <cell r="L86">
            <v>6301</v>
          </cell>
        </row>
        <row r="87">
          <cell r="L87">
            <v>3089</v>
          </cell>
        </row>
        <row r="88">
          <cell r="L88">
            <v>889</v>
          </cell>
        </row>
        <row r="90">
          <cell r="L90">
            <v>2200</v>
          </cell>
        </row>
      </sheetData>
      <sheetData sheetId="2">
        <row r="4">
          <cell r="D4">
            <v>29220</v>
          </cell>
        </row>
        <row r="7">
          <cell r="D7">
            <v>1140</v>
          </cell>
        </row>
        <row r="8">
          <cell r="D8">
            <v>3548</v>
          </cell>
        </row>
        <row r="9">
          <cell r="D9">
            <v>518</v>
          </cell>
        </row>
        <row r="10">
          <cell r="D10">
            <v>447</v>
          </cell>
        </row>
        <row r="11">
          <cell r="D11">
            <v>2354</v>
          </cell>
        </row>
        <row r="12">
          <cell r="D12">
            <v>1411</v>
          </cell>
        </row>
        <row r="13">
          <cell r="D13">
            <v>842</v>
          </cell>
        </row>
        <row r="16">
          <cell r="D16">
            <v>3309</v>
          </cell>
        </row>
        <row r="17">
          <cell r="D17">
            <v>1004</v>
          </cell>
        </row>
        <row r="18">
          <cell r="D18">
            <v>2030</v>
          </cell>
        </row>
        <row r="21">
          <cell r="D21">
            <v>4572</v>
          </cell>
        </row>
        <row r="22">
          <cell r="D22">
            <v>1172</v>
          </cell>
        </row>
        <row r="23">
          <cell r="D23">
            <v>1271</v>
          </cell>
        </row>
        <row r="24">
          <cell r="D24">
            <v>7149</v>
          </cell>
        </row>
        <row r="25">
          <cell r="D25">
            <v>3455</v>
          </cell>
        </row>
        <row r="26">
          <cell r="D26">
            <v>1907</v>
          </cell>
        </row>
        <row r="27">
          <cell r="D27">
            <v>1921</v>
          </cell>
        </row>
        <row r="30">
          <cell r="D30">
            <v>274</v>
          </cell>
        </row>
        <row r="31">
          <cell r="D31">
            <v>854</v>
          </cell>
        </row>
        <row r="32">
          <cell r="D32">
            <v>125</v>
          </cell>
        </row>
        <row r="33">
          <cell r="D33">
            <v>107</v>
          </cell>
        </row>
        <row r="34">
          <cell r="D34">
            <v>567</v>
          </cell>
        </row>
        <row r="35">
          <cell r="D35">
            <v>340</v>
          </cell>
        </row>
        <row r="36">
          <cell r="D36">
            <v>203</v>
          </cell>
        </row>
        <row r="37">
          <cell r="D37">
            <v>252</v>
          </cell>
        </row>
        <row r="40">
          <cell r="D40">
            <v>248</v>
          </cell>
        </row>
        <row r="41">
          <cell r="D41">
            <v>335</v>
          </cell>
        </row>
        <row r="42">
          <cell r="D42">
            <v>385</v>
          </cell>
        </row>
        <row r="43">
          <cell r="D43">
            <v>935</v>
          </cell>
        </row>
        <row r="44">
          <cell r="D44">
            <v>447</v>
          </cell>
        </row>
        <row r="45">
          <cell r="D45">
            <v>273</v>
          </cell>
        </row>
        <row r="46">
          <cell r="D46">
            <v>385</v>
          </cell>
        </row>
        <row r="49">
          <cell r="D49">
            <v>1890</v>
          </cell>
        </row>
        <row r="50">
          <cell r="D50">
            <v>412</v>
          </cell>
        </row>
        <row r="51">
          <cell r="D51">
            <v>921</v>
          </cell>
        </row>
        <row r="52">
          <cell r="D52">
            <v>203</v>
          </cell>
        </row>
        <row r="53">
          <cell r="D53">
            <v>643</v>
          </cell>
        </row>
        <row r="54">
          <cell r="D54">
            <v>1755</v>
          </cell>
        </row>
        <row r="55">
          <cell r="D55">
            <v>477</v>
          </cell>
        </row>
        <row r="58">
          <cell r="D58">
            <v>0</v>
          </cell>
        </row>
        <row r="61">
          <cell r="D61">
            <v>162497</v>
          </cell>
        </row>
        <row r="62">
          <cell r="D62">
            <v>61306</v>
          </cell>
        </row>
        <row r="72">
          <cell r="D72">
            <v>2100</v>
          </cell>
        </row>
        <row r="75">
          <cell r="D75">
            <v>10245</v>
          </cell>
        </row>
      </sheetData>
      <sheetData sheetId="3">
        <row r="13">
          <cell r="C13">
            <v>1300</v>
          </cell>
          <cell r="R13">
            <v>800</v>
          </cell>
        </row>
        <row r="16">
          <cell r="C16">
            <v>1000</v>
          </cell>
          <cell r="I16">
            <v>1700</v>
          </cell>
          <cell r="O16">
            <v>1400</v>
          </cell>
          <cell r="U16">
            <v>2691</v>
          </cell>
        </row>
        <row r="30">
          <cell r="C30">
            <v>1635</v>
          </cell>
          <cell r="F30">
            <v>11815</v>
          </cell>
          <cell r="I30">
            <v>22431</v>
          </cell>
          <cell r="L30">
            <v>12980</v>
          </cell>
          <cell r="O30">
            <v>8550</v>
          </cell>
          <cell r="R30">
            <v>2500</v>
          </cell>
          <cell r="U30">
            <v>1395</v>
          </cell>
        </row>
        <row r="32">
          <cell r="C32">
            <v>260</v>
          </cell>
          <cell r="F32">
            <v>1160</v>
          </cell>
          <cell r="I32">
            <v>813</v>
          </cell>
          <cell r="L32">
            <v>120</v>
          </cell>
          <cell r="O32">
            <v>487</v>
          </cell>
          <cell r="R32">
            <v>1732</v>
          </cell>
        </row>
        <row r="33">
          <cell r="C33">
            <v>0</v>
          </cell>
          <cell r="F33">
            <v>527</v>
          </cell>
          <cell r="I33">
            <v>369</v>
          </cell>
          <cell r="L33">
            <v>55</v>
          </cell>
          <cell r="O33">
            <v>221</v>
          </cell>
        </row>
        <row r="34">
          <cell r="C34">
            <v>260</v>
          </cell>
          <cell r="F34">
            <v>454</v>
          </cell>
          <cell r="I34">
            <v>319</v>
          </cell>
          <cell r="L34">
            <v>47</v>
          </cell>
          <cell r="O34">
            <v>191</v>
          </cell>
        </row>
        <row r="35">
          <cell r="C35">
            <v>1822</v>
          </cell>
          <cell r="F35">
            <v>2395</v>
          </cell>
          <cell r="I35">
            <v>1679</v>
          </cell>
          <cell r="L35">
            <v>248</v>
          </cell>
          <cell r="O35">
            <v>1005</v>
          </cell>
          <cell r="U35">
            <v>0</v>
          </cell>
        </row>
        <row r="36">
          <cell r="C36">
            <v>260</v>
          </cell>
          <cell r="F36">
            <v>1436</v>
          </cell>
          <cell r="I36">
            <v>1007</v>
          </cell>
          <cell r="L36">
            <v>149</v>
          </cell>
          <cell r="O36">
            <v>603</v>
          </cell>
        </row>
        <row r="37">
          <cell r="C37">
            <v>0</v>
          </cell>
          <cell r="F37">
            <v>857</v>
          </cell>
          <cell r="I37">
            <v>601</v>
          </cell>
          <cell r="L37">
            <v>89</v>
          </cell>
          <cell r="O37">
            <v>360</v>
          </cell>
          <cell r="U37">
            <v>0</v>
          </cell>
        </row>
        <row r="38">
          <cell r="C38">
            <v>0</v>
          </cell>
          <cell r="F38">
            <v>1065</v>
          </cell>
          <cell r="I38">
            <v>746</v>
          </cell>
          <cell r="L38">
            <v>110</v>
          </cell>
          <cell r="O38">
            <v>0</v>
          </cell>
        </row>
        <row r="41">
          <cell r="C41">
            <v>2893</v>
          </cell>
          <cell r="F41">
            <v>12229</v>
          </cell>
          <cell r="I41">
            <v>19379</v>
          </cell>
          <cell r="L41">
            <v>6898</v>
          </cell>
          <cell r="O41">
            <v>6308</v>
          </cell>
          <cell r="R41">
            <v>1700</v>
          </cell>
          <cell r="U41">
            <v>2712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R42">
            <v>0</v>
          </cell>
          <cell r="U42">
            <v>0</v>
          </cell>
        </row>
        <row r="43">
          <cell r="C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R43">
            <v>0</v>
          </cell>
          <cell r="U43">
            <v>0</v>
          </cell>
        </row>
        <row r="44">
          <cell r="C44">
            <v>25</v>
          </cell>
          <cell r="F44">
            <v>87</v>
          </cell>
          <cell r="I44">
            <v>100</v>
          </cell>
          <cell r="L44">
            <v>0</v>
          </cell>
          <cell r="O44">
            <v>50</v>
          </cell>
          <cell r="R44">
            <v>0</v>
          </cell>
          <cell r="U44">
            <v>25</v>
          </cell>
        </row>
        <row r="45">
          <cell r="C45">
            <v>0</v>
          </cell>
          <cell r="F45">
            <v>0</v>
          </cell>
          <cell r="I45">
            <v>0</v>
          </cell>
          <cell r="L45">
            <v>0</v>
          </cell>
          <cell r="O45">
            <v>0</v>
          </cell>
          <cell r="R45">
            <v>0</v>
          </cell>
          <cell r="U45">
            <v>0</v>
          </cell>
        </row>
        <row r="46">
          <cell r="C46">
            <v>0</v>
          </cell>
          <cell r="F46">
            <v>0</v>
          </cell>
          <cell r="I46">
            <v>488</v>
          </cell>
          <cell r="L46">
            <v>0</v>
          </cell>
          <cell r="O46">
            <v>485</v>
          </cell>
          <cell r="R46">
            <v>0</v>
          </cell>
          <cell r="U46">
            <v>0</v>
          </cell>
        </row>
        <row r="47">
          <cell r="C47">
            <v>90</v>
          </cell>
          <cell r="F47">
            <v>330</v>
          </cell>
          <cell r="I47">
            <v>780</v>
          </cell>
          <cell r="L47">
            <v>210</v>
          </cell>
          <cell r="O47">
            <v>210</v>
          </cell>
          <cell r="R47">
            <v>60</v>
          </cell>
          <cell r="U47">
            <v>90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R48">
            <v>0</v>
          </cell>
          <cell r="U48">
            <v>0</v>
          </cell>
        </row>
        <row r="49">
          <cell r="C49">
            <v>11</v>
          </cell>
          <cell r="F49">
            <v>112</v>
          </cell>
          <cell r="I49">
            <v>112</v>
          </cell>
          <cell r="L49">
            <v>118</v>
          </cell>
          <cell r="O49">
            <v>280</v>
          </cell>
          <cell r="R49">
            <v>0</v>
          </cell>
          <cell r="U49">
            <v>11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R50">
            <v>0</v>
          </cell>
          <cell r="U50">
            <v>0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R51">
            <v>0</v>
          </cell>
          <cell r="U51">
            <v>0</v>
          </cell>
        </row>
        <row r="52"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  <cell r="R52">
            <v>0</v>
          </cell>
          <cell r="U52">
            <v>0</v>
          </cell>
        </row>
        <row r="53">
          <cell r="C53">
            <v>0</v>
          </cell>
          <cell r="F53">
            <v>0</v>
          </cell>
          <cell r="I53">
            <v>0</v>
          </cell>
          <cell r="L53">
            <v>0</v>
          </cell>
          <cell r="O53">
            <v>0</v>
          </cell>
          <cell r="R53">
            <v>0</v>
          </cell>
          <cell r="U53">
            <v>0</v>
          </cell>
        </row>
        <row r="54">
          <cell r="C54">
            <v>0</v>
          </cell>
          <cell r="F54">
            <v>0</v>
          </cell>
          <cell r="I54">
            <v>0</v>
          </cell>
          <cell r="L54">
            <v>0</v>
          </cell>
          <cell r="O54">
            <v>0</v>
          </cell>
          <cell r="R54">
            <v>0</v>
          </cell>
          <cell r="U54">
            <v>0</v>
          </cell>
        </row>
        <row r="56">
          <cell r="C56">
            <v>0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R56">
            <v>0</v>
          </cell>
          <cell r="U56">
            <v>0</v>
          </cell>
        </row>
        <row r="57">
          <cell r="C57">
            <v>0</v>
          </cell>
          <cell r="F57">
            <v>150</v>
          </cell>
          <cell r="I57">
            <v>100</v>
          </cell>
          <cell r="L57">
            <v>150</v>
          </cell>
          <cell r="O57">
            <v>0</v>
          </cell>
          <cell r="R57">
            <v>150</v>
          </cell>
          <cell r="U57">
            <v>0</v>
          </cell>
        </row>
        <row r="58">
          <cell r="C58">
            <v>5</v>
          </cell>
          <cell r="F58">
            <v>25</v>
          </cell>
          <cell r="I58">
            <v>15</v>
          </cell>
          <cell r="L58">
            <v>50</v>
          </cell>
          <cell r="O58">
            <v>10</v>
          </cell>
          <cell r="R58">
            <v>0</v>
          </cell>
          <cell r="U58">
            <v>0</v>
          </cell>
        </row>
        <row r="62">
          <cell r="C62">
            <v>788</v>
          </cell>
          <cell r="F62">
            <v>3366</v>
          </cell>
          <cell r="I62">
            <v>5391</v>
          </cell>
          <cell r="L62">
            <v>1903</v>
          </cell>
          <cell r="O62">
            <v>1848</v>
          </cell>
          <cell r="R62">
            <v>500</v>
          </cell>
          <cell r="U62">
            <v>739</v>
          </cell>
        </row>
        <row r="63">
          <cell r="C63">
            <v>92</v>
          </cell>
          <cell r="F63">
            <v>337</v>
          </cell>
          <cell r="I63">
            <v>858</v>
          </cell>
          <cell r="L63">
            <v>214</v>
          </cell>
          <cell r="O63">
            <v>214</v>
          </cell>
          <cell r="R63">
            <v>61</v>
          </cell>
          <cell r="U63">
            <v>153</v>
          </cell>
        </row>
        <row r="64">
          <cell r="C64">
            <v>17</v>
          </cell>
          <cell r="F64">
            <v>63</v>
          </cell>
          <cell r="I64">
            <v>135</v>
          </cell>
          <cell r="L64">
            <v>51</v>
          </cell>
          <cell r="O64">
            <v>38</v>
          </cell>
          <cell r="R64">
            <v>10</v>
          </cell>
          <cell r="U64">
            <v>15</v>
          </cell>
        </row>
        <row r="65">
          <cell r="C65">
            <v>0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R65">
            <v>0</v>
          </cell>
          <cell r="U65">
            <v>0</v>
          </cell>
        </row>
        <row r="66">
          <cell r="C66">
            <v>18</v>
          </cell>
          <cell r="F66">
            <v>67</v>
          </cell>
          <cell r="I66">
            <v>151</v>
          </cell>
          <cell r="L66">
            <v>50</v>
          </cell>
          <cell r="O66">
            <v>42</v>
          </cell>
          <cell r="R66">
            <v>11</v>
          </cell>
          <cell r="U66">
            <v>17</v>
          </cell>
        </row>
        <row r="67">
          <cell r="C67">
            <v>13</v>
          </cell>
          <cell r="F67">
            <v>8</v>
          </cell>
          <cell r="I67">
            <v>0</v>
          </cell>
          <cell r="L67">
            <v>0</v>
          </cell>
          <cell r="U67">
            <v>17</v>
          </cell>
        </row>
        <row r="68">
          <cell r="C68">
            <v>421</v>
          </cell>
          <cell r="F68">
            <v>60</v>
          </cell>
          <cell r="I68">
            <v>415</v>
          </cell>
          <cell r="L68">
            <v>60</v>
          </cell>
          <cell r="O68">
            <v>1175</v>
          </cell>
          <cell r="R68">
            <v>1222</v>
          </cell>
          <cell r="U68">
            <v>30</v>
          </cell>
        </row>
        <row r="71">
          <cell r="L71">
            <v>300</v>
          </cell>
        </row>
        <row r="72">
          <cell r="C72">
            <v>50</v>
          </cell>
          <cell r="F72">
            <v>154</v>
          </cell>
          <cell r="I72">
            <v>52</v>
          </cell>
          <cell r="L72">
            <v>140</v>
          </cell>
          <cell r="O72">
            <v>76</v>
          </cell>
          <cell r="R72">
            <v>12</v>
          </cell>
          <cell r="U72">
            <v>50</v>
          </cell>
        </row>
        <row r="74">
          <cell r="C74">
            <v>536</v>
          </cell>
          <cell r="F74">
            <v>430</v>
          </cell>
          <cell r="I74">
            <v>429</v>
          </cell>
          <cell r="L74">
            <v>430</v>
          </cell>
          <cell r="O74">
            <v>429</v>
          </cell>
          <cell r="U74">
            <v>76</v>
          </cell>
        </row>
        <row r="75">
          <cell r="C75">
            <v>250</v>
          </cell>
        </row>
        <row r="77">
          <cell r="C77">
            <v>40</v>
          </cell>
          <cell r="I77">
            <v>120</v>
          </cell>
          <cell r="L77">
            <v>200</v>
          </cell>
          <cell r="O77">
            <v>300</v>
          </cell>
          <cell r="R77">
            <v>500</v>
          </cell>
        </row>
        <row r="81">
          <cell r="F81">
            <v>880</v>
          </cell>
          <cell r="L81">
            <v>600</v>
          </cell>
        </row>
        <row r="82">
          <cell r="C82">
            <v>700</v>
          </cell>
          <cell r="F82">
            <v>565</v>
          </cell>
          <cell r="I82">
            <v>600</v>
          </cell>
          <cell r="L82">
            <v>1320</v>
          </cell>
          <cell r="O82">
            <v>533</v>
          </cell>
          <cell r="R82">
            <v>30</v>
          </cell>
          <cell r="U82">
            <v>70</v>
          </cell>
        </row>
        <row r="84">
          <cell r="C84">
            <v>15</v>
          </cell>
          <cell r="F84">
            <v>280</v>
          </cell>
          <cell r="I84">
            <v>60</v>
          </cell>
          <cell r="L84">
            <v>280</v>
          </cell>
          <cell r="O84">
            <v>70</v>
          </cell>
          <cell r="U84">
            <v>15</v>
          </cell>
        </row>
        <row r="87">
          <cell r="C87">
            <v>543</v>
          </cell>
          <cell r="F87">
            <v>566</v>
          </cell>
          <cell r="I87">
            <v>436</v>
          </cell>
          <cell r="L87">
            <v>824</v>
          </cell>
          <cell r="O87">
            <v>678</v>
          </cell>
          <cell r="R87">
            <v>476</v>
          </cell>
          <cell r="U87">
            <v>66</v>
          </cell>
        </row>
        <row r="91">
          <cell r="C91">
            <v>30</v>
          </cell>
          <cell r="I91">
            <v>44</v>
          </cell>
          <cell r="O91">
            <v>71</v>
          </cell>
          <cell r="R91">
            <v>300</v>
          </cell>
        </row>
      </sheetData>
      <sheetData sheetId="4">
        <row r="16">
          <cell r="C16">
            <v>3454</v>
          </cell>
        </row>
        <row r="30">
          <cell r="C30">
            <v>29856</v>
          </cell>
          <cell r="F30">
            <v>50936</v>
          </cell>
          <cell r="I30">
            <v>26647</v>
          </cell>
          <cell r="L30">
            <v>49055</v>
          </cell>
          <cell r="O30">
            <v>5114</v>
          </cell>
        </row>
        <row r="32">
          <cell r="F32">
            <v>1279</v>
          </cell>
          <cell r="O32">
            <v>2030</v>
          </cell>
        </row>
        <row r="33">
          <cell r="O33">
            <v>1004</v>
          </cell>
        </row>
        <row r="34">
          <cell r="O34">
            <v>2030</v>
          </cell>
        </row>
        <row r="37">
          <cell r="C37">
            <v>16217</v>
          </cell>
          <cell r="F37">
            <v>32761</v>
          </cell>
          <cell r="I37">
            <v>16519</v>
          </cell>
          <cell r="L37">
            <v>28781</v>
          </cell>
          <cell r="O37">
            <v>5519</v>
          </cell>
        </row>
        <row r="38">
          <cell r="C38">
            <v>0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</row>
        <row r="39">
          <cell r="C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</row>
        <row r="40">
          <cell r="C40">
            <v>302</v>
          </cell>
          <cell r="F40">
            <v>665</v>
          </cell>
          <cell r="I40">
            <v>303</v>
          </cell>
          <cell r="L40">
            <v>605</v>
          </cell>
          <cell r="O40">
            <v>91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</row>
        <row r="43">
          <cell r="C43">
            <v>390</v>
          </cell>
          <cell r="F43">
            <v>792</v>
          </cell>
          <cell r="I43">
            <v>360</v>
          </cell>
          <cell r="L43">
            <v>720</v>
          </cell>
          <cell r="O43">
            <v>108</v>
          </cell>
        </row>
        <row r="44">
          <cell r="C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</row>
        <row r="45">
          <cell r="C45">
            <v>117</v>
          </cell>
          <cell r="F45">
            <v>310</v>
          </cell>
          <cell r="I45">
            <v>99</v>
          </cell>
          <cell r="L45">
            <v>260</v>
          </cell>
          <cell r="O45">
            <v>52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</row>
        <row r="47"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</row>
        <row r="49">
          <cell r="C49">
            <v>0</v>
          </cell>
          <cell r="F49">
            <v>0</v>
          </cell>
          <cell r="I49">
            <v>0</v>
          </cell>
          <cell r="L49">
            <v>0</v>
          </cell>
          <cell r="O49">
            <v>0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</row>
        <row r="52"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</row>
        <row r="53">
          <cell r="C53">
            <v>182</v>
          </cell>
          <cell r="F53">
            <v>1022</v>
          </cell>
          <cell r="I53">
            <v>0</v>
          </cell>
          <cell r="L53">
            <v>1680</v>
          </cell>
          <cell r="O53">
            <v>0</v>
          </cell>
        </row>
        <row r="54">
          <cell r="C54">
            <v>20</v>
          </cell>
          <cell r="F54">
            <v>20</v>
          </cell>
          <cell r="I54">
            <v>0</v>
          </cell>
          <cell r="L54">
            <v>0</v>
          </cell>
          <cell r="O54">
            <v>20</v>
          </cell>
        </row>
        <row r="58">
          <cell r="C58">
            <v>4509</v>
          </cell>
          <cell r="F58">
            <v>9301</v>
          </cell>
          <cell r="I58">
            <v>4542</v>
          </cell>
          <cell r="L58">
            <v>8388</v>
          </cell>
          <cell r="O58">
            <v>1515</v>
          </cell>
        </row>
        <row r="59">
          <cell r="C59">
            <v>159</v>
          </cell>
          <cell r="F59">
            <v>322</v>
          </cell>
          <cell r="I59">
            <v>146</v>
          </cell>
          <cell r="L59">
            <v>293</v>
          </cell>
          <cell r="O59">
            <v>44</v>
          </cell>
        </row>
        <row r="60">
          <cell r="C60">
            <v>71</v>
          </cell>
          <cell r="F60">
            <v>138</v>
          </cell>
          <cell r="I60">
            <v>60</v>
          </cell>
          <cell r="L60">
            <v>120</v>
          </cell>
          <cell r="O60">
            <v>24</v>
          </cell>
        </row>
        <row r="61">
          <cell r="C61">
            <v>0</v>
          </cell>
          <cell r="F61">
            <v>0</v>
          </cell>
          <cell r="I61">
            <v>0</v>
          </cell>
          <cell r="L61">
            <v>0</v>
          </cell>
          <cell r="O61">
            <v>0</v>
          </cell>
        </row>
        <row r="62">
          <cell r="C62">
            <v>78</v>
          </cell>
          <cell r="F62">
            <v>155</v>
          </cell>
          <cell r="I62">
            <v>69</v>
          </cell>
          <cell r="L62">
            <v>137</v>
          </cell>
          <cell r="O62">
            <v>24</v>
          </cell>
        </row>
        <row r="63">
          <cell r="C63">
            <v>291</v>
          </cell>
          <cell r="F63">
            <v>531</v>
          </cell>
          <cell r="O63">
            <v>92</v>
          </cell>
        </row>
        <row r="64">
          <cell r="C64">
            <v>290</v>
          </cell>
          <cell r="F64">
            <v>441</v>
          </cell>
          <cell r="O64">
            <v>240</v>
          </cell>
        </row>
        <row r="67">
          <cell r="O67">
            <v>180</v>
          </cell>
        </row>
        <row r="68">
          <cell r="C68">
            <v>150</v>
          </cell>
          <cell r="F68">
            <v>140</v>
          </cell>
          <cell r="I68">
            <v>40</v>
          </cell>
          <cell r="L68">
            <v>40</v>
          </cell>
          <cell r="O68">
            <v>50</v>
          </cell>
        </row>
        <row r="70">
          <cell r="C70">
            <v>865</v>
          </cell>
          <cell r="F70">
            <v>2300</v>
          </cell>
        </row>
        <row r="71">
          <cell r="C71">
            <v>6230</v>
          </cell>
        </row>
        <row r="73">
          <cell r="C73">
            <v>250</v>
          </cell>
          <cell r="F73">
            <v>643</v>
          </cell>
          <cell r="O73">
            <v>100</v>
          </cell>
        </row>
        <row r="77">
          <cell r="C77">
            <v>474</v>
          </cell>
          <cell r="F77">
            <v>646</v>
          </cell>
          <cell r="L77">
            <v>192</v>
          </cell>
          <cell r="O77">
            <v>250</v>
          </cell>
        </row>
        <row r="78">
          <cell r="C78">
            <v>120</v>
          </cell>
          <cell r="F78">
            <v>235</v>
          </cell>
          <cell r="O78">
            <v>1300</v>
          </cell>
        </row>
        <row r="80">
          <cell r="C80">
            <v>50</v>
          </cell>
          <cell r="F80">
            <v>50</v>
          </cell>
          <cell r="O80">
            <v>50</v>
          </cell>
        </row>
        <row r="83">
          <cell r="C83">
            <v>2387</v>
          </cell>
          <cell r="F83">
            <v>1362</v>
          </cell>
          <cell r="I83">
            <v>11</v>
          </cell>
          <cell r="L83">
            <v>63</v>
          </cell>
          <cell r="O83">
            <v>613</v>
          </cell>
        </row>
        <row r="90">
          <cell r="I90">
            <v>4498</v>
          </cell>
          <cell r="L90">
            <v>7776</v>
          </cell>
        </row>
        <row r="91">
          <cell r="I91">
            <v>4498</v>
          </cell>
          <cell r="L91">
            <v>7776</v>
          </cell>
        </row>
        <row r="92">
          <cell r="C92">
            <v>0</v>
          </cell>
          <cell r="F92">
            <v>0</v>
          </cell>
          <cell r="I92">
            <v>0</v>
          </cell>
          <cell r="L92">
            <v>0</v>
          </cell>
          <cell r="O92">
            <v>0</v>
          </cell>
        </row>
        <row r="99">
          <cell r="F99">
            <v>300</v>
          </cell>
          <cell r="O99">
            <v>50</v>
          </cell>
        </row>
        <row r="102">
          <cell r="C102">
            <v>0</v>
          </cell>
          <cell r="F102">
            <v>81</v>
          </cell>
          <cell r="O102">
            <v>14</v>
          </cell>
        </row>
      </sheetData>
      <sheetData sheetId="5">
        <row r="32">
          <cell r="C32">
            <v>11902400</v>
          </cell>
        </row>
      </sheetData>
      <sheetData sheetId="6">
        <row r="3">
          <cell r="E3">
            <v>7377415</v>
          </cell>
        </row>
      </sheetData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19">
          <cell r="N19">
            <v>12</v>
          </cell>
        </row>
      </sheetData>
      <sheetData sheetId="2">
        <row r="4">
          <cell r="E4">
            <v>29220</v>
          </cell>
        </row>
        <row r="67">
          <cell r="E67">
            <v>81</v>
          </cell>
        </row>
      </sheetData>
      <sheetData sheetId="3">
        <row r="13">
          <cell r="E13">
            <v>1300</v>
          </cell>
        </row>
      </sheetData>
      <sheetData sheetId="4">
        <row r="16">
          <cell r="E16">
            <v>3454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7"/>
  <sheetViews>
    <sheetView workbookViewId="0">
      <selection activeCell="B8" sqref="B8"/>
    </sheetView>
  </sheetViews>
  <sheetFormatPr defaultColWidth="9.140625" defaultRowHeight="12.75"/>
  <cols>
    <col min="1" max="1" width="37.7109375" style="770" customWidth="1"/>
    <col min="2" max="4" width="11.28515625" style="770" customWidth="1"/>
    <col min="5" max="5" width="8.140625" style="770" customWidth="1"/>
    <col min="6" max="6" width="37.7109375" style="770" customWidth="1"/>
    <col min="7" max="9" width="11.28515625" style="770" customWidth="1"/>
    <col min="10" max="10" width="8" style="770" customWidth="1"/>
    <col min="11" max="16384" width="9.140625" style="770"/>
  </cols>
  <sheetData>
    <row r="1" spans="1:11" ht="42.75" customHeight="1">
      <c r="A1" s="77" t="s">
        <v>46</v>
      </c>
      <c r="B1" s="78" t="s">
        <v>105</v>
      </c>
      <c r="C1" s="80" t="s">
        <v>106</v>
      </c>
      <c r="D1" s="439" t="s">
        <v>126</v>
      </c>
      <c r="E1" s="83" t="s">
        <v>414</v>
      </c>
      <c r="F1" s="440" t="s">
        <v>83</v>
      </c>
      <c r="G1" s="78" t="s">
        <v>105</v>
      </c>
      <c r="H1" s="80" t="s">
        <v>106</v>
      </c>
      <c r="I1" s="83" t="s">
        <v>126</v>
      </c>
      <c r="J1" s="83" t="s">
        <v>414</v>
      </c>
    </row>
    <row r="2" spans="1:11" ht="16.149999999999999" customHeight="1">
      <c r="A2" s="771" t="s">
        <v>107</v>
      </c>
      <c r="B2" s="772">
        <f>+'1.1.SZ.TÁBL. BEV - KIAD'!R7</f>
        <v>303104</v>
      </c>
      <c r="C2" s="772">
        <f>+'1.1.SZ.TÁBL. BEV - KIAD'!S7</f>
        <v>313533</v>
      </c>
      <c r="D2" s="773">
        <f>+'1.1.SZ.TÁBL. BEV - KIAD'!T7</f>
        <v>235468</v>
      </c>
      <c r="E2" s="526">
        <f>+D2/C2</f>
        <v>0.75101504466834434</v>
      </c>
      <c r="F2" s="774" t="s">
        <v>48</v>
      </c>
      <c r="G2" s="772">
        <f>+'1.1.SZ.TÁBL. BEV - KIAD'!R51</f>
        <v>164363</v>
      </c>
      <c r="H2" s="772">
        <f>+'1.1.SZ.TÁBL. BEV - KIAD'!S51</f>
        <v>172675</v>
      </c>
      <c r="I2" s="775">
        <f>+'1.1.SZ.TÁBL. BEV - KIAD'!T51</f>
        <v>127821</v>
      </c>
      <c r="J2" s="526">
        <f>+I2/H2</f>
        <v>0.74024033589112492</v>
      </c>
    </row>
    <row r="3" spans="1:11" ht="16.149999999999999" customHeight="1">
      <c r="A3" s="776" t="s">
        <v>109</v>
      </c>
      <c r="B3" s="777">
        <f>+'1.1.SZ.TÁBL. BEV - KIAD'!R21</f>
        <v>12345</v>
      </c>
      <c r="C3" s="777">
        <f>+'1.1.SZ.TÁBL. BEV - KIAD'!S21</f>
        <v>12804</v>
      </c>
      <c r="D3" s="778">
        <f>+'1.1.SZ.TÁBL. BEV - KIAD'!T21</f>
        <v>7626</v>
      </c>
      <c r="E3" s="527">
        <f t="shared" ref="E3:E5" si="0">+D3/C3</f>
        <v>0.59559512652296154</v>
      </c>
      <c r="F3" s="779" t="s">
        <v>108</v>
      </c>
      <c r="G3" s="780">
        <f>+'1.1.SZ.TÁBL. BEV - KIAD'!R52</f>
        <v>47244</v>
      </c>
      <c r="H3" s="780">
        <f>+'1.1.SZ.TÁBL. BEV - KIAD'!S52</f>
        <v>49581</v>
      </c>
      <c r="I3" s="781">
        <f>+'1.1.SZ.TÁBL. BEV - KIAD'!T52</f>
        <v>33259</v>
      </c>
      <c r="J3" s="527">
        <f t="shared" ref="J3:J8" si="1">+I3/H3</f>
        <v>0.67080131501986651</v>
      </c>
    </row>
    <row r="4" spans="1:11" ht="16.149999999999999" customHeight="1">
      <c r="A4" s="776" t="s">
        <v>385</v>
      </c>
      <c r="B4" s="782">
        <f>+'1.1.SZ.TÁBL. BEV - KIAD'!R24</f>
        <v>0</v>
      </c>
      <c r="C4" s="782">
        <f>+'1.1.SZ.TÁBL. BEV - KIAD'!S24</f>
        <v>0</v>
      </c>
      <c r="D4" s="783">
        <f>+'1.1.SZ.TÁBL. BEV - KIAD'!T24</f>
        <v>0</v>
      </c>
      <c r="E4" s="527"/>
      <c r="F4" s="779" t="s">
        <v>110</v>
      </c>
      <c r="G4" s="777">
        <f>+'1.1.SZ.TÁBL. BEV - KIAD'!R84</f>
        <v>81733</v>
      </c>
      <c r="H4" s="777">
        <f>+'1.1.SZ.TÁBL. BEV - KIAD'!S84</f>
        <v>83429</v>
      </c>
      <c r="I4" s="784">
        <f>+'1.1.SZ.TÁBL. BEV - KIAD'!T84</f>
        <v>53573</v>
      </c>
      <c r="J4" s="527">
        <f t="shared" si="1"/>
        <v>0.64213882462932559</v>
      </c>
    </row>
    <row r="5" spans="1:11" ht="16.149999999999999" customHeight="1">
      <c r="A5" s="776" t="s">
        <v>112</v>
      </c>
      <c r="B5" s="782">
        <f>+'1.1.SZ.TÁBL. BEV - KIAD'!R28</f>
        <v>0</v>
      </c>
      <c r="C5" s="782">
        <f>+'1.1.SZ.TÁBL. BEV - KIAD'!S28</f>
        <v>15584</v>
      </c>
      <c r="D5" s="783">
        <f>+'1.1.SZ.TÁBL. BEV - KIAD'!T28</f>
        <v>15584</v>
      </c>
      <c r="E5" s="527">
        <f t="shared" si="0"/>
        <v>1</v>
      </c>
      <c r="F5" s="608" t="s">
        <v>111</v>
      </c>
      <c r="G5" s="782"/>
      <c r="H5" s="782"/>
      <c r="I5" s="785"/>
      <c r="J5" s="527"/>
    </row>
    <row r="6" spans="1:11" ht="16.149999999999999" customHeight="1">
      <c r="A6" s="776"/>
      <c r="B6" s="782"/>
      <c r="C6" s="786"/>
      <c r="D6" s="787"/>
      <c r="E6" s="528"/>
      <c r="F6" s="779" t="s">
        <v>113</v>
      </c>
      <c r="G6" s="777">
        <f>+'1.1.SZ.TÁBL. BEV - KIAD'!R86</f>
        <v>18575</v>
      </c>
      <c r="H6" s="777">
        <f>+'1.1.SZ.TÁBL. BEV - KIAD'!S86</f>
        <v>30484</v>
      </c>
      <c r="I6" s="784">
        <f>+'1.1.SZ.TÁBL. BEV - KIAD'!T86</f>
        <v>25889</v>
      </c>
      <c r="J6" s="527">
        <f t="shared" si="1"/>
        <v>0.84926518829549924</v>
      </c>
    </row>
    <row r="7" spans="1:11" ht="16.149999999999999" customHeight="1">
      <c r="A7" s="776"/>
      <c r="B7" s="782"/>
      <c r="C7" s="786"/>
      <c r="D7" s="787"/>
      <c r="E7" s="528"/>
      <c r="F7" s="779" t="s">
        <v>427</v>
      </c>
      <c r="G7" s="777">
        <f>+'1.1.SZ.TÁBL. BEV - KIAD'!R85</f>
        <v>0</v>
      </c>
      <c r="H7" s="777">
        <f>+'1.1.SZ.TÁBL. BEV - KIAD'!S85</f>
        <v>130</v>
      </c>
      <c r="I7" s="784">
        <f>+'1.1.SZ.TÁBL. BEV - KIAD'!T85</f>
        <v>128</v>
      </c>
      <c r="J7" s="527">
        <f t="shared" si="1"/>
        <v>0.98461538461538467</v>
      </c>
    </row>
    <row r="8" spans="1:11" ht="16.149999999999999" customHeight="1">
      <c r="A8" s="776"/>
      <c r="B8" s="782"/>
      <c r="C8" s="786"/>
      <c r="D8" s="787"/>
      <c r="E8" s="528"/>
      <c r="F8" s="608" t="s">
        <v>114</v>
      </c>
      <c r="G8" s="782">
        <f>+'1.1.SZ.TÁBL. BEV - KIAD'!R89</f>
        <v>3089</v>
      </c>
      <c r="H8" s="782">
        <f>+'1.1.SZ.TÁBL. BEV - KIAD'!S89</f>
        <v>4707</v>
      </c>
      <c r="I8" s="785">
        <f>+'1.1.SZ.TÁBL. BEV - KIAD'!T89</f>
        <v>0</v>
      </c>
      <c r="J8" s="527">
        <f t="shared" si="1"/>
        <v>0</v>
      </c>
    </row>
    <row r="9" spans="1:11" ht="16.149999999999999" customHeight="1">
      <c r="A9" s="788"/>
      <c r="B9" s="789"/>
      <c r="C9" s="790"/>
      <c r="D9" s="791"/>
      <c r="E9" s="529"/>
      <c r="F9" s="792"/>
      <c r="G9" s="793"/>
      <c r="H9" s="793"/>
      <c r="I9" s="794"/>
      <c r="J9" s="529"/>
    </row>
    <row r="10" spans="1:11" ht="16.149999999999999" customHeight="1">
      <c r="A10" s="84" t="s">
        <v>122</v>
      </c>
      <c r="B10" s="85">
        <f>SUM(B2:B9)</f>
        <v>315449</v>
      </c>
      <c r="C10" s="85">
        <f t="shared" ref="C10" si="2">SUM(C2:C9)</f>
        <v>341921</v>
      </c>
      <c r="D10" s="523">
        <f>SUM(D2:D9)</f>
        <v>258678</v>
      </c>
      <c r="E10" s="530">
        <f>+D10/C10</f>
        <v>0.75654317810254412</v>
      </c>
      <c r="F10" s="441" t="s">
        <v>124</v>
      </c>
      <c r="G10" s="85">
        <f>SUM(G2:G8)</f>
        <v>315004</v>
      </c>
      <c r="H10" s="85">
        <f t="shared" ref="H10:I10" si="3">SUM(H2:H8)</f>
        <v>341006</v>
      </c>
      <c r="I10" s="482">
        <f t="shared" si="3"/>
        <v>240670</v>
      </c>
      <c r="J10" s="530">
        <f>+I10/H10</f>
        <v>0.7057647079523528</v>
      </c>
    </row>
    <row r="11" spans="1:11" ht="16.149999999999999" customHeight="1">
      <c r="A11" s="89"/>
      <c r="B11" s="90"/>
      <c r="C11" s="91"/>
      <c r="D11" s="795"/>
      <c r="E11" s="531"/>
      <c r="F11" s="442"/>
      <c r="G11" s="90"/>
      <c r="H11" s="90"/>
      <c r="I11" s="483"/>
      <c r="J11" s="531"/>
    </row>
    <row r="12" spans="1:11" ht="16.149999999999999" customHeight="1">
      <c r="A12" s="771" t="s">
        <v>115</v>
      </c>
      <c r="B12" s="772">
        <f>+'1.1.SZ.TÁBL. BEV - KIAD'!R11</f>
        <v>0</v>
      </c>
      <c r="C12" s="772">
        <f>+'1.1.SZ.TÁBL. BEV - KIAD'!S11</f>
        <v>0</v>
      </c>
      <c r="D12" s="773">
        <f>+'1.1.SZ.TÁBL. BEV - KIAD'!T11</f>
        <v>0</v>
      </c>
      <c r="E12" s="526"/>
      <c r="F12" s="774" t="s">
        <v>116</v>
      </c>
      <c r="G12" s="796">
        <f>+'1.1.SZ.TÁBL. BEV - KIAD'!R102</f>
        <v>445</v>
      </c>
      <c r="H12" s="796">
        <f>+'1.1.SZ.TÁBL. BEV - KIAD'!S102</f>
        <v>915</v>
      </c>
      <c r="I12" s="797">
        <f>+'1.1.SZ.TÁBL. BEV - KIAD'!T102</f>
        <v>485</v>
      </c>
      <c r="J12" s="527">
        <f t="shared" ref="J12" si="4">+I12/H12</f>
        <v>0.5300546448087432</v>
      </c>
      <c r="K12" s="798"/>
    </row>
    <row r="13" spans="1:11" ht="16.149999999999999" customHeight="1">
      <c r="A13" s="799" t="s">
        <v>386</v>
      </c>
      <c r="B13" s="777">
        <f>+'1.1.SZ.TÁBL. BEV - KIAD'!R26</f>
        <v>0</v>
      </c>
      <c r="C13" s="777">
        <f>+'1.1.SZ.TÁBL. BEV - KIAD'!S26</f>
        <v>0</v>
      </c>
      <c r="D13" s="778">
        <f>+'1.1.SZ.TÁBL. BEV - KIAD'!T26</f>
        <v>0</v>
      </c>
      <c r="E13" s="527"/>
      <c r="F13" s="779" t="s">
        <v>117</v>
      </c>
      <c r="G13" s="800">
        <f>+'1.1.SZ.TÁBL. BEV - KIAD'!R107</f>
        <v>0</v>
      </c>
      <c r="H13" s="800">
        <f>+'1.1.SZ.TÁBL. BEV - KIAD'!S107</f>
        <v>0</v>
      </c>
      <c r="I13" s="801">
        <f>+'1.1.SZ.TÁBL. BEV - KIAD'!T107</f>
        <v>0</v>
      </c>
      <c r="J13" s="527"/>
      <c r="K13" s="798"/>
    </row>
    <row r="14" spans="1:11" ht="16.149999999999999" customHeight="1">
      <c r="A14" s="776" t="s">
        <v>118</v>
      </c>
      <c r="B14" s="777"/>
      <c r="C14" s="802"/>
      <c r="D14" s="787"/>
      <c r="E14" s="528"/>
      <c r="F14" s="779" t="s">
        <v>119</v>
      </c>
      <c r="G14" s="800">
        <f>+'1.1.SZ.TÁBL. BEV - KIAD'!R108</f>
        <v>0</v>
      </c>
      <c r="H14" s="800">
        <f>+'1.1.SZ.TÁBL. BEV - KIAD'!S108</f>
        <v>0</v>
      </c>
      <c r="I14" s="801">
        <f>+'1.1.SZ.TÁBL. BEV - KIAD'!T108</f>
        <v>0</v>
      </c>
      <c r="J14" s="527"/>
      <c r="K14" s="798"/>
    </row>
    <row r="15" spans="1:11" ht="16.149999999999999" customHeight="1">
      <c r="A15" s="776"/>
      <c r="B15" s="782"/>
      <c r="C15" s="786"/>
      <c r="D15" s="787"/>
      <c r="E15" s="528"/>
      <c r="F15" s="779" t="s">
        <v>120</v>
      </c>
      <c r="G15" s="803"/>
      <c r="H15" s="803"/>
      <c r="I15" s="804"/>
      <c r="J15" s="528"/>
      <c r="K15" s="798"/>
    </row>
    <row r="16" spans="1:11" ht="16.149999999999999" customHeight="1">
      <c r="A16" s="805"/>
      <c r="B16" s="806"/>
      <c r="C16" s="807"/>
      <c r="D16" s="791"/>
      <c r="E16" s="529"/>
      <c r="F16" s="808"/>
      <c r="G16" s="809"/>
      <c r="H16" s="809"/>
      <c r="I16" s="810"/>
      <c r="J16" s="529"/>
    </row>
    <row r="17" spans="1:11" ht="16.149999999999999" customHeight="1" thickBot="1">
      <c r="A17" s="81" t="s">
        <v>123</v>
      </c>
      <c r="B17" s="82">
        <f>SUM(B12:B16)</f>
        <v>0</v>
      </c>
      <c r="C17" s="82">
        <f t="shared" ref="C17:D17" si="5">SUM(C12:C16)</f>
        <v>0</v>
      </c>
      <c r="D17" s="524">
        <f t="shared" si="5"/>
        <v>0</v>
      </c>
      <c r="E17" s="532"/>
      <c r="F17" s="443" t="s">
        <v>125</v>
      </c>
      <c r="G17" s="93">
        <f>SUM(G12:G16)</f>
        <v>445</v>
      </c>
      <c r="H17" s="93">
        <f t="shared" ref="H17:I17" si="6">SUM(H12:H16)</f>
        <v>915</v>
      </c>
      <c r="I17" s="484">
        <f t="shared" si="6"/>
        <v>485</v>
      </c>
      <c r="J17" s="530">
        <f>+I17/H17</f>
        <v>0.5300546448087432</v>
      </c>
    </row>
    <row r="18" spans="1:11" ht="16.149999999999999" customHeight="1" thickBot="1">
      <c r="A18" s="86" t="s">
        <v>121</v>
      </c>
      <c r="B18" s="87">
        <f>B10+B17</f>
        <v>315449</v>
      </c>
      <c r="C18" s="87">
        <f t="shared" ref="C18:D18" si="7">C10+C17</f>
        <v>341921</v>
      </c>
      <c r="D18" s="525">
        <f t="shared" si="7"/>
        <v>258678</v>
      </c>
      <c r="E18" s="533">
        <f t="shared" ref="E18" si="8">+D18/C18</f>
        <v>0.75654317810254412</v>
      </c>
      <c r="F18" s="444" t="s">
        <v>121</v>
      </c>
      <c r="G18" s="88">
        <f>G10+G17</f>
        <v>315449</v>
      </c>
      <c r="H18" s="88">
        <f t="shared" ref="H18:I18" si="9">H10+H17</f>
        <v>341921</v>
      </c>
      <c r="I18" s="485">
        <f t="shared" si="9"/>
        <v>241155</v>
      </c>
      <c r="J18" s="533">
        <f t="shared" ref="J18" si="10">+I18/H18</f>
        <v>0.70529449785184295</v>
      </c>
      <c r="K18" s="798"/>
    </row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  <row r="27" spans="1:11" ht="16.149999999999999" customHeight="1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9" scale="83" orientation="landscape" r:id="rId1"/>
  <headerFooter>
    <oddHeader>&amp;L&amp;"Times New Roman,Félkövér"&amp;13Szent László Völgye TKT&amp;C&amp;"Times New Roman,Félkövér"&amp;16
2015. I-III. NEGYEDÉVI KÖLTSÉGVETÉSI BESZÁMOLÓ&amp;R1.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J80"/>
  <sheetViews>
    <sheetView workbookViewId="0">
      <selection activeCell="D11" sqref="D11"/>
    </sheetView>
  </sheetViews>
  <sheetFormatPr defaultColWidth="9.140625" defaultRowHeight="15"/>
  <cols>
    <col min="1" max="1" width="24.28515625" style="9" bestFit="1" customWidth="1"/>
    <col min="2" max="10" width="10.28515625" style="9" customWidth="1"/>
    <col min="11" max="16384" width="9.140625" style="9"/>
  </cols>
  <sheetData>
    <row r="1" spans="1:10" s="16" customFormat="1" ht="45" customHeight="1">
      <c r="A1" s="649" t="s">
        <v>23</v>
      </c>
      <c r="B1" s="954" t="s">
        <v>428</v>
      </c>
      <c r="C1" s="955"/>
      <c r="D1" s="956"/>
      <c r="E1" s="957" t="s">
        <v>442</v>
      </c>
      <c r="F1" s="957"/>
      <c r="G1" s="954"/>
      <c r="H1" s="958" t="s">
        <v>24</v>
      </c>
      <c r="I1" s="957"/>
      <c r="J1" s="959"/>
    </row>
    <row r="2" spans="1:10" s="16" customFormat="1" ht="21.6" customHeight="1">
      <c r="A2" s="650" t="s">
        <v>505</v>
      </c>
      <c r="B2" s="754" t="s">
        <v>506</v>
      </c>
      <c r="C2" s="754" t="s">
        <v>507</v>
      </c>
      <c r="D2" s="754" t="s">
        <v>126</v>
      </c>
      <c r="E2" s="754" t="s">
        <v>506</v>
      </c>
      <c r="F2" s="754" t="s">
        <v>507</v>
      </c>
      <c r="G2" s="755" t="s">
        <v>126</v>
      </c>
      <c r="H2" s="756" t="s">
        <v>506</v>
      </c>
      <c r="I2" s="754" t="s">
        <v>507</v>
      </c>
      <c r="J2" s="757" t="s">
        <v>126</v>
      </c>
    </row>
    <row r="3" spans="1:10" s="16" customFormat="1" ht="16.5" customHeight="1">
      <c r="A3" s="651" t="s">
        <v>25</v>
      </c>
      <c r="B3" s="652"/>
      <c r="C3" s="652"/>
      <c r="D3" s="652"/>
      <c r="E3" s="652"/>
      <c r="F3" s="652"/>
      <c r="G3" s="725"/>
      <c r="H3" s="729"/>
      <c r="I3" s="652"/>
      <c r="J3" s="723"/>
    </row>
    <row r="4" spans="1:10" s="16" customFormat="1" ht="16.5" customHeight="1">
      <c r="A4" s="653" t="s">
        <v>26</v>
      </c>
      <c r="B4" s="654">
        <v>1</v>
      </c>
      <c r="C4" s="654">
        <v>1</v>
      </c>
      <c r="D4" s="654">
        <v>1</v>
      </c>
      <c r="E4" s="655"/>
      <c r="F4" s="655"/>
      <c r="G4" s="726"/>
      <c r="H4" s="758">
        <f>+B4+E4</f>
        <v>1</v>
      </c>
      <c r="I4" s="654">
        <f>+C4+F4</f>
        <v>1</v>
      </c>
      <c r="J4" s="730">
        <f>+D4+G4</f>
        <v>1</v>
      </c>
    </row>
    <row r="5" spans="1:10" s="16" customFormat="1" ht="16.5" customHeight="1">
      <c r="A5" s="653" t="s">
        <v>27</v>
      </c>
      <c r="B5" s="654">
        <v>1</v>
      </c>
      <c r="C5" s="654">
        <v>1</v>
      </c>
      <c r="D5" s="654">
        <v>1</v>
      </c>
      <c r="E5" s="655"/>
      <c r="F5" s="655"/>
      <c r="G5" s="726"/>
      <c r="H5" s="758">
        <f t="shared" ref="H5:J15" si="0">+B5+E5</f>
        <v>1</v>
      </c>
      <c r="I5" s="654">
        <f t="shared" si="0"/>
        <v>1</v>
      </c>
      <c r="J5" s="730">
        <f t="shared" si="0"/>
        <v>1</v>
      </c>
    </row>
    <row r="6" spans="1:10" s="16" customFormat="1" ht="16.5" customHeight="1">
      <c r="A6" s="653" t="s">
        <v>28</v>
      </c>
      <c r="B6" s="654">
        <v>1</v>
      </c>
      <c r="C6" s="654">
        <v>1</v>
      </c>
      <c r="D6" s="654">
        <v>1</v>
      </c>
      <c r="E6" s="655"/>
      <c r="F6" s="655"/>
      <c r="G6" s="726"/>
      <c r="H6" s="758">
        <f t="shared" si="0"/>
        <v>1</v>
      </c>
      <c r="I6" s="654">
        <f t="shared" si="0"/>
        <v>1</v>
      </c>
      <c r="J6" s="730">
        <f t="shared" si="0"/>
        <v>1</v>
      </c>
    </row>
    <row r="7" spans="1:10" s="16" customFormat="1" ht="16.5" customHeight="1">
      <c r="A7" s="653" t="s">
        <v>29</v>
      </c>
      <c r="B7" s="654">
        <v>1</v>
      </c>
      <c r="C7" s="654">
        <v>1</v>
      </c>
      <c r="D7" s="654">
        <v>1</v>
      </c>
      <c r="E7" s="655"/>
      <c r="F7" s="655"/>
      <c r="G7" s="726"/>
      <c r="H7" s="758">
        <f t="shared" si="0"/>
        <v>1</v>
      </c>
      <c r="I7" s="654">
        <f t="shared" si="0"/>
        <v>1</v>
      </c>
      <c r="J7" s="730">
        <f t="shared" si="0"/>
        <v>1</v>
      </c>
    </row>
    <row r="8" spans="1:10" s="16" customFormat="1" ht="16.5" customHeight="1">
      <c r="A8" s="653" t="s">
        <v>30</v>
      </c>
      <c r="B8" s="654">
        <v>0.5</v>
      </c>
      <c r="C8" s="654">
        <v>0.5</v>
      </c>
      <c r="D8" s="654">
        <v>0.5</v>
      </c>
      <c r="E8" s="655"/>
      <c r="F8" s="655"/>
      <c r="G8" s="726"/>
      <c r="H8" s="758">
        <f t="shared" si="0"/>
        <v>0.5</v>
      </c>
      <c r="I8" s="654">
        <f t="shared" si="0"/>
        <v>0.5</v>
      </c>
      <c r="J8" s="730">
        <f t="shared" si="0"/>
        <v>0.5</v>
      </c>
    </row>
    <row r="9" spans="1:10" s="16" customFormat="1" ht="16.5" customHeight="1">
      <c r="A9" s="653" t="s">
        <v>61</v>
      </c>
      <c r="B9" s="654">
        <v>0.5</v>
      </c>
      <c r="C9" s="654">
        <v>0.5</v>
      </c>
      <c r="D9" s="654">
        <v>0.5</v>
      </c>
      <c r="E9" s="655"/>
      <c r="F9" s="655"/>
      <c r="G9" s="726"/>
      <c r="H9" s="758">
        <f t="shared" si="0"/>
        <v>0.5</v>
      </c>
      <c r="I9" s="654">
        <f t="shared" si="0"/>
        <v>0.5</v>
      </c>
      <c r="J9" s="730">
        <f t="shared" si="0"/>
        <v>0.5</v>
      </c>
    </row>
    <row r="10" spans="1:10" s="16" customFormat="1" ht="16.5" customHeight="1">
      <c r="A10" s="653" t="s">
        <v>509</v>
      </c>
      <c r="B10" s="654">
        <v>1.5</v>
      </c>
      <c r="C10" s="654">
        <v>1.5</v>
      </c>
      <c r="D10" s="654">
        <v>1.5</v>
      </c>
      <c r="E10" s="655"/>
      <c r="F10" s="655"/>
      <c r="G10" s="726"/>
      <c r="H10" s="758">
        <f t="shared" si="0"/>
        <v>1.5</v>
      </c>
      <c r="I10" s="654">
        <f t="shared" si="0"/>
        <v>1.5</v>
      </c>
      <c r="J10" s="730">
        <f t="shared" si="0"/>
        <v>1.5</v>
      </c>
    </row>
    <row r="11" spans="1:10" s="16" customFormat="1" ht="16.5" customHeight="1">
      <c r="A11" s="653" t="s">
        <v>31</v>
      </c>
      <c r="B11" s="654">
        <v>6</v>
      </c>
      <c r="C11" s="654">
        <v>6</v>
      </c>
      <c r="D11" s="654">
        <v>6</v>
      </c>
      <c r="E11" s="655"/>
      <c r="F11" s="655"/>
      <c r="G11" s="726"/>
      <c r="H11" s="758">
        <f t="shared" si="0"/>
        <v>6</v>
      </c>
      <c r="I11" s="654">
        <f t="shared" si="0"/>
        <v>6</v>
      </c>
      <c r="J11" s="730">
        <f t="shared" si="0"/>
        <v>6</v>
      </c>
    </row>
    <row r="12" spans="1:10" s="16" customFormat="1" ht="16.5" customHeight="1">
      <c r="A12" s="653" t="s">
        <v>62</v>
      </c>
      <c r="B12" s="654">
        <v>2</v>
      </c>
      <c r="C12" s="654">
        <v>2</v>
      </c>
      <c r="D12" s="654">
        <v>1</v>
      </c>
      <c r="E12" s="655"/>
      <c r="F12" s="655"/>
      <c r="G12" s="726"/>
      <c r="H12" s="758">
        <f t="shared" si="0"/>
        <v>2</v>
      </c>
      <c r="I12" s="654">
        <f t="shared" si="0"/>
        <v>2</v>
      </c>
      <c r="J12" s="730">
        <f t="shared" si="0"/>
        <v>1</v>
      </c>
    </row>
    <row r="13" spans="1:10" s="16" customFormat="1" ht="16.5" customHeight="1">
      <c r="A13" s="653" t="s">
        <v>508</v>
      </c>
      <c r="B13" s="654">
        <v>14</v>
      </c>
      <c r="C13" s="654">
        <v>14</v>
      </c>
      <c r="D13" s="654">
        <v>12.5</v>
      </c>
      <c r="E13" s="655"/>
      <c r="F13" s="655"/>
      <c r="G13" s="726"/>
      <c r="H13" s="758">
        <f t="shared" si="0"/>
        <v>14</v>
      </c>
      <c r="I13" s="654">
        <f t="shared" si="0"/>
        <v>14</v>
      </c>
      <c r="J13" s="730">
        <f t="shared" si="0"/>
        <v>12.5</v>
      </c>
    </row>
    <row r="14" spans="1:10" s="16" customFormat="1" ht="16.5" customHeight="1">
      <c r="A14" s="653" t="s">
        <v>32</v>
      </c>
      <c r="B14" s="654">
        <v>2</v>
      </c>
      <c r="C14" s="654">
        <v>2</v>
      </c>
      <c r="D14" s="654">
        <v>1</v>
      </c>
      <c r="E14" s="655"/>
      <c r="F14" s="655"/>
      <c r="G14" s="726"/>
      <c r="H14" s="758">
        <f t="shared" si="0"/>
        <v>2</v>
      </c>
      <c r="I14" s="654">
        <f t="shared" si="0"/>
        <v>2</v>
      </c>
      <c r="J14" s="730">
        <f t="shared" si="0"/>
        <v>1</v>
      </c>
    </row>
    <row r="15" spans="1:10" s="16" customFormat="1" ht="16.5" customHeight="1">
      <c r="A15" s="732" t="s">
        <v>82</v>
      </c>
      <c r="B15" s="733">
        <v>1</v>
      </c>
      <c r="C15" s="733">
        <v>1</v>
      </c>
      <c r="D15" s="733">
        <v>1</v>
      </c>
      <c r="E15" s="734"/>
      <c r="F15" s="734"/>
      <c r="G15" s="735"/>
      <c r="H15" s="758">
        <f t="shared" si="0"/>
        <v>1</v>
      </c>
      <c r="I15" s="733">
        <f t="shared" si="0"/>
        <v>1</v>
      </c>
      <c r="J15" s="736">
        <f t="shared" si="0"/>
        <v>1</v>
      </c>
    </row>
    <row r="16" spans="1:10" s="16" customFormat="1" ht="16.5" customHeight="1">
      <c r="A16" s="741" t="s">
        <v>33</v>
      </c>
      <c r="B16" s="742">
        <f>SUM(B4:B15)</f>
        <v>31.5</v>
      </c>
      <c r="C16" s="742">
        <f t="shared" ref="C16:D16" si="1">SUM(C4:C15)</f>
        <v>31.5</v>
      </c>
      <c r="D16" s="742">
        <f t="shared" si="1"/>
        <v>28</v>
      </c>
      <c r="E16" s="742"/>
      <c r="F16" s="742"/>
      <c r="G16" s="743"/>
      <c r="H16" s="744">
        <f>SUM(H4:H15)</f>
        <v>31.5</v>
      </c>
      <c r="I16" s="742">
        <f t="shared" ref="I16" si="2">SUM(I4:I15)</f>
        <v>31.5</v>
      </c>
      <c r="J16" s="745">
        <f t="shared" ref="J16" si="3">SUM(J4:J15)</f>
        <v>28</v>
      </c>
    </row>
    <row r="17" spans="1:10" s="16" customFormat="1" ht="16.5" customHeight="1">
      <c r="A17" s="651" t="s">
        <v>341</v>
      </c>
      <c r="B17" s="737"/>
      <c r="C17" s="737"/>
      <c r="D17" s="737"/>
      <c r="E17" s="737"/>
      <c r="F17" s="737"/>
      <c r="G17" s="738"/>
      <c r="H17" s="739"/>
      <c r="I17" s="737"/>
      <c r="J17" s="740"/>
    </row>
    <row r="18" spans="1:10" ht="16.5" customHeight="1">
      <c r="A18" s="638" t="s">
        <v>26</v>
      </c>
      <c r="B18" s="656"/>
      <c r="C18" s="656"/>
      <c r="D18" s="656"/>
      <c r="E18" s="656">
        <v>1</v>
      </c>
      <c r="F18" s="656">
        <v>1</v>
      </c>
      <c r="G18" s="727">
        <v>1</v>
      </c>
      <c r="H18" s="758">
        <f t="shared" ref="H18:H24" si="4">+B18+E18</f>
        <v>1</v>
      </c>
      <c r="I18" s="654">
        <f t="shared" ref="I18:I24" si="5">+C18+F18</f>
        <v>1</v>
      </c>
      <c r="J18" s="730">
        <f t="shared" ref="J18:J24" si="6">+D18+G18</f>
        <v>1</v>
      </c>
    </row>
    <row r="19" spans="1:10" ht="16.5" customHeight="1">
      <c r="A19" s="638" t="s">
        <v>421</v>
      </c>
      <c r="B19" s="656"/>
      <c r="C19" s="656"/>
      <c r="D19" s="656"/>
      <c r="E19" s="656">
        <v>2</v>
      </c>
      <c r="F19" s="656">
        <v>2</v>
      </c>
      <c r="G19" s="727">
        <v>2</v>
      </c>
      <c r="H19" s="758">
        <f t="shared" si="4"/>
        <v>2</v>
      </c>
      <c r="I19" s="654">
        <f t="shared" si="5"/>
        <v>2</v>
      </c>
      <c r="J19" s="730">
        <f t="shared" si="6"/>
        <v>2</v>
      </c>
    </row>
    <row r="20" spans="1:10" ht="16.5" customHeight="1">
      <c r="A20" s="638" t="s">
        <v>34</v>
      </c>
      <c r="B20" s="656"/>
      <c r="C20" s="656"/>
      <c r="D20" s="656"/>
      <c r="E20" s="656">
        <v>3</v>
      </c>
      <c r="F20" s="656">
        <v>3</v>
      </c>
      <c r="G20" s="727">
        <v>3</v>
      </c>
      <c r="H20" s="758">
        <f t="shared" si="4"/>
        <v>3</v>
      </c>
      <c r="I20" s="654">
        <f t="shared" si="5"/>
        <v>3</v>
      </c>
      <c r="J20" s="730">
        <f t="shared" si="6"/>
        <v>3</v>
      </c>
    </row>
    <row r="21" spans="1:10" ht="16.5" customHeight="1">
      <c r="A21" s="638" t="s">
        <v>35</v>
      </c>
      <c r="B21" s="656"/>
      <c r="C21" s="656"/>
      <c r="D21" s="656"/>
      <c r="E21" s="656">
        <v>18</v>
      </c>
      <c r="F21" s="656">
        <v>18</v>
      </c>
      <c r="G21" s="727">
        <v>17</v>
      </c>
      <c r="H21" s="758">
        <f t="shared" si="4"/>
        <v>18</v>
      </c>
      <c r="I21" s="654">
        <f t="shared" si="5"/>
        <v>18</v>
      </c>
      <c r="J21" s="730">
        <f t="shared" si="6"/>
        <v>17</v>
      </c>
    </row>
    <row r="22" spans="1:10" ht="16.5" customHeight="1">
      <c r="A22" s="638" t="s">
        <v>340</v>
      </c>
      <c r="B22" s="656"/>
      <c r="C22" s="656"/>
      <c r="D22" s="656"/>
      <c r="E22" s="656">
        <v>12.5</v>
      </c>
      <c r="F22" s="656">
        <v>12.5</v>
      </c>
      <c r="G22" s="727">
        <v>12.5</v>
      </c>
      <c r="H22" s="758">
        <f t="shared" si="4"/>
        <v>12.5</v>
      </c>
      <c r="I22" s="654">
        <f t="shared" si="5"/>
        <v>12.5</v>
      </c>
      <c r="J22" s="730">
        <f t="shared" si="6"/>
        <v>12.5</v>
      </c>
    </row>
    <row r="23" spans="1:10" ht="16.5" customHeight="1">
      <c r="A23" s="638" t="s">
        <v>491</v>
      </c>
      <c r="B23" s="656"/>
      <c r="C23" s="656"/>
      <c r="D23" s="656"/>
      <c r="E23" s="656">
        <v>2</v>
      </c>
      <c r="F23" s="656">
        <v>2</v>
      </c>
      <c r="G23" s="727">
        <v>2</v>
      </c>
      <c r="H23" s="758">
        <f t="shared" si="4"/>
        <v>2</v>
      </c>
      <c r="I23" s="654">
        <f t="shared" si="5"/>
        <v>2</v>
      </c>
      <c r="J23" s="730">
        <f t="shared" si="6"/>
        <v>2</v>
      </c>
    </row>
    <row r="24" spans="1:10" ht="16.5" customHeight="1">
      <c r="A24" s="746" t="s">
        <v>36</v>
      </c>
      <c r="B24" s="747"/>
      <c r="C24" s="747"/>
      <c r="D24" s="747"/>
      <c r="E24" s="747">
        <v>1</v>
      </c>
      <c r="F24" s="747">
        <v>1</v>
      </c>
      <c r="G24" s="748">
        <v>1</v>
      </c>
      <c r="H24" s="759">
        <f t="shared" si="4"/>
        <v>1</v>
      </c>
      <c r="I24" s="733">
        <f t="shared" si="5"/>
        <v>1</v>
      </c>
      <c r="J24" s="736">
        <f t="shared" si="6"/>
        <v>1</v>
      </c>
    </row>
    <row r="25" spans="1:10" ht="16.5" customHeight="1" thickBot="1">
      <c r="A25" s="749" t="s">
        <v>342</v>
      </c>
      <c r="B25" s="750"/>
      <c r="C25" s="750"/>
      <c r="D25" s="750"/>
      <c r="E25" s="750">
        <f>SUM(E18:E24)</f>
        <v>39.5</v>
      </c>
      <c r="F25" s="750">
        <f t="shared" ref="F25:G25" si="7">SUM(F18:F24)</f>
        <v>39.5</v>
      </c>
      <c r="G25" s="751">
        <f t="shared" si="7"/>
        <v>38.5</v>
      </c>
      <c r="H25" s="752">
        <f>SUM(H18:H24)</f>
        <v>39.5</v>
      </c>
      <c r="I25" s="750">
        <f t="shared" ref="I25" si="8">SUM(I18:I24)</f>
        <v>39.5</v>
      </c>
      <c r="J25" s="753">
        <f t="shared" ref="J25" si="9">SUM(J18:J24)</f>
        <v>38.5</v>
      </c>
    </row>
    <row r="26" spans="1:10" ht="15.75" thickBot="1">
      <c r="A26" s="657" t="s">
        <v>37</v>
      </c>
      <c r="B26" s="658">
        <f>SUM(B16+B25)</f>
        <v>31.5</v>
      </c>
      <c r="C26" s="658">
        <f t="shared" ref="C26" si="10">SUM(C16+C25)</f>
        <v>31.5</v>
      </c>
      <c r="D26" s="658">
        <f>SUM(D16+D25)</f>
        <v>28</v>
      </c>
      <c r="E26" s="658">
        <f>SUM(E16+E25)</f>
        <v>39.5</v>
      </c>
      <c r="F26" s="658">
        <f>SUM(F16+F25)</f>
        <v>39.5</v>
      </c>
      <c r="G26" s="728">
        <f>SUM(G16+G25)</f>
        <v>38.5</v>
      </c>
      <c r="H26" s="731">
        <f>SUM(H16+H25)</f>
        <v>71</v>
      </c>
      <c r="I26" s="658">
        <f t="shared" ref="I26:J26" si="11">SUM(I16+I25)</f>
        <v>71</v>
      </c>
      <c r="J26" s="724">
        <f t="shared" si="11"/>
        <v>66.5</v>
      </c>
    </row>
    <row r="76" spans="1:9">
      <c r="A76" s="17"/>
      <c r="B76" s="17"/>
      <c r="C76" s="17"/>
      <c r="D76" s="17"/>
      <c r="E76" s="17"/>
      <c r="F76" s="722"/>
      <c r="G76" s="722"/>
      <c r="H76" s="722"/>
      <c r="I76" s="722"/>
    </row>
    <row r="77" spans="1:9">
      <c r="A77" s="18"/>
      <c r="B77" s="18"/>
      <c r="C77" s="18"/>
      <c r="D77" s="18"/>
      <c r="E77" s="18"/>
      <c r="F77" s="722"/>
      <c r="G77" s="722"/>
      <c r="H77" s="722"/>
      <c r="I77" s="722"/>
    </row>
    <row r="78" spans="1:9">
      <c r="A78" s="18"/>
      <c r="B78" s="18"/>
      <c r="C78" s="18"/>
      <c r="D78" s="18"/>
      <c r="E78" s="18"/>
      <c r="F78" s="722"/>
      <c r="G78" s="722"/>
      <c r="H78" s="722"/>
      <c r="I78" s="722"/>
    </row>
    <row r="79" spans="1:9">
      <c r="A79" s="18"/>
      <c r="B79" s="18"/>
      <c r="C79" s="18"/>
      <c r="D79" s="18"/>
      <c r="E79" s="18"/>
      <c r="F79" s="722"/>
      <c r="G79" s="722"/>
      <c r="H79" s="722"/>
      <c r="I79" s="722"/>
    </row>
    <row r="80" spans="1:9">
      <c r="A80" s="19"/>
      <c r="B80" s="19"/>
      <c r="C80" s="19"/>
      <c r="D80" s="19"/>
      <c r="E80" s="19"/>
      <c r="F80" s="722"/>
      <c r="G80" s="722"/>
      <c r="H80" s="722"/>
      <c r="I80" s="722"/>
    </row>
  </sheetData>
  <mergeCells count="3">
    <mergeCell ref="B1:D1"/>
    <mergeCell ref="E1:G1"/>
    <mergeCell ref="H1:J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scale="79" orientation="portrait" r:id="rId1"/>
  <headerFooter alignWithMargins="0">
    <oddHeader>&amp;L&amp;"Times New Roman,Félkövér"&amp;13Szent László Völgye TKT&amp;C&amp;"Times New Roman,Félkövér"&amp;14
&amp;16 2015. I-III. NEGYEDÉVI KÖLTSÉGVETÉSI BESZÁMOLÓ&amp;14
&amp;R8. sz. táblázat
LÉTSZÁMADATOK
Adatok: fő</oddHeader>
    <oddFooter>&amp;L&amp;F&amp;R&amp;P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1" sqref="D11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AF115"/>
  <sheetViews>
    <sheetView tabSelected="1" workbookViewId="0">
      <pane xSplit="2" ySplit="2" topLeftCell="Q96" activePane="bottomRight" state="frozen"/>
      <selection activeCell="D11" sqref="D11"/>
      <selection pane="topRight" activeCell="D11" sqref="D11"/>
      <selection pane="bottomLeft" activeCell="D11" sqref="D11"/>
      <selection pane="bottomRight" activeCell="T84" sqref="T84"/>
    </sheetView>
  </sheetViews>
  <sheetFormatPr defaultColWidth="8.85546875" defaultRowHeight="12.75"/>
  <cols>
    <col min="1" max="1" width="6.28515625" style="2" customWidth="1"/>
    <col min="2" max="2" width="55.7109375" style="32" customWidth="1"/>
    <col min="3" max="5" width="10.42578125" style="881" customWidth="1"/>
    <col min="6" max="6" width="8.28515625" style="881" customWidth="1"/>
    <col min="7" max="9" width="10.42578125" style="32" customWidth="1"/>
    <col min="10" max="10" width="8.28515625" style="32" customWidth="1"/>
    <col min="11" max="13" width="10.42578125" style="882" customWidth="1"/>
    <col min="14" max="16" width="10.42578125" style="33" customWidth="1"/>
    <col min="17" max="17" width="8.140625" style="33" customWidth="1"/>
    <col min="18" max="19" width="10.42578125" style="33" customWidth="1"/>
    <col min="20" max="20" width="10.42578125" style="32" customWidth="1"/>
    <col min="21" max="21" width="8.28515625" style="2" customWidth="1"/>
    <col min="22" max="22" width="10.85546875" style="490" bestFit="1" customWidth="1"/>
    <col min="23" max="16384" width="8.85546875" style="2"/>
  </cols>
  <sheetData>
    <row r="1" spans="1:22" s="235" customFormat="1" ht="45.75" customHeight="1">
      <c r="A1" s="901" t="s">
        <v>166</v>
      </c>
      <c r="B1" s="903" t="s">
        <v>191</v>
      </c>
      <c r="C1" s="888" t="s">
        <v>428</v>
      </c>
      <c r="D1" s="889"/>
      <c r="E1" s="889"/>
      <c r="F1" s="890"/>
      <c r="G1" s="891" t="s">
        <v>442</v>
      </c>
      <c r="H1" s="892"/>
      <c r="I1" s="892"/>
      <c r="J1" s="893"/>
      <c r="K1" s="885" t="s">
        <v>63</v>
      </c>
      <c r="L1" s="886"/>
      <c r="M1" s="887"/>
      <c r="N1" s="891" t="s">
        <v>443</v>
      </c>
      <c r="O1" s="892"/>
      <c r="P1" s="892"/>
      <c r="Q1" s="893"/>
      <c r="R1" s="894" t="s">
        <v>64</v>
      </c>
      <c r="S1" s="895"/>
      <c r="T1" s="895"/>
      <c r="U1" s="896"/>
      <c r="V1" s="290"/>
    </row>
    <row r="2" spans="1:22" s="812" customFormat="1" ht="29.45" customHeight="1">
      <c r="A2" s="902"/>
      <c r="B2" s="904"/>
      <c r="C2" s="100" t="s">
        <v>105</v>
      </c>
      <c r="D2" s="101" t="s">
        <v>106</v>
      </c>
      <c r="E2" s="182" t="s">
        <v>126</v>
      </c>
      <c r="F2" s="542" t="s">
        <v>414</v>
      </c>
      <c r="G2" s="100" t="s">
        <v>105</v>
      </c>
      <c r="H2" s="101" t="s">
        <v>106</v>
      </c>
      <c r="I2" s="182" t="s">
        <v>126</v>
      </c>
      <c r="J2" s="542" t="s">
        <v>414</v>
      </c>
      <c r="K2" s="100" t="s">
        <v>105</v>
      </c>
      <c r="L2" s="101" t="s">
        <v>106</v>
      </c>
      <c r="M2" s="97" t="s">
        <v>126</v>
      </c>
      <c r="N2" s="100" t="s">
        <v>105</v>
      </c>
      <c r="O2" s="101" t="s">
        <v>106</v>
      </c>
      <c r="P2" s="182" t="s">
        <v>126</v>
      </c>
      <c r="Q2" s="542" t="s">
        <v>414</v>
      </c>
      <c r="R2" s="100" t="s">
        <v>105</v>
      </c>
      <c r="S2" s="101" t="s">
        <v>106</v>
      </c>
      <c r="T2" s="182" t="s">
        <v>126</v>
      </c>
      <c r="U2" s="542" t="s">
        <v>414</v>
      </c>
      <c r="V2" s="811"/>
    </row>
    <row r="3" spans="1:22" ht="13.5" customHeight="1">
      <c r="A3" s="102" t="s">
        <v>167</v>
      </c>
      <c r="B3" s="120" t="s">
        <v>127</v>
      </c>
      <c r="C3" s="813"/>
      <c r="D3" s="814"/>
      <c r="E3" s="815"/>
      <c r="F3" s="558"/>
      <c r="G3" s="813"/>
      <c r="H3" s="814"/>
      <c r="I3" s="815"/>
      <c r="J3" s="558"/>
      <c r="K3" s="813"/>
      <c r="L3" s="814"/>
      <c r="M3" s="816"/>
      <c r="N3" s="813"/>
      <c r="O3" s="814"/>
      <c r="P3" s="815"/>
      <c r="Q3" s="558"/>
      <c r="R3" s="817">
        <f>+K3+N3</f>
        <v>0</v>
      </c>
      <c r="S3" s="818">
        <f t="shared" ref="S3:T3" si="0">+L3+O3</f>
        <v>0</v>
      </c>
      <c r="T3" s="819">
        <f t="shared" si="0"/>
        <v>0</v>
      </c>
      <c r="U3" s="558"/>
    </row>
    <row r="4" spans="1:22" ht="13.5" customHeight="1">
      <c r="A4" s="103" t="s">
        <v>168</v>
      </c>
      <c r="B4" s="121" t="s">
        <v>128</v>
      </c>
      <c r="C4" s="659"/>
      <c r="D4" s="820"/>
      <c r="E4" s="821"/>
      <c r="F4" s="561"/>
      <c r="G4" s="659">
        <f>+'4.SZ.TÁBL. ÓVODA'!R4</f>
        <v>0</v>
      </c>
      <c r="H4" s="820">
        <f>+'4.SZ.TÁBL. ÓVODA'!S4</f>
        <v>0</v>
      </c>
      <c r="I4" s="821">
        <f>+'4.SZ.TÁBL. ÓVODA'!T4</f>
        <v>0</v>
      </c>
      <c r="J4" s="561"/>
      <c r="K4" s="659">
        <f t="shared" ref="K4" si="1">+C4+G4</f>
        <v>0</v>
      </c>
      <c r="L4" s="820">
        <f t="shared" ref="L4" si="2">+D4+H4</f>
        <v>0</v>
      </c>
      <c r="M4" s="822">
        <f t="shared" ref="M4" si="3">+E4+I4</f>
        <v>0</v>
      </c>
      <c r="N4" s="813">
        <f>+SUM(N5:N6)</f>
        <v>303104</v>
      </c>
      <c r="O4" s="814">
        <f>+SUM(O5:O6)</f>
        <v>313533</v>
      </c>
      <c r="P4" s="815">
        <f t="shared" ref="P4" si="4">+SUM(P5:P6)</f>
        <v>235468</v>
      </c>
      <c r="Q4" s="558">
        <f>+P4/O4</f>
        <v>0.75101504466834434</v>
      </c>
      <c r="R4" s="813">
        <f>+SUM(R5:R6)</f>
        <v>303104</v>
      </c>
      <c r="S4" s="814">
        <f>+SUM(S5:S6)</f>
        <v>313533</v>
      </c>
      <c r="T4" s="815">
        <f>+SUM(T5:T6)</f>
        <v>235468</v>
      </c>
      <c r="U4" s="558">
        <f>+T4/S4</f>
        <v>0.75101504466834434</v>
      </c>
    </row>
    <row r="5" spans="1:22" s="202" customFormat="1" ht="13.5" customHeight="1">
      <c r="A5" s="105"/>
      <c r="B5" s="294" t="s">
        <v>129</v>
      </c>
      <c r="C5" s="823"/>
      <c r="D5" s="824"/>
      <c r="E5" s="825"/>
      <c r="F5" s="826"/>
      <c r="G5" s="659">
        <f>+'4.SZ.TÁBL. ÓVODA'!R5</f>
        <v>0</v>
      </c>
      <c r="H5" s="820">
        <f>+'4.SZ.TÁBL. ÓVODA'!S5</f>
        <v>0</v>
      </c>
      <c r="I5" s="821">
        <f>+'4.SZ.TÁBL. ÓVODA'!T5</f>
        <v>0</v>
      </c>
      <c r="J5" s="826"/>
      <c r="K5" s="659">
        <f t="shared" ref="K5:K6" si="5">+C5+G5</f>
        <v>0</v>
      </c>
      <c r="L5" s="820">
        <f t="shared" ref="L5:L6" si="6">+D5+H5</f>
        <v>0</v>
      </c>
      <c r="M5" s="822">
        <f t="shared" ref="M5:M6" si="7">+E5+I5</f>
        <v>0</v>
      </c>
      <c r="N5" s="820">
        <f>+'2.SZ.TÁBL. BEVÉTELEK'!C5</f>
        <v>29220</v>
      </c>
      <c r="O5" s="820">
        <f>+'2.SZ.TÁBL. BEVÉTELEK'!D5</f>
        <v>29220</v>
      </c>
      <c r="P5" s="821">
        <f>+'2.SZ.TÁBL. BEVÉTELEK'!E5</f>
        <v>22001</v>
      </c>
      <c r="Q5" s="558">
        <f>+P5/O5</f>
        <v>0.75294318959616702</v>
      </c>
      <c r="R5" s="827">
        <f t="shared" ref="R5:R6" si="8">+K5+N5</f>
        <v>29220</v>
      </c>
      <c r="S5" s="828">
        <f t="shared" ref="S5:S6" si="9">+L5+O5</f>
        <v>29220</v>
      </c>
      <c r="T5" s="829">
        <f t="shared" ref="T5:T6" si="10">+M5+P5</f>
        <v>22001</v>
      </c>
      <c r="U5" s="558">
        <f>+T5/S5</f>
        <v>0.75294318959616702</v>
      </c>
      <c r="V5" s="288"/>
    </row>
    <row r="6" spans="1:22" s="202" customFormat="1" ht="13.5" customHeight="1">
      <c r="A6" s="113"/>
      <c r="B6" s="295" t="s">
        <v>130</v>
      </c>
      <c r="C6" s="497"/>
      <c r="D6" s="498"/>
      <c r="E6" s="557"/>
      <c r="F6" s="830"/>
      <c r="G6" s="659">
        <f>+'4.SZ.TÁBL. ÓVODA'!R6</f>
        <v>0</v>
      </c>
      <c r="H6" s="820">
        <f>+'4.SZ.TÁBL. ÓVODA'!S6</f>
        <v>0</v>
      </c>
      <c r="I6" s="821">
        <f>+'4.SZ.TÁBL. ÓVODA'!T6</f>
        <v>0</v>
      </c>
      <c r="J6" s="830"/>
      <c r="K6" s="659">
        <f t="shared" si="5"/>
        <v>0</v>
      </c>
      <c r="L6" s="820">
        <f t="shared" si="6"/>
        <v>0</v>
      </c>
      <c r="M6" s="822">
        <f t="shared" si="7"/>
        <v>0</v>
      </c>
      <c r="N6" s="578">
        <f>+'2.SZ.TÁBL. BEVÉTELEK'!C72</f>
        <v>273884</v>
      </c>
      <c r="O6" s="578">
        <f>+'2.SZ.TÁBL. BEVÉTELEK'!D72</f>
        <v>284313</v>
      </c>
      <c r="P6" s="580">
        <f>+'2.SZ.TÁBL. BEVÉTELEK'!E72</f>
        <v>213467</v>
      </c>
      <c r="Q6" s="559">
        <f>+P6/O6</f>
        <v>0.75081688139480085</v>
      </c>
      <c r="R6" s="827">
        <f t="shared" si="8"/>
        <v>273884</v>
      </c>
      <c r="S6" s="828">
        <f t="shared" si="9"/>
        <v>284313</v>
      </c>
      <c r="T6" s="829">
        <f t="shared" si="10"/>
        <v>213467</v>
      </c>
      <c r="U6" s="559">
        <f>+T6/S6</f>
        <v>0.75081688139480085</v>
      </c>
      <c r="V6" s="288"/>
    </row>
    <row r="7" spans="1:22" s="235" customFormat="1" ht="13.5" customHeight="1">
      <c r="A7" s="95" t="s">
        <v>169</v>
      </c>
      <c r="B7" s="94" t="s">
        <v>131</v>
      </c>
      <c r="C7" s="831"/>
      <c r="D7" s="832"/>
      <c r="E7" s="833"/>
      <c r="F7" s="560"/>
      <c r="G7" s="831">
        <f>+G3+G4</f>
        <v>0</v>
      </c>
      <c r="H7" s="832">
        <f t="shared" ref="H7:I7" si="11">+H3+H4</f>
        <v>0</v>
      </c>
      <c r="I7" s="833">
        <f t="shared" si="11"/>
        <v>0</v>
      </c>
      <c r="J7" s="560"/>
      <c r="K7" s="831">
        <f>+K3+K4</f>
        <v>0</v>
      </c>
      <c r="L7" s="832">
        <f t="shared" ref="L7:M7" si="12">+L3+L4</f>
        <v>0</v>
      </c>
      <c r="M7" s="834">
        <f t="shared" si="12"/>
        <v>0</v>
      </c>
      <c r="N7" s="831">
        <f>+N3+N4</f>
        <v>303104</v>
      </c>
      <c r="O7" s="832">
        <f t="shared" ref="O7:P7" si="13">+O3+O4</f>
        <v>313533</v>
      </c>
      <c r="P7" s="833">
        <f t="shared" si="13"/>
        <v>235468</v>
      </c>
      <c r="Q7" s="560">
        <f>+P7/O7</f>
        <v>0.75101504466834434</v>
      </c>
      <c r="R7" s="831">
        <f>+R3+R4</f>
        <v>303104</v>
      </c>
      <c r="S7" s="832">
        <f t="shared" ref="S7:T7" si="14">+S3+S4</f>
        <v>313533</v>
      </c>
      <c r="T7" s="833">
        <f t="shared" si="14"/>
        <v>235468</v>
      </c>
      <c r="U7" s="560">
        <f>+T7/S7</f>
        <v>0.75101504466834434</v>
      </c>
      <c r="V7" s="290"/>
    </row>
    <row r="8" spans="1:22" ht="13.5" customHeight="1">
      <c r="A8" s="114" t="s">
        <v>170</v>
      </c>
      <c r="B8" s="122" t="s">
        <v>165</v>
      </c>
      <c r="C8" s="813"/>
      <c r="D8" s="814"/>
      <c r="E8" s="815"/>
      <c r="F8" s="558"/>
      <c r="G8" s="813"/>
      <c r="H8" s="835"/>
      <c r="I8" s="836"/>
      <c r="J8" s="837"/>
      <c r="K8" s="813"/>
      <c r="L8" s="814"/>
      <c r="M8" s="816"/>
      <c r="N8" s="150"/>
      <c r="O8" s="146"/>
      <c r="P8" s="147"/>
      <c r="Q8" s="564"/>
      <c r="R8" s="813">
        <f>+K8+N8</f>
        <v>0</v>
      </c>
      <c r="S8" s="814">
        <f t="shared" ref="S8:T8" si="15">+L8+O8</f>
        <v>0</v>
      </c>
      <c r="T8" s="815">
        <f t="shared" si="15"/>
        <v>0</v>
      </c>
      <c r="U8" s="564"/>
    </row>
    <row r="9" spans="1:22" ht="13.5" customHeight="1">
      <c r="A9" s="103" t="s">
        <v>171</v>
      </c>
      <c r="B9" s="121" t="s">
        <v>132</v>
      </c>
      <c r="C9" s="659"/>
      <c r="D9" s="820"/>
      <c r="E9" s="821"/>
      <c r="F9" s="561"/>
      <c r="G9" s="659"/>
      <c r="H9" s="838"/>
      <c r="I9" s="839"/>
      <c r="J9" s="840"/>
      <c r="K9" s="659"/>
      <c r="L9" s="820"/>
      <c r="M9" s="822"/>
      <c r="N9" s="659">
        <f>+'[3]1.1.SZ.TÁBL. BEV - KIAD'!$L9</f>
        <v>0</v>
      </c>
      <c r="O9" s="137"/>
      <c r="P9" s="140"/>
      <c r="Q9" s="564"/>
      <c r="R9" s="813">
        <f>+SUM(R10)</f>
        <v>0</v>
      </c>
      <c r="S9" s="814">
        <f t="shared" ref="S9:T9" si="16">+SUM(S10)</f>
        <v>0</v>
      </c>
      <c r="T9" s="815">
        <f t="shared" si="16"/>
        <v>0</v>
      </c>
      <c r="U9" s="564"/>
    </row>
    <row r="10" spans="1:22" s="202" customFormat="1" ht="13.5" customHeight="1">
      <c r="A10" s="113"/>
      <c r="B10" s="295" t="s">
        <v>130</v>
      </c>
      <c r="C10" s="497"/>
      <c r="D10" s="498"/>
      <c r="E10" s="557"/>
      <c r="F10" s="830"/>
      <c r="G10" s="497"/>
      <c r="H10" s="841"/>
      <c r="I10" s="842"/>
      <c r="J10" s="843"/>
      <c r="K10" s="497"/>
      <c r="L10" s="498"/>
      <c r="M10" s="499"/>
      <c r="N10" s="209"/>
      <c r="O10" s="210"/>
      <c r="P10" s="538"/>
      <c r="Q10" s="565"/>
      <c r="R10" s="827">
        <f t="shared" ref="R10" si="17">+K10+N10</f>
        <v>0</v>
      </c>
      <c r="S10" s="828">
        <f t="shared" ref="S10" si="18">+L10+O10</f>
        <v>0</v>
      </c>
      <c r="T10" s="829">
        <f t="shared" ref="T10" si="19">+M10+P10</f>
        <v>0</v>
      </c>
      <c r="U10" s="565"/>
      <c r="V10" s="288"/>
    </row>
    <row r="11" spans="1:22" s="235" customFormat="1" ht="13.5" customHeight="1">
      <c r="A11" s="95" t="s">
        <v>172</v>
      </c>
      <c r="B11" s="94" t="s">
        <v>133</v>
      </c>
      <c r="C11" s="831"/>
      <c r="D11" s="832"/>
      <c r="E11" s="833"/>
      <c r="F11" s="560"/>
      <c r="G11" s="831"/>
      <c r="H11" s="410"/>
      <c r="I11" s="411"/>
      <c r="J11" s="844"/>
      <c r="K11" s="831"/>
      <c r="L11" s="832"/>
      <c r="M11" s="834"/>
      <c r="N11" s="831">
        <f>+N8+N9</f>
        <v>0</v>
      </c>
      <c r="O11" s="832">
        <f t="shared" ref="O11:P11" si="20">+O8+O9</f>
        <v>0</v>
      </c>
      <c r="P11" s="833">
        <f t="shared" si="20"/>
        <v>0</v>
      </c>
      <c r="Q11" s="560"/>
      <c r="R11" s="831">
        <f>+R8+R9</f>
        <v>0</v>
      </c>
      <c r="S11" s="832">
        <f t="shared" ref="S11:T11" si="21">+S8+S9</f>
        <v>0</v>
      </c>
      <c r="T11" s="833">
        <f t="shared" si="21"/>
        <v>0</v>
      </c>
      <c r="U11" s="560"/>
      <c r="V11" s="290"/>
    </row>
    <row r="12" spans="1:22" ht="13.5" customHeight="1">
      <c r="A12" s="114" t="s">
        <v>173</v>
      </c>
      <c r="B12" s="122" t="s">
        <v>134</v>
      </c>
      <c r="C12" s="817">
        <f>+'3.SZ.TÁBL. SEGÍTŐ SZOLGÁLAT'!X12</f>
        <v>0</v>
      </c>
      <c r="D12" s="818">
        <f>+'3.SZ.TÁBL. SEGÍTŐ SZOLGÁLAT'!Y12</f>
        <v>0</v>
      </c>
      <c r="E12" s="819">
        <f>+'3.SZ.TÁBL. SEGÍTŐ SZOLGÁLAT'!Z12</f>
        <v>0</v>
      </c>
      <c r="F12" s="845"/>
      <c r="G12" s="817"/>
      <c r="H12" s="818"/>
      <c r="I12" s="819"/>
      <c r="J12" s="845"/>
      <c r="K12" s="817">
        <f>+C12+G12</f>
        <v>0</v>
      </c>
      <c r="L12" s="818">
        <f>+D12+H12</f>
        <v>0</v>
      </c>
      <c r="M12" s="846">
        <f>+E12+I12</f>
        <v>0</v>
      </c>
      <c r="N12" s="150"/>
      <c r="O12" s="814"/>
      <c r="P12" s="815"/>
      <c r="Q12" s="558"/>
      <c r="R12" s="813">
        <f t="shared" ref="R12:R75" si="22">+K12+N12</f>
        <v>0</v>
      </c>
      <c r="S12" s="814">
        <f t="shared" ref="S12:S20" si="23">+L12+O12</f>
        <v>0</v>
      </c>
      <c r="T12" s="815">
        <f t="shared" ref="T12:T20" si="24">+M12+P12</f>
        <v>0</v>
      </c>
      <c r="U12" s="558"/>
    </row>
    <row r="13" spans="1:22" ht="13.5" customHeight="1">
      <c r="A13" s="103" t="s">
        <v>174</v>
      </c>
      <c r="B13" s="121" t="s">
        <v>135</v>
      </c>
      <c r="C13" s="659">
        <f>+'3.SZ.TÁBL. SEGÍTŐ SZOLGÁLAT'!X13</f>
        <v>2100</v>
      </c>
      <c r="D13" s="820">
        <f>+'3.SZ.TÁBL. SEGÍTŐ SZOLGÁLAT'!Y13</f>
        <v>2586</v>
      </c>
      <c r="E13" s="821">
        <f>+'3.SZ.TÁBL. SEGÍTŐ SZOLGÁLAT'!Z13</f>
        <v>1671</v>
      </c>
      <c r="F13" s="561">
        <f>+E13/D13</f>
        <v>0.64617169373549888</v>
      </c>
      <c r="G13" s="659"/>
      <c r="H13" s="820"/>
      <c r="I13" s="821"/>
      <c r="J13" s="561"/>
      <c r="K13" s="659">
        <f t="shared" ref="K13:K20" si="25">+C13+G13</f>
        <v>2100</v>
      </c>
      <c r="L13" s="820">
        <f t="shared" ref="L13:M20" si="26">+D13+H13</f>
        <v>2586</v>
      </c>
      <c r="M13" s="822">
        <f t="shared" si="26"/>
        <v>1671</v>
      </c>
      <c r="N13" s="143"/>
      <c r="O13" s="137"/>
      <c r="P13" s="140"/>
      <c r="Q13" s="566"/>
      <c r="R13" s="659">
        <f t="shared" si="22"/>
        <v>2100</v>
      </c>
      <c r="S13" s="820">
        <f t="shared" si="23"/>
        <v>2586</v>
      </c>
      <c r="T13" s="821">
        <f t="shared" si="24"/>
        <v>1671</v>
      </c>
      <c r="U13" s="558">
        <f>+T13/S13</f>
        <v>0.64617169373549888</v>
      </c>
    </row>
    <row r="14" spans="1:22" ht="13.5" customHeight="1">
      <c r="A14" s="103" t="s">
        <v>175</v>
      </c>
      <c r="B14" s="121" t="s">
        <v>136</v>
      </c>
      <c r="C14" s="659">
        <f>+'3.SZ.TÁBL. SEGÍTŐ SZOLGÁLAT'!X14</f>
        <v>0</v>
      </c>
      <c r="D14" s="820">
        <f>+'3.SZ.TÁBL. SEGÍTŐ SZOLGÁLAT'!Y14</f>
        <v>21</v>
      </c>
      <c r="E14" s="821">
        <f>+'3.SZ.TÁBL. SEGÍTŐ SZOLGÁLAT'!Z14</f>
        <v>3</v>
      </c>
      <c r="F14" s="561">
        <f>+E14/D14</f>
        <v>0.14285714285714285</v>
      </c>
      <c r="G14" s="659"/>
      <c r="H14" s="820"/>
      <c r="I14" s="821"/>
      <c r="J14" s="561"/>
      <c r="K14" s="659">
        <f t="shared" si="25"/>
        <v>0</v>
      </c>
      <c r="L14" s="820">
        <f t="shared" si="26"/>
        <v>21</v>
      </c>
      <c r="M14" s="822">
        <f t="shared" si="26"/>
        <v>3</v>
      </c>
      <c r="N14" s="143"/>
      <c r="O14" s="820"/>
      <c r="P14" s="821"/>
      <c r="Q14" s="561"/>
      <c r="R14" s="659">
        <f t="shared" si="22"/>
        <v>0</v>
      </c>
      <c r="S14" s="820">
        <f t="shared" si="23"/>
        <v>21</v>
      </c>
      <c r="T14" s="821">
        <f t="shared" si="24"/>
        <v>3</v>
      </c>
      <c r="U14" s="558">
        <f>+T14/S14</f>
        <v>0.14285714285714285</v>
      </c>
    </row>
    <row r="15" spans="1:22" ht="13.5" customHeight="1">
      <c r="A15" s="103" t="s">
        <v>176</v>
      </c>
      <c r="B15" s="121" t="s">
        <v>137</v>
      </c>
      <c r="C15" s="659">
        <f>+'3.SZ.TÁBL. SEGÍTŐ SZOLGÁLAT'!X15</f>
        <v>0</v>
      </c>
      <c r="D15" s="820">
        <f>+'3.SZ.TÁBL. SEGÍTŐ SZOLGÁLAT'!Y15</f>
        <v>0</v>
      </c>
      <c r="E15" s="821">
        <f>+'3.SZ.TÁBL. SEGÍTŐ SZOLGÁLAT'!Z15</f>
        <v>0</v>
      </c>
      <c r="F15" s="561"/>
      <c r="G15" s="659"/>
      <c r="H15" s="820"/>
      <c r="I15" s="821"/>
      <c r="J15" s="561"/>
      <c r="K15" s="659">
        <f t="shared" si="25"/>
        <v>0</v>
      </c>
      <c r="L15" s="820">
        <f t="shared" si="26"/>
        <v>0</v>
      </c>
      <c r="M15" s="822">
        <f t="shared" si="26"/>
        <v>0</v>
      </c>
      <c r="N15" s="143"/>
      <c r="O15" s="137"/>
      <c r="P15" s="140"/>
      <c r="Q15" s="566"/>
      <c r="R15" s="659">
        <f t="shared" si="22"/>
        <v>0</v>
      </c>
      <c r="S15" s="820">
        <f t="shared" si="23"/>
        <v>0</v>
      </c>
      <c r="T15" s="821">
        <f t="shared" si="24"/>
        <v>0</v>
      </c>
      <c r="U15" s="566"/>
    </row>
    <row r="16" spans="1:22" ht="13.5" customHeight="1">
      <c r="A16" s="103" t="s">
        <v>177</v>
      </c>
      <c r="B16" s="121" t="s">
        <v>138</v>
      </c>
      <c r="C16" s="659">
        <f>+'3.SZ.TÁBL. SEGÍTŐ SZOLGÁLAT'!X16</f>
        <v>6791</v>
      </c>
      <c r="D16" s="820">
        <f>+'3.SZ.TÁBL. SEGÍTŐ SZOLGÁLAT'!Y16</f>
        <v>6726</v>
      </c>
      <c r="E16" s="821">
        <f>+'3.SZ.TÁBL. SEGÍTŐ SZOLGÁLAT'!Z16</f>
        <v>4250</v>
      </c>
      <c r="F16" s="561">
        <f>+E16/D16</f>
        <v>0.63187630092179603</v>
      </c>
      <c r="G16" s="659">
        <f>+'4.SZ.TÁBL. ÓVODA'!R16</f>
        <v>3454</v>
      </c>
      <c r="H16" s="820">
        <f>+'4.SZ.TÁBL. ÓVODA'!S16</f>
        <v>3454</v>
      </c>
      <c r="I16" s="821">
        <f>+'4.SZ.TÁBL. ÓVODA'!T16</f>
        <v>1683</v>
      </c>
      <c r="J16" s="561">
        <f>+I16/H16</f>
        <v>0.48726114649681529</v>
      </c>
      <c r="K16" s="659">
        <f t="shared" si="25"/>
        <v>10245</v>
      </c>
      <c r="L16" s="820">
        <f t="shared" si="26"/>
        <v>10180</v>
      </c>
      <c r="M16" s="822">
        <f t="shared" si="26"/>
        <v>5933</v>
      </c>
      <c r="N16" s="143"/>
      <c r="O16" s="137"/>
      <c r="P16" s="140"/>
      <c r="Q16" s="566"/>
      <c r="R16" s="659">
        <f t="shared" si="22"/>
        <v>10245</v>
      </c>
      <c r="S16" s="820">
        <f t="shared" si="23"/>
        <v>10180</v>
      </c>
      <c r="T16" s="821">
        <f t="shared" si="24"/>
        <v>5933</v>
      </c>
      <c r="U16" s="558">
        <f>+T16/S16</f>
        <v>0.58280943025540277</v>
      </c>
    </row>
    <row r="17" spans="1:22" ht="13.5" customHeight="1">
      <c r="A17" s="103" t="s">
        <v>178</v>
      </c>
      <c r="B17" s="121" t="s">
        <v>139</v>
      </c>
      <c r="C17" s="659">
        <f>+'3.SZ.TÁBL. SEGÍTŐ SZOLGÁLAT'!X17</f>
        <v>0</v>
      </c>
      <c r="D17" s="820">
        <f>+'3.SZ.TÁBL. SEGÍTŐ SZOLGÁLAT'!Y17</f>
        <v>0</v>
      </c>
      <c r="E17" s="821">
        <f>+'3.SZ.TÁBL. SEGÍTŐ SZOLGÁLAT'!Z17</f>
        <v>0</v>
      </c>
      <c r="F17" s="561"/>
      <c r="G17" s="659">
        <f>+'4.SZ.TÁBL. ÓVODA'!R17</f>
        <v>0</v>
      </c>
      <c r="H17" s="820">
        <f>+'4.SZ.TÁBL. ÓVODA'!S17</f>
        <v>0</v>
      </c>
      <c r="I17" s="821">
        <f>+'4.SZ.TÁBL. ÓVODA'!T17</f>
        <v>0</v>
      </c>
      <c r="J17" s="561"/>
      <c r="K17" s="659">
        <f t="shared" si="25"/>
        <v>0</v>
      </c>
      <c r="L17" s="820">
        <f t="shared" si="26"/>
        <v>0</v>
      </c>
      <c r="M17" s="822">
        <f t="shared" si="26"/>
        <v>0</v>
      </c>
      <c r="N17" s="143"/>
      <c r="O17" s="137"/>
      <c r="P17" s="140"/>
      <c r="Q17" s="566"/>
      <c r="R17" s="659">
        <f t="shared" si="22"/>
        <v>0</v>
      </c>
      <c r="S17" s="820">
        <f t="shared" si="23"/>
        <v>0</v>
      </c>
      <c r="T17" s="821">
        <f t="shared" si="24"/>
        <v>0</v>
      </c>
      <c r="U17" s="558"/>
    </row>
    <row r="18" spans="1:22" ht="13.5" customHeight="1">
      <c r="A18" s="103" t="s">
        <v>179</v>
      </c>
      <c r="B18" s="121" t="s">
        <v>140</v>
      </c>
      <c r="C18" s="659">
        <f>+'3.SZ.TÁBL. SEGÍTŐ SZOLGÁLAT'!X18</f>
        <v>0</v>
      </c>
      <c r="D18" s="820">
        <f>+'3.SZ.TÁBL. SEGÍTŐ SZOLGÁLAT'!Y18</f>
        <v>0</v>
      </c>
      <c r="E18" s="821">
        <f>+'3.SZ.TÁBL. SEGÍTŐ SZOLGÁLAT'!Z18</f>
        <v>0</v>
      </c>
      <c r="F18" s="561"/>
      <c r="G18" s="659">
        <f>+'4.SZ.TÁBL. ÓVODA'!R18</f>
        <v>0</v>
      </c>
      <c r="H18" s="820">
        <f>+'4.SZ.TÁBL. ÓVODA'!S18</f>
        <v>0</v>
      </c>
      <c r="I18" s="821">
        <f>+'4.SZ.TÁBL. ÓVODA'!T18</f>
        <v>0</v>
      </c>
      <c r="J18" s="561"/>
      <c r="K18" s="659">
        <f t="shared" si="25"/>
        <v>0</v>
      </c>
      <c r="L18" s="820">
        <f t="shared" si="26"/>
        <v>0</v>
      </c>
      <c r="M18" s="822">
        <f t="shared" si="26"/>
        <v>0</v>
      </c>
      <c r="N18" s="143"/>
      <c r="O18" s="137"/>
      <c r="P18" s="140"/>
      <c r="Q18" s="566"/>
      <c r="R18" s="659">
        <f t="shared" si="22"/>
        <v>0</v>
      </c>
      <c r="S18" s="820">
        <f t="shared" si="23"/>
        <v>0</v>
      </c>
      <c r="T18" s="821">
        <f t="shared" si="24"/>
        <v>0</v>
      </c>
      <c r="U18" s="558"/>
    </row>
    <row r="19" spans="1:22" ht="13.5" customHeight="1">
      <c r="A19" s="103" t="s">
        <v>180</v>
      </c>
      <c r="B19" s="121" t="s">
        <v>141</v>
      </c>
      <c r="C19" s="659">
        <f>+'3.SZ.TÁBL. SEGÍTŐ SZOLGÁLAT'!X19</f>
        <v>0</v>
      </c>
      <c r="D19" s="820">
        <f>+'3.SZ.TÁBL. SEGÍTŐ SZOLGÁLAT'!Y19</f>
        <v>1</v>
      </c>
      <c r="E19" s="821">
        <f>+'3.SZ.TÁBL. SEGÍTŐ SZOLGÁLAT'!Z19</f>
        <v>1</v>
      </c>
      <c r="F19" s="561"/>
      <c r="G19" s="659">
        <f>+'4.SZ.TÁBL. ÓVODA'!R19</f>
        <v>0</v>
      </c>
      <c r="H19" s="820">
        <f>+'4.SZ.TÁBL. ÓVODA'!S19</f>
        <v>2</v>
      </c>
      <c r="I19" s="821">
        <f>+'4.SZ.TÁBL. ÓVODA'!T19</f>
        <v>2</v>
      </c>
      <c r="J19" s="561"/>
      <c r="K19" s="659">
        <f t="shared" si="25"/>
        <v>0</v>
      </c>
      <c r="L19" s="820">
        <f t="shared" si="26"/>
        <v>3</v>
      </c>
      <c r="M19" s="822">
        <f t="shared" si="26"/>
        <v>3</v>
      </c>
      <c r="N19" s="143"/>
      <c r="O19" s="137">
        <f>+'[4]1.1.SZ.TÁBL. BEV - KIAD'!$N19</f>
        <v>12</v>
      </c>
      <c r="P19" s="140">
        <v>14</v>
      </c>
      <c r="Q19" s="559">
        <f>+P19/O19</f>
        <v>1.1666666666666667</v>
      </c>
      <c r="R19" s="659">
        <f t="shared" si="22"/>
        <v>0</v>
      </c>
      <c r="S19" s="820">
        <f t="shared" si="23"/>
        <v>15</v>
      </c>
      <c r="T19" s="821">
        <f t="shared" si="24"/>
        <v>17</v>
      </c>
      <c r="U19" s="558">
        <f t="shared" ref="U19:U20" si="27">+T19/S19</f>
        <v>1.1333333333333333</v>
      </c>
    </row>
    <row r="20" spans="1:22" ht="13.5" customHeight="1">
      <c r="A20" s="115" t="s">
        <v>181</v>
      </c>
      <c r="B20" s="123" t="s">
        <v>142</v>
      </c>
      <c r="C20" s="577">
        <f>+'3.SZ.TÁBL. SEGÍTŐ SZOLGÁLAT'!X20</f>
        <v>0</v>
      </c>
      <c r="D20" s="578">
        <f>+'3.SZ.TÁBL. SEGÍTŐ SZOLGÁLAT'!Y20</f>
        <v>0</v>
      </c>
      <c r="E20" s="580">
        <f>+'3.SZ.TÁBL. SEGÍTŐ SZOLGÁLAT'!Z20</f>
        <v>0</v>
      </c>
      <c r="F20" s="563"/>
      <c r="G20" s="659">
        <f>+'4.SZ.TÁBL. ÓVODA'!R20</f>
        <v>0</v>
      </c>
      <c r="H20" s="820">
        <f>+'4.SZ.TÁBL. ÓVODA'!S20</f>
        <v>2</v>
      </c>
      <c r="I20" s="821">
        <f>+'4.SZ.TÁBL. ÓVODA'!T20</f>
        <v>2</v>
      </c>
      <c r="J20" s="561">
        <f t="shared" ref="J20" si="28">+I20/H20</f>
        <v>1</v>
      </c>
      <c r="K20" s="577">
        <f t="shared" si="25"/>
        <v>0</v>
      </c>
      <c r="L20" s="578">
        <f t="shared" si="26"/>
        <v>2</v>
      </c>
      <c r="M20" s="579">
        <f t="shared" si="26"/>
        <v>2</v>
      </c>
      <c r="N20" s="160"/>
      <c r="O20" s="156"/>
      <c r="P20" s="157"/>
      <c r="Q20" s="567"/>
      <c r="R20" s="577">
        <f t="shared" si="22"/>
        <v>0</v>
      </c>
      <c r="S20" s="578">
        <f t="shared" si="23"/>
        <v>2</v>
      </c>
      <c r="T20" s="580">
        <f t="shared" si="24"/>
        <v>2</v>
      </c>
      <c r="U20" s="558">
        <f t="shared" si="27"/>
        <v>1</v>
      </c>
    </row>
    <row r="21" spans="1:22" s="235" customFormat="1" ht="13.5" customHeight="1">
      <c r="A21" s="95" t="s">
        <v>182</v>
      </c>
      <c r="B21" s="94" t="s">
        <v>143</v>
      </c>
      <c r="C21" s="208">
        <f>SUM(C12:C20)</f>
        <v>8891</v>
      </c>
      <c r="D21" s="212">
        <f t="shared" ref="D21:E21" si="29">SUM(D12:D20)</f>
        <v>9334</v>
      </c>
      <c r="E21" s="215">
        <f t="shared" si="29"/>
        <v>5925</v>
      </c>
      <c r="F21" s="544">
        <f>+E21/D21</f>
        <v>0.63477608742232694</v>
      </c>
      <c r="G21" s="208">
        <f>SUM(G12:G20)</f>
        <v>3454</v>
      </c>
      <c r="H21" s="212">
        <f t="shared" ref="H21" si="30">SUM(H12:H20)</f>
        <v>3458</v>
      </c>
      <c r="I21" s="215">
        <f>SUM(I12:I20)</f>
        <v>1687</v>
      </c>
      <c r="J21" s="544">
        <f>+I21/H21</f>
        <v>0.48785425101214575</v>
      </c>
      <c r="K21" s="208">
        <f>SUM(K12:K20)</f>
        <v>12345</v>
      </c>
      <c r="L21" s="212">
        <f t="shared" ref="L21:M21" si="31">SUM(L12:L20)</f>
        <v>12792</v>
      </c>
      <c r="M21" s="213">
        <f t="shared" si="31"/>
        <v>7612</v>
      </c>
      <c r="N21" s="831">
        <f>SUM(N12:N20)</f>
        <v>0</v>
      </c>
      <c r="O21" s="832">
        <f t="shared" ref="O21" si="32">SUM(O12:O20)</f>
        <v>12</v>
      </c>
      <c r="P21" s="833">
        <f t="shared" ref="P21" si="33">SUM(P12:P20)</f>
        <v>14</v>
      </c>
      <c r="Q21" s="560">
        <f>+P21/O21</f>
        <v>1.1666666666666667</v>
      </c>
      <c r="R21" s="831">
        <f>SUM(R12:R20)</f>
        <v>12345</v>
      </c>
      <c r="S21" s="832">
        <f t="shared" ref="S21:T21" si="34">SUM(S12:S20)</f>
        <v>12804</v>
      </c>
      <c r="T21" s="833">
        <f t="shared" si="34"/>
        <v>7626</v>
      </c>
      <c r="U21" s="560">
        <f>+T21/S21</f>
        <v>0.59559512652296154</v>
      </c>
      <c r="V21" s="290"/>
    </row>
    <row r="22" spans="1:22" s="235" customFormat="1" ht="13.5" customHeight="1">
      <c r="A22" s="95" t="s">
        <v>183</v>
      </c>
      <c r="B22" s="94" t="s">
        <v>144</v>
      </c>
      <c r="C22" s="208"/>
      <c r="D22" s="212"/>
      <c r="E22" s="215"/>
      <c r="F22" s="544"/>
      <c r="G22" s="208"/>
      <c r="H22" s="212"/>
      <c r="I22" s="215"/>
      <c r="J22" s="544"/>
      <c r="K22" s="208"/>
      <c r="L22" s="212"/>
      <c r="M22" s="213"/>
      <c r="N22" s="208"/>
      <c r="O22" s="212"/>
      <c r="P22" s="215"/>
      <c r="Q22" s="568"/>
      <c r="R22" s="831">
        <f t="shared" si="22"/>
        <v>0</v>
      </c>
      <c r="S22" s="832">
        <f t="shared" ref="S22:S23" si="35">+L22+O22</f>
        <v>0</v>
      </c>
      <c r="T22" s="833">
        <f t="shared" ref="T22:T23" si="36">+M22+P22</f>
        <v>0</v>
      </c>
      <c r="U22" s="568"/>
      <c r="V22" s="290"/>
    </row>
    <row r="23" spans="1:22" ht="13.5" customHeight="1">
      <c r="A23" s="116" t="s">
        <v>184</v>
      </c>
      <c r="B23" s="124" t="s">
        <v>145</v>
      </c>
      <c r="C23" s="171"/>
      <c r="D23" s="167"/>
      <c r="E23" s="168"/>
      <c r="F23" s="545"/>
      <c r="G23" s="171"/>
      <c r="H23" s="167"/>
      <c r="I23" s="168"/>
      <c r="J23" s="545"/>
      <c r="K23" s="171"/>
      <c r="L23" s="167"/>
      <c r="M23" s="172"/>
      <c r="N23" s="171"/>
      <c r="O23" s="167"/>
      <c r="P23" s="168"/>
      <c r="Q23" s="569"/>
      <c r="R23" s="847">
        <f t="shared" si="22"/>
        <v>0</v>
      </c>
      <c r="S23" s="848">
        <f t="shared" si="35"/>
        <v>0</v>
      </c>
      <c r="T23" s="849">
        <f t="shared" si="36"/>
        <v>0</v>
      </c>
      <c r="U23" s="569"/>
    </row>
    <row r="24" spans="1:22" s="235" customFormat="1" ht="13.5" customHeight="1">
      <c r="A24" s="95" t="s">
        <v>185</v>
      </c>
      <c r="B24" s="94" t="s">
        <v>304</v>
      </c>
      <c r="C24" s="208">
        <f>+C23</f>
        <v>0</v>
      </c>
      <c r="D24" s="212">
        <f t="shared" ref="D24:E24" si="37">+D23</f>
        <v>0</v>
      </c>
      <c r="E24" s="215">
        <f t="shared" si="37"/>
        <v>0</v>
      </c>
      <c r="F24" s="544"/>
      <c r="G24" s="208">
        <f>+G23</f>
        <v>0</v>
      </c>
      <c r="H24" s="212">
        <f t="shared" ref="H24:I24" si="38">+H23</f>
        <v>0</v>
      </c>
      <c r="I24" s="215">
        <f t="shared" si="38"/>
        <v>0</v>
      </c>
      <c r="J24" s="544"/>
      <c r="K24" s="208">
        <f>+K23</f>
        <v>0</v>
      </c>
      <c r="L24" s="212">
        <f t="shared" ref="L24:M24" si="39">+L23</f>
        <v>0</v>
      </c>
      <c r="M24" s="213">
        <f t="shared" si="39"/>
        <v>0</v>
      </c>
      <c r="N24" s="831">
        <f>+N23</f>
        <v>0</v>
      </c>
      <c r="O24" s="832">
        <f t="shared" ref="O24" si="40">+O23</f>
        <v>0</v>
      </c>
      <c r="P24" s="833">
        <f t="shared" ref="P24" si="41">+P23</f>
        <v>0</v>
      </c>
      <c r="Q24" s="560"/>
      <c r="R24" s="831">
        <f>+R23</f>
        <v>0</v>
      </c>
      <c r="S24" s="832">
        <f t="shared" ref="S24:T24" si="42">+S23</f>
        <v>0</v>
      </c>
      <c r="T24" s="833">
        <f t="shared" si="42"/>
        <v>0</v>
      </c>
      <c r="U24" s="560"/>
      <c r="V24" s="290"/>
    </row>
    <row r="25" spans="1:22" ht="13.5" customHeight="1">
      <c r="A25" s="116" t="s">
        <v>186</v>
      </c>
      <c r="B25" s="124" t="s">
        <v>146</v>
      </c>
      <c r="C25" s="171"/>
      <c r="D25" s="167"/>
      <c r="E25" s="168"/>
      <c r="F25" s="545"/>
      <c r="G25" s="171"/>
      <c r="H25" s="167"/>
      <c r="I25" s="168"/>
      <c r="J25" s="545"/>
      <c r="K25" s="171"/>
      <c r="L25" s="167"/>
      <c r="M25" s="172"/>
      <c r="N25" s="171"/>
      <c r="O25" s="167"/>
      <c r="P25" s="168"/>
      <c r="Q25" s="569"/>
      <c r="R25" s="847">
        <f t="shared" si="22"/>
        <v>0</v>
      </c>
      <c r="S25" s="848">
        <f t="shared" ref="S25" si="43">+L25+O25</f>
        <v>0</v>
      </c>
      <c r="T25" s="849">
        <f t="shared" ref="T25" si="44">+M25+P25</f>
        <v>0</v>
      </c>
      <c r="U25" s="569"/>
    </row>
    <row r="26" spans="1:22" s="235" customFormat="1" ht="13.5" customHeight="1">
      <c r="A26" s="95" t="s">
        <v>187</v>
      </c>
      <c r="B26" s="94" t="s">
        <v>305</v>
      </c>
      <c r="C26" s="208">
        <f>+C25</f>
        <v>0</v>
      </c>
      <c r="D26" s="212">
        <f t="shared" ref="D26:E26" si="45">+D25</f>
        <v>0</v>
      </c>
      <c r="E26" s="215">
        <f t="shared" si="45"/>
        <v>0</v>
      </c>
      <c r="F26" s="544"/>
      <c r="G26" s="208">
        <f>+G25</f>
        <v>0</v>
      </c>
      <c r="H26" s="212">
        <f t="shared" ref="H26:I26" si="46">+H25</f>
        <v>0</v>
      </c>
      <c r="I26" s="215">
        <f t="shared" si="46"/>
        <v>0</v>
      </c>
      <c r="J26" s="544"/>
      <c r="K26" s="208">
        <f>+K25</f>
        <v>0</v>
      </c>
      <c r="L26" s="212">
        <f t="shared" ref="L26:M26" si="47">+L25</f>
        <v>0</v>
      </c>
      <c r="M26" s="213">
        <f t="shared" si="47"/>
        <v>0</v>
      </c>
      <c r="N26" s="208">
        <f>+N25</f>
        <v>0</v>
      </c>
      <c r="O26" s="212"/>
      <c r="P26" s="215"/>
      <c r="Q26" s="568"/>
      <c r="R26" s="831">
        <f>+R25</f>
        <v>0</v>
      </c>
      <c r="S26" s="832">
        <f t="shared" ref="S26:T26" si="48">+S25</f>
        <v>0</v>
      </c>
      <c r="T26" s="833">
        <f t="shared" si="48"/>
        <v>0</v>
      </c>
      <c r="U26" s="568"/>
      <c r="V26" s="290"/>
    </row>
    <row r="27" spans="1:22" s="235" customFormat="1" ht="13.5" customHeight="1">
      <c r="A27" s="95" t="s">
        <v>188</v>
      </c>
      <c r="B27" s="94" t="s">
        <v>147</v>
      </c>
      <c r="C27" s="208">
        <f>+C7+C11+C21+C22+C24+C26</f>
        <v>8891</v>
      </c>
      <c r="D27" s="212">
        <f t="shared" ref="D27:E27" si="49">+D7+D11+D21+D22+D24+D26</f>
        <v>9334</v>
      </c>
      <c r="E27" s="215">
        <f t="shared" si="49"/>
        <v>5925</v>
      </c>
      <c r="F27" s="544">
        <f t="shared" ref="F27:F32" si="50">+E27/D27</f>
        <v>0.63477608742232694</v>
      </c>
      <c r="G27" s="208">
        <f>+G7+G11+G21+G22+G24+G26</f>
        <v>3454</v>
      </c>
      <c r="H27" s="212">
        <f t="shared" ref="H27" si="51">+H7+H11+H21+H22+H24+H26</f>
        <v>3458</v>
      </c>
      <c r="I27" s="215">
        <f>+I7+I11+I21+I22+I24+I26</f>
        <v>1687</v>
      </c>
      <c r="J27" s="544">
        <f t="shared" ref="J27:J32" si="52">+I27/H27</f>
        <v>0.48785425101214575</v>
      </c>
      <c r="K27" s="208">
        <f>+K7+K11+K21+K22+K24+K26</f>
        <v>12345</v>
      </c>
      <c r="L27" s="212">
        <f t="shared" ref="L27:M27" si="53">+L7+L11+L21+L22+L24+L26</f>
        <v>12792</v>
      </c>
      <c r="M27" s="213">
        <f t="shared" si="53"/>
        <v>7612</v>
      </c>
      <c r="N27" s="831">
        <f>+N7+N11+N21+N22+N24+N26</f>
        <v>303104</v>
      </c>
      <c r="O27" s="832">
        <f>+O7+O11+O21+O22+O24+O26</f>
        <v>313545</v>
      </c>
      <c r="P27" s="833">
        <f t="shared" ref="P27" si="54">+P7+P11+P21+P22+P24+P26</f>
        <v>235482</v>
      </c>
      <c r="Q27" s="560">
        <f>+P27/O27</f>
        <v>0.75103095249485718</v>
      </c>
      <c r="R27" s="831">
        <f>+R7+R11+R21+R22+R24+R26</f>
        <v>315449</v>
      </c>
      <c r="S27" s="832">
        <f t="shared" ref="S27:T27" si="55">+S7+S11+S21+S22+S24+S26</f>
        <v>326337</v>
      </c>
      <c r="T27" s="833">
        <f t="shared" si="55"/>
        <v>243094</v>
      </c>
      <c r="U27" s="560">
        <f>+T27/S27</f>
        <v>0.74491706426179072</v>
      </c>
      <c r="V27" s="290"/>
    </row>
    <row r="28" spans="1:22" s="235" customFormat="1" ht="13.5" customHeight="1">
      <c r="A28" s="96" t="s">
        <v>189</v>
      </c>
      <c r="B28" s="94" t="s">
        <v>148</v>
      </c>
      <c r="C28" s="208">
        <f>+'3.SZ.TÁBL. SEGÍTŐ SZOLGÁLAT'!X28</f>
        <v>0</v>
      </c>
      <c r="D28" s="212">
        <f>+'3.SZ.TÁBL. SEGÍTŐ SZOLGÁLAT'!Y28</f>
        <v>345</v>
      </c>
      <c r="E28" s="215">
        <f>+'3.SZ.TÁBL. SEGÍTŐ SZOLGÁLAT'!Z28</f>
        <v>345</v>
      </c>
      <c r="F28" s="544">
        <f t="shared" si="50"/>
        <v>1</v>
      </c>
      <c r="G28" s="208">
        <f>+'4.SZ.TÁBL. ÓVODA'!R28</f>
        <v>0</v>
      </c>
      <c r="H28" s="212">
        <f>+'4.SZ.TÁBL. ÓVODA'!S28</f>
        <v>232</v>
      </c>
      <c r="I28" s="215">
        <f>+'4.SZ.TÁBL. ÓVODA'!T28</f>
        <v>232</v>
      </c>
      <c r="J28" s="544">
        <f t="shared" si="52"/>
        <v>1</v>
      </c>
      <c r="K28" s="831">
        <f t="shared" ref="K28:M29" si="56">+C28+G28</f>
        <v>0</v>
      </c>
      <c r="L28" s="832">
        <f t="shared" si="56"/>
        <v>577</v>
      </c>
      <c r="M28" s="834">
        <f t="shared" si="56"/>
        <v>577</v>
      </c>
      <c r="N28" s="208"/>
      <c r="O28" s="850">
        <f>+'[4]1.1.SZ.TÁBL. BEV - KIAD'!$N28</f>
        <v>15007</v>
      </c>
      <c r="P28" s="215">
        <v>15007</v>
      </c>
      <c r="Q28" s="560">
        <f>+P28/O28</f>
        <v>1</v>
      </c>
      <c r="R28" s="831">
        <f t="shared" si="22"/>
        <v>0</v>
      </c>
      <c r="S28" s="832">
        <f t="shared" ref="S28" si="57">+L28+O28</f>
        <v>15584</v>
      </c>
      <c r="T28" s="833">
        <f t="shared" ref="T28" si="58">+M28+P28</f>
        <v>15584</v>
      </c>
      <c r="U28" s="560">
        <f>+T28/S28</f>
        <v>1</v>
      </c>
      <c r="V28" s="290"/>
    </row>
    <row r="29" spans="1:22" s="235" customFormat="1" ht="13.5" customHeight="1">
      <c r="A29" s="356" t="s">
        <v>302</v>
      </c>
      <c r="B29" s="357" t="s">
        <v>303</v>
      </c>
      <c r="C29" s="358">
        <f>+'3.SZ.TÁBL. SEGÍTŐ SZOLGÁLAT'!X29</f>
        <v>82753</v>
      </c>
      <c r="D29" s="486">
        <f>+'3.SZ.TÁBL. SEGÍTŐ SZOLGÁLAT'!Y29</f>
        <v>92264</v>
      </c>
      <c r="E29" s="535">
        <f>+'3.SZ.TÁBL. SEGÍTŐ SZOLGÁLAT'!Z29</f>
        <v>67320</v>
      </c>
      <c r="F29" s="546">
        <f t="shared" si="50"/>
        <v>0.72964536547299053</v>
      </c>
      <c r="G29" s="358">
        <f>+'4.SZ.TÁBL. ÓVODA'!R29</f>
        <v>167951</v>
      </c>
      <c r="H29" s="486">
        <f>+'4.SZ.TÁBL. ÓVODA'!S29</f>
        <v>169756</v>
      </c>
      <c r="I29" s="535">
        <f>+'4.SZ.TÁBL. ÓVODA'!T29</f>
        <v>129527</v>
      </c>
      <c r="J29" s="546">
        <f t="shared" si="52"/>
        <v>0.76301868564292274</v>
      </c>
      <c r="K29" s="851">
        <f t="shared" si="56"/>
        <v>250704</v>
      </c>
      <c r="L29" s="852">
        <f t="shared" si="56"/>
        <v>262020</v>
      </c>
      <c r="M29" s="853">
        <f t="shared" si="56"/>
        <v>196847</v>
      </c>
      <c r="N29" s="358"/>
      <c r="O29" s="486"/>
      <c r="P29" s="535"/>
      <c r="Q29" s="570"/>
      <c r="R29" s="851"/>
      <c r="S29" s="852"/>
      <c r="T29" s="854"/>
      <c r="U29" s="570"/>
      <c r="V29" s="290"/>
    </row>
    <row r="30" spans="1:22" s="235" customFormat="1" ht="13.5" customHeight="1" thickBot="1">
      <c r="A30" s="98" t="s">
        <v>190</v>
      </c>
      <c r="B30" s="125" t="s">
        <v>149</v>
      </c>
      <c r="C30" s="855">
        <f>SUM(C28:C29)</f>
        <v>82753</v>
      </c>
      <c r="D30" s="856">
        <f t="shared" ref="D30:E30" si="59">SUM(D28:D29)</f>
        <v>92609</v>
      </c>
      <c r="E30" s="857">
        <f t="shared" si="59"/>
        <v>67665</v>
      </c>
      <c r="F30" s="858">
        <f t="shared" si="50"/>
        <v>0.73065252837197248</v>
      </c>
      <c r="G30" s="855">
        <f>SUM(G28:G29)</f>
        <v>167951</v>
      </c>
      <c r="H30" s="856">
        <f t="shared" ref="H30:I30" si="60">SUM(H28:H29)</f>
        <v>169988</v>
      </c>
      <c r="I30" s="857">
        <f t="shared" si="60"/>
        <v>129759</v>
      </c>
      <c r="J30" s="858">
        <f t="shared" si="52"/>
        <v>0.7633421182671718</v>
      </c>
      <c r="K30" s="855">
        <f>SUM(K28:K29)</f>
        <v>250704</v>
      </c>
      <c r="L30" s="856">
        <f t="shared" ref="L30:T30" si="61">SUM(L28:L29)</f>
        <v>262597</v>
      </c>
      <c r="M30" s="859">
        <f t="shared" si="61"/>
        <v>197424</v>
      </c>
      <c r="N30" s="855">
        <f>SUM(N28:N29)</f>
        <v>0</v>
      </c>
      <c r="O30" s="856">
        <f t="shared" si="61"/>
        <v>15007</v>
      </c>
      <c r="P30" s="857">
        <f t="shared" si="61"/>
        <v>15007</v>
      </c>
      <c r="Q30" s="560">
        <f>+P30/O30</f>
        <v>1</v>
      </c>
      <c r="R30" s="855">
        <f>SUM(R28:R29)</f>
        <v>0</v>
      </c>
      <c r="S30" s="856">
        <f t="shared" si="61"/>
        <v>15584</v>
      </c>
      <c r="T30" s="857">
        <f t="shared" si="61"/>
        <v>15584</v>
      </c>
      <c r="U30" s="560">
        <f>+T30/S30</f>
        <v>1</v>
      </c>
      <c r="V30" s="290"/>
    </row>
    <row r="31" spans="1:22" s="235" customFormat="1" ht="13.5" customHeight="1" thickBot="1">
      <c r="A31" s="899" t="s">
        <v>0</v>
      </c>
      <c r="B31" s="900"/>
      <c r="C31" s="860">
        <f>+C27+C30</f>
        <v>91644</v>
      </c>
      <c r="D31" s="861">
        <f t="shared" ref="D31:E31" si="62">+D27+D30</f>
        <v>101943</v>
      </c>
      <c r="E31" s="862">
        <f t="shared" si="62"/>
        <v>73590</v>
      </c>
      <c r="F31" s="562">
        <f t="shared" si="50"/>
        <v>0.72187398840528527</v>
      </c>
      <c r="G31" s="860">
        <f>+G27+G30</f>
        <v>171405</v>
      </c>
      <c r="H31" s="861">
        <f t="shared" ref="H31:I31" si="63">+H27+H30</f>
        <v>173446</v>
      </c>
      <c r="I31" s="862">
        <f t="shared" si="63"/>
        <v>131446</v>
      </c>
      <c r="J31" s="562">
        <f t="shared" si="52"/>
        <v>0.75784970538380825</v>
      </c>
      <c r="K31" s="860">
        <f>+K27+K30</f>
        <v>263049</v>
      </c>
      <c r="L31" s="861">
        <f t="shared" ref="L31:M31" si="64">+L27+L30</f>
        <v>275389</v>
      </c>
      <c r="M31" s="863">
        <f t="shared" si="64"/>
        <v>205036</v>
      </c>
      <c r="N31" s="860">
        <f>+N27+N30</f>
        <v>303104</v>
      </c>
      <c r="O31" s="861">
        <f>+O27+O30</f>
        <v>328552</v>
      </c>
      <c r="P31" s="862">
        <f t="shared" ref="P31" si="65">+P27+P30</f>
        <v>250489</v>
      </c>
      <c r="Q31" s="562">
        <f>+P31/O31</f>
        <v>0.76240290730234483</v>
      </c>
      <c r="R31" s="860">
        <f>+R27+R30</f>
        <v>315449</v>
      </c>
      <c r="S31" s="861">
        <f t="shared" ref="S31:T31" si="66">+S27+S30</f>
        <v>341921</v>
      </c>
      <c r="T31" s="862">
        <f t="shared" si="66"/>
        <v>258678</v>
      </c>
      <c r="U31" s="562">
        <f>+T31/S31</f>
        <v>0.75654317810254412</v>
      </c>
      <c r="V31" s="290"/>
    </row>
    <row r="32" spans="1:22" ht="13.5" customHeight="1">
      <c r="A32" s="129" t="s">
        <v>208</v>
      </c>
      <c r="B32" s="117" t="s">
        <v>209</v>
      </c>
      <c r="C32" s="150">
        <f>+'3.SZ.TÁBL. SEGÍTŐ SZOLGÁLAT'!X42</f>
        <v>52119</v>
      </c>
      <c r="D32" s="146">
        <f>+'3.SZ.TÁBL. SEGÍTŐ SZOLGÁLAT'!Y42</f>
        <v>56404</v>
      </c>
      <c r="E32" s="147">
        <f>+'3.SZ.TÁBL. SEGÍTŐ SZOLGÁLAT'!Z42</f>
        <v>42904</v>
      </c>
      <c r="F32" s="547">
        <f t="shared" si="50"/>
        <v>0.76065527267569677</v>
      </c>
      <c r="G32" s="150">
        <f>+'4.SZ.TÁBL. ÓVODA'!R38</f>
        <v>99797</v>
      </c>
      <c r="H32" s="146">
        <f>+'4.SZ.TÁBL. ÓVODA'!S38</f>
        <v>98187</v>
      </c>
      <c r="I32" s="147">
        <f>+'4.SZ.TÁBL. ÓVODA'!T38</f>
        <v>73188</v>
      </c>
      <c r="J32" s="547">
        <f t="shared" si="52"/>
        <v>0.74539399309480892</v>
      </c>
      <c r="K32" s="813">
        <f t="shared" ref="K32:K45" si="67">+C32+G32</f>
        <v>151916</v>
      </c>
      <c r="L32" s="814">
        <f t="shared" ref="L32:L45" si="68">+D32+H32</f>
        <v>154591</v>
      </c>
      <c r="M32" s="816">
        <f t="shared" ref="M32:M45" si="69">+E32+I32</f>
        <v>116092</v>
      </c>
      <c r="N32" s="150"/>
      <c r="O32" s="146"/>
      <c r="P32" s="147"/>
      <c r="Q32" s="564"/>
      <c r="R32" s="813">
        <f t="shared" si="22"/>
        <v>151916</v>
      </c>
      <c r="S32" s="814">
        <f t="shared" ref="S32:S45" si="70">+L32+O32</f>
        <v>154591</v>
      </c>
      <c r="T32" s="815">
        <f t="shared" ref="T32:T45" si="71">+M32+P32</f>
        <v>116092</v>
      </c>
      <c r="U32" s="564">
        <f>+T32/S32</f>
        <v>0.75096221642915828</v>
      </c>
    </row>
    <row r="33" spans="1:22" ht="13.5" customHeight="1">
      <c r="A33" s="130" t="s">
        <v>210</v>
      </c>
      <c r="B33" s="106" t="s">
        <v>211</v>
      </c>
      <c r="C33" s="143">
        <f>+'3.SZ.TÁBL. SEGÍTŐ SZOLGÁLAT'!X43</f>
        <v>0</v>
      </c>
      <c r="D33" s="137">
        <f>+'3.SZ.TÁBL. SEGÍTŐ SZOLGÁLAT'!Y43</f>
        <v>0</v>
      </c>
      <c r="E33" s="140">
        <f>+'3.SZ.TÁBL. SEGÍTŐ SZOLGÁLAT'!Z43</f>
        <v>0</v>
      </c>
      <c r="F33" s="548"/>
      <c r="G33" s="143">
        <f>+'4.SZ.TÁBL. ÓVODA'!R39</f>
        <v>0</v>
      </c>
      <c r="H33" s="137">
        <f>+'4.SZ.TÁBL. ÓVODA'!S39</f>
        <v>0</v>
      </c>
      <c r="I33" s="140">
        <f>+'4.SZ.TÁBL. ÓVODA'!T39</f>
        <v>0</v>
      </c>
      <c r="J33" s="548"/>
      <c r="K33" s="659">
        <f t="shared" si="67"/>
        <v>0</v>
      </c>
      <c r="L33" s="820">
        <f t="shared" si="68"/>
        <v>0</v>
      </c>
      <c r="M33" s="822">
        <f t="shared" si="69"/>
        <v>0</v>
      </c>
      <c r="N33" s="143"/>
      <c r="O33" s="137"/>
      <c r="P33" s="140"/>
      <c r="Q33" s="566"/>
      <c r="R33" s="659">
        <f t="shared" si="22"/>
        <v>0</v>
      </c>
      <c r="S33" s="820">
        <f t="shared" si="70"/>
        <v>0</v>
      </c>
      <c r="T33" s="821">
        <f t="shared" si="71"/>
        <v>0</v>
      </c>
      <c r="U33" s="566"/>
    </row>
    <row r="34" spans="1:22" ht="13.5" customHeight="1">
      <c r="A34" s="130" t="s">
        <v>212</v>
      </c>
      <c r="B34" s="106" t="s">
        <v>213</v>
      </c>
      <c r="C34" s="143">
        <f>+'3.SZ.TÁBL. SEGÍTŐ SZOLGÁLAT'!X44</f>
        <v>0</v>
      </c>
      <c r="D34" s="137">
        <f>+'3.SZ.TÁBL. SEGÍTŐ SZOLGÁLAT'!Y44</f>
        <v>0</v>
      </c>
      <c r="E34" s="140">
        <f>+'3.SZ.TÁBL. SEGÍTŐ SZOLGÁLAT'!Z44</f>
        <v>0</v>
      </c>
      <c r="F34" s="548"/>
      <c r="G34" s="143">
        <f>+'4.SZ.TÁBL. ÓVODA'!R40</f>
        <v>0</v>
      </c>
      <c r="H34" s="137">
        <f>+'4.SZ.TÁBL. ÓVODA'!S40</f>
        <v>0</v>
      </c>
      <c r="I34" s="140">
        <f>+'4.SZ.TÁBL. ÓVODA'!T40</f>
        <v>0</v>
      </c>
      <c r="J34" s="548"/>
      <c r="K34" s="659">
        <f t="shared" si="67"/>
        <v>0</v>
      </c>
      <c r="L34" s="820">
        <f t="shared" si="68"/>
        <v>0</v>
      </c>
      <c r="M34" s="822">
        <f t="shared" si="69"/>
        <v>0</v>
      </c>
      <c r="N34" s="143"/>
      <c r="O34" s="137"/>
      <c r="P34" s="140"/>
      <c r="Q34" s="566"/>
      <c r="R34" s="659">
        <f t="shared" si="22"/>
        <v>0</v>
      </c>
      <c r="S34" s="820">
        <f t="shared" si="70"/>
        <v>0</v>
      </c>
      <c r="T34" s="821">
        <f t="shared" si="71"/>
        <v>0</v>
      </c>
      <c r="U34" s="566"/>
    </row>
    <row r="35" spans="1:22" ht="13.5" customHeight="1">
      <c r="A35" s="130" t="s">
        <v>214</v>
      </c>
      <c r="B35" s="106" t="s">
        <v>215</v>
      </c>
      <c r="C35" s="143">
        <f>+'3.SZ.TÁBL. SEGÍTŐ SZOLGÁLAT'!X45</f>
        <v>287</v>
      </c>
      <c r="D35" s="137">
        <f>+'3.SZ.TÁBL. SEGÍTŐ SZOLGÁLAT'!Y45</f>
        <v>293</v>
      </c>
      <c r="E35" s="140">
        <f>+'3.SZ.TÁBL. SEGÍTŐ SZOLGÁLAT'!Z45</f>
        <v>40</v>
      </c>
      <c r="F35" s="548">
        <f>+E35/D35</f>
        <v>0.13651877133105803</v>
      </c>
      <c r="G35" s="143">
        <f>+'4.SZ.TÁBL. ÓVODA'!R41</f>
        <v>1966</v>
      </c>
      <c r="H35" s="137">
        <f>+'4.SZ.TÁBL. ÓVODA'!S41</f>
        <v>2658</v>
      </c>
      <c r="I35" s="140">
        <f>+'4.SZ.TÁBL. ÓVODA'!T41</f>
        <v>2062</v>
      </c>
      <c r="J35" s="548">
        <f>+I35/H35</f>
        <v>0.77577125658389767</v>
      </c>
      <c r="K35" s="659">
        <f t="shared" si="67"/>
        <v>2253</v>
      </c>
      <c r="L35" s="820">
        <f t="shared" si="68"/>
        <v>2951</v>
      </c>
      <c r="M35" s="822">
        <f t="shared" si="69"/>
        <v>2102</v>
      </c>
      <c r="N35" s="143"/>
      <c r="O35" s="137"/>
      <c r="P35" s="140"/>
      <c r="Q35" s="566"/>
      <c r="R35" s="659">
        <f t="shared" si="22"/>
        <v>2253</v>
      </c>
      <c r="S35" s="820">
        <f t="shared" si="70"/>
        <v>2951</v>
      </c>
      <c r="T35" s="821">
        <f t="shared" si="71"/>
        <v>2102</v>
      </c>
      <c r="U35" s="566">
        <f>+T35/S35</f>
        <v>0.71230091494408676</v>
      </c>
    </row>
    <row r="36" spans="1:22" ht="13.5" customHeight="1">
      <c r="A36" s="130" t="s">
        <v>216</v>
      </c>
      <c r="B36" s="106" t="s">
        <v>217</v>
      </c>
      <c r="C36" s="143">
        <f>+'3.SZ.TÁBL. SEGÍTŐ SZOLGÁLAT'!X46</f>
        <v>0</v>
      </c>
      <c r="D36" s="137">
        <f>+'3.SZ.TÁBL. SEGÍTŐ SZOLGÁLAT'!Y46</f>
        <v>0</v>
      </c>
      <c r="E36" s="140">
        <f>+'3.SZ.TÁBL. SEGÍTŐ SZOLGÁLAT'!Z46</f>
        <v>0</v>
      </c>
      <c r="F36" s="548"/>
      <c r="G36" s="143">
        <f>+'4.SZ.TÁBL. ÓVODA'!R42</f>
        <v>0</v>
      </c>
      <c r="H36" s="137">
        <f>+'4.SZ.TÁBL. ÓVODA'!S42</f>
        <v>0</v>
      </c>
      <c r="I36" s="140">
        <f>+'4.SZ.TÁBL. ÓVODA'!T42</f>
        <v>0</v>
      </c>
      <c r="J36" s="548"/>
      <c r="K36" s="659">
        <f t="shared" si="67"/>
        <v>0</v>
      </c>
      <c r="L36" s="820">
        <f t="shared" si="68"/>
        <v>0</v>
      </c>
      <c r="M36" s="822">
        <f t="shared" si="69"/>
        <v>0</v>
      </c>
      <c r="N36" s="143"/>
      <c r="O36" s="820"/>
      <c r="P36" s="821"/>
      <c r="Q36" s="561"/>
      <c r="R36" s="659">
        <f t="shared" si="22"/>
        <v>0</v>
      </c>
      <c r="S36" s="820">
        <f t="shared" si="70"/>
        <v>0</v>
      </c>
      <c r="T36" s="821">
        <f t="shared" si="71"/>
        <v>0</v>
      </c>
      <c r="U36" s="561"/>
    </row>
    <row r="37" spans="1:22" ht="13.5" customHeight="1">
      <c r="A37" s="130" t="s">
        <v>218</v>
      </c>
      <c r="B37" s="106" t="s">
        <v>1</v>
      </c>
      <c r="C37" s="143">
        <f>+'3.SZ.TÁBL. SEGÍTŐ SZOLGÁLAT'!X47</f>
        <v>973</v>
      </c>
      <c r="D37" s="137">
        <f>+'3.SZ.TÁBL. SEGÍTŐ SZOLGÁLAT'!Y47</f>
        <v>973</v>
      </c>
      <c r="E37" s="140">
        <f>+'3.SZ.TÁBL. SEGÍTŐ SZOLGÁLAT'!Z47</f>
        <v>729</v>
      </c>
      <c r="F37" s="548">
        <f>+E37/D37</f>
        <v>0.7492291880781089</v>
      </c>
      <c r="G37" s="143">
        <f>+'4.SZ.TÁBL. ÓVODA'!R43</f>
        <v>0</v>
      </c>
      <c r="H37" s="137">
        <f>+'4.SZ.TÁBL. ÓVODA'!S43</f>
        <v>0</v>
      </c>
      <c r="I37" s="140">
        <f>+'4.SZ.TÁBL. ÓVODA'!T43</f>
        <v>0</v>
      </c>
      <c r="J37" s="548"/>
      <c r="K37" s="659">
        <f t="shared" si="67"/>
        <v>973</v>
      </c>
      <c r="L37" s="820">
        <f t="shared" si="68"/>
        <v>973</v>
      </c>
      <c r="M37" s="822">
        <f t="shared" si="69"/>
        <v>729</v>
      </c>
      <c r="N37" s="143"/>
      <c r="O37" s="137"/>
      <c r="P37" s="140"/>
      <c r="Q37" s="566"/>
      <c r="R37" s="659">
        <f t="shared" si="22"/>
        <v>973</v>
      </c>
      <c r="S37" s="820">
        <f t="shared" si="70"/>
        <v>973</v>
      </c>
      <c r="T37" s="821">
        <f t="shared" si="71"/>
        <v>729</v>
      </c>
      <c r="U37" s="566">
        <f t="shared" ref="U37:U40" si="72">+T37/S37</f>
        <v>0.7492291880781089</v>
      </c>
    </row>
    <row r="38" spans="1:22" ht="13.5" customHeight="1">
      <c r="A38" s="130" t="s">
        <v>219</v>
      </c>
      <c r="B38" s="106" t="s">
        <v>220</v>
      </c>
      <c r="C38" s="143">
        <f>+'3.SZ.TÁBL. SEGÍTŐ SZOLGÁLAT'!X48</f>
        <v>1770</v>
      </c>
      <c r="D38" s="137">
        <f>+'3.SZ.TÁBL. SEGÍTŐ SZOLGÁLAT'!Y48</f>
        <v>1770</v>
      </c>
      <c r="E38" s="140">
        <f>+'3.SZ.TÁBL. SEGÍTŐ SZOLGÁLAT'!Z48</f>
        <v>1268</v>
      </c>
      <c r="F38" s="548">
        <f>+E38/D38</f>
        <v>0.71638418079096045</v>
      </c>
      <c r="G38" s="143">
        <f>+'4.SZ.TÁBL. ÓVODA'!R44</f>
        <v>2370</v>
      </c>
      <c r="H38" s="137">
        <f>+'4.SZ.TÁBL. ÓVODA'!S44</f>
        <v>2370</v>
      </c>
      <c r="I38" s="140">
        <f>+'4.SZ.TÁBL. ÓVODA'!T44</f>
        <v>1500</v>
      </c>
      <c r="J38" s="548">
        <f>+I38/H38</f>
        <v>0.63291139240506333</v>
      </c>
      <c r="K38" s="659">
        <f t="shared" si="67"/>
        <v>4140</v>
      </c>
      <c r="L38" s="820">
        <f t="shared" si="68"/>
        <v>4140</v>
      </c>
      <c r="M38" s="822">
        <f t="shared" si="69"/>
        <v>2768</v>
      </c>
      <c r="N38" s="143"/>
      <c r="O38" s="137"/>
      <c r="P38" s="140"/>
      <c r="Q38" s="566"/>
      <c r="R38" s="659">
        <f t="shared" si="22"/>
        <v>4140</v>
      </c>
      <c r="S38" s="820">
        <f t="shared" si="70"/>
        <v>4140</v>
      </c>
      <c r="T38" s="821">
        <f t="shared" si="71"/>
        <v>2768</v>
      </c>
      <c r="U38" s="566">
        <f t="shared" si="72"/>
        <v>0.66859903381642516</v>
      </c>
    </row>
    <row r="39" spans="1:22" ht="13.5" customHeight="1">
      <c r="A39" s="130" t="s">
        <v>221</v>
      </c>
      <c r="B39" s="106" t="s">
        <v>222</v>
      </c>
      <c r="C39" s="143">
        <f>+'3.SZ.TÁBL. SEGÍTŐ SZOLGÁLAT'!X49</f>
        <v>0</v>
      </c>
      <c r="D39" s="137">
        <f>+'3.SZ.TÁBL. SEGÍTŐ SZOLGÁLAT'!Y49</f>
        <v>0</v>
      </c>
      <c r="E39" s="140">
        <f>+'3.SZ.TÁBL. SEGÍTŐ SZOLGÁLAT'!Z49</f>
        <v>0</v>
      </c>
      <c r="F39" s="548"/>
      <c r="G39" s="143">
        <f>+'4.SZ.TÁBL. ÓVODA'!R45</f>
        <v>0</v>
      </c>
      <c r="H39" s="137">
        <f>+'4.SZ.TÁBL. ÓVODA'!S45</f>
        <v>0</v>
      </c>
      <c r="I39" s="140">
        <f>+'4.SZ.TÁBL. ÓVODA'!T45</f>
        <v>0</v>
      </c>
      <c r="J39" s="548"/>
      <c r="K39" s="659">
        <f t="shared" si="67"/>
        <v>0</v>
      </c>
      <c r="L39" s="820">
        <f t="shared" si="68"/>
        <v>0</v>
      </c>
      <c r="M39" s="822">
        <f t="shared" si="69"/>
        <v>0</v>
      </c>
      <c r="N39" s="143"/>
      <c r="O39" s="137"/>
      <c r="P39" s="140"/>
      <c r="Q39" s="566"/>
      <c r="R39" s="659">
        <f t="shared" si="22"/>
        <v>0</v>
      </c>
      <c r="S39" s="820">
        <f t="shared" si="70"/>
        <v>0</v>
      </c>
      <c r="T39" s="821">
        <f t="shared" si="71"/>
        <v>0</v>
      </c>
      <c r="U39" s="566"/>
    </row>
    <row r="40" spans="1:22" ht="13.5" customHeight="1">
      <c r="A40" s="130" t="s">
        <v>223</v>
      </c>
      <c r="B40" s="106" t="s">
        <v>2</v>
      </c>
      <c r="C40" s="143">
        <f>+'3.SZ.TÁBL. SEGÍTŐ SZOLGÁLAT'!X50</f>
        <v>644</v>
      </c>
      <c r="D40" s="137">
        <f>+'3.SZ.TÁBL. SEGÍTŐ SZOLGÁLAT'!Y50</f>
        <v>644</v>
      </c>
      <c r="E40" s="140">
        <f>+'3.SZ.TÁBL. SEGÍTŐ SZOLGÁLAT'!Z50</f>
        <v>358</v>
      </c>
      <c r="F40" s="548">
        <f>+E40/D40</f>
        <v>0.55590062111801242</v>
      </c>
      <c r="G40" s="143">
        <f>+'4.SZ.TÁBL. ÓVODA'!R46</f>
        <v>838</v>
      </c>
      <c r="H40" s="137">
        <f>+'4.SZ.TÁBL. ÓVODA'!S46</f>
        <v>838</v>
      </c>
      <c r="I40" s="140">
        <f>+'4.SZ.TÁBL. ÓVODA'!T46</f>
        <v>328</v>
      </c>
      <c r="J40" s="548">
        <f>+I40/H40</f>
        <v>0.39140811455847258</v>
      </c>
      <c r="K40" s="659">
        <f t="shared" si="67"/>
        <v>1482</v>
      </c>
      <c r="L40" s="820">
        <f t="shared" si="68"/>
        <v>1482</v>
      </c>
      <c r="M40" s="822">
        <f t="shared" si="69"/>
        <v>686</v>
      </c>
      <c r="N40" s="143"/>
      <c r="O40" s="820"/>
      <c r="P40" s="821"/>
      <c r="Q40" s="561"/>
      <c r="R40" s="659">
        <f t="shared" si="22"/>
        <v>1482</v>
      </c>
      <c r="S40" s="820">
        <f t="shared" si="70"/>
        <v>1482</v>
      </c>
      <c r="T40" s="821">
        <f t="shared" si="71"/>
        <v>686</v>
      </c>
      <c r="U40" s="566">
        <f t="shared" si="72"/>
        <v>0.46288798920377866</v>
      </c>
    </row>
    <row r="41" spans="1:22" ht="13.5" customHeight="1">
      <c r="A41" s="130" t="s">
        <v>224</v>
      </c>
      <c r="B41" s="106" t="s">
        <v>225</v>
      </c>
      <c r="C41" s="143">
        <f>+'3.SZ.TÁBL. SEGÍTŐ SZOLGÁLAT'!X51</f>
        <v>0</v>
      </c>
      <c r="D41" s="137">
        <f>+'3.SZ.TÁBL. SEGÍTŐ SZOLGÁLAT'!Y51</f>
        <v>0</v>
      </c>
      <c r="E41" s="140">
        <f>+'3.SZ.TÁBL. SEGÍTŐ SZOLGÁLAT'!Z51</f>
        <v>0</v>
      </c>
      <c r="F41" s="548"/>
      <c r="G41" s="143">
        <f>+'4.SZ.TÁBL. ÓVODA'!R47</f>
        <v>0</v>
      </c>
      <c r="H41" s="137">
        <f>+'4.SZ.TÁBL. ÓVODA'!S47</f>
        <v>0</v>
      </c>
      <c r="I41" s="140">
        <f>+'4.SZ.TÁBL. ÓVODA'!T47</f>
        <v>0</v>
      </c>
      <c r="J41" s="548"/>
      <c r="K41" s="659">
        <f t="shared" si="67"/>
        <v>0</v>
      </c>
      <c r="L41" s="820">
        <f t="shared" si="68"/>
        <v>0</v>
      </c>
      <c r="M41" s="822">
        <f t="shared" si="69"/>
        <v>0</v>
      </c>
      <c r="N41" s="143"/>
      <c r="O41" s="820"/>
      <c r="P41" s="821"/>
      <c r="Q41" s="561"/>
      <c r="R41" s="659">
        <f t="shared" si="22"/>
        <v>0</v>
      </c>
      <c r="S41" s="820">
        <f t="shared" si="70"/>
        <v>0</v>
      </c>
      <c r="T41" s="821">
        <f t="shared" si="71"/>
        <v>0</v>
      </c>
      <c r="U41" s="561"/>
    </row>
    <row r="42" spans="1:22" ht="13.5" customHeight="1">
      <c r="A42" s="130" t="s">
        <v>226</v>
      </c>
      <c r="B42" s="106" t="s">
        <v>227</v>
      </c>
      <c r="C42" s="143">
        <f>+'3.SZ.TÁBL. SEGÍTŐ SZOLGÁLAT'!X52</f>
        <v>0</v>
      </c>
      <c r="D42" s="137">
        <f>+'3.SZ.TÁBL. SEGÍTŐ SZOLGÁLAT'!Y52</f>
        <v>0</v>
      </c>
      <c r="E42" s="140">
        <f>+'3.SZ.TÁBL. SEGÍTŐ SZOLGÁLAT'!Z52</f>
        <v>0</v>
      </c>
      <c r="F42" s="548"/>
      <c r="G42" s="143">
        <f>+'4.SZ.TÁBL. ÓVODA'!R48</f>
        <v>0</v>
      </c>
      <c r="H42" s="137">
        <f>+'4.SZ.TÁBL. ÓVODA'!S48</f>
        <v>0</v>
      </c>
      <c r="I42" s="140">
        <f>+'4.SZ.TÁBL. ÓVODA'!T48</f>
        <v>0</v>
      </c>
      <c r="J42" s="548"/>
      <c r="K42" s="659">
        <f t="shared" si="67"/>
        <v>0</v>
      </c>
      <c r="L42" s="820">
        <f t="shared" si="68"/>
        <v>0</v>
      </c>
      <c r="M42" s="822">
        <f t="shared" si="69"/>
        <v>0</v>
      </c>
      <c r="N42" s="143"/>
      <c r="O42" s="137"/>
      <c r="P42" s="140"/>
      <c r="Q42" s="566"/>
      <c r="R42" s="659">
        <f t="shared" si="22"/>
        <v>0</v>
      </c>
      <c r="S42" s="820">
        <f t="shared" si="70"/>
        <v>0</v>
      </c>
      <c r="T42" s="821">
        <f t="shared" si="71"/>
        <v>0</v>
      </c>
      <c r="U42" s="566"/>
    </row>
    <row r="43" spans="1:22" ht="13.5" customHeight="1">
      <c r="A43" s="130" t="s">
        <v>228</v>
      </c>
      <c r="B43" s="106" t="s">
        <v>229</v>
      </c>
      <c r="C43" s="143">
        <f>+'3.SZ.TÁBL. SEGÍTŐ SZOLGÁLAT'!X53</f>
        <v>0</v>
      </c>
      <c r="D43" s="137">
        <f>+'3.SZ.TÁBL. SEGÍTŐ SZOLGÁLAT'!Y53</f>
        <v>50</v>
      </c>
      <c r="E43" s="140">
        <f>+'3.SZ.TÁBL. SEGÍTŐ SZOLGÁLAT'!Z53</f>
        <v>50</v>
      </c>
      <c r="F43" s="548">
        <f t="shared" ref="F43" si="73">+E43/D43</f>
        <v>1</v>
      </c>
      <c r="G43" s="143">
        <f>+'4.SZ.TÁBL. ÓVODA'!R49</f>
        <v>0</v>
      </c>
      <c r="H43" s="137">
        <f>+'4.SZ.TÁBL. ÓVODA'!S49</f>
        <v>0</v>
      </c>
      <c r="I43" s="140">
        <f>+'4.SZ.TÁBL. ÓVODA'!T49</f>
        <v>0</v>
      </c>
      <c r="J43" s="548"/>
      <c r="K43" s="659">
        <f t="shared" si="67"/>
        <v>0</v>
      </c>
      <c r="L43" s="820">
        <f t="shared" si="68"/>
        <v>50</v>
      </c>
      <c r="M43" s="822">
        <f t="shared" si="69"/>
        <v>50</v>
      </c>
      <c r="N43" s="143"/>
      <c r="O43" s="137"/>
      <c r="P43" s="140"/>
      <c r="Q43" s="566"/>
      <c r="R43" s="659">
        <f t="shared" si="22"/>
        <v>0</v>
      </c>
      <c r="S43" s="820">
        <f t="shared" si="70"/>
        <v>50</v>
      </c>
      <c r="T43" s="821">
        <f t="shared" si="71"/>
        <v>50</v>
      </c>
      <c r="U43" s="566">
        <f t="shared" ref="U43:U44" si="74">+T43/S43</f>
        <v>1</v>
      </c>
    </row>
    <row r="44" spans="1:22" ht="13.5" customHeight="1">
      <c r="A44" s="130" t="s">
        <v>230</v>
      </c>
      <c r="B44" s="106" t="s">
        <v>424</v>
      </c>
      <c r="C44" s="143">
        <f>+'3.SZ.TÁBL. SEGÍTŐ SZOLGÁLAT'!X54</f>
        <v>0</v>
      </c>
      <c r="D44" s="137">
        <f>+'3.SZ.TÁBL. SEGÍTŐ SZOLGÁLAT'!Y54</f>
        <v>1866</v>
      </c>
      <c r="E44" s="140">
        <f>+'3.SZ.TÁBL. SEGÍTŐ SZOLGÁLAT'!Z54</f>
        <v>1754</v>
      </c>
      <c r="F44" s="548">
        <f>+E44/D44</f>
        <v>0.939978563772776</v>
      </c>
      <c r="G44" s="143">
        <f>+'4.SZ.TÁBL. ÓVODA'!R50</f>
        <v>0</v>
      </c>
      <c r="H44" s="137">
        <f>+'4.SZ.TÁBL. ÓVODA'!S50</f>
        <v>1865</v>
      </c>
      <c r="I44" s="140">
        <f>+'4.SZ.TÁBL. ÓVODA'!T50</f>
        <v>1804</v>
      </c>
      <c r="J44" s="548">
        <f>+I44/H44</f>
        <v>0.96729222520107239</v>
      </c>
      <c r="K44" s="659">
        <f t="shared" si="67"/>
        <v>0</v>
      </c>
      <c r="L44" s="820">
        <f t="shared" si="68"/>
        <v>3731</v>
      </c>
      <c r="M44" s="822">
        <f t="shared" si="69"/>
        <v>3558</v>
      </c>
      <c r="N44" s="143"/>
      <c r="O44" s="137"/>
      <c r="P44" s="140"/>
      <c r="Q44" s="566"/>
      <c r="R44" s="659">
        <f t="shared" si="22"/>
        <v>0</v>
      </c>
      <c r="S44" s="820">
        <f t="shared" si="70"/>
        <v>3731</v>
      </c>
      <c r="T44" s="821">
        <f t="shared" si="71"/>
        <v>3558</v>
      </c>
      <c r="U44" s="566">
        <f t="shared" si="74"/>
        <v>0.95363173411953894</v>
      </c>
    </row>
    <row r="45" spans="1:22" ht="13.5" customHeight="1">
      <c r="A45" s="131" t="s">
        <v>230</v>
      </c>
      <c r="B45" s="118" t="s">
        <v>231</v>
      </c>
      <c r="C45" s="160">
        <f>+'3.SZ.TÁBL. SEGÍTŐ SZOLGÁLAT'!X55</f>
        <v>0</v>
      </c>
      <c r="D45" s="156">
        <f>+'3.SZ.TÁBL. SEGÍTŐ SZOLGÁLAT'!Y55</f>
        <v>0</v>
      </c>
      <c r="E45" s="157">
        <f>+'3.SZ.TÁBL. SEGÍTŐ SZOLGÁLAT'!Z55</f>
        <v>0</v>
      </c>
      <c r="F45" s="549"/>
      <c r="G45" s="160">
        <f>+'4.SZ.TÁBL. ÓVODA'!R51</f>
        <v>0</v>
      </c>
      <c r="H45" s="156">
        <f>+'4.SZ.TÁBL. ÓVODA'!S51</f>
        <v>0</v>
      </c>
      <c r="I45" s="157">
        <f>+'4.SZ.TÁBL. ÓVODA'!T51</f>
        <v>0</v>
      </c>
      <c r="J45" s="549"/>
      <c r="K45" s="577">
        <f t="shared" si="67"/>
        <v>0</v>
      </c>
      <c r="L45" s="578">
        <f t="shared" si="68"/>
        <v>0</v>
      </c>
      <c r="M45" s="579">
        <f t="shared" si="69"/>
        <v>0</v>
      </c>
      <c r="N45" s="160"/>
      <c r="O45" s="578"/>
      <c r="P45" s="580"/>
      <c r="Q45" s="563"/>
      <c r="R45" s="577">
        <f t="shared" si="22"/>
        <v>0</v>
      </c>
      <c r="S45" s="578">
        <f t="shared" si="70"/>
        <v>0</v>
      </c>
      <c r="T45" s="580">
        <f t="shared" si="71"/>
        <v>0</v>
      </c>
      <c r="U45" s="563"/>
    </row>
    <row r="46" spans="1:22" s="235" customFormat="1" ht="13.5" customHeight="1">
      <c r="A46" s="132" t="s">
        <v>192</v>
      </c>
      <c r="B46" s="119" t="s">
        <v>150</v>
      </c>
      <c r="C46" s="208">
        <f>+SUM(C32:C44)</f>
        <v>55793</v>
      </c>
      <c r="D46" s="212">
        <f t="shared" ref="D46:E46" si="75">+SUM(D32:D44)</f>
        <v>62000</v>
      </c>
      <c r="E46" s="215">
        <f t="shared" si="75"/>
        <v>47103</v>
      </c>
      <c r="F46" s="544">
        <f>+E46/D46</f>
        <v>0.75972580645161292</v>
      </c>
      <c r="G46" s="208">
        <f>+SUM(G32:G44)</f>
        <v>104971</v>
      </c>
      <c r="H46" s="212">
        <f t="shared" ref="H46:I46" si="76">+SUM(H32:H44)</f>
        <v>105918</v>
      </c>
      <c r="I46" s="215">
        <f t="shared" si="76"/>
        <v>78882</v>
      </c>
      <c r="J46" s="544">
        <f>+I46/H46</f>
        <v>0.74474593553503654</v>
      </c>
      <c r="K46" s="208">
        <f>+SUM(K32:K44)</f>
        <v>160764</v>
      </c>
      <c r="L46" s="212">
        <f t="shared" ref="L46:M46" si="77">+SUM(L32:L44)</f>
        <v>167918</v>
      </c>
      <c r="M46" s="213">
        <f t="shared" si="77"/>
        <v>125985</v>
      </c>
      <c r="N46" s="208"/>
      <c r="O46" s="212"/>
      <c r="P46" s="215"/>
      <c r="Q46" s="568"/>
      <c r="R46" s="831">
        <f>SUM(R32:R45)</f>
        <v>160764</v>
      </c>
      <c r="S46" s="832">
        <f t="shared" ref="S46:T46" si="78">SUM(S32:S45)</f>
        <v>167918</v>
      </c>
      <c r="T46" s="833">
        <f t="shared" si="78"/>
        <v>125985</v>
      </c>
      <c r="U46" s="568">
        <f>+T46/S46</f>
        <v>0.75027692087804765</v>
      </c>
      <c r="V46" s="290"/>
    </row>
    <row r="47" spans="1:22" ht="13.5" customHeight="1">
      <c r="A47" s="129" t="s">
        <v>232</v>
      </c>
      <c r="B47" s="117" t="s">
        <v>233</v>
      </c>
      <c r="C47" s="150">
        <f>+'3.SZ.TÁBL. SEGÍTŐ SZOLGÁLAT'!X57</f>
        <v>0</v>
      </c>
      <c r="D47" s="146">
        <f>+'3.SZ.TÁBL. SEGÍTŐ SZOLGÁLAT'!Y57</f>
        <v>0</v>
      </c>
      <c r="E47" s="147">
        <f>+'3.SZ.TÁBL. SEGÍTŐ SZOLGÁLAT'!Z57</f>
        <v>0</v>
      </c>
      <c r="F47" s="547"/>
      <c r="G47" s="150">
        <f>+'4.SZ.TÁBL. ÓVODA'!R53</f>
        <v>0</v>
      </c>
      <c r="H47" s="146">
        <f>+'4.SZ.TÁBL. ÓVODA'!S53</f>
        <v>0</v>
      </c>
      <c r="I47" s="147">
        <f>+'4.SZ.TÁBL. ÓVODA'!T53</f>
        <v>0</v>
      </c>
      <c r="J47" s="547"/>
      <c r="K47" s="813">
        <f t="shared" ref="K47:K49" si="79">+C47+G47</f>
        <v>0</v>
      </c>
      <c r="L47" s="814">
        <f t="shared" ref="L47:L49" si="80">+D47+H47</f>
        <v>0</v>
      </c>
      <c r="M47" s="816">
        <f t="shared" ref="M47:M49" si="81">+E47+I47</f>
        <v>0</v>
      </c>
      <c r="N47" s="150"/>
      <c r="O47" s="814"/>
      <c r="P47" s="815"/>
      <c r="Q47" s="558"/>
      <c r="R47" s="813">
        <f t="shared" si="22"/>
        <v>0</v>
      </c>
      <c r="S47" s="814">
        <f t="shared" ref="S47:S49" si="82">+L47+O47</f>
        <v>0</v>
      </c>
      <c r="T47" s="815">
        <f t="shared" ref="T47:T49" si="83">+M47+P47</f>
        <v>0</v>
      </c>
      <c r="U47" s="558"/>
    </row>
    <row r="48" spans="1:22" ht="13.5" customHeight="1">
      <c r="A48" s="130" t="s">
        <v>234</v>
      </c>
      <c r="B48" s="106" t="s">
        <v>235</v>
      </c>
      <c r="C48" s="143">
        <f>+'3.SZ.TÁBL. SEGÍTŐ SZOLGÁLAT'!X58</f>
        <v>550</v>
      </c>
      <c r="D48" s="137">
        <f>+'3.SZ.TÁBL. SEGÍTŐ SZOLGÁLAT'!Y58</f>
        <v>1408</v>
      </c>
      <c r="E48" s="140">
        <f>+'3.SZ.TÁBL. SEGÍTŐ SZOLGÁLAT'!Z58</f>
        <v>977</v>
      </c>
      <c r="F48" s="548">
        <f t="shared" ref="F48:F54" si="84">+E48/D48</f>
        <v>0.69389204545454541</v>
      </c>
      <c r="G48" s="143">
        <f>+'4.SZ.TÁBL. ÓVODA'!R54</f>
        <v>2884</v>
      </c>
      <c r="H48" s="137">
        <f>+'4.SZ.TÁBL. ÓVODA'!S54</f>
        <v>3184</v>
      </c>
      <c r="I48" s="140">
        <f>+'4.SZ.TÁBL. ÓVODA'!T54</f>
        <v>825</v>
      </c>
      <c r="J48" s="548">
        <f t="shared" ref="J48:J54" si="85">+I48/H48</f>
        <v>0.25910804020100503</v>
      </c>
      <c r="K48" s="659">
        <f t="shared" si="79"/>
        <v>3434</v>
      </c>
      <c r="L48" s="820">
        <f t="shared" si="80"/>
        <v>4592</v>
      </c>
      <c r="M48" s="822">
        <f t="shared" si="81"/>
        <v>1802</v>
      </c>
      <c r="N48" s="659"/>
      <c r="O48" s="137"/>
      <c r="P48" s="140"/>
      <c r="Q48" s="566"/>
      <c r="R48" s="659">
        <f t="shared" si="22"/>
        <v>3434</v>
      </c>
      <c r="S48" s="820">
        <f t="shared" si="82"/>
        <v>4592</v>
      </c>
      <c r="T48" s="821">
        <f t="shared" si="83"/>
        <v>1802</v>
      </c>
      <c r="U48" s="566">
        <f t="shared" ref="U48:U56" si="86">+T48/S48</f>
        <v>0.39242160278745647</v>
      </c>
    </row>
    <row r="49" spans="1:32" ht="13.5" customHeight="1">
      <c r="A49" s="131" t="s">
        <v>236</v>
      </c>
      <c r="B49" s="118" t="s">
        <v>237</v>
      </c>
      <c r="C49" s="160">
        <f>+'3.SZ.TÁBL. SEGÍTŐ SZOLGÁLAT'!X59</f>
        <v>105</v>
      </c>
      <c r="D49" s="156">
        <f>+'3.SZ.TÁBL. SEGÍTŐ SZOLGÁLAT'!Y59</f>
        <v>105</v>
      </c>
      <c r="E49" s="157">
        <f>+'3.SZ.TÁBL. SEGÍTŐ SZOLGÁLAT'!Z59</f>
        <v>21</v>
      </c>
      <c r="F49" s="549">
        <f t="shared" si="84"/>
        <v>0.2</v>
      </c>
      <c r="G49" s="160">
        <f>+'4.SZ.TÁBL. ÓVODA'!R55</f>
        <v>60</v>
      </c>
      <c r="H49" s="156">
        <f>+'4.SZ.TÁBL. ÓVODA'!S55</f>
        <v>60</v>
      </c>
      <c r="I49" s="157">
        <f>+'4.SZ.TÁBL. ÓVODA'!T55</f>
        <v>13</v>
      </c>
      <c r="J49" s="549">
        <f t="shared" si="85"/>
        <v>0.21666666666666667</v>
      </c>
      <c r="K49" s="577">
        <f t="shared" si="79"/>
        <v>165</v>
      </c>
      <c r="L49" s="578">
        <f t="shared" si="80"/>
        <v>165</v>
      </c>
      <c r="M49" s="579">
        <f t="shared" si="81"/>
        <v>34</v>
      </c>
      <c r="N49" s="160"/>
      <c r="O49" s="864"/>
      <c r="P49" s="865"/>
      <c r="Q49" s="571"/>
      <c r="R49" s="577">
        <f t="shared" si="22"/>
        <v>165</v>
      </c>
      <c r="S49" s="578">
        <f t="shared" si="82"/>
        <v>165</v>
      </c>
      <c r="T49" s="580">
        <f t="shared" si="83"/>
        <v>34</v>
      </c>
      <c r="U49" s="571">
        <f t="shared" si="86"/>
        <v>0.20606060606060606</v>
      </c>
      <c r="W49" s="490"/>
      <c r="X49" s="490"/>
      <c r="Y49" s="490"/>
      <c r="Z49" s="490"/>
      <c r="AB49" s="490"/>
      <c r="AC49" s="490"/>
      <c r="AD49" s="490"/>
      <c r="AE49" s="490"/>
      <c r="AF49" s="490"/>
    </row>
    <row r="50" spans="1:32" s="235" customFormat="1" ht="13.5" customHeight="1">
      <c r="A50" s="132" t="s">
        <v>193</v>
      </c>
      <c r="B50" s="119" t="s">
        <v>151</v>
      </c>
      <c r="C50" s="208">
        <f>SUM(C47:C49)</f>
        <v>655</v>
      </c>
      <c r="D50" s="212">
        <f t="shared" ref="D50:E50" si="87">SUM(D47:D49)</f>
        <v>1513</v>
      </c>
      <c r="E50" s="215">
        <f t="shared" si="87"/>
        <v>998</v>
      </c>
      <c r="F50" s="544">
        <f t="shared" si="84"/>
        <v>0.65961665565102445</v>
      </c>
      <c r="G50" s="208">
        <f>SUM(G47:G49)</f>
        <v>2944</v>
      </c>
      <c r="H50" s="212">
        <f t="shared" ref="H50:I50" si="88">SUM(H47:H49)</f>
        <v>3244</v>
      </c>
      <c r="I50" s="215">
        <f t="shared" si="88"/>
        <v>838</v>
      </c>
      <c r="J50" s="544">
        <f t="shared" si="85"/>
        <v>0.25832305795314425</v>
      </c>
      <c r="K50" s="208">
        <f>SUM(K47:K49)</f>
        <v>3599</v>
      </c>
      <c r="L50" s="212">
        <f t="shared" ref="L50:M50" si="89">SUM(L47:L49)</f>
        <v>4757</v>
      </c>
      <c r="M50" s="213">
        <f t="shared" si="89"/>
        <v>1836</v>
      </c>
      <c r="N50" s="831">
        <f>SUM(N47:N49)</f>
        <v>0</v>
      </c>
      <c r="O50" s="832">
        <f t="shared" ref="O50" si="90">SUM(O47:O49)</f>
        <v>0</v>
      </c>
      <c r="P50" s="833">
        <f t="shared" ref="P50" si="91">SUM(P47:P49)</f>
        <v>0</v>
      </c>
      <c r="Q50" s="560"/>
      <c r="R50" s="831">
        <f>SUM(R47:R49)</f>
        <v>3599</v>
      </c>
      <c r="S50" s="832">
        <f t="shared" ref="S50:T50" si="92">SUM(S47:S49)</f>
        <v>4757</v>
      </c>
      <c r="T50" s="833">
        <f t="shared" si="92"/>
        <v>1836</v>
      </c>
      <c r="U50" s="560">
        <f t="shared" si="86"/>
        <v>0.38595753626235024</v>
      </c>
      <c r="V50" s="290"/>
      <c r="W50" s="290"/>
      <c r="X50" s="290"/>
      <c r="Y50" s="290"/>
      <c r="Z50" s="290"/>
      <c r="AB50" s="290"/>
      <c r="AC50" s="290"/>
      <c r="AD50" s="290"/>
      <c r="AE50" s="290"/>
      <c r="AF50" s="290"/>
    </row>
    <row r="51" spans="1:32" s="235" customFormat="1" ht="13.5" customHeight="1">
      <c r="A51" s="132" t="s">
        <v>194</v>
      </c>
      <c r="B51" s="119" t="s">
        <v>152</v>
      </c>
      <c r="C51" s="208">
        <f>+C46+C50</f>
        <v>56448</v>
      </c>
      <c r="D51" s="212">
        <f t="shared" ref="D51:E51" si="93">+D46+D50</f>
        <v>63513</v>
      </c>
      <c r="E51" s="215">
        <f t="shared" si="93"/>
        <v>48101</v>
      </c>
      <c r="F51" s="544">
        <f t="shared" si="84"/>
        <v>0.75734101679971033</v>
      </c>
      <c r="G51" s="208">
        <f>+G46+G50</f>
        <v>107915</v>
      </c>
      <c r="H51" s="212">
        <f t="shared" ref="H51:I51" si="94">+H46+H50</f>
        <v>109162</v>
      </c>
      <c r="I51" s="215">
        <f t="shared" si="94"/>
        <v>79720</v>
      </c>
      <c r="J51" s="544">
        <f t="shared" si="85"/>
        <v>0.73029076052106046</v>
      </c>
      <c r="K51" s="208">
        <f>+K46+K50</f>
        <v>164363</v>
      </c>
      <c r="L51" s="212">
        <f t="shared" ref="L51:M51" si="95">+L46+L50</f>
        <v>172675</v>
      </c>
      <c r="M51" s="213">
        <f t="shared" si="95"/>
        <v>127821</v>
      </c>
      <c r="N51" s="831">
        <f>+N46+N50</f>
        <v>0</v>
      </c>
      <c r="O51" s="832">
        <f t="shared" ref="O51" si="96">+O46+O50</f>
        <v>0</v>
      </c>
      <c r="P51" s="833">
        <f t="shared" ref="P51" si="97">+P46+P50</f>
        <v>0</v>
      </c>
      <c r="Q51" s="560"/>
      <c r="R51" s="831">
        <f>+R46+R50</f>
        <v>164363</v>
      </c>
      <c r="S51" s="832">
        <f t="shared" ref="S51:T51" si="98">+S46+S50</f>
        <v>172675</v>
      </c>
      <c r="T51" s="833">
        <f>+T46+T50</f>
        <v>127821</v>
      </c>
      <c r="U51" s="560">
        <f t="shared" si="86"/>
        <v>0.74024033589112492</v>
      </c>
      <c r="V51" s="290"/>
      <c r="W51" s="290"/>
      <c r="X51" s="290"/>
      <c r="Y51" s="290"/>
      <c r="Z51" s="290"/>
      <c r="AB51" s="290"/>
      <c r="AC51" s="290"/>
      <c r="AD51" s="290"/>
      <c r="AE51" s="290"/>
      <c r="AF51" s="290"/>
    </row>
    <row r="52" spans="1:32" s="235" customFormat="1" ht="13.5" customHeight="1">
      <c r="A52" s="132" t="s">
        <v>195</v>
      </c>
      <c r="B52" s="119" t="s">
        <v>153</v>
      </c>
      <c r="C52" s="208">
        <f>+SUM(C53:C57)</f>
        <v>17149</v>
      </c>
      <c r="D52" s="212">
        <f t="shared" ref="D52:E52" si="99">+SUM(D53:D57)</f>
        <v>19037</v>
      </c>
      <c r="E52" s="215">
        <f t="shared" si="99"/>
        <v>12694</v>
      </c>
      <c r="F52" s="544">
        <f t="shared" si="84"/>
        <v>0.66680674476020385</v>
      </c>
      <c r="G52" s="208">
        <f>+SUM(G53:G57)</f>
        <v>30095</v>
      </c>
      <c r="H52" s="212">
        <f t="shared" ref="H52:I52" si="100">+SUM(H53:H57)</f>
        <v>30544</v>
      </c>
      <c r="I52" s="215">
        <f t="shared" si="100"/>
        <v>20565</v>
      </c>
      <c r="J52" s="544">
        <f t="shared" si="85"/>
        <v>0.6732909900471451</v>
      </c>
      <c r="K52" s="208">
        <f>+SUM(K53:K57)</f>
        <v>47244</v>
      </c>
      <c r="L52" s="212">
        <f t="shared" ref="L52:M52" si="101">+SUM(L53:L57)</f>
        <v>49581</v>
      </c>
      <c r="M52" s="213">
        <f t="shared" si="101"/>
        <v>33259</v>
      </c>
      <c r="N52" s="831">
        <f>+SUM(N53:N57)</f>
        <v>0</v>
      </c>
      <c r="O52" s="832">
        <f t="shared" ref="O52" si="102">+SUM(O53:O57)</f>
        <v>0</v>
      </c>
      <c r="P52" s="833">
        <f t="shared" ref="P52" si="103">+SUM(P53:P57)</f>
        <v>0</v>
      </c>
      <c r="Q52" s="560"/>
      <c r="R52" s="831">
        <f>+SUM(R53:R57)</f>
        <v>47244</v>
      </c>
      <c r="S52" s="832">
        <f t="shared" ref="S52:T52" si="104">+SUM(S53:S57)</f>
        <v>49581</v>
      </c>
      <c r="T52" s="833">
        <f t="shared" si="104"/>
        <v>33259</v>
      </c>
      <c r="U52" s="560">
        <f t="shared" si="86"/>
        <v>0.67080131501986651</v>
      </c>
      <c r="V52" s="290"/>
    </row>
    <row r="53" spans="1:32" s="202" customFormat="1" ht="13.5" customHeight="1">
      <c r="A53" s="133" t="s">
        <v>195</v>
      </c>
      <c r="B53" s="126" t="s">
        <v>296</v>
      </c>
      <c r="C53" s="223">
        <f>+'3.SZ.TÁBL. SEGÍTŐ SZOLGÁLAT'!X63</f>
        <v>14535</v>
      </c>
      <c r="D53" s="224">
        <f>+'3.SZ.TÁBL. SEGÍTŐ SZOLGÁLAT'!Y63</f>
        <v>16280</v>
      </c>
      <c r="E53" s="536">
        <f>+'3.SZ.TÁBL. SEGÍTŐ SZOLGÁLAT'!Z63</f>
        <v>11471</v>
      </c>
      <c r="F53" s="550">
        <f t="shared" si="84"/>
        <v>0.70460687960687962</v>
      </c>
      <c r="G53" s="223">
        <f>+'4.SZ.TÁBL. ÓVODA'!R59</f>
        <v>28255</v>
      </c>
      <c r="H53" s="224">
        <f>+'4.SZ.TÁBL. ÓVODA'!S59</f>
        <v>28568</v>
      </c>
      <c r="I53" s="536">
        <f>+'4.SZ.TÁBL. ÓVODA'!T59</f>
        <v>19057</v>
      </c>
      <c r="J53" s="550">
        <f t="shared" si="85"/>
        <v>0.66707504900588066</v>
      </c>
      <c r="K53" s="827">
        <f t="shared" ref="K53:K60" si="105">+C53+G53</f>
        <v>42790</v>
      </c>
      <c r="L53" s="828">
        <f t="shared" ref="L53:L60" si="106">+D53+H53</f>
        <v>44848</v>
      </c>
      <c r="M53" s="866">
        <f t="shared" ref="M53:M60" si="107">+E53+I53</f>
        <v>30528</v>
      </c>
      <c r="N53" s="813"/>
      <c r="O53" s="224"/>
      <c r="P53" s="536"/>
      <c r="Q53" s="572"/>
      <c r="R53" s="827">
        <f t="shared" si="22"/>
        <v>42790</v>
      </c>
      <c r="S53" s="828">
        <f t="shared" ref="S53:S60" si="108">+L53+O53</f>
        <v>44848</v>
      </c>
      <c r="T53" s="829">
        <f t="shared" ref="T53:T60" si="109">+M53+P53</f>
        <v>30528</v>
      </c>
      <c r="U53" s="572">
        <f t="shared" si="86"/>
        <v>0.68069925080271143</v>
      </c>
      <c r="V53" s="288"/>
    </row>
    <row r="54" spans="1:32" s="202" customFormat="1" ht="13.5" customHeight="1">
      <c r="A54" s="134" t="s">
        <v>195</v>
      </c>
      <c r="B54" s="107" t="s">
        <v>297</v>
      </c>
      <c r="C54" s="200">
        <f>+'3.SZ.TÁBL. SEGÍTŐ SZOLGÁLAT'!X64</f>
        <v>1929</v>
      </c>
      <c r="D54" s="198">
        <f>+'3.SZ.TÁBL. SEGÍTŐ SZOLGÁLAT'!Y64</f>
        <v>1915</v>
      </c>
      <c r="E54" s="537">
        <f>+'3.SZ.TÁBL. SEGÍTŐ SZOLGÁLAT'!Z64</f>
        <v>724</v>
      </c>
      <c r="F54" s="551">
        <f t="shared" si="84"/>
        <v>0.37806788511749345</v>
      </c>
      <c r="G54" s="200">
        <f>+'4.SZ.TÁBL. ÓVODA'!R60</f>
        <v>964</v>
      </c>
      <c r="H54" s="198">
        <f>+'4.SZ.TÁBL. ÓVODA'!S60</f>
        <v>964</v>
      </c>
      <c r="I54" s="537">
        <f>+'4.SZ.TÁBL. ÓVODA'!T60</f>
        <v>724</v>
      </c>
      <c r="J54" s="551">
        <f t="shared" si="85"/>
        <v>0.75103734439834025</v>
      </c>
      <c r="K54" s="823">
        <f t="shared" si="105"/>
        <v>2893</v>
      </c>
      <c r="L54" s="824">
        <f t="shared" si="106"/>
        <v>2879</v>
      </c>
      <c r="M54" s="867">
        <f t="shared" si="107"/>
        <v>1448</v>
      </c>
      <c r="N54" s="200"/>
      <c r="O54" s="198"/>
      <c r="P54" s="537"/>
      <c r="Q54" s="573"/>
      <c r="R54" s="823">
        <f t="shared" si="22"/>
        <v>2893</v>
      </c>
      <c r="S54" s="824">
        <f t="shared" si="108"/>
        <v>2879</v>
      </c>
      <c r="T54" s="825">
        <f t="shared" si="109"/>
        <v>1448</v>
      </c>
      <c r="U54" s="573">
        <f t="shared" si="86"/>
        <v>0.50295241403265023</v>
      </c>
      <c r="V54" s="288"/>
    </row>
    <row r="55" spans="1:32" s="202" customFormat="1" ht="13.5" customHeight="1">
      <c r="A55" s="134" t="s">
        <v>195</v>
      </c>
      <c r="B55" s="107" t="s">
        <v>298</v>
      </c>
      <c r="C55" s="200">
        <f>+'3.SZ.TÁBL. SEGÍTŐ SZOLGÁLAT'!X65</f>
        <v>329</v>
      </c>
      <c r="D55" s="198">
        <f>+'3.SZ.TÁBL. SEGÍTŐ SZOLGÁLAT'!Y65</f>
        <v>329</v>
      </c>
      <c r="E55" s="537">
        <f>+'3.SZ.TÁBL. SEGÍTŐ SZOLGÁLAT'!Z65</f>
        <v>145</v>
      </c>
      <c r="F55" s="551">
        <f t="shared" ref="F55:F57" si="110">+E55/D55</f>
        <v>0.44072948328267475</v>
      </c>
      <c r="G55" s="200">
        <f>+'4.SZ.TÁBL. ÓVODA'!R61</f>
        <v>413</v>
      </c>
      <c r="H55" s="198">
        <f>+'4.SZ.TÁBL. ÓVODA'!S61</f>
        <v>413</v>
      </c>
      <c r="I55" s="537">
        <f>+'4.SZ.TÁBL. ÓVODA'!T61</f>
        <v>251</v>
      </c>
      <c r="J55" s="551">
        <f t="shared" ref="J55:J57" si="111">+I55/H55</f>
        <v>0.60774818401937047</v>
      </c>
      <c r="K55" s="823">
        <f t="shared" si="105"/>
        <v>742</v>
      </c>
      <c r="L55" s="824">
        <f t="shared" si="106"/>
        <v>742</v>
      </c>
      <c r="M55" s="867">
        <f t="shared" si="107"/>
        <v>396</v>
      </c>
      <c r="N55" s="200"/>
      <c r="O55" s="198"/>
      <c r="P55" s="537"/>
      <c r="Q55" s="573"/>
      <c r="R55" s="823">
        <f t="shared" si="22"/>
        <v>742</v>
      </c>
      <c r="S55" s="824">
        <f t="shared" si="108"/>
        <v>742</v>
      </c>
      <c r="T55" s="825">
        <f t="shared" si="109"/>
        <v>396</v>
      </c>
      <c r="U55" s="573">
        <f t="shared" si="86"/>
        <v>0.53369272237196763</v>
      </c>
      <c r="V55" s="288"/>
    </row>
    <row r="56" spans="1:32" s="202" customFormat="1" ht="13.5" customHeight="1">
      <c r="A56" s="134" t="s">
        <v>195</v>
      </c>
      <c r="B56" s="107" t="s">
        <v>429</v>
      </c>
      <c r="C56" s="200">
        <f>+'3.SZ.TÁBL. SEGÍTŐ SZOLGÁLAT'!X66</f>
        <v>0</v>
      </c>
      <c r="D56" s="198">
        <f>+'3.SZ.TÁBL. SEGÍTŐ SZOLGÁLAT'!Y66</f>
        <v>157</v>
      </c>
      <c r="E56" s="537">
        <f>+'3.SZ.TÁBL. SEGÍTŐ SZOLGÁLAT'!Z66</f>
        <v>191</v>
      </c>
      <c r="F56" s="551">
        <f t="shared" si="110"/>
        <v>1.2165605095541401</v>
      </c>
      <c r="G56" s="200">
        <f>+'4.SZ.TÁBL. ÓVODA'!R62</f>
        <v>0</v>
      </c>
      <c r="H56" s="198">
        <f>+'4.SZ.TÁBL. ÓVODA'!S62</f>
        <v>136</v>
      </c>
      <c r="I56" s="537">
        <f>+'4.SZ.TÁBL. ÓVODA'!T62</f>
        <v>246</v>
      </c>
      <c r="J56" s="551">
        <f t="shared" si="111"/>
        <v>1.8088235294117647</v>
      </c>
      <c r="K56" s="823">
        <f t="shared" si="105"/>
        <v>0</v>
      </c>
      <c r="L56" s="824">
        <f t="shared" si="106"/>
        <v>293</v>
      </c>
      <c r="M56" s="867">
        <f t="shared" si="107"/>
        <v>437</v>
      </c>
      <c r="N56" s="200"/>
      <c r="O56" s="198"/>
      <c r="P56" s="537"/>
      <c r="Q56" s="573"/>
      <c r="R56" s="823">
        <f t="shared" si="22"/>
        <v>0</v>
      </c>
      <c r="S56" s="824">
        <f t="shared" si="108"/>
        <v>293</v>
      </c>
      <c r="T56" s="825">
        <f t="shared" si="109"/>
        <v>437</v>
      </c>
      <c r="U56" s="573">
        <f t="shared" si="86"/>
        <v>1.4914675767918089</v>
      </c>
      <c r="V56" s="288"/>
    </row>
    <row r="57" spans="1:32" s="202" customFormat="1" ht="13.5" customHeight="1">
      <c r="A57" s="134" t="s">
        <v>195</v>
      </c>
      <c r="B57" s="107" t="s">
        <v>299</v>
      </c>
      <c r="C57" s="200">
        <f>+'3.SZ.TÁBL. SEGÍTŐ SZOLGÁLAT'!X67</f>
        <v>356</v>
      </c>
      <c r="D57" s="198">
        <f>+'3.SZ.TÁBL. SEGÍTŐ SZOLGÁLAT'!Y67</f>
        <v>356</v>
      </c>
      <c r="E57" s="537">
        <f>+'3.SZ.TÁBL. SEGÍTŐ SZOLGÁLAT'!Z67</f>
        <v>163</v>
      </c>
      <c r="F57" s="551">
        <f t="shared" si="110"/>
        <v>0.45786516853932585</v>
      </c>
      <c r="G57" s="200">
        <f>+'4.SZ.TÁBL. ÓVODA'!R63</f>
        <v>463</v>
      </c>
      <c r="H57" s="198">
        <f>+'4.SZ.TÁBL. ÓVODA'!S63</f>
        <v>463</v>
      </c>
      <c r="I57" s="537">
        <f>+'4.SZ.TÁBL. ÓVODA'!T63</f>
        <v>287</v>
      </c>
      <c r="J57" s="551">
        <f t="shared" si="111"/>
        <v>0.61987041036717061</v>
      </c>
      <c r="K57" s="823">
        <f t="shared" si="105"/>
        <v>819</v>
      </c>
      <c r="L57" s="824">
        <f t="shared" si="106"/>
        <v>819</v>
      </c>
      <c r="M57" s="867">
        <f t="shared" si="107"/>
        <v>450</v>
      </c>
      <c r="N57" s="200"/>
      <c r="O57" s="198"/>
      <c r="P57" s="537"/>
      <c r="Q57" s="573"/>
      <c r="R57" s="823">
        <f t="shared" si="22"/>
        <v>819</v>
      </c>
      <c r="S57" s="824">
        <f t="shared" si="108"/>
        <v>819</v>
      </c>
      <c r="T57" s="825">
        <f t="shared" si="109"/>
        <v>450</v>
      </c>
      <c r="U57" s="573">
        <f>+T57/S57</f>
        <v>0.5494505494505495</v>
      </c>
      <c r="V57" s="288"/>
    </row>
    <row r="58" spans="1:32" ht="13.5" customHeight="1">
      <c r="A58" s="130" t="s">
        <v>238</v>
      </c>
      <c r="B58" s="106" t="s">
        <v>239</v>
      </c>
      <c r="C58" s="150">
        <f>+'3.SZ.TÁBL. SEGÍTŐ SZOLGÁLAT'!X68</f>
        <v>38</v>
      </c>
      <c r="D58" s="146">
        <f>+'3.SZ.TÁBL. SEGÍTŐ SZOLGÁLAT'!Y68</f>
        <v>68</v>
      </c>
      <c r="E58" s="147">
        <f>+'3.SZ.TÁBL. SEGÍTŐ SZOLGÁLAT'!Z68</f>
        <v>47</v>
      </c>
      <c r="F58" s="547">
        <f>+E58/D58</f>
        <v>0.69117647058823528</v>
      </c>
      <c r="G58" s="150">
        <f>+'4.SZ.TÁBL. ÓVODA'!R64</f>
        <v>914</v>
      </c>
      <c r="H58" s="146">
        <f>+'4.SZ.TÁBL. ÓVODA'!S64</f>
        <v>916</v>
      </c>
      <c r="I58" s="147">
        <f>+'4.SZ.TÁBL. ÓVODA'!T64</f>
        <v>276</v>
      </c>
      <c r="J58" s="547">
        <f>+I58/H58</f>
        <v>0.30131004366812225</v>
      </c>
      <c r="K58" s="813">
        <f t="shared" si="105"/>
        <v>952</v>
      </c>
      <c r="L58" s="814">
        <f t="shared" si="106"/>
        <v>984</v>
      </c>
      <c r="M58" s="816">
        <f t="shared" si="107"/>
        <v>323</v>
      </c>
      <c r="N58" s="143"/>
      <c r="O58" s="137"/>
      <c r="P58" s="140"/>
      <c r="Q58" s="566"/>
      <c r="R58" s="659">
        <f t="shared" si="22"/>
        <v>952</v>
      </c>
      <c r="S58" s="820">
        <f t="shared" si="108"/>
        <v>984</v>
      </c>
      <c r="T58" s="821">
        <f t="shared" si="109"/>
        <v>323</v>
      </c>
      <c r="U58" s="566">
        <f>+T58/S58</f>
        <v>0.3282520325203252</v>
      </c>
    </row>
    <row r="59" spans="1:32" ht="13.5" customHeight="1">
      <c r="A59" s="130" t="s">
        <v>240</v>
      </c>
      <c r="B59" s="106" t="s">
        <v>241</v>
      </c>
      <c r="C59" s="143">
        <f>+'3.SZ.TÁBL. SEGÍTŐ SZOLGÁLAT'!X69</f>
        <v>3383</v>
      </c>
      <c r="D59" s="137">
        <f>+'3.SZ.TÁBL. SEGÍTŐ SZOLGÁLAT'!Y69</f>
        <v>3112</v>
      </c>
      <c r="E59" s="140">
        <f>+'3.SZ.TÁBL. SEGÍTŐ SZOLGÁLAT'!Z69</f>
        <v>1869</v>
      </c>
      <c r="F59" s="548">
        <f>+E59/D59</f>
        <v>0.60057840616966585</v>
      </c>
      <c r="G59" s="143">
        <f>+'4.SZ.TÁBL. ÓVODA'!R65</f>
        <v>971</v>
      </c>
      <c r="H59" s="137">
        <f>+'4.SZ.TÁBL. ÓVODA'!S65</f>
        <v>1011</v>
      </c>
      <c r="I59" s="140">
        <f>+'4.SZ.TÁBL. ÓVODA'!T65</f>
        <v>371</v>
      </c>
      <c r="J59" s="548">
        <f>+I59/H59</f>
        <v>0.36696340257171117</v>
      </c>
      <c r="K59" s="659">
        <f t="shared" si="105"/>
        <v>4354</v>
      </c>
      <c r="L59" s="820">
        <f t="shared" si="106"/>
        <v>4123</v>
      </c>
      <c r="M59" s="822">
        <f t="shared" si="107"/>
        <v>2240</v>
      </c>
      <c r="N59" s="143"/>
      <c r="O59" s="137"/>
      <c r="P59" s="140"/>
      <c r="Q59" s="566"/>
      <c r="R59" s="659">
        <f t="shared" si="22"/>
        <v>4354</v>
      </c>
      <c r="S59" s="820">
        <f t="shared" si="108"/>
        <v>4123</v>
      </c>
      <c r="T59" s="821">
        <f t="shared" si="109"/>
        <v>2240</v>
      </c>
      <c r="U59" s="566">
        <f>+T59/S59</f>
        <v>0.54329371816638372</v>
      </c>
    </row>
    <row r="60" spans="1:32" ht="13.5" customHeight="1">
      <c r="A60" s="131" t="s">
        <v>242</v>
      </c>
      <c r="B60" s="118" t="s">
        <v>243</v>
      </c>
      <c r="C60" s="160">
        <f>+'3.SZ.TÁBL. SEGÍTŐ SZOLGÁLAT'!X70</f>
        <v>0</v>
      </c>
      <c r="D60" s="156">
        <f>+'3.SZ.TÁBL. SEGÍTŐ SZOLGÁLAT'!Y70</f>
        <v>0</v>
      </c>
      <c r="E60" s="157">
        <f>+'3.SZ.TÁBL. SEGÍTŐ SZOLGÁLAT'!Z70</f>
        <v>0</v>
      </c>
      <c r="F60" s="549"/>
      <c r="G60" s="160">
        <f>+'4.SZ.TÁBL. ÓVODA'!R66</f>
        <v>0</v>
      </c>
      <c r="H60" s="156">
        <f>+'4.SZ.TÁBL. ÓVODA'!S66</f>
        <v>0</v>
      </c>
      <c r="I60" s="157">
        <f>+'4.SZ.TÁBL. ÓVODA'!T66</f>
        <v>0</v>
      </c>
      <c r="J60" s="549"/>
      <c r="K60" s="577">
        <f t="shared" si="105"/>
        <v>0</v>
      </c>
      <c r="L60" s="578">
        <f t="shared" si="106"/>
        <v>0</v>
      </c>
      <c r="M60" s="579">
        <f t="shared" si="107"/>
        <v>0</v>
      </c>
      <c r="N60" s="160"/>
      <c r="O60" s="156"/>
      <c r="P60" s="157"/>
      <c r="Q60" s="567"/>
      <c r="R60" s="577">
        <f t="shared" si="22"/>
        <v>0</v>
      </c>
      <c r="S60" s="578">
        <f t="shared" si="108"/>
        <v>0</v>
      </c>
      <c r="T60" s="580">
        <f t="shared" si="109"/>
        <v>0</v>
      </c>
      <c r="U60" s="567"/>
    </row>
    <row r="61" spans="1:32" s="235" customFormat="1" ht="13.5" customHeight="1">
      <c r="A61" s="132" t="s">
        <v>196</v>
      </c>
      <c r="B61" s="119" t="s">
        <v>154</v>
      </c>
      <c r="C61" s="208">
        <f>SUM(C58:C60)</f>
        <v>3421</v>
      </c>
      <c r="D61" s="212">
        <f t="shared" ref="D61:E61" si="112">SUM(D58:D60)</f>
        <v>3180</v>
      </c>
      <c r="E61" s="215">
        <f t="shared" si="112"/>
        <v>1916</v>
      </c>
      <c r="F61" s="544">
        <f t="shared" ref="F61:F66" si="113">+E61/D61</f>
        <v>0.60251572327044023</v>
      </c>
      <c r="G61" s="208">
        <f>SUM(G58:G60)</f>
        <v>1885</v>
      </c>
      <c r="H61" s="212">
        <f t="shared" ref="H61:I61" si="114">SUM(H58:H60)</f>
        <v>1927</v>
      </c>
      <c r="I61" s="215">
        <f t="shared" si="114"/>
        <v>647</v>
      </c>
      <c r="J61" s="544">
        <f t="shared" ref="J61:J66" si="115">+I61/H61</f>
        <v>0.33575505967825636</v>
      </c>
      <c r="K61" s="208">
        <f>SUM(K58:K60)</f>
        <v>5306</v>
      </c>
      <c r="L61" s="212">
        <f t="shared" ref="L61:M61" si="116">SUM(L58:L60)</f>
        <v>5107</v>
      </c>
      <c r="M61" s="213">
        <f t="shared" si="116"/>
        <v>2563</v>
      </c>
      <c r="N61" s="831">
        <f>+SUM(N58:N60)</f>
        <v>0</v>
      </c>
      <c r="O61" s="832">
        <f t="shared" ref="O61" si="117">+SUM(O58:O60)</f>
        <v>0</v>
      </c>
      <c r="P61" s="833">
        <f t="shared" ref="P61" si="118">+SUM(P58:P60)</f>
        <v>0</v>
      </c>
      <c r="Q61" s="560"/>
      <c r="R61" s="831">
        <f>+SUM(R58:R60)</f>
        <v>5306</v>
      </c>
      <c r="S61" s="832">
        <f t="shared" ref="S61:T61" si="119">+SUM(S58:S60)</f>
        <v>5107</v>
      </c>
      <c r="T61" s="833">
        <f t="shared" si="119"/>
        <v>2563</v>
      </c>
      <c r="U61" s="560">
        <f t="shared" ref="U61:U66" si="120">+T61/S61</f>
        <v>0.50186019189347952</v>
      </c>
      <c r="V61" s="290"/>
    </row>
    <row r="62" spans="1:32" ht="13.5" customHeight="1">
      <c r="A62" s="129" t="s">
        <v>244</v>
      </c>
      <c r="B62" s="117" t="s">
        <v>245</v>
      </c>
      <c r="C62" s="150">
        <f>+'3.SZ.TÁBL. SEGÍTŐ SZOLGÁLAT'!X72</f>
        <v>300</v>
      </c>
      <c r="D62" s="146">
        <f>+'3.SZ.TÁBL. SEGÍTŐ SZOLGÁLAT'!Y72</f>
        <v>300</v>
      </c>
      <c r="E62" s="147">
        <f>+'3.SZ.TÁBL. SEGÍTŐ SZOLGÁLAT'!Z72</f>
        <v>225</v>
      </c>
      <c r="F62" s="547">
        <f t="shared" si="113"/>
        <v>0.75</v>
      </c>
      <c r="G62" s="150">
        <f>+'4.SZ.TÁBL. ÓVODA'!R68</f>
        <v>180</v>
      </c>
      <c r="H62" s="146">
        <f>+'4.SZ.TÁBL. ÓVODA'!S68</f>
        <v>180</v>
      </c>
      <c r="I62" s="147">
        <f>+'4.SZ.TÁBL. ÓVODA'!T68</f>
        <v>135</v>
      </c>
      <c r="J62" s="547">
        <f t="shared" si="115"/>
        <v>0.75</v>
      </c>
      <c r="K62" s="813">
        <f t="shared" ref="K62:K63" si="121">+C62+G62</f>
        <v>480</v>
      </c>
      <c r="L62" s="814">
        <f t="shared" ref="L62:L63" si="122">+D62+H62</f>
        <v>480</v>
      </c>
      <c r="M62" s="816">
        <f t="shared" ref="M62:M63" si="123">+E62+I62</f>
        <v>360</v>
      </c>
      <c r="N62" s="150"/>
      <c r="O62" s="146"/>
      <c r="P62" s="147"/>
      <c r="Q62" s="564"/>
      <c r="R62" s="813">
        <f t="shared" si="22"/>
        <v>480</v>
      </c>
      <c r="S62" s="814">
        <f t="shared" ref="S62:S63" si="124">+L62+O62</f>
        <v>480</v>
      </c>
      <c r="T62" s="815">
        <f t="shared" ref="T62:T63" si="125">+M62+P62</f>
        <v>360</v>
      </c>
      <c r="U62" s="564">
        <f t="shared" si="120"/>
        <v>0.75</v>
      </c>
    </row>
    <row r="63" spans="1:32" ht="13.5" customHeight="1">
      <c r="A63" s="131" t="s">
        <v>246</v>
      </c>
      <c r="B63" s="118" t="s">
        <v>247</v>
      </c>
      <c r="C63" s="160">
        <f>+'3.SZ.TÁBL. SEGÍTŐ SZOLGÁLAT'!X73</f>
        <v>534</v>
      </c>
      <c r="D63" s="156">
        <f>+'3.SZ.TÁBL. SEGÍTŐ SZOLGÁLAT'!Y73</f>
        <v>534</v>
      </c>
      <c r="E63" s="157">
        <f>+'3.SZ.TÁBL. SEGÍTŐ SZOLGÁLAT'!Z73</f>
        <v>379</v>
      </c>
      <c r="F63" s="549">
        <f t="shared" si="113"/>
        <v>0.70973782771535576</v>
      </c>
      <c r="G63" s="160">
        <f>+'4.SZ.TÁBL. ÓVODA'!R69</f>
        <v>420</v>
      </c>
      <c r="H63" s="156">
        <f>+'4.SZ.TÁBL. ÓVODA'!S69</f>
        <v>420</v>
      </c>
      <c r="I63" s="157">
        <f>+'4.SZ.TÁBL. ÓVODA'!T69</f>
        <v>321</v>
      </c>
      <c r="J63" s="549">
        <f t="shared" si="115"/>
        <v>0.76428571428571423</v>
      </c>
      <c r="K63" s="577">
        <f t="shared" si="121"/>
        <v>954</v>
      </c>
      <c r="L63" s="578">
        <f t="shared" si="122"/>
        <v>954</v>
      </c>
      <c r="M63" s="579">
        <f t="shared" si="123"/>
        <v>700</v>
      </c>
      <c r="N63" s="160"/>
      <c r="O63" s="156"/>
      <c r="P63" s="157"/>
      <c r="Q63" s="567"/>
      <c r="R63" s="577">
        <f t="shared" si="22"/>
        <v>954</v>
      </c>
      <c r="S63" s="578">
        <f t="shared" si="124"/>
        <v>954</v>
      </c>
      <c r="T63" s="580">
        <f t="shared" si="125"/>
        <v>700</v>
      </c>
      <c r="U63" s="567">
        <f t="shared" si="120"/>
        <v>0.7337526205450734</v>
      </c>
    </row>
    <row r="64" spans="1:32" s="235" customFormat="1" ht="13.5" customHeight="1">
      <c r="A64" s="132" t="s">
        <v>197</v>
      </c>
      <c r="B64" s="119" t="s">
        <v>155</v>
      </c>
      <c r="C64" s="208">
        <f>SUM(C62:C63)</f>
        <v>834</v>
      </c>
      <c r="D64" s="212">
        <f t="shared" ref="D64:E64" si="126">SUM(D62:D63)</f>
        <v>834</v>
      </c>
      <c r="E64" s="215">
        <f t="shared" si="126"/>
        <v>604</v>
      </c>
      <c r="F64" s="544">
        <f t="shared" si="113"/>
        <v>0.72422062350119909</v>
      </c>
      <c r="G64" s="208">
        <f>SUM(G62:G63)</f>
        <v>600</v>
      </c>
      <c r="H64" s="212">
        <f t="shared" ref="H64:I64" si="127">SUM(H62:H63)</f>
        <v>600</v>
      </c>
      <c r="I64" s="215">
        <f t="shared" si="127"/>
        <v>456</v>
      </c>
      <c r="J64" s="544">
        <f t="shared" si="115"/>
        <v>0.76</v>
      </c>
      <c r="K64" s="208">
        <f>SUM(K62:K63)</f>
        <v>1434</v>
      </c>
      <c r="L64" s="212">
        <f t="shared" ref="L64:M64" si="128">SUM(L62:L63)</f>
        <v>1434</v>
      </c>
      <c r="M64" s="213">
        <f t="shared" si="128"/>
        <v>1060</v>
      </c>
      <c r="N64" s="831">
        <f>+SUM(N62:N63)</f>
        <v>0</v>
      </c>
      <c r="O64" s="832">
        <f t="shared" ref="O64" si="129">+SUM(O62:O63)</f>
        <v>0</v>
      </c>
      <c r="P64" s="833">
        <f t="shared" ref="P64" si="130">+SUM(P62:P63)</f>
        <v>0</v>
      </c>
      <c r="Q64" s="560"/>
      <c r="R64" s="831">
        <f>+SUM(R62:R63)</f>
        <v>1434</v>
      </c>
      <c r="S64" s="832">
        <f t="shared" ref="S64:T64" si="131">+SUM(S62:S63)</f>
        <v>1434</v>
      </c>
      <c r="T64" s="833">
        <f t="shared" si="131"/>
        <v>1060</v>
      </c>
      <c r="U64" s="560">
        <f t="shared" si="120"/>
        <v>0.73919107391910743</v>
      </c>
      <c r="V64" s="290"/>
    </row>
    <row r="65" spans="1:22" ht="13.5" customHeight="1">
      <c r="A65" s="129" t="s">
        <v>248</v>
      </c>
      <c r="B65" s="117" t="s">
        <v>249</v>
      </c>
      <c r="C65" s="150">
        <f>+'3.SZ.TÁBL. SEGÍTŐ SZOLGÁLAT'!X75</f>
        <v>2330</v>
      </c>
      <c r="D65" s="146">
        <f>+'3.SZ.TÁBL. SEGÍTŐ SZOLGÁLAT'!Y75</f>
        <v>2330</v>
      </c>
      <c r="E65" s="147">
        <f>+'3.SZ.TÁBL. SEGÍTŐ SZOLGÁLAT'!Z75</f>
        <v>822</v>
      </c>
      <c r="F65" s="547">
        <f t="shared" si="113"/>
        <v>0.35278969957081546</v>
      </c>
      <c r="G65" s="150">
        <f>+'4.SZ.TÁBL. ÓVODA'!R71</f>
        <v>3165</v>
      </c>
      <c r="H65" s="146">
        <f>+'4.SZ.TÁBL. ÓVODA'!S71</f>
        <v>3266</v>
      </c>
      <c r="I65" s="147">
        <f>+'4.SZ.TÁBL. ÓVODA'!T71</f>
        <v>2112</v>
      </c>
      <c r="J65" s="547">
        <f t="shared" si="115"/>
        <v>0.64666258420085732</v>
      </c>
      <c r="K65" s="813">
        <f t="shared" ref="K65:K73" si="132">+C65+G65</f>
        <v>5495</v>
      </c>
      <c r="L65" s="814">
        <f t="shared" ref="L65:L73" si="133">+D65+H65</f>
        <v>5596</v>
      </c>
      <c r="M65" s="816">
        <f t="shared" ref="M65:M73" si="134">+E65+I65</f>
        <v>2934</v>
      </c>
      <c r="N65" s="150"/>
      <c r="O65" s="146"/>
      <c r="P65" s="147"/>
      <c r="Q65" s="564"/>
      <c r="R65" s="813">
        <f t="shared" si="22"/>
        <v>5495</v>
      </c>
      <c r="S65" s="814">
        <f t="shared" ref="S65:S73" si="135">+L65+O65</f>
        <v>5596</v>
      </c>
      <c r="T65" s="815">
        <f t="shared" ref="T65:T73" si="136">+M65+P65</f>
        <v>2934</v>
      </c>
      <c r="U65" s="564">
        <f t="shared" si="120"/>
        <v>0.52430307362401718</v>
      </c>
    </row>
    <row r="66" spans="1:22" ht="13.5" customHeight="1">
      <c r="A66" s="130" t="s">
        <v>250</v>
      </c>
      <c r="B66" s="106" t="s">
        <v>3</v>
      </c>
      <c r="C66" s="143">
        <f>+'3.SZ.TÁBL. SEGÍTŐ SZOLGÁLAT'!X76</f>
        <v>250</v>
      </c>
      <c r="D66" s="137">
        <f>+'3.SZ.TÁBL. SEGÍTŐ SZOLGÁLAT'!Y76</f>
        <v>352</v>
      </c>
      <c r="E66" s="140">
        <f>+'3.SZ.TÁBL. SEGÍTŐ SZOLGÁLAT'!Z76</f>
        <v>225</v>
      </c>
      <c r="F66" s="548">
        <f t="shared" si="113"/>
        <v>0.63920454545454541</v>
      </c>
      <c r="G66" s="143">
        <f>+'4.SZ.TÁBL. ÓVODA'!R72</f>
        <v>6230</v>
      </c>
      <c r="H66" s="137">
        <f>+'4.SZ.TÁBL. ÓVODA'!S72</f>
        <v>6230</v>
      </c>
      <c r="I66" s="140">
        <f>+'4.SZ.TÁBL. ÓVODA'!T72</f>
        <v>2938</v>
      </c>
      <c r="J66" s="548">
        <f t="shared" si="115"/>
        <v>0.47158908507223113</v>
      </c>
      <c r="K66" s="659">
        <f t="shared" si="132"/>
        <v>6480</v>
      </c>
      <c r="L66" s="820">
        <f t="shared" si="133"/>
        <v>6582</v>
      </c>
      <c r="M66" s="822">
        <f t="shared" si="134"/>
        <v>3163</v>
      </c>
      <c r="N66" s="143"/>
      <c r="O66" s="137"/>
      <c r="P66" s="140"/>
      <c r="Q66" s="566"/>
      <c r="R66" s="659">
        <f t="shared" si="22"/>
        <v>6480</v>
      </c>
      <c r="S66" s="820">
        <f t="shared" si="135"/>
        <v>6582</v>
      </c>
      <c r="T66" s="821">
        <f t="shared" si="136"/>
        <v>3163</v>
      </c>
      <c r="U66" s="566">
        <f t="shared" si="120"/>
        <v>0.48055302339714373</v>
      </c>
    </row>
    <row r="67" spans="1:22" ht="13.5" customHeight="1">
      <c r="A67" s="130" t="s">
        <v>251</v>
      </c>
      <c r="B67" s="106" t="s">
        <v>252</v>
      </c>
      <c r="C67" s="143">
        <f>+'3.SZ.TÁBL. SEGÍTŐ SZOLGÁLAT'!X77</f>
        <v>0</v>
      </c>
      <c r="D67" s="137">
        <f>+'3.SZ.TÁBL. SEGÍTŐ SZOLGÁLAT'!Y77</f>
        <v>0</v>
      </c>
      <c r="E67" s="140">
        <f>+'3.SZ.TÁBL. SEGÍTŐ SZOLGÁLAT'!Z77</f>
        <v>0</v>
      </c>
      <c r="F67" s="548"/>
      <c r="G67" s="143">
        <f>+'4.SZ.TÁBL. ÓVODA'!R73</f>
        <v>0</v>
      </c>
      <c r="H67" s="137">
        <f>+'4.SZ.TÁBL. ÓVODA'!S73</f>
        <v>0</v>
      </c>
      <c r="I67" s="140">
        <f>+'4.SZ.TÁBL. ÓVODA'!T73</f>
        <v>0</v>
      </c>
      <c r="J67" s="548"/>
      <c r="K67" s="659">
        <f t="shared" si="132"/>
        <v>0</v>
      </c>
      <c r="L67" s="820">
        <f t="shared" si="133"/>
        <v>0</v>
      </c>
      <c r="M67" s="822">
        <f t="shared" si="134"/>
        <v>0</v>
      </c>
      <c r="N67" s="143"/>
      <c r="O67" s="137"/>
      <c r="P67" s="140"/>
      <c r="Q67" s="566"/>
      <c r="R67" s="659">
        <f t="shared" si="22"/>
        <v>0</v>
      </c>
      <c r="S67" s="820">
        <f t="shared" si="135"/>
        <v>0</v>
      </c>
      <c r="T67" s="821">
        <f t="shared" si="136"/>
        <v>0</v>
      </c>
      <c r="U67" s="566"/>
    </row>
    <row r="68" spans="1:22" ht="13.5" customHeight="1">
      <c r="A68" s="130" t="s">
        <v>253</v>
      </c>
      <c r="B68" s="106" t="s">
        <v>254</v>
      </c>
      <c r="C68" s="143">
        <f>+'3.SZ.TÁBL. SEGÍTŐ SZOLGÁLAT'!X78</f>
        <v>1160</v>
      </c>
      <c r="D68" s="137">
        <f>+'3.SZ.TÁBL. SEGÍTŐ SZOLGÁLAT'!Y78</f>
        <v>1916</v>
      </c>
      <c r="E68" s="140">
        <f>+'3.SZ.TÁBL. SEGÍTŐ SZOLGÁLAT'!Z78</f>
        <v>1614</v>
      </c>
      <c r="F68" s="548">
        <f>+E68/D68</f>
        <v>0.84237995824634659</v>
      </c>
      <c r="G68" s="143">
        <f>+'4.SZ.TÁBL. ÓVODA'!R74</f>
        <v>993</v>
      </c>
      <c r="H68" s="137">
        <f>+'4.SZ.TÁBL. ÓVODA'!S74</f>
        <v>623</v>
      </c>
      <c r="I68" s="140">
        <f>+'4.SZ.TÁBL. ÓVODA'!T74</f>
        <v>146</v>
      </c>
      <c r="J68" s="548">
        <f>+I68/H68</f>
        <v>0.23434991974317818</v>
      </c>
      <c r="K68" s="659">
        <f t="shared" si="132"/>
        <v>2153</v>
      </c>
      <c r="L68" s="820">
        <f t="shared" si="133"/>
        <v>2539</v>
      </c>
      <c r="M68" s="822">
        <f t="shared" si="134"/>
        <v>1760</v>
      </c>
      <c r="N68" s="143"/>
      <c r="O68" s="137"/>
      <c r="P68" s="140"/>
      <c r="Q68" s="566"/>
      <c r="R68" s="659">
        <f t="shared" si="22"/>
        <v>2153</v>
      </c>
      <c r="S68" s="820">
        <f t="shared" si="135"/>
        <v>2539</v>
      </c>
      <c r="T68" s="821">
        <f t="shared" si="136"/>
        <v>1760</v>
      </c>
      <c r="U68" s="566">
        <f>+T68/S68</f>
        <v>0.69318629381646313</v>
      </c>
    </row>
    <row r="69" spans="1:22" ht="13.5" customHeight="1">
      <c r="A69" s="130" t="s">
        <v>255</v>
      </c>
      <c r="B69" s="106" t="s">
        <v>256</v>
      </c>
      <c r="C69" s="143">
        <f>+SUM(C70:C71)</f>
        <v>0</v>
      </c>
      <c r="D69" s="137">
        <f t="shared" ref="D69:E69" si="137">+SUM(D70:D71)</f>
        <v>21</v>
      </c>
      <c r="E69" s="140">
        <f t="shared" si="137"/>
        <v>20</v>
      </c>
      <c r="F69" s="548">
        <f>+E69/D69</f>
        <v>0.95238095238095233</v>
      </c>
      <c r="G69" s="143">
        <f>+SUM(G70:G71)</f>
        <v>0</v>
      </c>
      <c r="H69" s="137">
        <f t="shared" ref="H69" si="138">+SUM(H70:H71)</f>
        <v>0</v>
      </c>
      <c r="I69" s="140">
        <f t="shared" ref="I69" si="139">+SUM(I70:I71)</f>
        <v>0</v>
      </c>
      <c r="J69" s="548"/>
      <c r="K69" s="143">
        <f>+SUM(K70:K71)</f>
        <v>0</v>
      </c>
      <c r="L69" s="137">
        <f t="shared" ref="L69" si="140">+SUM(L70:L71)</f>
        <v>21</v>
      </c>
      <c r="M69" s="138">
        <f t="shared" ref="M69" si="141">+SUM(M70:M71)</f>
        <v>20</v>
      </c>
      <c r="N69" s="143"/>
      <c r="O69" s="137"/>
      <c r="P69" s="140"/>
      <c r="Q69" s="566"/>
      <c r="R69" s="143">
        <f>+SUM(R70:R71)</f>
        <v>0</v>
      </c>
      <c r="S69" s="137">
        <f t="shared" ref="S69" si="142">+SUM(S70:S71)</f>
        <v>21</v>
      </c>
      <c r="T69" s="140">
        <f t="shared" ref="T69" si="143">+SUM(T70:T71)</f>
        <v>20</v>
      </c>
      <c r="U69" s="566">
        <f t="shared" ref="U69:U71" si="144">+T69/S69</f>
        <v>0.95238095238095233</v>
      </c>
    </row>
    <row r="70" spans="1:22" s="202" customFormat="1" ht="13.5" customHeight="1">
      <c r="A70" s="134" t="s">
        <v>255</v>
      </c>
      <c r="B70" s="107" t="s">
        <v>300</v>
      </c>
      <c r="C70" s="200">
        <f>+'3.SZ.TÁBL. SEGÍTŐ SZOLGÁLAT'!X80</f>
        <v>0</v>
      </c>
      <c r="D70" s="198">
        <f>+'3.SZ.TÁBL. SEGÍTŐ SZOLGÁLAT'!Y80</f>
        <v>0</v>
      </c>
      <c r="E70" s="537">
        <f>+'3.SZ.TÁBL. SEGÍTŐ SZOLGÁLAT'!Z80</f>
        <v>0</v>
      </c>
      <c r="F70" s="548"/>
      <c r="G70" s="200">
        <f>+'4.SZ.TÁBL. ÓVODA'!R76</f>
        <v>0</v>
      </c>
      <c r="H70" s="198">
        <f>+'4.SZ.TÁBL. ÓVODA'!S76</f>
        <v>0</v>
      </c>
      <c r="I70" s="537">
        <f>+'4.SZ.TÁBL. ÓVODA'!T76</f>
        <v>0</v>
      </c>
      <c r="J70" s="551"/>
      <c r="K70" s="823">
        <f t="shared" si="132"/>
        <v>0</v>
      </c>
      <c r="L70" s="824">
        <f t="shared" si="133"/>
        <v>0</v>
      </c>
      <c r="M70" s="867">
        <f t="shared" si="134"/>
        <v>0</v>
      </c>
      <c r="N70" s="200"/>
      <c r="O70" s="198"/>
      <c r="P70" s="537"/>
      <c r="Q70" s="573"/>
      <c r="R70" s="823">
        <f t="shared" si="22"/>
        <v>0</v>
      </c>
      <c r="S70" s="824">
        <f t="shared" si="135"/>
        <v>0</v>
      </c>
      <c r="T70" s="825">
        <f t="shared" si="136"/>
        <v>0</v>
      </c>
      <c r="U70" s="566"/>
      <c r="V70" s="288"/>
    </row>
    <row r="71" spans="1:22" s="202" customFormat="1" ht="13.5" customHeight="1">
      <c r="A71" s="134" t="s">
        <v>255</v>
      </c>
      <c r="B71" s="107" t="s">
        <v>301</v>
      </c>
      <c r="C71" s="200">
        <f>+'3.SZ.TÁBL. SEGÍTŐ SZOLGÁLAT'!X81</f>
        <v>0</v>
      </c>
      <c r="D71" s="198">
        <f>+'3.SZ.TÁBL. SEGÍTŐ SZOLGÁLAT'!Y81</f>
        <v>21</v>
      </c>
      <c r="E71" s="537">
        <f>+'3.SZ.TÁBL. SEGÍTŐ SZOLGÁLAT'!Z81</f>
        <v>20</v>
      </c>
      <c r="F71" s="548">
        <f t="shared" ref="F71" si="145">+E71/D71</f>
        <v>0.95238095238095233</v>
      </c>
      <c r="G71" s="200">
        <f>+'4.SZ.TÁBL. ÓVODA'!R77</f>
        <v>0</v>
      </c>
      <c r="H71" s="198">
        <f>+'4.SZ.TÁBL. ÓVODA'!S77</f>
        <v>0</v>
      </c>
      <c r="I71" s="537">
        <f>+'4.SZ.TÁBL. ÓVODA'!T77</f>
        <v>0</v>
      </c>
      <c r="J71" s="551"/>
      <c r="K71" s="823">
        <f t="shared" si="132"/>
        <v>0</v>
      </c>
      <c r="L71" s="824">
        <f t="shared" si="133"/>
        <v>21</v>
      </c>
      <c r="M71" s="867">
        <f t="shared" si="134"/>
        <v>20</v>
      </c>
      <c r="N71" s="200"/>
      <c r="O71" s="198"/>
      <c r="P71" s="537"/>
      <c r="Q71" s="573"/>
      <c r="R71" s="823">
        <f t="shared" si="22"/>
        <v>0</v>
      </c>
      <c r="S71" s="824">
        <f t="shared" si="135"/>
        <v>21</v>
      </c>
      <c r="T71" s="825">
        <f t="shared" si="136"/>
        <v>20</v>
      </c>
      <c r="U71" s="566">
        <f t="shared" si="144"/>
        <v>0.95238095238095233</v>
      </c>
      <c r="V71" s="288"/>
    </row>
    <row r="72" spans="1:22" ht="13.5" customHeight="1">
      <c r="A72" s="130" t="s">
        <v>257</v>
      </c>
      <c r="B72" s="106" t="s">
        <v>258</v>
      </c>
      <c r="C72" s="143">
        <f>+'3.SZ.TÁBL. SEGÍTŐ SZOLGÁLAT'!X82</f>
        <v>1480</v>
      </c>
      <c r="D72" s="137">
        <f>+'3.SZ.TÁBL. SEGÍTŐ SZOLGÁLAT'!Y82</f>
        <v>1543</v>
      </c>
      <c r="E72" s="140">
        <f>+'3.SZ.TÁBL. SEGÍTŐ SZOLGÁLAT'!Z82</f>
        <v>1095</v>
      </c>
      <c r="F72" s="548">
        <f>+E72/D72</f>
        <v>0.70965651328580692</v>
      </c>
      <c r="G72" s="143">
        <f>+'4.SZ.TÁBL. ÓVODA'!R78</f>
        <v>1562</v>
      </c>
      <c r="H72" s="137">
        <f>+'4.SZ.TÁBL. ÓVODA'!S78</f>
        <v>1531</v>
      </c>
      <c r="I72" s="140">
        <f>+'4.SZ.TÁBL. ÓVODA'!T78</f>
        <v>625</v>
      </c>
      <c r="J72" s="548">
        <f>+I72/H72</f>
        <v>0.40822991508817769</v>
      </c>
      <c r="K72" s="659">
        <f t="shared" si="132"/>
        <v>3042</v>
      </c>
      <c r="L72" s="820">
        <f t="shared" si="133"/>
        <v>3074</v>
      </c>
      <c r="M72" s="822">
        <f t="shared" si="134"/>
        <v>1720</v>
      </c>
      <c r="N72" s="659">
        <f>+'[5]1.1.SZ.TÁBL. BEV - KIAD'!$L72</f>
        <v>41848</v>
      </c>
      <c r="O72" s="137">
        <f>+'[4]1.1.SZ.TÁBL. BEV - KIAD'!$N72</f>
        <v>42112</v>
      </c>
      <c r="P72" s="140">
        <f>1640+29610</f>
        <v>31250</v>
      </c>
      <c r="Q72" s="566">
        <f>+P72/O72</f>
        <v>0.7420687689969605</v>
      </c>
      <c r="R72" s="659">
        <f t="shared" si="22"/>
        <v>44890</v>
      </c>
      <c r="S72" s="820">
        <f t="shared" si="135"/>
        <v>45186</v>
      </c>
      <c r="T72" s="821">
        <f t="shared" si="136"/>
        <v>32970</v>
      </c>
      <c r="U72" s="566">
        <f>+T72/S72</f>
        <v>0.72965077678927104</v>
      </c>
    </row>
    <row r="73" spans="1:22" ht="29.25" customHeight="1">
      <c r="A73" s="131" t="s">
        <v>259</v>
      </c>
      <c r="B73" s="118" t="s">
        <v>415</v>
      </c>
      <c r="C73" s="160">
        <f>+'3.SZ.TÁBL. SEGÍTŐ SZOLGÁLAT'!X83</f>
        <v>3818</v>
      </c>
      <c r="D73" s="156">
        <f>+'3.SZ.TÁBL. SEGÍTŐ SZOLGÁLAT'!Y83</f>
        <v>4096</v>
      </c>
      <c r="E73" s="157">
        <f>+'3.SZ.TÁBL. SEGÍTŐ SZOLGÁLAT'!Z83</f>
        <v>2566</v>
      </c>
      <c r="F73" s="549">
        <f>+E73/D73</f>
        <v>0.62646484375</v>
      </c>
      <c r="G73" s="160">
        <f>+'4.SZ.TÁBL. ÓVODA'!R79</f>
        <v>1655</v>
      </c>
      <c r="H73" s="156">
        <f>+'4.SZ.TÁBL. ÓVODA'!S79</f>
        <v>1703</v>
      </c>
      <c r="I73" s="157">
        <f>+'4.SZ.TÁBL. ÓVODA'!T79</f>
        <v>649</v>
      </c>
      <c r="J73" s="549">
        <f>+I73/H73</f>
        <v>0.38109219025249558</v>
      </c>
      <c r="K73" s="577">
        <f t="shared" si="132"/>
        <v>5473</v>
      </c>
      <c r="L73" s="578">
        <f t="shared" si="133"/>
        <v>5799</v>
      </c>
      <c r="M73" s="579">
        <f t="shared" si="134"/>
        <v>3215</v>
      </c>
      <c r="N73" s="659">
        <f>+'[5]1.1.SZ.TÁBL. BEV - KIAD'!$L73</f>
        <v>522</v>
      </c>
      <c r="O73" s="137">
        <f>+'[4]1.1.SZ.TÁBL. BEV - KIAD'!$N73</f>
        <v>800</v>
      </c>
      <c r="P73" s="140">
        <f>278+22+297</f>
        <v>597</v>
      </c>
      <c r="Q73" s="567">
        <f>+P73/O73</f>
        <v>0.74624999999999997</v>
      </c>
      <c r="R73" s="577">
        <f t="shared" si="22"/>
        <v>5995</v>
      </c>
      <c r="S73" s="578">
        <f t="shared" si="135"/>
        <v>6599</v>
      </c>
      <c r="T73" s="580">
        <f t="shared" si="136"/>
        <v>3812</v>
      </c>
      <c r="U73" s="567">
        <f>+T73/S73</f>
        <v>0.57766328231550235</v>
      </c>
    </row>
    <row r="74" spans="1:22" s="235" customFormat="1" ht="13.5" customHeight="1">
      <c r="A74" s="132" t="s">
        <v>198</v>
      </c>
      <c r="B74" s="119" t="s">
        <v>156</v>
      </c>
      <c r="C74" s="208">
        <f>+SUM(C65:C69,C72:C73)</f>
        <v>9038</v>
      </c>
      <c r="D74" s="212">
        <f t="shared" ref="D74:E74" si="146">+SUM(D65:D69,D72:D73)</f>
        <v>10258</v>
      </c>
      <c r="E74" s="215">
        <f t="shared" si="146"/>
        <v>6342</v>
      </c>
      <c r="F74" s="544">
        <f>+E74/D74</f>
        <v>0.61824917137843638</v>
      </c>
      <c r="G74" s="208">
        <f>+SUM(G65:G69,G72:G73)</f>
        <v>13605</v>
      </c>
      <c r="H74" s="212">
        <f t="shared" ref="H74:I74" si="147">+SUM(H65:H69,H72:H73)</f>
        <v>13353</v>
      </c>
      <c r="I74" s="215">
        <f t="shared" si="147"/>
        <v>6470</v>
      </c>
      <c r="J74" s="544">
        <f>+I74/H74</f>
        <v>0.48453531041713471</v>
      </c>
      <c r="K74" s="208">
        <f>+SUM(K65:K69,K72:K73)</f>
        <v>22643</v>
      </c>
      <c r="L74" s="212">
        <f t="shared" ref="L74:P74" si="148">+SUM(L65:L69,L72:L73)</f>
        <v>23611</v>
      </c>
      <c r="M74" s="213">
        <f t="shared" si="148"/>
        <v>12812</v>
      </c>
      <c r="N74" s="208">
        <f>+SUM(N65:N69,N72:N73)</f>
        <v>42370</v>
      </c>
      <c r="O74" s="212">
        <f t="shared" si="148"/>
        <v>42912</v>
      </c>
      <c r="P74" s="215">
        <f t="shared" si="148"/>
        <v>31847</v>
      </c>
      <c r="Q74" s="560">
        <f>+P74/O74</f>
        <v>0.74214671886651751</v>
      </c>
      <c r="R74" s="208">
        <f>+SUM(R65:R69,R72:R73)</f>
        <v>65013</v>
      </c>
      <c r="S74" s="212">
        <f t="shared" ref="S74:T74" si="149">+SUM(S65:S69,S72:S73)</f>
        <v>66523</v>
      </c>
      <c r="T74" s="215">
        <f t="shared" si="149"/>
        <v>44659</v>
      </c>
      <c r="U74" s="560">
        <f>+T74/S74</f>
        <v>0.67133171985629025</v>
      </c>
      <c r="V74" s="290"/>
    </row>
    <row r="75" spans="1:22" ht="13.5" customHeight="1">
      <c r="A75" s="129" t="s">
        <v>261</v>
      </c>
      <c r="B75" s="117" t="s">
        <v>262</v>
      </c>
      <c r="C75" s="150">
        <f>+'3.SZ.TÁBL. SEGÍTŐ SZOLGÁLAT'!X85</f>
        <v>720</v>
      </c>
      <c r="D75" s="146">
        <f>+'3.SZ.TÁBL. SEGÍTŐ SZOLGÁLAT'!Y85</f>
        <v>820</v>
      </c>
      <c r="E75" s="147">
        <f>+'3.SZ.TÁBL. SEGÍTŐ SZOLGÁLAT'!Z85</f>
        <v>544</v>
      </c>
      <c r="F75" s="547">
        <f>+E75/D75</f>
        <v>0.6634146341463415</v>
      </c>
      <c r="G75" s="150">
        <f>+'4.SZ.TÁBL. ÓVODA'!R81</f>
        <v>150</v>
      </c>
      <c r="H75" s="146">
        <f>+'4.SZ.TÁBL. ÓVODA'!S81</f>
        <v>201</v>
      </c>
      <c r="I75" s="147">
        <f>+'4.SZ.TÁBL. ÓVODA'!T81</f>
        <v>150</v>
      </c>
      <c r="J75" s="547">
        <f>+I75/H75</f>
        <v>0.74626865671641796</v>
      </c>
      <c r="K75" s="813">
        <f t="shared" ref="K75:K76" si="150">+C75+G75</f>
        <v>870</v>
      </c>
      <c r="L75" s="814">
        <f t="shared" ref="L75:L76" si="151">+D75+H75</f>
        <v>1021</v>
      </c>
      <c r="M75" s="816">
        <f t="shared" ref="M75:M76" si="152">+E75+I75</f>
        <v>694</v>
      </c>
      <c r="N75" s="150"/>
      <c r="O75" s="146"/>
      <c r="P75" s="147"/>
      <c r="Q75" s="564"/>
      <c r="R75" s="813">
        <f t="shared" si="22"/>
        <v>870</v>
      </c>
      <c r="S75" s="814">
        <f t="shared" ref="S75:S76" si="153">+L75+O75</f>
        <v>1021</v>
      </c>
      <c r="T75" s="815">
        <f t="shared" ref="T75:T76" si="154">+M75+P75</f>
        <v>694</v>
      </c>
      <c r="U75" s="564">
        <f>+T75/S75</f>
        <v>0.6797257590597453</v>
      </c>
    </row>
    <row r="76" spans="1:22" ht="13.5" customHeight="1">
      <c r="A76" s="131" t="s">
        <v>263</v>
      </c>
      <c r="B76" s="118" t="s">
        <v>264</v>
      </c>
      <c r="C76" s="160">
        <f>+'3.SZ.TÁBL. SEGÍTŐ SZOLGÁLAT'!X86</f>
        <v>0</v>
      </c>
      <c r="D76" s="156">
        <f>+'3.SZ.TÁBL. SEGÍTŐ SZOLGÁLAT'!Y86</f>
        <v>0</v>
      </c>
      <c r="E76" s="157">
        <f>+'3.SZ.TÁBL. SEGÍTŐ SZOLGÁLAT'!Z86</f>
        <v>0</v>
      </c>
      <c r="F76" s="549"/>
      <c r="G76" s="160">
        <f>+'4.SZ.TÁBL. ÓVODA'!R82</f>
        <v>0</v>
      </c>
      <c r="H76" s="156">
        <f>+'4.SZ.TÁBL. ÓVODA'!S82</f>
        <v>0</v>
      </c>
      <c r="I76" s="157">
        <f>+'4.SZ.TÁBL. ÓVODA'!T82</f>
        <v>0</v>
      </c>
      <c r="J76" s="549"/>
      <c r="K76" s="577">
        <f t="shared" si="150"/>
        <v>0</v>
      </c>
      <c r="L76" s="578">
        <f t="shared" si="151"/>
        <v>0</v>
      </c>
      <c r="M76" s="579">
        <f t="shared" si="152"/>
        <v>0</v>
      </c>
      <c r="N76" s="160"/>
      <c r="O76" s="156"/>
      <c r="P76" s="157"/>
      <c r="Q76" s="567"/>
      <c r="R76" s="577">
        <f t="shared" ref="R76:R108" si="155">+K76+N76</f>
        <v>0</v>
      </c>
      <c r="S76" s="578">
        <f t="shared" si="153"/>
        <v>0</v>
      </c>
      <c r="T76" s="580">
        <f t="shared" si="154"/>
        <v>0</v>
      </c>
      <c r="U76" s="567"/>
    </row>
    <row r="77" spans="1:22" s="235" customFormat="1" ht="13.5" customHeight="1">
      <c r="A77" s="132" t="s">
        <v>199</v>
      </c>
      <c r="B77" s="119" t="s">
        <v>157</v>
      </c>
      <c r="C77" s="208">
        <f>+SUM(C75:C76)</f>
        <v>720</v>
      </c>
      <c r="D77" s="212">
        <f t="shared" ref="D77:E77" si="156">+SUM(D75:D76)</f>
        <v>820</v>
      </c>
      <c r="E77" s="215">
        <f t="shared" si="156"/>
        <v>544</v>
      </c>
      <c r="F77" s="544">
        <f>+E77/D77</f>
        <v>0.6634146341463415</v>
      </c>
      <c r="G77" s="208">
        <f>+SUM(G75:G76)</f>
        <v>150</v>
      </c>
      <c r="H77" s="212">
        <f t="shared" ref="H77:I77" si="157">+SUM(H75:H76)</f>
        <v>201</v>
      </c>
      <c r="I77" s="215">
        <f t="shared" si="157"/>
        <v>150</v>
      </c>
      <c r="J77" s="544">
        <f>+I77/H77</f>
        <v>0.74626865671641796</v>
      </c>
      <c r="K77" s="208">
        <f>+SUM(K75:K76)</f>
        <v>870</v>
      </c>
      <c r="L77" s="212">
        <f t="shared" ref="L77:M77" si="158">+SUM(L75:L76)</f>
        <v>1021</v>
      </c>
      <c r="M77" s="213">
        <f t="shared" si="158"/>
        <v>694</v>
      </c>
      <c r="N77" s="831">
        <f>+SUM(N75:N76)</f>
        <v>0</v>
      </c>
      <c r="O77" s="832">
        <f t="shared" ref="O77" si="159">+SUM(O75:O76)</f>
        <v>0</v>
      </c>
      <c r="P77" s="833">
        <f t="shared" ref="P77" si="160">+SUM(P75:P76)</f>
        <v>0</v>
      </c>
      <c r="Q77" s="560"/>
      <c r="R77" s="831">
        <f>+SUM(R75:R76)</f>
        <v>870</v>
      </c>
      <c r="S77" s="832">
        <f t="shared" ref="S77:T77" si="161">+SUM(S75:S76)</f>
        <v>1021</v>
      </c>
      <c r="T77" s="833">
        <f t="shared" si="161"/>
        <v>694</v>
      </c>
      <c r="U77" s="560">
        <f>+T77/S77</f>
        <v>0.6797257590597453</v>
      </c>
      <c r="V77" s="290"/>
    </row>
    <row r="78" spans="1:22" ht="13.5" customHeight="1">
      <c r="A78" s="129" t="s">
        <v>265</v>
      </c>
      <c r="B78" s="117" t="s">
        <v>266</v>
      </c>
      <c r="C78" s="150">
        <f>+'3.SZ.TÁBL. SEGÍTŐ SZOLGÁLAT'!X88</f>
        <v>3589</v>
      </c>
      <c r="D78" s="146">
        <f>+'3.SZ.TÁBL. SEGÍTŐ SZOLGÁLAT'!Y88</f>
        <v>3718</v>
      </c>
      <c r="E78" s="147">
        <f>+'3.SZ.TÁBL. SEGÍTŐ SZOLGÁLAT'!Z88</f>
        <v>1945</v>
      </c>
      <c r="F78" s="547">
        <f>+E78/D78</f>
        <v>0.52313071543840772</v>
      </c>
      <c r="G78" s="150">
        <f>+'4.SZ.TÁBL. ÓVODA'!R84</f>
        <v>4436</v>
      </c>
      <c r="H78" s="146">
        <f>+'4.SZ.TÁBL. ÓVODA'!S84</f>
        <v>4316</v>
      </c>
      <c r="I78" s="147">
        <f>+'4.SZ.TÁBL. ÓVODA'!T84</f>
        <v>1727</v>
      </c>
      <c r="J78" s="547">
        <f>+I78/H78</f>
        <v>0.40013901760889714</v>
      </c>
      <c r="K78" s="813">
        <f t="shared" ref="K78:K82" si="162">+C78+G78</f>
        <v>8025</v>
      </c>
      <c r="L78" s="814">
        <f t="shared" ref="L78:L82" si="163">+D78+H78</f>
        <v>8034</v>
      </c>
      <c r="M78" s="816">
        <f t="shared" ref="M78:M82" si="164">+E78+I78</f>
        <v>3672</v>
      </c>
      <c r="N78" s="659">
        <f>+'[5]1.1.SZ.TÁBL. BEV - KIAD'!$L78</f>
        <v>640</v>
      </c>
      <c r="O78" s="137">
        <f>+'[4]1.1.SZ.TÁBL. BEV - KIAD'!$N78</f>
        <v>786</v>
      </c>
      <c r="P78" s="147">
        <v>518</v>
      </c>
      <c r="Q78" s="564">
        <f>+P78/O78</f>
        <v>0.65903307888040707</v>
      </c>
      <c r="R78" s="813">
        <f t="shared" si="155"/>
        <v>8665</v>
      </c>
      <c r="S78" s="814">
        <f t="shared" ref="S78:S82" si="165">+L78+O78</f>
        <v>8820</v>
      </c>
      <c r="T78" s="815">
        <f t="shared" ref="T78:T82" si="166">+M78+P78</f>
        <v>4190</v>
      </c>
      <c r="U78" s="564">
        <f>+T78/S78</f>
        <v>0.47505668934240364</v>
      </c>
    </row>
    <row r="79" spans="1:22" ht="13.5" customHeight="1">
      <c r="A79" s="130" t="s">
        <v>267</v>
      </c>
      <c r="B79" s="106" t="s">
        <v>268</v>
      </c>
      <c r="C79" s="143">
        <f>+'3.SZ.TÁBL. SEGÍTŐ SZOLGÁLAT'!X89</f>
        <v>0</v>
      </c>
      <c r="D79" s="137">
        <f>+'3.SZ.TÁBL. SEGÍTŐ SZOLGÁLAT'!Y89</f>
        <v>0</v>
      </c>
      <c r="E79" s="140">
        <f>+'3.SZ.TÁBL. SEGÍTŐ SZOLGÁLAT'!Z89</f>
        <v>0</v>
      </c>
      <c r="F79" s="548"/>
      <c r="G79" s="143">
        <f>+'4.SZ.TÁBL. ÓVODA'!R85</f>
        <v>0</v>
      </c>
      <c r="H79" s="137">
        <f>+'4.SZ.TÁBL. ÓVODA'!S85</f>
        <v>0</v>
      </c>
      <c r="I79" s="140">
        <f>+'4.SZ.TÁBL. ÓVODA'!T85</f>
        <v>0</v>
      </c>
      <c r="J79" s="548"/>
      <c r="K79" s="659">
        <f t="shared" si="162"/>
        <v>0</v>
      </c>
      <c r="L79" s="820">
        <f t="shared" si="163"/>
        <v>0</v>
      </c>
      <c r="M79" s="822">
        <f t="shared" si="164"/>
        <v>0</v>
      </c>
      <c r="N79" s="143"/>
      <c r="O79" s="137"/>
      <c r="P79" s="140"/>
      <c r="Q79" s="566"/>
      <c r="R79" s="659">
        <f t="shared" si="155"/>
        <v>0</v>
      </c>
      <c r="S79" s="820">
        <f t="shared" si="165"/>
        <v>0</v>
      </c>
      <c r="T79" s="821">
        <f t="shared" si="166"/>
        <v>0</v>
      </c>
      <c r="U79" s="566"/>
    </row>
    <row r="80" spans="1:22" ht="13.5" customHeight="1">
      <c r="A80" s="130" t="s">
        <v>269</v>
      </c>
      <c r="B80" s="106" t="s">
        <v>270</v>
      </c>
      <c r="C80" s="143">
        <f>+'3.SZ.TÁBL. SEGÍTŐ SZOLGÁLAT'!X90</f>
        <v>0</v>
      </c>
      <c r="D80" s="137">
        <f>+'3.SZ.TÁBL. SEGÍTŐ SZOLGÁLAT'!Y90</f>
        <v>0</v>
      </c>
      <c r="E80" s="140">
        <f>+'3.SZ.TÁBL. SEGÍTŐ SZOLGÁLAT'!Z90</f>
        <v>0</v>
      </c>
      <c r="F80" s="548"/>
      <c r="G80" s="143">
        <f>+'4.SZ.TÁBL. ÓVODA'!R86</f>
        <v>0</v>
      </c>
      <c r="H80" s="137">
        <f>+'4.SZ.TÁBL. ÓVODA'!S86</f>
        <v>0</v>
      </c>
      <c r="I80" s="140">
        <f>+'4.SZ.TÁBL. ÓVODA'!T86</f>
        <v>0</v>
      </c>
      <c r="J80" s="548"/>
      <c r="K80" s="659">
        <f t="shared" si="162"/>
        <v>0</v>
      </c>
      <c r="L80" s="820">
        <f t="shared" si="163"/>
        <v>0</v>
      </c>
      <c r="M80" s="822">
        <f t="shared" si="164"/>
        <v>0</v>
      </c>
      <c r="N80" s="143"/>
      <c r="O80" s="137"/>
      <c r="P80" s="140"/>
      <c r="Q80" s="566"/>
      <c r="R80" s="659">
        <f t="shared" si="155"/>
        <v>0</v>
      </c>
      <c r="S80" s="820">
        <f t="shared" si="165"/>
        <v>0</v>
      </c>
      <c r="T80" s="821">
        <f t="shared" si="166"/>
        <v>0</v>
      </c>
      <c r="U80" s="566"/>
    </row>
    <row r="81" spans="1:22" ht="13.5" customHeight="1">
      <c r="A81" s="130" t="s">
        <v>271</v>
      </c>
      <c r="B81" s="106" t="s">
        <v>272</v>
      </c>
      <c r="C81" s="143">
        <f>+'3.SZ.TÁBL. SEGÍTŐ SZOLGÁLAT'!X91</f>
        <v>0</v>
      </c>
      <c r="D81" s="137">
        <f>+'3.SZ.TÁBL. SEGÍTŐ SZOLGÁLAT'!Y91</f>
        <v>0</v>
      </c>
      <c r="E81" s="140">
        <f>+'3.SZ.TÁBL. SEGÍTŐ SZOLGÁLAT'!Z91</f>
        <v>0</v>
      </c>
      <c r="F81" s="548"/>
      <c r="G81" s="143">
        <f>+'4.SZ.TÁBL. ÓVODA'!R87</f>
        <v>0</v>
      </c>
      <c r="H81" s="137">
        <f>+'4.SZ.TÁBL. ÓVODA'!S87</f>
        <v>0</v>
      </c>
      <c r="I81" s="140">
        <f>+'4.SZ.TÁBL. ÓVODA'!T87</f>
        <v>0</v>
      </c>
      <c r="J81" s="548"/>
      <c r="K81" s="659">
        <f t="shared" si="162"/>
        <v>0</v>
      </c>
      <c r="L81" s="820">
        <f t="shared" si="163"/>
        <v>0</v>
      </c>
      <c r="M81" s="822">
        <f t="shared" si="164"/>
        <v>0</v>
      </c>
      <c r="N81" s="143"/>
      <c r="O81" s="137"/>
      <c r="P81" s="140"/>
      <c r="Q81" s="566"/>
      <c r="R81" s="659">
        <f t="shared" si="155"/>
        <v>0</v>
      </c>
      <c r="S81" s="820">
        <f t="shared" si="165"/>
        <v>0</v>
      </c>
      <c r="T81" s="821">
        <f t="shared" si="166"/>
        <v>0</v>
      </c>
      <c r="U81" s="566"/>
    </row>
    <row r="82" spans="1:22" ht="13.5" customHeight="1">
      <c r="A82" s="131" t="s">
        <v>273</v>
      </c>
      <c r="B82" s="118" t="s">
        <v>416</v>
      </c>
      <c r="C82" s="160">
        <f>+'3.SZ.TÁBL. SEGÍTŐ SZOLGÁLAT'!X92</f>
        <v>445</v>
      </c>
      <c r="D82" s="156">
        <f>+'3.SZ.TÁBL. SEGÍTŐ SZOLGÁLAT'!Y92</f>
        <v>524</v>
      </c>
      <c r="E82" s="157">
        <f>+'3.SZ.TÁBL. SEGÍTŐ SZOLGÁLAT'!Z92</f>
        <v>407</v>
      </c>
      <c r="F82" s="549">
        <f>+E82/D82</f>
        <v>0.77671755725190839</v>
      </c>
      <c r="G82" s="160">
        <f>+'4.SZ.TÁBL. ÓVODA'!R88</f>
        <v>0</v>
      </c>
      <c r="H82" s="156">
        <f>+'4.SZ.TÁBL. ÓVODA'!S88</f>
        <v>0</v>
      </c>
      <c r="I82" s="157">
        <f>+'4.SZ.TÁBL. ÓVODA'!T88</f>
        <v>0</v>
      </c>
      <c r="J82" s="549"/>
      <c r="K82" s="577">
        <f t="shared" si="162"/>
        <v>445</v>
      </c>
      <c r="L82" s="578">
        <f t="shared" si="163"/>
        <v>524</v>
      </c>
      <c r="M82" s="579">
        <f t="shared" si="164"/>
        <v>407</v>
      </c>
      <c r="N82" s="160"/>
      <c r="O82" s="156"/>
      <c r="P82" s="157"/>
      <c r="Q82" s="567"/>
      <c r="R82" s="577">
        <f t="shared" si="155"/>
        <v>445</v>
      </c>
      <c r="S82" s="578">
        <f t="shared" si="165"/>
        <v>524</v>
      </c>
      <c r="T82" s="580">
        <f t="shared" si="166"/>
        <v>407</v>
      </c>
      <c r="U82" s="567">
        <f t="shared" ref="U82:U88" si="167">+T82/S82</f>
        <v>0.77671755725190839</v>
      </c>
    </row>
    <row r="83" spans="1:22" s="235" customFormat="1" ht="13.5" customHeight="1">
      <c r="A83" s="132" t="s">
        <v>200</v>
      </c>
      <c r="B83" s="119" t="s">
        <v>158</v>
      </c>
      <c r="C83" s="208">
        <f>SUM(C78:C82)</f>
        <v>4034</v>
      </c>
      <c r="D83" s="212">
        <f t="shared" ref="D83:E83" si="168">SUM(D78:D82)</f>
        <v>4242</v>
      </c>
      <c r="E83" s="215">
        <f t="shared" si="168"/>
        <v>2352</v>
      </c>
      <c r="F83" s="544">
        <f>+E83/D83</f>
        <v>0.5544554455445545</v>
      </c>
      <c r="G83" s="208">
        <f>SUM(G78:G82)</f>
        <v>4436</v>
      </c>
      <c r="H83" s="212">
        <f t="shared" ref="H83:I83" si="169">SUM(H78:H82)</f>
        <v>4316</v>
      </c>
      <c r="I83" s="215">
        <f t="shared" si="169"/>
        <v>1727</v>
      </c>
      <c r="J83" s="544">
        <f t="shared" ref="J83:J87" si="170">+I83/H83</f>
        <v>0.40013901760889714</v>
      </c>
      <c r="K83" s="208">
        <f>SUM(K78:K82)</f>
        <v>8470</v>
      </c>
      <c r="L83" s="212">
        <f t="shared" ref="L83:M83" si="171">SUM(L78:L82)</f>
        <v>8558</v>
      </c>
      <c r="M83" s="213">
        <f t="shared" si="171"/>
        <v>4079</v>
      </c>
      <c r="N83" s="831">
        <f>+SUM(N78:N82)</f>
        <v>640</v>
      </c>
      <c r="O83" s="832">
        <f t="shared" ref="O83" si="172">+SUM(O78:O82)</f>
        <v>786</v>
      </c>
      <c r="P83" s="833">
        <f t="shared" ref="P83" si="173">+SUM(P78:P82)</f>
        <v>518</v>
      </c>
      <c r="Q83" s="560">
        <f>+P83/O83</f>
        <v>0.65903307888040707</v>
      </c>
      <c r="R83" s="831">
        <f>+SUM(R78:R82)</f>
        <v>9110</v>
      </c>
      <c r="S83" s="832">
        <f t="shared" ref="S83:T83" si="174">+SUM(S78:S82)</f>
        <v>9344</v>
      </c>
      <c r="T83" s="833">
        <f t="shared" si="174"/>
        <v>4597</v>
      </c>
      <c r="U83" s="560">
        <f t="shared" si="167"/>
        <v>0.4919734589041096</v>
      </c>
      <c r="V83" s="290"/>
    </row>
    <row r="84" spans="1:22" s="235" customFormat="1" ht="13.5" customHeight="1">
      <c r="A84" s="132" t="s">
        <v>201</v>
      </c>
      <c r="B84" s="119" t="s">
        <v>159</v>
      </c>
      <c r="C84" s="208">
        <f>+C61+C64+C74+C77+C83</f>
        <v>18047</v>
      </c>
      <c r="D84" s="212">
        <f t="shared" ref="D84:E84" si="175">+D61+D64+D74+D77+D83</f>
        <v>19334</v>
      </c>
      <c r="E84" s="215">
        <f t="shared" si="175"/>
        <v>11758</v>
      </c>
      <c r="F84" s="544">
        <f>+E84/D84</f>
        <v>0.60815144305368785</v>
      </c>
      <c r="G84" s="208">
        <f>+G61+G64+G74+G77+G83</f>
        <v>20676</v>
      </c>
      <c r="H84" s="212">
        <f t="shared" ref="H84:I84" si="176">+H61+H64+H74+H77+H83</f>
        <v>20397</v>
      </c>
      <c r="I84" s="215">
        <f t="shared" si="176"/>
        <v>9450</v>
      </c>
      <c r="J84" s="544">
        <f t="shared" si="170"/>
        <v>0.46330342697455507</v>
      </c>
      <c r="K84" s="208">
        <f>+K61+K64+K74+K77+K83</f>
        <v>38723</v>
      </c>
      <c r="L84" s="212">
        <f t="shared" ref="L84:M84" si="177">+L61+L64+L74+L77+L83</f>
        <v>39731</v>
      </c>
      <c r="M84" s="213">
        <f t="shared" si="177"/>
        <v>21208</v>
      </c>
      <c r="N84" s="831">
        <f>+N61+N64+N74+N77+N83</f>
        <v>43010</v>
      </c>
      <c r="O84" s="832">
        <f t="shared" ref="O84" si="178">+O61+O64+O74+O77+O83</f>
        <v>43698</v>
      </c>
      <c r="P84" s="833">
        <f t="shared" ref="P84" si="179">+P61+P64+P74+P77+P83</f>
        <v>32365</v>
      </c>
      <c r="Q84" s="560">
        <f>+P84/O84</f>
        <v>0.74065174607533524</v>
      </c>
      <c r="R84" s="831">
        <f>+R61+R64+R74+R77+R83</f>
        <v>81733</v>
      </c>
      <c r="S84" s="832">
        <f t="shared" ref="S84:T84" si="180">+S61+S64+S74+S77+S83</f>
        <v>83429</v>
      </c>
      <c r="T84" s="833">
        <f t="shared" si="180"/>
        <v>53573</v>
      </c>
      <c r="U84" s="560">
        <f t="shared" si="167"/>
        <v>0.64213882462932559</v>
      </c>
      <c r="V84" s="290"/>
    </row>
    <row r="85" spans="1:22" ht="13.5" customHeight="1">
      <c r="A85" s="129" t="s">
        <v>425</v>
      </c>
      <c r="B85" s="232" t="s">
        <v>426</v>
      </c>
      <c r="C85" s="150">
        <f>+'3.SZ.TÁBL. SEGÍTŐ SZOLGÁLAT'!X95</f>
        <v>0</v>
      </c>
      <c r="D85" s="146">
        <f>+'3.SZ.TÁBL. SEGÍTŐ SZOLGÁLAT'!Y95</f>
        <v>59</v>
      </c>
      <c r="E85" s="147">
        <f>+'3.SZ.TÁBL. SEGÍTŐ SZOLGÁLAT'!Z95</f>
        <v>58</v>
      </c>
      <c r="F85" s="547">
        <f>+E85/D85</f>
        <v>0.98305084745762716</v>
      </c>
      <c r="G85" s="150">
        <f>+'4.SZ.TÁBL. ÓVODA'!R91</f>
        <v>0</v>
      </c>
      <c r="H85" s="146">
        <f>+'4.SZ.TÁBL. ÓVODA'!S91</f>
        <v>71</v>
      </c>
      <c r="I85" s="147">
        <f>+'4.SZ.TÁBL. ÓVODA'!T91</f>
        <v>70</v>
      </c>
      <c r="J85" s="547">
        <f t="shared" si="170"/>
        <v>0.9859154929577465</v>
      </c>
      <c r="K85" s="813">
        <f t="shared" ref="K85" si="181">+C85+G85</f>
        <v>0</v>
      </c>
      <c r="L85" s="814">
        <f t="shared" ref="L85" si="182">+D85+H85</f>
        <v>130</v>
      </c>
      <c r="M85" s="816">
        <f t="shared" ref="M85" si="183">+E85+I85</f>
        <v>128</v>
      </c>
      <c r="N85" s="813"/>
      <c r="O85" s="146"/>
      <c r="P85" s="147"/>
      <c r="Q85" s="564"/>
      <c r="R85" s="659">
        <f t="shared" ref="R85" si="184">+K85+N85</f>
        <v>0</v>
      </c>
      <c r="S85" s="820">
        <f t="shared" ref="S85" si="185">+L85+O85</f>
        <v>130</v>
      </c>
      <c r="T85" s="821">
        <f t="shared" ref="T85" si="186">+M85+P85</f>
        <v>128</v>
      </c>
      <c r="U85" s="564">
        <f t="shared" si="167"/>
        <v>0.98461538461538467</v>
      </c>
    </row>
    <row r="86" spans="1:22" ht="13.5" customHeight="1">
      <c r="A86" s="129" t="s">
        <v>345</v>
      </c>
      <c r="B86" s="127" t="s">
        <v>346</v>
      </c>
      <c r="C86" s="150">
        <f>+'3.SZ.TÁBL. SEGÍTŐ SZOLGÁLAT'!X96</f>
        <v>0</v>
      </c>
      <c r="D86" s="146">
        <f>+'3.SZ.TÁBL. SEGÍTŐ SZOLGÁLAT'!Y96</f>
        <v>0</v>
      </c>
      <c r="E86" s="147">
        <f>+'3.SZ.TÁBL. SEGÍTŐ SZOLGÁLAT'!Z96</f>
        <v>0</v>
      </c>
      <c r="F86" s="547"/>
      <c r="G86" s="150">
        <f>+'4.SZ.TÁBL. ÓVODA'!R92</f>
        <v>12274</v>
      </c>
      <c r="H86" s="146">
        <f>+'4.SZ.TÁBL. ÓVODA'!S92</f>
        <v>12357</v>
      </c>
      <c r="I86" s="147">
        <f>+'4.SZ.TÁBL. ÓVODA'!T92</f>
        <v>9338</v>
      </c>
      <c r="J86" s="547">
        <f t="shared" si="170"/>
        <v>0.75568503682123489</v>
      </c>
      <c r="K86" s="813">
        <f t="shared" ref="K86:K93" si="187">+C86+G86</f>
        <v>12274</v>
      </c>
      <c r="L86" s="814">
        <f t="shared" ref="L86:L93" si="188">+D86+H86</f>
        <v>12357</v>
      </c>
      <c r="M86" s="816">
        <f t="shared" ref="M86:M93" si="189">+E86+I86</f>
        <v>9338</v>
      </c>
      <c r="N86" s="143">
        <f>+SUM(N87:N88)</f>
        <v>6301</v>
      </c>
      <c r="O86" s="137">
        <f>+SUM(O87:O88)</f>
        <v>18127</v>
      </c>
      <c r="P86" s="140">
        <f>+SUM(P87:P88)</f>
        <v>16551</v>
      </c>
      <c r="Q86" s="566">
        <f>+P86/O86</f>
        <v>0.91305786947647161</v>
      </c>
      <c r="R86" s="143">
        <f>+SUM(R87:R88)</f>
        <v>18575</v>
      </c>
      <c r="S86" s="137">
        <f>+SUM(S87:S88)</f>
        <v>30484</v>
      </c>
      <c r="T86" s="140">
        <f>+SUM(T87:T88)</f>
        <v>25889</v>
      </c>
      <c r="U86" s="566">
        <f t="shared" si="167"/>
        <v>0.84926518829549924</v>
      </c>
    </row>
    <row r="87" spans="1:22" s="202" customFormat="1">
      <c r="A87" s="135" t="s">
        <v>345</v>
      </c>
      <c r="B87" s="128" t="s">
        <v>417</v>
      </c>
      <c r="C87" s="209"/>
      <c r="D87" s="210"/>
      <c r="E87" s="538"/>
      <c r="F87" s="552"/>
      <c r="G87" s="209">
        <f>+'4.SZ.TÁBL. ÓVODA'!R93</f>
        <v>12274</v>
      </c>
      <c r="H87" s="210">
        <f>+'4.SZ.TÁBL. ÓVODA'!S93</f>
        <v>12357</v>
      </c>
      <c r="I87" s="538">
        <f>+'4.SZ.TÁBL. ÓVODA'!T93</f>
        <v>9338</v>
      </c>
      <c r="J87" s="552">
        <f t="shared" si="170"/>
        <v>0.75568503682123489</v>
      </c>
      <c r="K87" s="497">
        <f t="shared" si="187"/>
        <v>12274</v>
      </c>
      <c r="L87" s="498">
        <f t="shared" si="188"/>
        <v>12357</v>
      </c>
      <c r="M87" s="499">
        <f t="shared" si="189"/>
        <v>9338</v>
      </c>
      <c r="N87" s="497">
        <f>+'[5]1.1.SZ.TÁBL. BEV - KIAD'!$L86</f>
        <v>6301</v>
      </c>
      <c r="O87" s="198">
        <f>+'[4]1.1.SZ.TÁBL. BEV - KIAD'!$N88</f>
        <v>8301</v>
      </c>
      <c r="P87" s="538">
        <v>6725</v>
      </c>
      <c r="Q87" s="574">
        <f>+P87/O87</f>
        <v>0.81014335622214195</v>
      </c>
      <c r="R87" s="497">
        <f t="shared" ref="R87:S88" si="190">+K87+N87</f>
        <v>18575</v>
      </c>
      <c r="S87" s="498">
        <f t="shared" si="190"/>
        <v>20658</v>
      </c>
      <c r="T87" s="557">
        <f t="shared" ref="T87" si="191">+M87+P87</f>
        <v>16063</v>
      </c>
      <c r="U87" s="574">
        <f t="shared" si="167"/>
        <v>0.77756801239229356</v>
      </c>
      <c r="V87" s="288"/>
    </row>
    <row r="88" spans="1:22" s="202" customFormat="1">
      <c r="A88" s="135" t="s">
        <v>345</v>
      </c>
      <c r="B88" s="128" t="s">
        <v>495</v>
      </c>
      <c r="C88" s="500"/>
      <c r="D88" s="198"/>
      <c r="E88" s="501"/>
      <c r="F88" s="552"/>
      <c r="G88" s="209"/>
      <c r="H88" s="210"/>
      <c r="I88" s="538"/>
      <c r="J88" s="552"/>
      <c r="K88" s="497"/>
      <c r="L88" s="498"/>
      <c r="M88" s="499"/>
      <c r="N88" s="497"/>
      <c r="O88" s="198">
        <f>+'[4]1.1.SZ.TÁBL. BEV - KIAD'!$N87</f>
        <v>9826</v>
      </c>
      <c r="P88" s="538">
        <v>9826</v>
      </c>
      <c r="Q88" s="574">
        <f t="shared" ref="Q88" si="192">+P88/O88</f>
        <v>1</v>
      </c>
      <c r="R88" s="497">
        <f t="shared" si="190"/>
        <v>0</v>
      </c>
      <c r="S88" s="498">
        <f t="shared" si="190"/>
        <v>9826</v>
      </c>
      <c r="T88" s="557">
        <f t="shared" ref="T88" si="193">+M88+P88</f>
        <v>9826</v>
      </c>
      <c r="U88" s="574">
        <f t="shared" si="167"/>
        <v>1</v>
      </c>
      <c r="V88" s="288"/>
    </row>
    <row r="89" spans="1:22" ht="13.5" customHeight="1">
      <c r="A89" s="349" t="s">
        <v>347</v>
      </c>
      <c r="B89" s="350" t="s">
        <v>348</v>
      </c>
      <c r="C89" s="143">
        <f>+SUM(C90:C93)</f>
        <v>0</v>
      </c>
      <c r="D89" s="137">
        <f t="shared" ref="D89:E89" si="194">+SUM(D90:D93)</f>
        <v>0</v>
      </c>
      <c r="E89" s="140">
        <f t="shared" si="194"/>
        <v>0</v>
      </c>
      <c r="F89" s="548"/>
      <c r="G89" s="143">
        <f>+SUM(G90:G93)</f>
        <v>0</v>
      </c>
      <c r="H89" s="137">
        <f t="shared" ref="H89:I89" si="195">+SUM(H90:H93)</f>
        <v>0</v>
      </c>
      <c r="I89" s="140">
        <f t="shared" si="195"/>
        <v>0</v>
      </c>
      <c r="J89" s="548"/>
      <c r="K89" s="659">
        <f t="shared" si="187"/>
        <v>0</v>
      </c>
      <c r="L89" s="820">
        <f>+D89+H89</f>
        <v>0</v>
      </c>
      <c r="M89" s="822">
        <f t="shared" si="189"/>
        <v>0</v>
      </c>
      <c r="N89" s="659">
        <f>+'[5]1.1.SZ.TÁBL. BEV - KIAD'!$L87</f>
        <v>3089</v>
      </c>
      <c r="O89" s="137">
        <f>+SUM(O90:O93)</f>
        <v>4707</v>
      </c>
      <c r="P89" s="140">
        <f>+SUM(P90:P93)</f>
        <v>0</v>
      </c>
      <c r="Q89" s="566"/>
      <c r="R89" s="143">
        <f>+SUM(R90:R93)</f>
        <v>3089</v>
      </c>
      <c r="S89" s="137">
        <f t="shared" ref="S89:T89" si="196">+SUM(S90:S93)</f>
        <v>4707</v>
      </c>
      <c r="T89" s="140">
        <f t="shared" si="196"/>
        <v>0</v>
      </c>
      <c r="U89" s="566"/>
    </row>
    <row r="90" spans="1:22" s="202" customFormat="1" ht="13.5" customHeight="1">
      <c r="A90" s="351"/>
      <c r="B90" s="352" t="s">
        <v>387</v>
      </c>
      <c r="C90" s="200"/>
      <c r="D90" s="198"/>
      <c r="E90" s="537"/>
      <c r="F90" s="551"/>
      <c r="G90" s="200">
        <f>+'4.SZ.TÁBL. ÓVODA'!R95</f>
        <v>0</v>
      </c>
      <c r="H90" s="198">
        <f>+'4.SZ.TÁBL. ÓVODA'!S95</f>
        <v>0</v>
      </c>
      <c r="I90" s="537">
        <f>+'4.SZ.TÁBL. ÓVODA'!T95</f>
        <v>0</v>
      </c>
      <c r="J90" s="551"/>
      <c r="K90" s="497">
        <f t="shared" si="187"/>
        <v>0</v>
      </c>
      <c r="L90" s="498">
        <f t="shared" si="188"/>
        <v>0</v>
      </c>
      <c r="M90" s="499">
        <f t="shared" si="189"/>
        <v>0</v>
      </c>
      <c r="N90" s="659">
        <f>+'[5]1.1.SZ.TÁBL. BEV - KIAD'!$L88</f>
        <v>889</v>
      </c>
      <c r="O90" s="137">
        <f>+'[4]1.1.SZ.TÁBL. BEV - KIAD'!$N90</f>
        <v>0</v>
      </c>
      <c r="P90" s="537"/>
      <c r="Q90" s="574"/>
      <c r="R90" s="497">
        <f t="shared" si="155"/>
        <v>889</v>
      </c>
      <c r="S90" s="498">
        <f t="shared" ref="S90:S93" si="197">+L90+O90</f>
        <v>0</v>
      </c>
      <c r="T90" s="557">
        <f t="shared" ref="T90:T93" si="198">+M90+P90</f>
        <v>0</v>
      </c>
      <c r="U90" s="574"/>
      <c r="V90" s="288"/>
    </row>
    <row r="91" spans="1:22" s="202" customFormat="1" ht="13.5" customHeight="1">
      <c r="A91" s="351"/>
      <c r="B91" s="352" t="s">
        <v>388</v>
      </c>
      <c r="C91" s="200"/>
      <c r="D91" s="198"/>
      <c r="E91" s="537"/>
      <c r="F91" s="551"/>
      <c r="G91" s="200">
        <f>+'4.SZ.TÁBL. ÓVODA'!R96</f>
        <v>0</v>
      </c>
      <c r="H91" s="198">
        <f>+'4.SZ.TÁBL. ÓVODA'!S96</f>
        <v>0</v>
      </c>
      <c r="I91" s="537">
        <f>+'4.SZ.TÁBL. ÓVODA'!T96</f>
        <v>0</v>
      </c>
      <c r="J91" s="551"/>
      <c r="K91" s="497">
        <f t="shared" si="187"/>
        <v>0</v>
      </c>
      <c r="L91" s="498">
        <f t="shared" si="188"/>
        <v>0</v>
      </c>
      <c r="M91" s="499">
        <f t="shared" si="189"/>
        <v>0</v>
      </c>
      <c r="N91" s="659">
        <f>+'[5]1.1.SZ.TÁBL. BEV - KIAD'!$L89</f>
        <v>0</v>
      </c>
      <c r="O91" s="137">
        <f>+'[4]1.1.SZ.TÁBL. BEV - KIAD'!$N91</f>
        <v>0</v>
      </c>
      <c r="P91" s="537"/>
      <c r="Q91" s="574"/>
      <c r="R91" s="497">
        <f t="shared" si="155"/>
        <v>0</v>
      </c>
      <c r="S91" s="498">
        <f t="shared" si="197"/>
        <v>0</v>
      </c>
      <c r="T91" s="557">
        <f t="shared" si="198"/>
        <v>0</v>
      </c>
      <c r="U91" s="574"/>
      <c r="V91" s="288"/>
    </row>
    <row r="92" spans="1:22" s="202" customFormat="1" ht="13.5" customHeight="1">
      <c r="A92" s="351"/>
      <c r="B92" s="352" t="s">
        <v>389</v>
      </c>
      <c r="C92" s="200"/>
      <c r="D92" s="198"/>
      <c r="E92" s="537"/>
      <c r="F92" s="551"/>
      <c r="G92" s="200"/>
      <c r="H92" s="198"/>
      <c r="I92" s="537"/>
      <c r="J92" s="551"/>
      <c r="K92" s="497">
        <f t="shared" si="187"/>
        <v>0</v>
      </c>
      <c r="L92" s="498">
        <f t="shared" si="188"/>
        <v>0</v>
      </c>
      <c r="M92" s="499">
        <f t="shared" si="189"/>
        <v>0</v>
      </c>
      <c r="N92" s="659">
        <f>+'[5]1.1.SZ.TÁBL. BEV - KIAD'!$L90</f>
        <v>2200</v>
      </c>
      <c r="O92" s="137">
        <f>+'[4]1.1.SZ.TÁBL. BEV - KIAD'!$N92</f>
        <v>4387</v>
      </c>
      <c r="P92" s="537"/>
      <c r="Q92" s="574"/>
      <c r="R92" s="497">
        <f t="shared" si="155"/>
        <v>2200</v>
      </c>
      <c r="S92" s="498">
        <f t="shared" si="197"/>
        <v>4387</v>
      </c>
      <c r="T92" s="557">
        <f t="shared" si="198"/>
        <v>0</v>
      </c>
      <c r="U92" s="574"/>
      <c r="V92" s="288"/>
    </row>
    <row r="93" spans="1:22" s="202" customFormat="1" ht="13.5" customHeight="1">
      <c r="A93" s="353"/>
      <c r="B93" s="354" t="s">
        <v>390</v>
      </c>
      <c r="C93" s="204"/>
      <c r="D93" s="203"/>
      <c r="E93" s="539"/>
      <c r="F93" s="553"/>
      <c r="G93" s="204"/>
      <c r="H93" s="203"/>
      <c r="I93" s="539"/>
      <c r="J93" s="553"/>
      <c r="K93" s="497">
        <f t="shared" si="187"/>
        <v>0</v>
      </c>
      <c r="L93" s="498">
        <f t="shared" si="188"/>
        <v>0</v>
      </c>
      <c r="M93" s="499">
        <f t="shared" si="189"/>
        <v>0</v>
      </c>
      <c r="N93" s="204"/>
      <c r="O93" s="137">
        <f>+'[4]1.1.SZ.TÁBL. BEV - KIAD'!$N93</f>
        <v>320</v>
      </c>
      <c r="P93" s="539"/>
      <c r="Q93" s="574"/>
      <c r="R93" s="497">
        <f t="shared" si="155"/>
        <v>0</v>
      </c>
      <c r="S93" s="498">
        <f t="shared" si="197"/>
        <v>320</v>
      </c>
      <c r="T93" s="557">
        <f t="shared" si="198"/>
        <v>0</v>
      </c>
      <c r="U93" s="574"/>
      <c r="V93" s="288"/>
    </row>
    <row r="94" spans="1:22" s="235" customFormat="1" ht="13.5" customHeight="1">
      <c r="A94" s="132" t="s">
        <v>202</v>
      </c>
      <c r="B94" s="119" t="s">
        <v>160</v>
      </c>
      <c r="C94" s="208">
        <f>+C86+C89+C85</f>
        <v>0</v>
      </c>
      <c r="D94" s="212">
        <f>+D86+D89+D85</f>
        <v>59</v>
      </c>
      <c r="E94" s="215">
        <f>+E86+E89+E85</f>
        <v>58</v>
      </c>
      <c r="F94" s="544">
        <f>+E94/D94</f>
        <v>0.98305084745762716</v>
      </c>
      <c r="G94" s="208">
        <f>+G86+G89+G85</f>
        <v>12274</v>
      </c>
      <c r="H94" s="212">
        <f>+H86+H89+H85</f>
        <v>12428</v>
      </c>
      <c r="I94" s="215">
        <f>+I86+I89+I85</f>
        <v>9408</v>
      </c>
      <c r="J94" s="544">
        <f>+I94/H94</f>
        <v>0.75700032185387833</v>
      </c>
      <c r="K94" s="208">
        <f t="shared" ref="K94:P94" si="199">+K86+K89+K85</f>
        <v>12274</v>
      </c>
      <c r="L94" s="212">
        <f t="shared" si="199"/>
        <v>12487</v>
      </c>
      <c r="M94" s="213">
        <f t="shared" si="199"/>
        <v>9466</v>
      </c>
      <c r="N94" s="208">
        <f t="shared" si="199"/>
        <v>9390</v>
      </c>
      <c r="O94" s="212">
        <f t="shared" si="199"/>
        <v>22834</v>
      </c>
      <c r="P94" s="215">
        <f t="shared" si="199"/>
        <v>16551</v>
      </c>
      <c r="Q94" s="568">
        <f>+P94/O94</f>
        <v>0.72484015065253571</v>
      </c>
      <c r="R94" s="208">
        <f>+R86+R89+R85</f>
        <v>21664</v>
      </c>
      <c r="S94" s="212">
        <f>+S86+S89+S85</f>
        <v>35321</v>
      </c>
      <c r="T94" s="215">
        <f>+T86+T89+T85</f>
        <v>26017</v>
      </c>
      <c r="U94" s="568">
        <f>+T94/S94</f>
        <v>0.73658729934033573</v>
      </c>
      <c r="V94" s="290"/>
    </row>
    <row r="95" spans="1:22" ht="13.5" customHeight="1">
      <c r="A95" s="129" t="s">
        <v>274</v>
      </c>
      <c r="B95" s="117" t="s">
        <v>275</v>
      </c>
      <c r="C95" s="150">
        <f>+'3.SZ.TÁBL. SEGÍTŐ SZOLGÁLAT'!X100</f>
        <v>0</v>
      </c>
      <c r="D95" s="146">
        <f>+'3.SZ.TÁBL. SEGÍTŐ SZOLGÁLAT'!Y100</f>
        <v>0</v>
      </c>
      <c r="E95" s="147">
        <f>+'3.SZ.TÁBL. SEGÍTŐ SZOLGÁLAT'!Z100</f>
        <v>0</v>
      </c>
      <c r="F95" s="547"/>
      <c r="G95" s="150">
        <f>+'4.SZ.TÁBL. ÓVODA'!R98</f>
        <v>0</v>
      </c>
      <c r="H95" s="146">
        <f>+'4.SZ.TÁBL. ÓVODA'!S98</f>
        <v>0</v>
      </c>
      <c r="I95" s="147">
        <f>+'4.SZ.TÁBL. ÓVODA'!T98</f>
        <v>0</v>
      </c>
      <c r="J95" s="547"/>
      <c r="K95" s="813">
        <f t="shared" ref="K95:K101" si="200">+C95+G95</f>
        <v>0</v>
      </c>
      <c r="L95" s="814">
        <f t="shared" ref="L95:L101" si="201">+D95+H95</f>
        <v>0</v>
      </c>
      <c r="M95" s="816">
        <f t="shared" ref="M95:M101" si="202">+E95+I95</f>
        <v>0</v>
      </c>
      <c r="N95" s="150"/>
      <c r="O95" s="146"/>
      <c r="P95" s="147"/>
      <c r="Q95" s="564"/>
      <c r="R95" s="813">
        <f t="shared" si="155"/>
        <v>0</v>
      </c>
      <c r="S95" s="814">
        <f t="shared" ref="S95:S101" si="203">+L95+O95</f>
        <v>0</v>
      </c>
      <c r="T95" s="815">
        <f t="shared" ref="T95:T101" si="204">+M95+P95</f>
        <v>0</v>
      </c>
      <c r="U95" s="564"/>
    </row>
    <row r="96" spans="1:22" ht="13.5" customHeight="1">
      <c r="A96" s="130" t="s">
        <v>276</v>
      </c>
      <c r="B96" s="106" t="s">
        <v>277</v>
      </c>
      <c r="C96" s="143">
        <f>+'3.SZ.TÁBL. SEGÍTŐ SZOLGÁLAT'!X101</f>
        <v>0</v>
      </c>
      <c r="D96" s="137">
        <f>+'3.SZ.TÁBL. SEGÍTŐ SZOLGÁLAT'!Y101</f>
        <v>0</v>
      </c>
      <c r="E96" s="140">
        <f>+'3.SZ.TÁBL. SEGÍTŐ SZOLGÁLAT'!Z101</f>
        <v>0</v>
      </c>
      <c r="F96" s="548"/>
      <c r="G96" s="143">
        <f>+'4.SZ.TÁBL. ÓVODA'!R99</f>
        <v>0</v>
      </c>
      <c r="H96" s="137">
        <f>+'4.SZ.TÁBL. ÓVODA'!S99</f>
        <v>0</v>
      </c>
      <c r="I96" s="140">
        <f>+'4.SZ.TÁBL. ÓVODA'!T99</f>
        <v>0</v>
      </c>
      <c r="J96" s="548"/>
      <c r="K96" s="659">
        <f t="shared" si="200"/>
        <v>0</v>
      </c>
      <c r="L96" s="820">
        <f t="shared" si="201"/>
        <v>0</v>
      </c>
      <c r="M96" s="822">
        <f t="shared" si="202"/>
        <v>0</v>
      </c>
      <c r="N96" s="143"/>
      <c r="O96" s="137"/>
      <c r="P96" s="140"/>
      <c r="Q96" s="566"/>
      <c r="R96" s="659">
        <f t="shared" si="155"/>
        <v>0</v>
      </c>
      <c r="S96" s="820">
        <f t="shared" si="203"/>
        <v>0</v>
      </c>
      <c r="T96" s="821">
        <f t="shared" si="204"/>
        <v>0</v>
      </c>
      <c r="U96" s="566"/>
    </row>
    <row r="97" spans="1:22" ht="13.5" customHeight="1">
      <c r="A97" s="130" t="s">
        <v>278</v>
      </c>
      <c r="B97" s="106" t="s">
        <v>279</v>
      </c>
      <c r="C97" s="143">
        <f>+'3.SZ.TÁBL. SEGÍTŐ SZOLGÁLAT'!X102</f>
        <v>0</v>
      </c>
      <c r="D97" s="137">
        <f>+'3.SZ.TÁBL. SEGÍTŐ SZOLGÁLAT'!Y102</f>
        <v>0</v>
      </c>
      <c r="E97" s="140">
        <f>+'3.SZ.TÁBL. SEGÍTŐ SZOLGÁLAT'!Z102</f>
        <v>0</v>
      </c>
      <c r="F97" s="548"/>
      <c r="G97" s="143">
        <f>+'4.SZ.TÁBL. ÓVODA'!R100</f>
        <v>0</v>
      </c>
      <c r="H97" s="137">
        <f>+'4.SZ.TÁBL. ÓVODA'!S100</f>
        <v>0</v>
      </c>
      <c r="I97" s="140">
        <f>+'4.SZ.TÁBL. ÓVODA'!T100</f>
        <v>0</v>
      </c>
      <c r="J97" s="548"/>
      <c r="K97" s="659">
        <f t="shared" si="200"/>
        <v>0</v>
      </c>
      <c r="L97" s="820">
        <f t="shared" si="201"/>
        <v>0</v>
      </c>
      <c r="M97" s="822">
        <f t="shared" si="202"/>
        <v>0</v>
      </c>
      <c r="N97" s="143"/>
      <c r="O97" s="137"/>
      <c r="P97" s="140"/>
      <c r="Q97" s="566"/>
      <c r="R97" s="659">
        <f t="shared" si="155"/>
        <v>0</v>
      </c>
      <c r="S97" s="820">
        <f t="shared" si="203"/>
        <v>0</v>
      </c>
      <c r="T97" s="821">
        <f t="shared" si="204"/>
        <v>0</v>
      </c>
      <c r="U97" s="566"/>
    </row>
    <row r="98" spans="1:22" ht="13.5" customHeight="1">
      <c r="A98" s="130" t="s">
        <v>280</v>
      </c>
      <c r="B98" s="106" t="s">
        <v>281</v>
      </c>
      <c r="C98" s="143">
        <f>+'3.SZ.TÁBL. SEGÍTŐ SZOLGÁLAT'!X103</f>
        <v>0</v>
      </c>
      <c r="D98" s="137">
        <f>+'3.SZ.TÁBL. SEGÍTŐ SZOLGÁLAT'!Y103</f>
        <v>0</v>
      </c>
      <c r="E98" s="140">
        <f>+'3.SZ.TÁBL. SEGÍTŐ SZOLGÁLAT'!Z103</f>
        <v>0</v>
      </c>
      <c r="F98" s="548"/>
      <c r="G98" s="143">
        <f>+'4.SZ.TÁBL. ÓVODA'!R101</f>
        <v>350</v>
      </c>
      <c r="H98" s="137">
        <f>+'4.SZ.TÁBL. ÓVODA'!S101</f>
        <v>720</v>
      </c>
      <c r="I98" s="140">
        <f>+'4.SZ.TÁBL. ÓVODA'!T101</f>
        <v>386</v>
      </c>
      <c r="J98" s="548">
        <f>+I98/H98</f>
        <v>0.53611111111111109</v>
      </c>
      <c r="K98" s="659">
        <f t="shared" si="200"/>
        <v>350</v>
      </c>
      <c r="L98" s="820">
        <f t="shared" si="201"/>
        <v>720</v>
      </c>
      <c r="M98" s="822">
        <f t="shared" si="202"/>
        <v>386</v>
      </c>
      <c r="N98" s="143"/>
      <c r="O98" s="137"/>
      <c r="P98" s="140"/>
      <c r="Q98" s="566"/>
      <c r="R98" s="659">
        <f t="shared" si="155"/>
        <v>350</v>
      </c>
      <c r="S98" s="820">
        <f t="shared" si="203"/>
        <v>720</v>
      </c>
      <c r="T98" s="821">
        <f t="shared" si="204"/>
        <v>386</v>
      </c>
      <c r="U98" s="566">
        <f>+T98/S98</f>
        <v>0.53611111111111109</v>
      </c>
    </row>
    <row r="99" spans="1:22" ht="13.5" customHeight="1">
      <c r="A99" s="130" t="s">
        <v>282</v>
      </c>
      <c r="B99" s="106" t="s">
        <v>283</v>
      </c>
      <c r="C99" s="143">
        <f>+'3.SZ.TÁBL. SEGÍTŐ SZOLGÁLAT'!X104</f>
        <v>0</v>
      </c>
      <c r="D99" s="137">
        <f>+'3.SZ.TÁBL. SEGÍTŐ SZOLGÁLAT'!Y104</f>
        <v>0</v>
      </c>
      <c r="E99" s="140">
        <f>+'3.SZ.TÁBL. SEGÍTŐ SZOLGÁLAT'!Z104</f>
        <v>0</v>
      </c>
      <c r="F99" s="548"/>
      <c r="G99" s="143">
        <f>+'4.SZ.TÁBL. ÓVODA'!R102</f>
        <v>0</v>
      </c>
      <c r="H99" s="137">
        <f>+'4.SZ.TÁBL. ÓVODA'!S102</f>
        <v>0</v>
      </c>
      <c r="I99" s="140">
        <f>+'4.SZ.TÁBL. ÓVODA'!T102</f>
        <v>0</v>
      </c>
      <c r="J99" s="548"/>
      <c r="K99" s="659">
        <f t="shared" si="200"/>
        <v>0</v>
      </c>
      <c r="L99" s="820">
        <f t="shared" si="201"/>
        <v>0</v>
      </c>
      <c r="M99" s="822">
        <f t="shared" si="202"/>
        <v>0</v>
      </c>
      <c r="N99" s="143"/>
      <c r="O99" s="137"/>
      <c r="P99" s="140"/>
      <c r="Q99" s="566"/>
      <c r="R99" s="659">
        <f t="shared" si="155"/>
        <v>0</v>
      </c>
      <c r="S99" s="820">
        <f t="shared" si="203"/>
        <v>0</v>
      </c>
      <c r="T99" s="821">
        <f t="shared" si="204"/>
        <v>0</v>
      </c>
      <c r="U99" s="566"/>
    </row>
    <row r="100" spans="1:22" ht="13.5" customHeight="1">
      <c r="A100" s="130" t="s">
        <v>284</v>
      </c>
      <c r="B100" s="106" t="s">
        <v>285</v>
      </c>
      <c r="C100" s="143">
        <f>+'3.SZ.TÁBL. SEGÍTŐ SZOLGÁLAT'!X105</f>
        <v>0</v>
      </c>
      <c r="D100" s="137">
        <f>+'3.SZ.TÁBL. SEGÍTŐ SZOLGÁLAT'!Y105</f>
        <v>0</v>
      </c>
      <c r="E100" s="140">
        <f>+'3.SZ.TÁBL. SEGÍTŐ SZOLGÁLAT'!Z105</f>
        <v>0</v>
      </c>
      <c r="F100" s="548"/>
      <c r="G100" s="143">
        <f>+'4.SZ.TÁBL. ÓVODA'!R103</f>
        <v>0</v>
      </c>
      <c r="H100" s="137">
        <f>+'4.SZ.TÁBL. ÓVODA'!S103</f>
        <v>0</v>
      </c>
      <c r="I100" s="140">
        <f>+'4.SZ.TÁBL. ÓVODA'!T103</f>
        <v>0</v>
      </c>
      <c r="J100" s="548"/>
      <c r="K100" s="659">
        <f t="shared" si="200"/>
        <v>0</v>
      </c>
      <c r="L100" s="820">
        <f t="shared" si="201"/>
        <v>0</v>
      </c>
      <c r="M100" s="822">
        <f t="shared" si="202"/>
        <v>0</v>
      </c>
      <c r="N100" s="143"/>
      <c r="O100" s="137"/>
      <c r="P100" s="140"/>
      <c r="Q100" s="566"/>
      <c r="R100" s="659">
        <f t="shared" si="155"/>
        <v>0</v>
      </c>
      <c r="S100" s="820">
        <f t="shared" si="203"/>
        <v>0</v>
      </c>
      <c r="T100" s="821">
        <f t="shared" si="204"/>
        <v>0</v>
      </c>
      <c r="U100" s="566"/>
    </row>
    <row r="101" spans="1:22" ht="13.5" customHeight="1">
      <c r="A101" s="131" t="s">
        <v>286</v>
      </c>
      <c r="B101" s="118" t="s">
        <v>287</v>
      </c>
      <c r="C101" s="160">
        <f>+'3.SZ.TÁBL. SEGÍTŐ SZOLGÁLAT'!X106</f>
        <v>0</v>
      </c>
      <c r="D101" s="156">
        <f>+'3.SZ.TÁBL. SEGÍTŐ SZOLGÁLAT'!Y106</f>
        <v>0</v>
      </c>
      <c r="E101" s="157">
        <f>+'3.SZ.TÁBL. SEGÍTŐ SZOLGÁLAT'!Z106</f>
        <v>0</v>
      </c>
      <c r="F101" s="549"/>
      <c r="G101" s="160">
        <f>+'4.SZ.TÁBL. ÓVODA'!R104</f>
        <v>95</v>
      </c>
      <c r="H101" s="156">
        <f>+'4.SZ.TÁBL. ÓVODA'!S104</f>
        <v>195</v>
      </c>
      <c r="I101" s="157">
        <f>+'4.SZ.TÁBL. ÓVODA'!T104</f>
        <v>99</v>
      </c>
      <c r="J101" s="549">
        <f>+I101/H101</f>
        <v>0.50769230769230766</v>
      </c>
      <c r="K101" s="577">
        <f t="shared" si="200"/>
        <v>95</v>
      </c>
      <c r="L101" s="578">
        <f t="shared" si="201"/>
        <v>195</v>
      </c>
      <c r="M101" s="579">
        <f t="shared" si="202"/>
        <v>99</v>
      </c>
      <c r="N101" s="160"/>
      <c r="O101" s="156"/>
      <c r="P101" s="157"/>
      <c r="Q101" s="567"/>
      <c r="R101" s="577">
        <f t="shared" si="155"/>
        <v>95</v>
      </c>
      <c r="S101" s="578">
        <f t="shared" si="203"/>
        <v>195</v>
      </c>
      <c r="T101" s="580">
        <f t="shared" si="204"/>
        <v>99</v>
      </c>
      <c r="U101" s="567">
        <f>+T101/S101</f>
        <v>0.50769230769230766</v>
      </c>
    </row>
    <row r="102" spans="1:22" s="235" customFormat="1" ht="13.5" customHeight="1">
      <c r="A102" s="132" t="s">
        <v>203</v>
      </c>
      <c r="B102" s="119" t="s">
        <v>116</v>
      </c>
      <c r="C102" s="208">
        <f>SUM(C95:C101)</f>
        <v>0</v>
      </c>
      <c r="D102" s="212">
        <f t="shared" ref="D102:E102" si="205">SUM(D95:D101)</f>
        <v>0</v>
      </c>
      <c r="E102" s="215">
        <f t="shared" si="205"/>
        <v>0</v>
      </c>
      <c r="F102" s="544"/>
      <c r="G102" s="208">
        <f>SUM(G95:G101)</f>
        <v>445</v>
      </c>
      <c r="H102" s="212">
        <f t="shared" ref="H102:I102" si="206">SUM(H95:H101)</f>
        <v>915</v>
      </c>
      <c r="I102" s="215">
        <f t="shared" si="206"/>
        <v>485</v>
      </c>
      <c r="J102" s="544">
        <f>+I102/H102</f>
        <v>0.5300546448087432</v>
      </c>
      <c r="K102" s="208">
        <f>SUM(K95:K101)</f>
        <v>445</v>
      </c>
      <c r="L102" s="212">
        <f t="shared" ref="L102:M102" si="207">SUM(L95:L101)</f>
        <v>915</v>
      </c>
      <c r="M102" s="213">
        <f t="shared" si="207"/>
        <v>485</v>
      </c>
      <c r="N102" s="831">
        <f>+SUM(N95:N101)</f>
        <v>0</v>
      </c>
      <c r="O102" s="832">
        <f t="shared" ref="O102" si="208">+SUM(O95:O101)</f>
        <v>0</v>
      </c>
      <c r="P102" s="833">
        <f t="shared" ref="P102" si="209">+SUM(P95:P101)</f>
        <v>0</v>
      </c>
      <c r="Q102" s="560"/>
      <c r="R102" s="831">
        <f>+SUM(R95:R101)</f>
        <v>445</v>
      </c>
      <c r="S102" s="832">
        <f t="shared" ref="S102:T102" si="210">+SUM(S95:S101)</f>
        <v>915</v>
      </c>
      <c r="T102" s="833">
        <f t="shared" si="210"/>
        <v>485</v>
      </c>
      <c r="U102" s="560">
        <f>+T102/S102</f>
        <v>0.5300546448087432</v>
      </c>
      <c r="V102" s="290"/>
    </row>
    <row r="103" spans="1:22" ht="13.5" customHeight="1">
      <c r="A103" s="129" t="s">
        <v>288</v>
      </c>
      <c r="B103" s="117" t="s">
        <v>289</v>
      </c>
      <c r="C103" s="150">
        <f>+'3.SZ.TÁBL. SEGÍTŐ SZOLGÁLAT'!X108</f>
        <v>0</v>
      </c>
      <c r="D103" s="146">
        <f>+'3.SZ.TÁBL. SEGÍTŐ SZOLGÁLAT'!Y108</f>
        <v>0</v>
      </c>
      <c r="E103" s="147">
        <f>+'3.SZ.TÁBL. SEGÍTŐ SZOLGÁLAT'!Z108</f>
        <v>0</v>
      </c>
      <c r="F103" s="547"/>
      <c r="G103" s="150">
        <f>+'4.SZ.TÁBL. ÓVODA'!R106</f>
        <v>0</v>
      </c>
      <c r="H103" s="146">
        <f>+'4.SZ.TÁBL. ÓVODA'!S106</f>
        <v>0</v>
      </c>
      <c r="I103" s="147">
        <f>+'4.SZ.TÁBL. ÓVODA'!T106</f>
        <v>0</v>
      </c>
      <c r="J103" s="547"/>
      <c r="K103" s="813">
        <f t="shared" ref="K103:K106" si="211">+C103+G103</f>
        <v>0</v>
      </c>
      <c r="L103" s="814">
        <f t="shared" ref="L103:L106" si="212">+D103+H103</f>
        <v>0</v>
      </c>
      <c r="M103" s="816">
        <f t="shared" ref="M103:M106" si="213">+E103+I103</f>
        <v>0</v>
      </c>
      <c r="N103" s="150"/>
      <c r="O103" s="146"/>
      <c r="P103" s="147"/>
      <c r="Q103" s="564"/>
      <c r="R103" s="813">
        <f t="shared" si="155"/>
        <v>0</v>
      </c>
      <c r="S103" s="814">
        <f t="shared" ref="S103:S106" si="214">+L103+O103</f>
        <v>0</v>
      </c>
      <c r="T103" s="815">
        <f t="shared" ref="T103:T106" si="215">+M103+P103</f>
        <v>0</v>
      </c>
      <c r="U103" s="564"/>
    </row>
    <row r="104" spans="1:22" ht="13.5" customHeight="1">
      <c r="A104" s="130" t="s">
        <v>290</v>
      </c>
      <c r="B104" s="106" t="s">
        <v>291</v>
      </c>
      <c r="C104" s="143">
        <f>+'3.SZ.TÁBL. SEGÍTŐ SZOLGÁLAT'!X109</f>
        <v>0</v>
      </c>
      <c r="D104" s="137">
        <f>+'3.SZ.TÁBL. SEGÍTŐ SZOLGÁLAT'!Y109</f>
        <v>0</v>
      </c>
      <c r="E104" s="140">
        <f>+'3.SZ.TÁBL. SEGÍTŐ SZOLGÁLAT'!Z109</f>
        <v>0</v>
      </c>
      <c r="F104" s="548"/>
      <c r="G104" s="143">
        <f>+'4.SZ.TÁBL. ÓVODA'!R107</f>
        <v>0</v>
      </c>
      <c r="H104" s="137">
        <f>+'4.SZ.TÁBL. ÓVODA'!S107</f>
        <v>0</v>
      </c>
      <c r="I104" s="140">
        <f>+'4.SZ.TÁBL. ÓVODA'!T107</f>
        <v>0</v>
      </c>
      <c r="J104" s="548"/>
      <c r="K104" s="659">
        <f t="shared" si="211"/>
        <v>0</v>
      </c>
      <c r="L104" s="820">
        <f t="shared" si="212"/>
        <v>0</v>
      </c>
      <c r="M104" s="822">
        <f t="shared" si="213"/>
        <v>0</v>
      </c>
      <c r="N104" s="143"/>
      <c r="O104" s="137"/>
      <c r="P104" s="140"/>
      <c r="Q104" s="566"/>
      <c r="R104" s="659">
        <f t="shared" si="155"/>
        <v>0</v>
      </c>
      <c r="S104" s="820">
        <f t="shared" si="214"/>
        <v>0</v>
      </c>
      <c r="T104" s="821">
        <f t="shared" si="215"/>
        <v>0</v>
      </c>
      <c r="U104" s="566"/>
    </row>
    <row r="105" spans="1:22" ht="13.5" customHeight="1">
      <c r="A105" s="130" t="s">
        <v>292</v>
      </c>
      <c r="B105" s="106" t="s">
        <v>293</v>
      </c>
      <c r="C105" s="143">
        <f>+'3.SZ.TÁBL. SEGÍTŐ SZOLGÁLAT'!X110</f>
        <v>0</v>
      </c>
      <c r="D105" s="137">
        <f>+'3.SZ.TÁBL. SEGÍTŐ SZOLGÁLAT'!Y110</f>
        <v>0</v>
      </c>
      <c r="E105" s="140">
        <f>+'3.SZ.TÁBL. SEGÍTŐ SZOLGÁLAT'!Z110</f>
        <v>0</v>
      </c>
      <c r="F105" s="548"/>
      <c r="G105" s="143">
        <f>+'4.SZ.TÁBL. ÓVODA'!R108</f>
        <v>0</v>
      </c>
      <c r="H105" s="137">
        <f>+'4.SZ.TÁBL. ÓVODA'!S108</f>
        <v>0</v>
      </c>
      <c r="I105" s="140">
        <f>+'4.SZ.TÁBL. ÓVODA'!T108</f>
        <v>0</v>
      </c>
      <c r="J105" s="548"/>
      <c r="K105" s="659">
        <f t="shared" si="211"/>
        <v>0</v>
      </c>
      <c r="L105" s="820">
        <f t="shared" si="212"/>
        <v>0</v>
      </c>
      <c r="M105" s="822">
        <f t="shared" si="213"/>
        <v>0</v>
      </c>
      <c r="N105" s="143"/>
      <c r="O105" s="137"/>
      <c r="P105" s="140"/>
      <c r="Q105" s="566"/>
      <c r="R105" s="659">
        <f t="shared" si="155"/>
        <v>0</v>
      </c>
      <c r="S105" s="820">
        <f t="shared" si="214"/>
        <v>0</v>
      </c>
      <c r="T105" s="821">
        <f t="shared" si="215"/>
        <v>0</v>
      </c>
      <c r="U105" s="566"/>
    </row>
    <row r="106" spans="1:22" ht="13.5" customHeight="1">
      <c r="A106" s="131" t="s">
        <v>294</v>
      </c>
      <c r="B106" s="118" t="s">
        <v>295</v>
      </c>
      <c r="C106" s="160">
        <f>+'3.SZ.TÁBL. SEGÍTŐ SZOLGÁLAT'!X111</f>
        <v>0</v>
      </c>
      <c r="D106" s="156">
        <f>+'3.SZ.TÁBL. SEGÍTŐ SZOLGÁLAT'!Y111</f>
        <v>0</v>
      </c>
      <c r="E106" s="157">
        <f>+'3.SZ.TÁBL. SEGÍTŐ SZOLGÁLAT'!Z111</f>
        <v>0</v>
      </c>
      <c r="F106" s="549"/>
      <c r="G106" s="160">
        <f>+'4.SZ.TÁBL. ÓVODA'!R109</f>
        <v>0</v>
      </c>
      <c r="H106" s="156">
        <f>+'4.SZ.TÁBL. ÓVODA'!S109</f>
        <v>0</v>
      </c>
      <c r="I106" s="157">
        <f>+'4.SZ.TÁBL. ÓVODA'!T109</f>
        <v>0</v>
      </c>
      <c r="J106" s="549"/>
      <c r="K106" s="577">
        <f t="shared" si="211"/>
        <v>0</v>
      </c>
      <c r="L106" s="578">
        <f t="shared" si="212"/>
        <v>0</v>
      </c>
      <c r="M106" s="579">
        <f t="shared" si="213"/>
        <v>0</v>
      </c>
      <c r="N106" s="160"/>
      <c r="O106" s="156"/>
      <c r="P106" s="157"/>
      <c r="Q106" s="567"/>
      <c r="R106" s="577">
        <f t="shared" si="155"/>
        <v>0</v>
      </c>
      <c r="S106" s="578">
        <f t="shared" si="214"/>
        <v>0</v>
      </c>
      <c r="T106" s="580">
        <f t="shared" si="215"/>
        <v>0</v>
      </c>
      <c r="U106" s="567"/>
    </row>
    <row r="107" spans="1:22" s="235" customFormat="1" ht="13.5" customHeight="1">
      <c r="A107" s="132" t="s">
        <v>204</v>
      </c>
      <c r="B107" s="119" t="s">
        <v>161</v>
      </c>
      <c r="C107" s="208">
        <f>SUM(C103:C106)</f>
        <v>0</v>
      </c>
      <c r="D107" s="212">
        <f t="shared" ref="D107:E107" si="216">SUM(D103:D106)</f>
        <v>0</v>
      </c>
      <c r="E107" s="215">
        <f t="shared" si="216"/>
        <v>0</v>
      </c>
      <c r="F107" s="544"/>
      <c r="G107" s="208">
        <f>SUM(G103:G106)</f>
        <v>0</v>
      </c>
      <c r="H107" s="212">
        <f t="shared" ref="H107:I107" si="217">SUM(H103:H106)</f>
        <v>0</v>
      </c>
      <c r="I107" s="215">
        <f t="shared" si="217"/>
        <v>0</v>
      </c>
      <c r="J107" s="544"/>
      <c r="K107" s="208">
        <f>SUM(K103:K106)</f>
        <v>0</v>
      </c>
      <c r="L107" s="212">
        <f t="shared" ref="L107:M107" si="218">SUM(L103:L106)</f>
        <v>0</v>
      </c>
      <c r="M107" s="213">
        <f t="shared" si="218"/>
        <v>0</v>
      </c>
      <c r="N107" s="831">
        <f>+SUM(N103:N106)</f>
        <v>0</v>
      </c>
      <c r="O107" s="832">
        <f t="shared" ref="O107" si="219">+SUM(O103:O106)</f>
        <v>0</v>
      </c>
      <c r="P107" s="833">
        <f t="shared" ref="P107" si="220">+SUM(P103:P106)</f>
        <v>0</v>
      </c>
      <c r="Q107" s="560"/>
      <c r="R107" s="831">
        <f>+SUM(R103:R106)</f>
        <v>0</v>
      </c>
      <c r="S107" s="832">
        <f t="shared" ref="S107:T107" si="221">+SUM(S103:S106)</f>
        <v>0</v>
      </c>
      <c r="T107" s="833">
        <f t="shared" si="221"/>
        <v>0</v>
      </c>
      <c r="U107" s="560"/>
      <c r="V107" s="290"/>
    </row>
    <row r="108" spans="1:22" s="235" customFormat="1" ht="13.5" customHeight="1">
      <c r="A108" s="132" t="s">
        <v>205</v>
      </c>
      <c r="B108" s="119" t="s">
        <v>162</v>
      </c>
      <c r="C108" s="208">
        <f>+'3.SZ.TÁBL. SEGÍTŐ SZOLGÁLAT'!X113</f>
        <v>0</v>
      </c>
      <c r="D108" s="212">
        <f>+'3.SZ.TÁBL. SEGÍTŐ SZOLGÁLAT'!Y113</f>
        <v>0</v>
      </c>
      <c r="E108" s="215">
        <f>+'3.SZ.TÁBL. SEGÍTŐ SZOLGÁLAT'!Z113</f>
        <v>0</v>
      </c>
      <c r="F108" s="544"/>
      <c r="G108" s="208">
        <f>+'4.SZ.TÁBL. ÓVODA'!R111</f>
        <v>0</v>
      </c>
      <c r="H108" s="212">
        <f>+'4.SZ.TÁBL. ÓVODA'!S111</f>
        <v>0</v>
      </c>
      <c r="I108" s="215">
        <f>+'4.SZ.TÁBL. ÓVODA'!T111</f>
        <v>0</v>
      </c>
      <c r="J108" s="544"/>
      <c r="K108" s="831">
        <f>+C108+G108</f>
        <v>0</v>
      </c>
      <c r="L108" s="832">
        <f>+D108+H108</f>
        <v>0</v>
      </c>
      <c r="M108" s="834">
        <f>+E108+I108</f>
        <v>0</v>
      </c>
      <c r="N108" s="208"/>
      <c r="O108" s="212"/>
      <c r="P108" s="215"/>
      <c r="Q108" s="568"/>
      <c r="R108" s="831">
        <f t="shared" si="155"/>
        <v>0</v>
      </c>
      <c r="S108" s="832">
        <f t="shared" ref="S108" si="222">+L108+O108</f>
        <v>0</v>
      </c>
      <c r="T108" s="833">
        <f t="shared" ref="T108" si="223">+M108+P108</f>
        <v>0</v>
      </c>
      <c r="U108" s="568"/>
      <c r="V108" s="290"/>
    </row>
    <row r="109" spans="1:22" s="235" customFormat="1" ht="13.5" customHeight="1">
      <c r="A109" s="136" t="s">
        <v>206</v>
      </c>
      <c r="B109" s="119" t="s">
        <v>163</v>
      </c>
      <c r="C109" s="208">
        <f>+C51+C52+C84+C94+C102+C107+C108</f>
        <v>91644</v>
      </c>
      <c r="D109" s="212">
        <f>+D51+D52+D84+D94+D102+D107+D108</f>
        <v>101943</v>
      </c>
      <c r="E109" s="215">
        <f>+E51+E52+E84+E94+E102+E107+E108</f>
        <v>72611</v>
      </c>
      <c r="F109" s="544">
        <f>+E109/D109</f>
        <v>0.71227058258046161</v>
      </c>
      <c r="G109" s="208">
        <f>+G51+G52+G84+G94+G102+G107+G108</f>
        <v>171405</v>
      </c>
      <c r="H109" s="212">
        <f>+H51+H52+H84+H94+H102+H107+H108</f>
        <v>173446</v>
      </c>
      <c r="I109" s="215">
        <f>+I51+I52+I84+I94+I102+I107+I108</f>
        <v>119628</v>
      </c>
      <c r="J109" s="544">
        <f>+I109/H109</f>
        <v>0.68971322486537601</v>
      </c>
      <c r="K109" s="208">
        <f t="shared" ref="K109:P109" si="224">+K51+K52+K84+K94+K102+K107+K108</f>
        <v>263049</v>
      </c>
      <c r="L109" s="212">
        <f t="shared" si="224"/>
        <v>275389</v>
      </c>
      <c r="M109" s="213">
        <f t="shared" si="224"/>
        <v>192239</v>
      </c>
      <c r="N109" s="831">
        <f t="shared" si="224"/>
        <v>52400</v>
      </c>
      <c r="O109" s="832">
        <f t="shared" si="224"/>
        <v>66532</v>
      </c>
      <c r="P109" s="833">
        <f t="shared" si="224"/>
        <v>48916</v>
      </c>
      <c r="Q109" s="560">
        <f>+P109/O109</f>
        <v>0.73522515481272166</v>
      </c>
      <c r="R109" s="831">
        <f>+R51+R52+R84+R94+R102+R107+R108</f>
        <v>315449</v>
      </c>
      <c r="S109" s="832">
        <f>+S51+S52+S84+S94+S102+S107+S108</f>
        <v>341921</v>
      </c>
      <c r="T109" s="833">
        <f>+T51+T52+T84+T94+T102+T107+T108</f>
        <v>241155</v>
      </c>
      <c r="U109" s="560">
        <f>+T109/S109</f>
        <v>0.70529449785184295</v>
      </c>
      <c r="V109" s="290"/>
    </row>
    <row r="110" spans="1:22" s="235" customFormat="1" ht="13.5" customHeight="1" thickBot="1">
      <c r="A110" s="359" t="s">
        <v>396</v>
      </c>
      <c r="B110" s="360" t="s">
        <v>164</v>
      </c>
      <c r="C110" s="361">
        <f>+'3.SZ.TÁBL. SEGÍTŐ SZOLGÁLAT'!X115</f>
        <v>0</v>
      </c>
      <c r="D110" s="487">
        <f>+'3.SZ.TÁBL. SEGÍTŐ SZOLGÁLAT'!Y115</f>
        <v>0</v>
      </c>
      <c r="E110" s="540">
        <f>+'3.SZ.TÁBL. SEGÍTŐ SZOLGÁLAT'!Z115</f>
        <v>0</v>
      </c>
      <c r="F110" s="554"/>
      <c r="G110" s="361">
        <f>+'4.SZ.TÁBL. ÓVODA'!R113</f>
        <v>0</v>
      </c>
      <c r="H110" s="487">
        <f>+'4.SZ.TÁBL. ÓVODA'!S113</f>
        <v>0</v>
      </c>
      <c r="I110" s="540">
        <f>+'4.SZ.TÁBL. ÓVODA'!T113</f>
        <v>0</v>
      </c>
      <c r="J110" s="554"/>
      <c r="K110" s="868">
        <f>+C110+G110</f>
        <v>0</v>
      </c>
      <c r="L110" s="869">
        <f>+D110+H110</f>
        <v>0</v>
      </c>
      <c r="M110" s="870">
        <f>+E110+I110</f>
        <v>0</v>
      </c>
      <c r="N110" s="871">
        <f>+K29</f>
        <v>250704</v>
      </c>
      <c r="O110" s="872">
        <f>+L29</f>
        <v>262020</v>
      </c>
      <c r="P110" s="873">
        <f>+M29</f>
        <v>196847</v>
      </c>
      <c r="Q110" s="575">
        <f>+P110/O110</f>
        <v>0.75126707884894284</v>
      </c>
      <c r="R110" s="874"/>
      <c r="S110" s="875"/>
      <c r="T110" s="876"/>
      <c r="U110" s="575"/>
    </row>
    <row r="111" spans="1:22" s="235" customFormat="1" ht="13.5" customHeight="1" thickBot="1">
      <c r="A111" s="899" t="s">
        <v>330</v>
      </c>
      <c r="B111" s="900"/>
      <c r="C111" s="219">
        <f>+SUM(C109:C110)</f>
        <v>91644</v>
      </c>
      <c r="D111" s="220">
        <f t="shared" ref="D111:E111" si="225">+SUM(D109:D110)</f>
        <v>101943</v>
      </c>
      <c r="E111" s="541">
        <f t="shared" si="225"/>
        <v>72611</v>
      </c>
      <c r="F111" s="555">
        <f>+E111/D111</f>
        <v>0.71227058258046161</v>
      </c>
      <c r="G111" s="219">
        <f>+SUM(G109:G110)</f>
        <v>171405</v>
      </c>
      <c r="H111" s="220">
        <f t="shared" ref="H111:I111" si="226">+SUM(H109:H110)</f>
        <v>173446</v>
      </c>
      <c r="I111" s="541">
        <f t="shared" si="226"/>
        <v>119628</v>
      </c>
      <c r="J111" s="555">
        <f>+I111/H111</f>
        <v>0.68971322486537601</v>
      </c>
      <c r="K111" s="219">
        <f>+SUM(K109:K110)</f>
        <v>263049</v>
      </c>
      <c r="L111" s="220">
        <f t="shared" ref="L111:M111" si="227">+SUM(L109:L110)</f>
        <v>275389</v>
      </c>
      <c r="M111" s="221">
        <f t="shared" si="227"/>
        <v>192239</v>
      </c>
      <c r="N111" s="219">
        <f>+N109+N110</f>
        <v>303104</v>
      </c>
      <c r="O111" s="220">
        <f t="shared" ref="O111" si="228">+O109+O110</f>
        <v>328552</v>
      </c>
      <c r="P111" s="541">
        <f t="shared" ref="P111" si="229">+P109+P110</f>
        <v>245763</v>
      </c>
      <c r="Q111" s="576">
        <f>+P111/O111</f>
        <v>0.74801857848985853</v>
      </c>
      <c r="R111" s="219">
        <f>+R109+R110</f>
        <v>315449</v>
      </c>
      <c r="S111" s="220">
        <f t="shared" ref="S111:T111" si="230">+S109+S110</f>
        <v>341921</v>
      </c>
      <c r="T111" s="541">
        <f t="shared" si="230"/>
        <v>241155</v>
      </c>
      <c r="U111" s="576">
        <f>+T111/S111</f>
        <v>0.70529449785184295</v>
      </c>
      <c r="V111" s="290"/>
    </row>
    <row r="112" spans="1:22" s="235" customFormat="1" ht="13.5" customHeight="1" thickBot="1">
      <c r="B112" s="877"/>
      <c r="C112" s="878"/>
      <c r="D112" s="878"/>
      <c r="E112" s="878"/>
      <c r="F112" s="878"/>
      <c r="G112" s="878"/>
      <c r="H112" s="877"/>
      <c r="I112" s="877"/>
      <c r="J112" s="877"/>
      <c r="K112" s="878"/>
      <c r="L112" s="879"/>
      <c r="M112" s="879"/>
      <c r="N112" s="880"/>
      <c r="O112" s="880"/>
      <c r="P112" s="880"/>
      <c r="Q112" s="880"/>
      <c r="R112" s="880"/>
      <c r="S112" s="880"/>
      <c r="T112" s="877"/>
      <c r="U112" s="880"/>
      <c r="V112" s="290"/>
    </row>
    <row r="113" spans="1:29" s="235" customFormat="1" ht="13.5" customHeight="1" thickBot="1">
      <c r="A113" s="897" t="s">
        <v>349</v>
      </c>
      <c r="B113" s="898"/>
      <c r="C113" s="238">
        <f>+C31-C111</f>
        <v>0</v>
      </c>
      <c r="D113" s="220">
        <f>+D31-D111</f>
        <v>0</v>
      </c>
      <c r="E113" s="239">
        <f>+E31-E111</f>
        <v>979</v>
      </c>
      <c r="F113" s="534"/>
      <c r="G113" s="238">
        <f>+G31-G111</f>
        <v>0</v>
      </c>
      <c r="H113" s="220">
        <f>+H31-H111</f>
        <v>0</v>
      </c>
      <c r="I113" s="239">
        <f>+I31-I111</f>
        <v>11818</v>
      </c>
      <c r="J113" s="534"/>
      <c r="K113" s="238">
        <f t="shared" ref="K113:O113" si="231">+K31-K111</f>
        <v>0</v>
      </c>
      <c r="L113" s="220">
        <f t="shared" si="231"/>
        <v>0</v>
      </c>
      <c r="M113" s="239">
        <f t="shared" si="231"/>
        <v>12797</v>
      </c>
      <c r="N113" s="238">
        <f t="shared" si="231"/>
        <v>0</v>
      </c>
      <c r="O113" s="220">
        <f t="shared" si="231"/>
        <v>0</v>
      </c>
      <c r="P113" s="541">
        <f>+P31-P111</f>
        <v>4726</v>
      </c>
      <c r="Q113" s="556"/>
      <c r="R113" s="238">
        <f>+R31-R111</f>
        <v>0</v>
      </c>
      <c r="S113" s="220">
        <f>+S31-S111</f>
        <v>0</v>
      </c>
      <c r="T113" s="541">
        <f>+T31-T111</f>
        <v>17523</v>
      </c>
      <c r="U113" s="543"/>
      <c r="V113" s="290"/>
      <c r="W113" s="290"/>
      <c r="X113" s="290"/>
      <c r="Y113" s="290"/>
      <c r="Z113" s="290"/>
      <c r="AA113" s="290"/>
      <c r="AB113" s="290"/>
      <c r="AC113" s="290"/>
    </row>
    <row r="114" spans="1:29" ht="13.5" customHeight="1"/>
    <row r="115" spans="1:29" ht="13.5" customHeight="1"/>
  </sheetData>
  <mergeCells count="10">
    <mergeCell ref="A113:B113"/>
    <mergeCell ref="A31:B31"/>
    <mergeCell ref="A111:B111"/>
    <mergeCell ref="A1:A2"/>
    <mergeCell ref="B1:B2"/>
    <mergeCell ref="K1:M1"/>
    <mergeCell ref="C1:F1"/>
    <mergeCell ref="G1:J1"/>
    <mergeCell ref="N1:Q1"/>
    <mergeCell ref="R1:U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&amp;R1/1. sz. táblázat
TÁRSULÁS ÉS INTÉZMÉNYEK
 BEVÉTELEK - KIADÁSOK
Adatok: eFt</oddHeader>
    <oddFooter>&amp;L&amp;F&amp;R&amp;P</oddFooter>
  </headerFooter>
  <rowBreaks count="1" manualBreakCount="1">
    <brk id="6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N98"/>
  <sheetViews>
    <sheetView topLeftCell="A76" workbookViewId="0">
      <selection activeCell="E88" sqref="E88"/>
    </sheetView>
  </sheetViews>
  <sheetFormatPr defaultColWidth="8.85546875" defaultRowHeight="12.95" customHeight="1"/>
  <cols>
    <col min="1" max="1" width="6.5703125" style="4" customWidth="1"/>
    <col min="2" max="2" width="54.5703125" style="1" customWidth="1"/>
    <col min="3" max="5" width="10.42578125" style="30" customWidth="1"/>
    <col min="6" max="6" width="8.5703125" style="30" customWidth="1"/>
    <col min="7" max="7" width="11.7109375" style="6" hidden="1" customWidth="1"/>
    <col min="8" max="8" width="10.42578125" style="8" hidden="1" customWidth="1"/>
    <col min="9" max="9" width="24.85546875" style="8" hidden="1" customWidth="1"/>
    <col min="10" max="10" width="10.140625" style="8" hidden="1" customWidth="1"/>
    <col min="11" max="11" width="0" style="8" hidden="1" customWidth="1"/>
    <col min="12" max="12" width="9.28515625" style="8" hidden="1" customWidth="1"/>
    <col min="13" max="13" width="0" style="8" hidden="1" customWidth="1"/>
    <col min="14" max="16384" width="8.85546875" style="8"/>
  </cols>
  <sheetData>
    <row r="1" spans="1:13" ht="12.75" customHeight="1">
      <c r="A1" s="909" t="s">
        <v>166</v>
      </c>
      <c r="B1" s="911" t="s">
        <v>191</v>
      </c>
      <c r="C1" s="915" t="s">
        <v>105</v>
      </c>
      <c r="D1" s="913" t="s">
        <v>106</v>
      </c>
      <c r="E1" s="907" t="s">
        <v>126</v>
      </c>
      <c r="F1" s="905" t="s">
        <v>414</v>
      </c>
    </row>
    <row r="2" spans="1:13" ht="31.5" customHeight="1">
      <c r="A2" s="910"/>
      <c r="B2" s="912"/>
      <c r="C2" s="916"/>
      <c r="D2" s="914"/>
      <c r="E2" s="908"/>
      <c r="F2" s="906"/>
    </row>
    <row r="3" spans="1:13" ht="14.25" customHeight="1">
      <c r="A3" s="114" t="s">
        <v>167</v>
      </c>
      <c r="B3" s="144" t="s">
        <v>413</v>
      </c>
      <c r="C3" s="248"/>
      <c r="D3" s="247"/>
      <c r="E3" s="617"/>
      <c r="F3" s="630"/>
    </row>
    <row r="4" spans="1:13" s="29" customFormat="1" ht="14.25" customHeight="1">
      <c r="A4" s="103" t="s">
        <v>168</v>
      </c>
      <c r="B4" s="104" t="s">
        <v>128</v>
      </c>
      <c r="C4" s="249">
        <f>+C5+C72</f>
        <v>303104</v>
      </c>
      <c r="D4" s="249">
        <f>+D5+D72</f>
        <v>313533</v>
      </c>
      <c r="E4" s="618">
        <f>+E5+E72</f>
        <v>235468</v>
      </c>
      <c r="F4" s="631">
        <f>+E4/D4</f>
        <v>0.75101504466834434</v>
      </c>
      <c r="G4" s="31"/>
      <c r="H4" s="267"/>
      <c r="I4" s="8"/>
      <c r="J4" s="8"/>
      <c r="L4" s="8"/>
      <c r="M4" s="8"/>
    </row>
    <row r="5" spans="1:13" s="29" customFormat="1" ht="14.25" customHeight="1">
      <c r="A5" s="105"/>
      <c r="B5" s="286" t="s">
        <v>383</v>
      </c>
      <c r="C5" s="250">
        <f>+'[5]2.SZ.TÁBL. BEVÉTELEK'!$D$4</f>
        <v>29220</v>
      </c>
      <c r="D5" s="99">
        <f>+'[4]2.SZ.TÁBL. BEVÉTELEK'!$E$4</f>
        <v>29220</v>
      </c>
      <c r="E5" s="619">
        <v>22001</v>
      </c>
      <c r="F5" s="631">
        <f>+E5/D5</f>
        <v>0.75294318959616702</v>
      </c>
      <c r="G5" s="31"/>
      <c r="H5" s="267"/>
      <c r="I5" s="8"/>
      <c r="J5" s="8"/>
      <c r="L5" s="8"/>
      <c r="M5" s="8"/>
    </row>
    <row r="6" spans="1:13" s="29" customFormat="1" ht="14.25" customHeight="1">
      <c r="A6" s="113"/>
      <c r="B6" s="270" t="s">
        <v>384</v>
      </c>
      <c r="C6" s="255"/>
      <c r="D6" s="256"/>
      <c r="E6" s="620"/>
      <c r="F6" s="631"/>
      <c r="G6" s="31"/>
      <c r="H6" s="267"/>
      <c r="I6" s="8"/>
      <c r="J6" s="8"/>
      <c r="L6" s="8"/>
      <c r="M6" s="8"/>
    </row>
    <row r="7" spans="1:13" s="29" customFormat="1" ht="14.25" customHeight="1">
      <c r="A7" s="113"/>
      <c r="B7" s="269" t="s">
        <v>373</v>
      </c>
      <c r="C7" s="251">
        <f>SUM(C8:C14)</f>
        <v>10260</v>
      </c>
      <c r="D7" s="251">
        <f t="shared" ref="D7:E7" si="0">SUM(D8:D14)</f>
        <v>10260</v>
      </c>
      <c r="E7" s="621">
        <f t="shared" si="0"/>
        <v>7122</v>
      </c>
      <c r="F7" s="631">
        <f>+E7/D7</f>
        <v>0.69415204678362574</v>
      </c>
      <c r="G7" s="6" t="s">
        <v>361</v>
      </c>
      <c r="H7" s="8">
        <f>3290*12-C5</f>
        <v>10260</v>
      </c>
      <c r="I7" s="8"/>
      <c r="J7" s="8"/>
      <c r="L7" s="8"/>
      <c r="M7" s="8"/>
    </row>
    <row r="8" spans="1:13" s="254" customFormat="1" ht="14.25" customHeight="1">
      <c r="A8" s="113"/>
      <c r="B8" s="271" t="s">
        <v>352</v>
      </c>
      <c r="C8" s="251">
        <f>+'[5]2.SZ.TÁBL. BEVÉTELEK'!$D7</f>
        <v>1140</v>
      </c>
      <c r="D8" s="252">
        <f>+'[4]2.SZ.TÁBL. BEVÉTELEK'!$E7</f>
        <v>1140</v>
      </c>
      <c r="E8" s="599">
        <v>855</v>
      </c>
      <c r="F8" s="631">
        <f>+E8/D8</f>
        <v>0.75</v>
      </c>
      <c r="G8" s="253"/>
      <c r="H8" s="267"/>
      <c r="I8" s="268" t="s">
        <v>352</v>
      </c>
      <c r="J8" s="275">
        <v>2755</v>
      </c>
      <c r="K8" s="277">
        <f>+J8/J15</f>
        <v>0.11099025058415922</v>
      </c>
      <c r="L8" s="8">
        <f>+$H$7*K8</f>
        <v>1138.7599709934736</v>
      </c>
      <c r="M8" s="35">
        <v>1279</v>
      </c>
    </row>
    <row r="9" spans="1:13" ht="14.25" customHeight="1">
      <c r="A9" s="113"/>
      <c r="B9" s="271" t="s">
        <v>353</v>
      </c>
      <c r="C9" s="251">
        <f>+'[5]2.SZ.TÁBL. BEVÉTELEK'!$D8</f>
        <v>3548</v>
      </c>
      <c r="D9" s="252">
        <f>+'[4]2.SZ.TÁBL. BEVÉTELEK'!$E8</f>
        <v>3548</v>
      </c>
      <c r="E9" s="599">
        <v>2661</v>
      </c>
      <c r="F9" s="631">
        <f t="shared" ref="F9:F69" si="1">+E9/D9</f>
        <v>0.75</v>
      </c>
      <c r="H9" s="267"/>
      <c r="I9" s="268" t="s">
        <v>353</v>
      </c>
      <c r="J9" s="275">
        <v>8617</v>
      </c>
      <c r="K9" s="277">
        <f>+J9/J15</f>
        <v>0.34715172024816693</v>
      </c>
      <c r="L9" s="8">
        <f>+$H$7*K9</f>
        <v>3561.7766497461926</v>
      </c>
      <c r="M9" s="8">
        <v>3999</v>
      </c>
    </row>
    <row r="10" spans="1:13" ht="14.25" customHeight="1">
      <c r="A10" s="113"/>
      <c r="B10" s="271" t="s">
        <v>359</v>
      </c>
      <c r="C10" s="251">
        <f>+'[5]2.SZ.TÁBL. BEVÉTELEK'!$D9</f>
        <v>518</v>
      </c>
      <c r="D10" s="252">
        <f>+'[4]2.SZ.TÁBL. BEVÉTELEK'!$E9</f>
        <v>518</v>
      </c>
      <c r="E10" s="599">
        <v>408</v>
      </c>
      <c r="F10" s="631">
        <f t="shared" si="1"/>
        <v>0.78764478764478763</v>
      </c>
      <c r="H10" s="267"/>
      <c r="I10" s="268" t="s">
        <v>359</v>
      </c>
      <c r="J10" s="275">
        <v>1248</v>
      </c>
      <c r="K10" s="277">
        <f>+J10/J15</f>
        <v>5.0277979211989364E-2</v>
      </c>
      <c r="L10" s="8">
        <f t="shared" ref="L10:L14" si="2">+$H$7*K10</f>
        <v>515.85206671501089</v>
      </c>
      <c r="M10" s="8">
        <v>579</v>
      </c>
    </row>
    <row r="11" spans="1:13" ht="14.25" customHeight="1">
      <c r="A11" s="113"/>
      <c r="B11" s="271" t="s">
        <v>354</v>
      </c>
      <c r="C11" s="251">
        <f>+'[5]2.SZ.TÁBL. BEVÉTELEK'!$D10</f>
        <v>447</v>
      </c>
      <c r="D11" s="252">
        <f>+'[4]2.SZ.TÁBL. BEVÉTELEK'!$E10</f>
        <v>447</v>
      </c>
      <c r="E11" s="599">
        <v>335</v>
      </c>
      <c r="F11" s="631">
        <f t="shared" si="1"/>
        <v>0.7494407158836689</v>
      </c>
      <c r="H11" s="267"/>
      <c r="I11" s="268" t="s">
        <v>354</v>
      </c>
      <c r="J11" s="275">
        <v>1077</v>
      </c>
      <c r="K11" s="277">
        <f>+J11/J15</f>
        <v>4.3388929175731207E-2</v>
      </c>
      <c r="L11" s="8">
        <f t="shared" si="2"/>
        <v>445.17041334300217</v>
      </c>
      <c r="M11" s="8">
        <v>500</v>
      </c>
    </row>
    <row r="12" spans="1:13" ht="14.25" customHeight="1">
      <c r="A12" s="113"/>
      <c r="B12" s="271" t="s">
        <v>355</v>
      </c>
      <c r="C12" s="251">
        <f>+'[5]2.SZ.TÁBL. BEVÉTELEK'!$D11</f>
        <v>2354</v>
      </c>
      <c r="D12" s="252">
        <f>+'[4]2.SZ.TÁBL. BEVÉTELEK'!$E11</f>
        <v>2354</v>
      </c>
      <c r="E12" s="599">
        <v>2001</v>
      </c>
      <c r="F12" s="631">
        <f t="shared" si="1"/>
        <v>0.85004248088360235</v>
      </c>
      <c r="H12" s="267"/>
      <c r="I12" s="268" t="s">
        <v>355</v>
      </c>
      <c r="J12" s="275">
        <v>5678</v>
      </c>
      <c r="K12" s="277">
        <f>+J12/J15</f>
        <v>0.22874869067762468</v>
      </c>
      <c r="L12" s="8">
        <f t="shared" si="2"/>
        <v>2346.9615663524291</v>
      </c>
      <c r="M12" s="8">
        <v>2635</v>
      </c>
    </row>
    <row r="13" spans="1:13" ht="14.25" customHeight="1">
      <c r="A13" s="113"/>
      <c r="B13" s="271" t="s">
        <v>356</v>
      </c>
      <c r="C13" s="251">
        <f>+'[5]2.SZ.TÁBL. BEVÉTELEK'!$D12</f>
        <v>1411</v>
      </c>
      <c r="D13" s="252">
        <f>+'[4]2.SZ.TÁBL. BEVÉTELEK'!$E12</f>
        <v>1411</v>
      </c>
      <c r="E13" s="599">
        <v>230</v>
      </c>
      <c r="F13" s="631">
        <f t="shared" si="1"/>
        <v>0.16300496102055281</v>
      </c>
      <c r="H13" s="267"/>
      <c r="I13" s="268" t="s">
        <v>356</v>
      </c>
      <c r="J13" s="275">
        <v>3400</v>
      </c>
      <c r="K13" s="277">
        <f>+J13/J15</f>
        <v>0.13697526387881717</v>
      </c>
      <c r="L13" s="8">
        <f t="shared" si="2"/>
        <v>1405.3662073966641</v>
      </c>
      <c r="M13" s="8">
        <v>1578</v>
      </c>
    </row>
    <row r="14" spans="1:13" ht="14.25" customHeight="1">
      <c r="A14" s="113"/>
      <c r="B14" s="271" t="s">
        <v>357</v>
      </c>
      <c r="C14" s="251">
        <f>+'[5]2.SZ.TÁBL. BEVÉTELEK'!$D13</f>
        <v>842</v>
      </c>
      <c r="D14" s="252">
        <f>+'[4]2.SZ.TÁBL. BEVÉTELEK'!$E13</f>
        <v>842</v>
      </c>
      <c r="E14" s="599">
        <v>632</v>
      </c>
      <c r="F14" s="631">
        <f t="shared" si="1"/>
        <v>0.75059382422802845</v>
      </c>
      <c r="H14" s="267"/>
      <c r="I14" s="268" t="s">
        <v>357</v>
      </c>
      <c r="J14" s="275">
        <v>2047</v>
      </c>
      <c r="K14" s="277">
        <f>+J14/J15</f>
        <v>8.2467166223511398E-2</v>
      </c>
      <c r="L14" s="8">
        <f t="shared" si="2"/>
        <v>846.11312545322698</v>
      </c>
      <c r="M14" s="8">
        <v>950</v>
      </c>
    </row>
    <row r="15" spans="1:13" s="29" customFormat="1" ht="14.25" customHeight="1">
      <c r="A15" s="113"/>
      <c r="B15" s="154"/>
      <c r="C15" s="255"/>
      <c r="D15" s="256"/>
      <c r="E15" s="620"/>
      <c r="F15" s="631"/>
      <c r="G15" s="31"/>
      <c r="H15" s="267"/>
      <c r="J15" s="276">
        <f>SUM(J8:J14)</f>
        <v>24822</v>
      </c>
      <c r="K15" s="278"/>
      <c r="L15" s="279">
        <f>SUM(L8:L14)</f>
        <v>10259.999999999998</v>
      </c>
      <c r="M15" s="8">
        <f>SUM(M8:M14)</f>
        <v>11520</v>
      </c>
    </row>
    <row r="16" spans="1:13" ht="14.25" customHeight="1">
      <c r="A16" s="115"/>
      <c r="B16" s="269" t="s">
        <v>358</v>
      </c>
      <c r="C16" s="251">
        <f>+SUM(C17:C19)</f>
        <v>6343</v>
      </c>
      <c r="D16" s="251">
        <f>+SUM(D17:D19)</f>
        <v>6343</v>
      </c>
      <c r="E16" s="621">
        <f>+SUM(E17:E19)</f>
        <v>4794</v>
      </c>
      <c r="F16" s="631">
        <f t="shared" si="1"/>
        <v>0.75579378842818856</v>
      </c>
      <c r="H16" s="267"/>
    </row>
    <row r="17" spans="1:13" ht="14.25" customHeight="1">
      <c r="A17" s="115"/>
      <c r="B17" s="271" t="s">
        <v>352</v>
      </c>
      <c r="C17" s="251">
        <f>+'[5]2.SZ.TÁBL. BEVÉTELEK'!$D16</f>
        <v>3309</v>
      </c>
      <c r="D17" s="252">
        <f>+'[4]2.SZ.TÁBL. BEVÉTELEK'!$E16</f>
        <v>3309</v>
      </c>
      <c r="E17" s="599">
        <f>+'4.SZ.TÁBL. ÓVODA'!T32</f>
        <v>2482</v>
      </c>
      <c r="F17" s="631">
        <f t="shared" si="1"/>
        <v>0.7500755515261408</v>
      </c>
      <c r="H17" s="267"/>
    </row>
    <row r="18" spans="1:13" ht="14.25" customHeight="1">
      <c r="A18" s="115"/>
      <c r="B18" s="271" t="s">
        <v>359</v>
      </c>
      <c r="C18" s="251">
        <f>+'[5]2.SZ.TÁBL. BEVÉTELEK'!$D17</f>
        <v>1004</v>
      </c>
      <c r="D18" s="252">
        <f>+'[4]2.SZ.TÁBL. BEVÉTELEK'!$E17</f>
        <v>1004</v>
      </c>
      <c r="E18" s="599">
        <f>+'4.SZ.TÁBL. ÓVODA'!T33</f>
        <v>790</v>
      </c>
      <c r="F18" s="631">
        <f t="shared" si="1"/>
        <v>0.78685258964143423</v>
      </c>
    </row>
    <row r="19" spans="1:13" ht="14.25" customHeight="1">
      <c r="A19" s="115"/>
      <c r="B19" s="271" t="s">
        <v>357</v>
      </c>
      <c r="C19" s="251">
        <f>+'[5]2.SZ.TÁBL. BEVÉTELEK'!$D18</f>
        <v>2030</v>
      </c>
      <c r="D19" s="252">
        <f>+'[4]2.SZ.TÁBL. BEVÉTELEK'!$E18</f>
        <v>2030</v>
      </c>
      <c r="E19" s="599">
        <f>+'4.SZ.TÁBL. ÓVODA'!T34</f>
        <v>1522</v>
      </c>
      <c r="F19" s="631">
        <f t="shared" si="1"/>
        <v>0.74975369458128083</v>
      </c>
    </row>
    <row r="20" spans="1:13" ht="14.25" customHeight="1">
      <c r="A20" s="115"/>
      <c r="B20" s="274"/>
      <c r="C20" s="251"/>
      <c r="D20" s="252"/>
      <c r="E20" s="599"/>
      <c r="F20" s="631"/>
    </row>
    <row r="21" spans="1:13" ht="14.25" customHeight="1">
      <c r="A21" s="115"/>
      <c r="B21" s="269" t="s">
        <v>360</v>
      </c>
      <c r="C21" s="251">
        <f>+SUM(C22:C28)</f>
        <v>21447</v>
      </c>
      <c r="D21" s="251">
        <f t="shared" ref="D21:E21" si="3">+SUM(D22:D28)</f>
        <v>21878</v>
      </c>
      <c r="E21" s="621">
        <f t="shared" si="3"/>
        <v>14818</v>
      </c>
      <c r="F21" s="631">
        <f t="shared" si="1"/>
        <v>0.6773013986653259</v>
      </c>
    </row>
    <row r="22" spans="1:13" ht="14.25" customHeight="1">
      <c r="A22" s="115"/>
      <c r="B22" s="271" t="s">
        <v>352</v>
      </c>
      <c r="C22" s="251">
        <f>+'[5]2.SZ.TÁBL. BEVÉTELEK'!$D21</f>
        <v>4572</v>
      </c>
      <c r="D22" s="252">
        <f>+'[4]2.SZ.TÁBL. BEVÉTELEK'!$E21</f>
        <v>5003</v>
      </c>
      <c r="E22" s="599">
        <f>+'3.SZ.TÁBL. SEGÍTŐ SZOLGÁLAT'!Z32</f>
        <v>3431</v>
      </c>
      <c r="F22" s="631">
        <f t="shared" si="1"/>
        <v>0.68578852688386971</v>
      </c>
    </row>
    <row r="23" spans="1:13" ht="14.25" customHeight="1">
      <c r="A23" s="115"/>
      <c r="B23" s="271" t="s">
        <v>359</v>
      </c>
      <c r="C23" s="251">
        <f>+'[5]2.SZ.TÁBL. BEVÉTELEK'!$D22</f>
        <v>1172</v>
      </c>
      <c r="D23" s="252">
        <f>+'[4]2.SZ.TÁBL. BEVÉTELEK'!$E22</f>
        <v>1172</v>
      </c>
      <c r="E23" s="599">
        <f>+'3.SZ.TÁBL. SEGÍTŐ SZOLGÁLAT'!Z33</f>
        <v>922</v>
      </c>
      <c r="F23" s="631">
        <f t="shared" si="1"/>
        <v>0.78668941979522189</v>
      </c>
    </row>
    <row r="24" spans="1:13" ht="14.25" customHeight="1">
      <c r="A24" s="115"/>
      <c r="B24" s="271" t="s">
        <v>354</v>
      </c>
      <c r="C24" s="251">
        <f>+'[5]2.SZ.TÁBL. BEVÉTELEK'!$D23</f>
        <v>1271</v>
      </c>
      <c r="D24" s="252">
        <f>+'[4]2.SZ.TÁBL. BEVÉTELEK'!$E23</f>
        <v>1271</v>
      </c>
      <c r="E24" s="599">
        <f>+'3.SZ.TÁBL. SEGÍTŐ SZOLGÁLAT'!Z34</f>
        <v>953</v>
      </c>
      <c r="F24" s="631">
        <f t="shared" si="1"/>
        <v>0.74980330448465771</v>
      </c>
      <c r="I24" s="273"/>
      <c r="J24" s="273"/>
    </row>
    <row r="25" spans="1:13" ht="14.25" customHeight="1">
      <c r="A25" s="115"/>
      <c r="B25" s="271" t="s">
        <v>355</v>
      </c>
      <c r="C25" s="251">
        <f>+'[5]2.SZ.TÁBL. BEVÉTELEK'!$D24</f>
        <v>7149</v>
      </c>
      <c r="D25" s="252">
        <f>+'[4]2.SZ.TÁBL. BEVÉTELEK'!$E24</f>
        <v>7149</v>
      </c>
      <c r="E25" s="599">
        <f>+'3.SZ.TÁBL. SEGÍTŐ SZOLGÁLAT'!Z35</f>
        <v>6077</v>
      </c>
      <c r="F25" s="631">
        <f t="shared" si="1"/>
        <v>0.85004895789620927</v>
      </c>
      <c r="H25" s="273"/>
      <c r="K25" s="273"/>
    </row>
    <row r="26" spans="1:13" ht="14.25" customHeight="1">
      <c r="A26" s="115"/>
      <c r="B26" s="271" t="s">
        <v>356</v>
      </c>
      <c r="C26" s="251">
        <f>+'[5]2.SZ.TÁBL. BEVÉTELEK'!$D25</f>
        <v>3455</v>
      </c>
      <c r="D26" s="252">
        <f>+'[4]2.SZ.TÁBL. BEVÉTELEK'!$E25</f>
        <v>3455</v>
      </c>
      <c r="E26" s="599">
        <f>+'3.SZ.TÁBL. SEGÍTŐ SZOLGÁLAT'!Z36</f>
        <v>563</v>
      </c>
      <c r="F26" s="631">
        <f t="shared" si="1"/>
        <v>0.16295224312590448</v>
      </c>
    </row>
    <row r="27" spans="1:13" s="273" customFormat="1" ht="14.25" customHeight="1">
      <c r="A27" s="115"/>
      <c r="B27" s="271" t="s">
        <v>357</v>
      </c>
      <c r="C27" s="251">
        <f>+'[5]2.SZ.TÁBL. BEVÉTELEK'!$D26</f>
        <v>1907</v>
      </c>
      <c r="D27" s="252">
        <f>+'[4]2.SZ.TÁBL. BEVÉTELEK'!$E26</f>
        <v>1907</v>
      </c>
      <c r="E27" s="599">
        <f>+'3.SZ.TÁBL. SEGÍTŐ SZOLGÁLAT'!Z37</f>
        <v>1430</v>
      </c>
      <c r="F27" s="631">
        <f t="shared" si="1"/>
        <v>0.74986890403775563</v>
      </c>
      <c r="G27" s="7"/>
      <c r="H27" s="8"/>
      <c r="I27" s="8"/>
      <c r="J27" s="8"/>
      <c r="K27" s="8"/>
      <c r="L27" s="8"/>
      <c r="M27" s="8"/>
    </row>
    <row r="28" spans="1:13" s="273" customFormat="1" ht="14.25" customHeight="1">
      <c r="A28" s="115"/>
      <c r="B28" s="272" t="s">
        <v>336</v>
      </c>
      <c r="C28" s="251">
        <f>+'[5]2.SZ.TÁBL. BEVÉTELEK'!$D27</f>
        <v>1921</v>
      </c>
      <c r="D28" s="252">
        <f>+'[4]2.SZ.TÁBL. BEVÉTELEK'!$E27</f>
        <v>1921</v>
      </c>
      <c r="E28" s="599">
        <f>+'3.SZ.TÁBL. SEGÍTŐ SZOLGÁLAT'!Z38</f>
        <v>1442</v>
      </c>
      <c r="F28" s="631">
        <f t="shared" si="1"/>
        <v>0.75065070275897972</v>
      </c>
      <c r="G28" s="7"/>
      <c r="H28" s="8"/>
      <c r="I28" s="8"/>
      <c r="J28" s="8"/>
      <c r="K28" s="8"/>
      <c r="L28" s="8"/>
      <c r="M28" s="8"/>
    </row>
    <row r="29" spans="1:13" s="266" customFormat="1" ht="14.25" customHeight="1">
      <c r="A29" s="113"/>
      <c r="B29" s="272"/>
      <c r="C29" s="255"/>
      <c r="D29" s="256"/>
      <c r="E29" s="620"/>
      <c r="F29" s="631"/>
      <c r="G29" s="7"/>
      <c r="H29" s="8"/>
      <c r="I29" s="8"/>
      <c r="J29" s="8"/>
      <c r="K29" s="8"/>
      <c r="L29" s="8"/>
      <c r="M29" s="8"/>
    </row>
    <row r="30" spans="1:13" s="266" customFormat="1" ht="14.25" customHeight="1">
      <c r="A30" s="113"/>
      <c r="B30" s="269" t="s">
        <v>372</v>
      </c>
      <c r="C30" s="251">
        <f>SUM(C31:C38)</f>
        <v>2722</v>
      </c>
      <c r="D30" s="251">
        <f t="shared" ref="D30:E30" si="4">SUM(D31:D38)</f>
        <v>2722</v>
      </c>
      <c r="E30" s="621">
        <f t="shared" si="4"/>
        <v>1903</v>
      </c>
      <c r="F30" s="631">
        <f t="shared" si="1"/>
        <v>0.69911829537105075</v>
      </c>
      <c r="G30" s="265"/>
      <c r="H30" s="8"/>
      <c r="I30" s="8"/>
      <c r="J30" s="8"/>
      <c r="K30" s="8"/>
      <c r="L30" s="8"/>
      <c r="M30" s="8"/>
    </row>
    <row r="31" spans="1:13" s="266" customFormat="1" ht="14.25" customHeight="1">
      <c r="A31" s="113"/>
      <c r="B31" s="271" t="s">
        <v>352</v>
      </c>
      <c r="C31" s="251">
        <f>+'[5]2.SZ.TÁBL. BEVÉTELEK'!$D30</f>
        <v>274</v>
      </c>
      <c r="D31" s="252">
        <f>+'[4]2.SZ.TÁBL. BEVÉTELEK'!$E30</f>
        <v>274</v>
      </c>
      <c r="E31" s="599">
        <v>205</v>
      </c>
      <c r="F31" s="631">
        <f t="shared" si="1"/>
        <v>0.74817518248175185</v>
      </c>
      <c r="G31" s="6" t="s">
        <v>362</v>
      </c>
      <c r="H31" s="8">
        <v>100</v>
      </c>
      <c r="I31" s="8" t="s">
        <v>4</v>
      </c>
      <c r="J31" s="275">
        <v>2755</v>
      </c>
      <c r="K31" s="6">
        <f>+$H$31*J31</f>
        <v>275500</v>
      </c>
      <c r="L31" s="8">
        <v>275</v>
      </c>
      <c r="M31" s="8"/>
    </row>
    <row r="32" spans="1:13" s="266" customFormat="1" ht="14.25" customHeight="1">
      <c r="A32" s="113"/>
      <c r="B32" s="271" t="s">
        <v>353</v>
      </c>
      <c r="C32" s="251">
        <f>+'[5]2.SZ.TÁBL. BEVÉTELEK'!$D31</f>
        <v>854</v>
      </c>
      <c r="D32" s="252">
        <f>+'[4]2.SZ.TÁBL. BEVÉTELEK'!$E31</f>
        <v>854</v>
      </c>
      <c r="E32" s="599">
        <v>641</v>
      </c>
      <c r="F32" s="631">
        <f t="shared" si="1"/>
        <v>0.75058548009367676</v>
      </c>
      <c r="G32" s="6"/>
      <c r="H32" s="8"/>
      <c r="I32" s="8" t="s">
        <v>5</v>
      </c>
      <c r="J32" s="275">
        <v>8617</v>
      </c>
      <c r="K32" s="6">
        <f t="shared" ref="K32:K38" si="5">+$H$31*J32</f>
        <v>861700</v>
      </c>
      <c r="L32" s="8">
        <v>862</v>
      </c>
      <c r="M32" s="8"/>
    </row>
    <row r="33" spans="1:13" s="266" customFormat="1" ht="14.25" customHeight="1">
      <c r="A33" s="113"/>
      <c r="B33" s="271" t="s">
        <v>359</v>
      </c>
      <c r="C33" s="251">
        <f>+'[5]2.SZ.TÁBL. BEVÉTELEK'!$D32</f>
        <v>125</v>
      </c>
      <c r="D33" s="252">
        <f>+'[4]2.SZ.TÁBL. BEVÉTELEK'!$E32</f>
        <v>125</v>
      </c>
      <c r="E33" s="599">
        <v>98</v>
      </c>
      <c r="F33" s="631">
        <f t="shared" si="1"/>
        <v>0.78400000000000003</v>
      </c>
      <c r="G33" s="6"/>
      <c r="H33" s="8"/>
      <c r="I33" s="8" t="s">
        <v>6</v>
      </c>
      <c r="J33" s="275">
        <v>1248</v>
      </c>
      <c r="K33" s="6">
        <f t="shared" si="5"/>
        <v>124800</v>
      </c>
      <c r="L33" s="8">
        <v>125</v>
      </c>
      <c r="M33" s="8"/>
    </row>
    <row r="34" spans="1:13" s="266" customFormat="1" ht="14.25" customHeight="1">
      <c r="A34" s="113"/>
      <c r="B34" s="271" t="s">
        <v>354</v>
      </c>
      <c r="C34" s="251">
        <f>+'[5]2.SZ.TÁBL. BEVÉTELEK'!$D33</f>
        <v>107</v>
      </c>
      <c r="D34" s="252">
        <f>+'[4]2.SZ.TÁBL. BEVÉTELEK'!$E33</f>
        <v>107</v>
      </c>
      <c r="E34" s="599">
        <v>80</v>
      </c>
      <c r="F34" s="631">
        <f t="shared" si="1"/>
        <v>0.74766355140186913</v>
      </c>
      <c r="G34" s="6"/>
      <c r="H34" s="8"/>
      <c r="I34" s="8" t="s">
        <v>7</v>
      </c>
      <c r="J34" s="275">
        <v>1077</v>
      </c>
      <c r="K34" s="6">
        <f t="shared" si="5"/>
        <v>107700</v>
      </c>
      <c r="L34" s="8">
        <v>107</v>
      </c>
      <c r="M34" s="8"/>
    </row>
    <row r="35" spans="1:13" s="266" customFormat="1" ht="14.25" customHeight="1">
      <c r="A35" s="113"/>
      <c r="B35" s="271" t="s">
        <v>355</v>
      </c>
      <c r="C35" s="251">
        <f>+'[5]2.SZ.TÁBL. BEVÉTELEK'!$D34</f>
        <v>567</v>
      </c>
      <c r="D35" s="252">
        <f>+'[4]2.SZ.TÁBL. BEVÉTELEK'!$E34</f>
        <v>567</v>
      </c>
      <c r="E35" s="599">
        <v>482</v>
      </c>
      <c r="F35" s="631">
        <f t="shared" si="1"/>
        <v>0.85008818342151671</v>
      </c>
      <c r="G35" s="6"/>
      <c r="H35" s="8"/>
      <c r="I35" s="8" t="s">
        <v>8</v>
      </c>
      <c r="J35" s="275">
        <v>5678</v>
      </c>
      <c r="K35" s="6">
        <f t="shared" si="5"/>
        <v>567800</v>
      </c>
      <c r="L35" s="8">
        <v>568</v>
      </c>
      <c r="M35" s="8"/>
    </row>
    <row r="36" spans="1:13" s="266" customFormat="1" ht="14.25" customHeight="1">
      <c r="A36" s="113"/>
      <c r="B36" s="271" t="s">
        <v>356</v>
      </c>
      <c r="C36" s="251">
        <f>+'[5]2.SZ.TÁBL. BEVÉTELEK'!$D35</f>
        <v>340</v>
      </c>
      <c r="D36" s="252">
        <f>+'[4]2.SZ.TÁBL. BEVÉTELEK'!$E35</f>
        <v>340</v>
      </c>
      <c r="E36" s="599">
        <v>56</v>
      </c>
      <c r="F36" s="631">
        <f t="shared" si="1"/>
        <v>0.16470588235294117</v>
      </c>
      <c r="G36" s="6"/>
      <c r="H36" s="8"/>
      <c r="I36" s="8" t="s">
        <v>9</v>
      </c>
      <c r="J36" s="275">
        <v>3400</v>
      </c>
      <c r="K36" s="6">
        <f t="shared" si="5"/>
        <v>340000</v>
      </c>
      <c r="L36" s="8">
        <v>340</v>
      </c>
      <c r="M36" s="8"/>
    </row>
    <row r="37" spans="1:13" s="266" customFormat="1" ht="14.25" customHeight="1">
      <c r="A37" s="113"/>
      <c r="B37" s="271" t="s">
        <v>357</v>
      </c>
      <c r="C37" s="251">
        <f>+'[5]2.SZ.TÁBL. BEVÉTELEK'!$D36</f>
        <v>203</v>
      </c>
      <c r="D37" s="252">
        <f>+'[4]2.SZ.TÁBL. BEVÉTELEK'!$E36</f>
        <v>203</v>
      </c>
      <c r="E37" s="599">
        <v>152</v>
      </c>
      <c r="F37" s="631">
        <f t="shared" si="1"/>
        <v>0.74876847290640391</v>
      </c>
      <c r="G37" s="6"/>
      <c r="H37" s="8"/>
      <c r="I37" s="8" t="s">
        <v>10</v>
      </c>
      <c r="J37" s="275">
        <v>2047</v>
      </c>
      <c r="K37" s="6">
        <f t="shared" si="5"/>
        <v>204700</v>
      </c>
      <c r="L37" s="8">
        <v>205</v>
      </c>
      <c r="M37" s="8"/>
    </row>
    <row r="38" spans="1:13" s="266" customFormat="1" ht="14.25" customHeight="1">
      <c r="A38" s="113"/>
      <c r="B38" s="272" t="s">
        <v>336</v>
      </c>
      <c r="C38" s="251">
        <f>+'[5]2.SZ.TÁBL. BEVÉTELEK'!$D37</f>
        <v>252</v>
      </c>
      <c r="D38" s="252">
        <f>+'[4]2.SZ.TÁBL. BEVÉTELEK'!$E37</f>
        <v>252</v>
      </c>
      <c r="E38" s="599">
        <v>189</v>
      </c>
      <c r="F38" s="631">
        <f t="shared" si="1"/>
        <v>0.75</v>
      </c>
      <c r="G38" s="265"/>
      <c r="H38" s="8"/>
      <c r="I38" s="35" t="s">
        <v>336</v>
      </c>
      <c r="J38" s="245">
        <v>2539</v>
      </c>
      <c r="K38" s="6">
        <f t="shared" si="5"/>
        <v>253900</v>
      </c>
      <c r="L38" s="245">
        <v>254</v>
      </c>
      <c r="M38" s="8"/>
    </row>
    <row r="39" spans="1:13" s="266" customFormat="1" ht="14.25" customHeight="1">
      <c r="A39" s="113"/>
      <c r="B39" s="272"/>
      <c r="C39" s="255"/>
      <c r="D39" s="256"/>
      <c r="E39" s="620"/>
      <c r="F39" s="631"/>
      <c r="G39" s="265"/>
      <c r="H39" s="8"/>
      <c r="I39" s="8"/>
      <c r="J39" s="276">
        <f>SUM(J31:J38)</f>
        <v>27361</v>
      </c>
      <c r="K39" s="6">
        <f>SUM(K31:K38)</f>
        <v>2736100</v>
      </c>
      <c r="L39" s="6">
        <f>SUM(L31:L38)</f>
        <v>2736</v>
      </c>
      <c r="M39" s="8"/>
    </row>
    <row r="40" spans="1:13" s="266" customFormat="1" ht="14.25" customHeight="1">
      <c r="A40" s="113"/>
      <c r="B40" s="269" t="s">
        <v>377</v>
      </c>
      <c r="C40" s="251">
        <f>+SUM(C41:C47)</f>
        <v>3008</v>
      </c>
      <c r="D40" s="251">
        <f t="shared" ref="D40:E40" si="6">+SUM(D41:D47)</f>
        <v>3008</v>
      </c>
      <c r="E40" s="621">
        <f t="shared" si="6"/>
        <v>2099</v>
      </c>
      <c r="F40" s="631">
        <f t="shared" si="1"/>
        <v>0.69780585106382975</v>
      </c>
      <c r="G40" s="265"/>
      <c r="H40" s="8"/>
      <c r="I40" s="8"/>
      <c r="J40" s="276"/>
      <c r="K40" s="6"/>
      <c r="L40" s="6"/>
      <c r="M40" s="8"/>
    </row>
    <row r="41" spans="1:13" s="266" customFormat="1" ht="14.25" customHeight="1">
      <c r="A41" s="113"/>
      <c r="B41" s="271" t="s">
        <v>352</v>
      </c>
      <c r="C41" s="251">
        <f>+'[5]2.SZ.TÁBL. BEVÉTELEK'!$D40</f>
        <v>248</v>
      </c>
      <c r="D41" s="252">
        <f>+'[4]2.SZ.TÁBL. BEVÉTELEK'!$E40</f>
        <v>248</v>
      </c>
      <c r="E41" s="599">
        <v>186</v>
      </c>
      <c r="F41" s="631">
        <f t="shared" si="1"/>
        <v>0.75</v>
      </c>
      <c r="G41" s="6" t="s">
        <v>380</v>
      </c>
      <c r="H41" s="8" t="s">
        <v>382</v>
      </c>
      <c r="I41" s="8"/>
      <c r="J41" s="276" t="s">
        <v>381</v>
      </c>
      <c r="K41" s="6"/>
      <c r="L41" s="6"/>
      <c r="M41" s="8"/>
    </row>
    <row r="42" spans="1:13" s="266" customFormat="1" ht="14.25" customHeight="1">
      <c r="A42" s="113"/>
      <c r="B42" s="271" t="s">
        <v>359</v>
      </c>
      <c r="C42" s="251">
        <f>+'[5]2.SZ.TÁBL. BEVÉTELEK'!$D41</f>
        <v>335</v>
      </c>
      <c r="D42" s="252">
        <f>+'[4]2.SZ.TÁBL. BEVÉTELEK'!$E41</f>
        <v>335</v>
      </c>
      <c r="E42" s="599">
        <v>264</v>
      </c>
      <c r="F42" s="631">
        <f t="shared" si="1"/>
        <v>0.78805970149253735</v>
      </c>
      <c r="G42" s="6"/>
      <c r="H42" s="8">
        <v>8641</v>
      </c>
      <c r="I42" s="8" t="s">
        <v>4</v>
      </c>
      <c r="J42" s="276">
        <v>40</v>
      </c>
      <c r="K42" s="6">
        <f>+H42*J42</f>
        <v>345640</v>
      </c>
      <c r="L42" s="6">
        <v>346</v>
      </c>
      <c r="M42" s="8"/>
    </row>
    <row r="43" spans="1:13" s="266" customFormat="1" ht="14.25" customHeight="1">
      <c r="A43" s="113"/>
      <c r="B43" s="271" t="s">
        <v>354</v>
      </c>
      <c r="C43" s="251">
        <f>+'[5]2.SZ.TÁBL. BEVÉTELEK'!$D42</f>
        <v>385</v>
      </c>
      <c r="D43" s="252">
        <f>+'[4]2.SZ.TÁBL. BEVÉTELEK'!$E42</f>
        <v>385</v>
      </c>
      <c r="E43" s="599">
        <v>289</v>
      </c>
      <c r="F43" s="631">
        <f t="shared" si="1"/>
        <v>0.75064935064935068</v>
      </c>
      <c r="G43" s="6"/>
      <c r="H43" s="8"/>
      <c r="I43" s="8" t="s">
        <v>6</v>
      </c>
      <c r="J43" s="276">
        <v>40</v>
      </c>
      <c r="K43" s="6">
        <f>+H42*J43</f>
        <v>345640</v>
      </c>
      <c r="L43" s="6">
        <v>346</v>
      </c>
      <c r="M43" s="8"/>
    </row>
    <row r="44" spans="1:13" s="266" customFormat="1" ht="14.25" customHeight="1">
      <c r="A44" s="113"/>
      <c r="B44" s="271" t="s">
        <v>355</v>
      </c>
      <c r="C44" s="251">
        <f>+'[5]2.SZ.TÁBL. BEVÉTELEK'!$D43</f>
        <v>935</v>
      </c>
      <c r="D44" s="252">
        <f>+'[4]2.SZ.TÁBL. BEVÉTELEK'!$E43</f>
        <v>935</v>
      </c>
      <c r="E44" s="599">
        <v>794</v>
      </c>
      <c r="F44" s="631">
        <f t="shared" si="1"/>
        <v>0.84919786096256689</v>
      </c>
      <c r="G44" s="6"/>
      <c r="H44" s="8"/>
      <c r="I44" s="8" t="s">
        <v>7</v>
      </c>
      <c r="J44" s="276">
        <v>40</v>
      </c>
      <c r="K44" s="6">
        <f>+H42*J44</f>
        <v>345640</v>
      </c>
      <c r="L44" s="6">
        <v>346</v>
      </c>
      <c r="M44" s="8"/>
    </row>
    <row r="45" spans="1:13" s="266" customFormat="1" ht="14.25" customHeight="1">
      <c r="A45" s="113"/>
      <c r="B45" s="271" t="s">
        <v>356</v>
      </c>
      <c r="C45" s="251">
        <f>+'[5]2.SZ.TÁBL. BEVÉTELEK'!$D44</f>
        <v>447</v>
      </c>
      <c r="D45" s="252">
        <f>+'[4]2.SZ.TÁBL. BEVÉTELEK'!$E44</f>
        <v>447</v>
      </c>
      <c r="E45" s="599">
        <v>73</v>
      </c>
      <c r="F45" s="631">
        <f t="shared" si="1"/>
        <v>0.16331096196868009</v>
      </c>
      <c r="G45" s="6"/>
      <c r="H45" s="8">
        <v>20320</v>
      </c>
      <c r="I45" s="8" t="s">
        <v>8</v>
      </c>
      <c r="J45" s="276">
        <v>39</v>
      </c>
      <c r="K45" s="6">
        <f>+H45*J45</f>
        <v>792480</v>
      </c>
      <c r="L45" s="6">
        <v>790</v>
      </c>
      <c r="M45" s="8"/>
    </row>
    <row r="46" spans="1:13" s="266" customFormat="1" ht="14.25" customHeight="1">
      <c r="A46" s="113"/>
      <c r="B46" s="271" t="s">
        <v>357</v>
      </c>
      <c r="C46" s="251">
        <f>+'[5]2.SZ.TÁBL. BEVÉTELEK'!$D45</f>
        <v>273</v>
      </c>
      <c r="D46" s="252">
        <f>+'[4]2.SZ.TÁBL. BEVÉTELEK'!$E45</f>
        <v>273</v>
      </c>
      <c r="E46" s="599">
        <v>204</v>
      </c>
      <c r="F46" s="631">
        <f t="shared" si="1"/>
        <v>0.74725274725274726</v>
      </c>
      <c r="G46" s="6"/>
      <c r="H46" s="8"/>
      <c r="I46" s="8" t="s">
        <v>9</v>
      </c>
      <c r="J46" s="276">
        <v>40</v>
      </c>
      <c r="K46" s="6">
        <f>+H42*J46</f>
        <v>345640</v>
      </c>
      <c r="L46" s="6">
        <v>346</v>
      </c>
      <c r="M46" s="8"/>
    </row>
    <row r="47" spans="1:13" s="266" customFormat="1" ht="14.25" customHeight="1">
      <c r="A47" s="113"/>
      <c r="B47" s="272" t="s">
        <v>336</v>
      </c>
      <c r="C47" s="251">
        <f>+'[5]2.SZ.TÁBL. BEVÉTELEK'!$D46</f>
        <v>385</v>
      </c>
      <c r="D47" s="252">
        <f>+'[4]2.SZ.TÁBL. BEVÉTELEK'!$E46</f>
        <v>385</v>
      </c>
      <c r="E47" s="599">
        <v>289</v>
      </c>
      <c r="F47" s="631">
        <f t="shared" si="1"/>
        <v>0.75064935064935068</v>
      </c>
      <c r="G47" s="6"/>
      <c r="H47" s="8"/>
      <c r="I47" s="8" t="s">
        <v>10</v>
      </c>
      <c r="J47" s="276">
        <v>40</v>
      </c>
      <c r="K47" s="6">
        <f>+H42*J47</f>
        <v>345640</v>
      </c>
      <c r="L47" s="6">
        <v>346</v>
      </c>
      <c r="M47" s="8"/>
    </row>
    <row r="48" spans="1:13" s="266" customFormat="1" ht="14.25" customHeight="1">
      <c r="A48" s="113"/>
      <c r="B48" s="289"/>
      <c r="C48" s="255"/>
      <c r="D48" s="256"/>
      <c r="E48" s="620"/>
      <c r="F48" s="631"/>
      <c r="G48" s="6"/>
      <c r="H48" s="8"/>
      <c r="I48" s="35" t="s">
        <v>336</v>
      </c>
      <c r="J48" s="276">
        <v>40</v>
      </c>
      <c r="K48" s="6">
        <f>+H42*J48</f>
        <v>345640</v>
      </c>
      <c r="L48" s="6">
        <v>346</v>
      </c>
      <c r="M48" s="8"/>
    </row>
    <row r="49" spans="1:14" s="266" customFormat="1" ht="14.25" customHeight="1">
      <c r="A49" s="113"/>
      <c r="B49" s="269" t="s">
        <v>378</v>
      </c>
      <c r="C49" s="251">
        <f>+SUM(C50:C56)</f>
        <v>6301</v>
      </c>
      <c r="D49" s="251">
        <f t="shared" ref="D49:E49" si="7">+SUM(D50:D56)</f>
        <v>6301</v>
      </c>
      <c r="E49" s="621">
        <f t="shared" si="7"/>
        <v>4382</v>
      </c>
      <c r="F49" s="631">
        <f t="shared" si="1"/>
        <v>0.69544516743374063</v>
      </c>
      <c r="G49" s="6"/>
      <c r="H49" s="8"/>
      <c r="I49" s="35"/>
      <c r="J49" s="276"/>
      <c r="K49" s="6">
        <f>SUM(K42:K48)</f>
        <v>2866320</v>
      </c>
      <c r="L49" s="6">
        <f>SUM(L42:L48)</f>
        <v>2866</v>
      </c>
      <c r="M49" s="8"/>
    </row>
    <row r="50" spans="1:14" s="266" customFormat="1" ht="14.25" customHeight="1">
      <c r="A50" s="113"/>
      <c r="B50" s="271" t="s">
        <v>352</v>
      </c>
      <c r="C50" s="251">
        <f>+'[5]2.SZ.TÁBL. BEVÉTELEK'!$D49</f>
        <v>1890</v>
      </c>
      <c r="D50" s="252">
        <f>+'[4]2.SZ.TÁBL. BEVÉTELEK'!$E49</f>
        <v>1890</v>
      </c>
      <c r="E50" s="599">
        <v>1418</v>
      </c>
      <c r="F50" s="631">
        <f t="shared" si="1"/>
        <v>0.7502645502645503</v>
      </c>
      <c r="G50" s="6"/>
      <c r="H50" s="8"/>
      <c r="I50" s="8"/>
      <c r="J50" s="276"/>
      <c r="K50" s="6"/>
      <c r="L50" s="6"/>
      <c r="M50" s="8"/>
      <c r="N50" s="8"/>
    </row>
    <row r="51" spans="1:14" s="266" customFormat="1" ht="14.25" customHeight="1">
      <c r="A51" s="113"/>
      <c r="B51" s="271" t="s">
        <v>353</v>
      </c>
      <c r="C51" s="251">
        <f>+'[5]2.SZ.TÁBL. BEVÉTELEK'!$D50</f>
        <v>412</v>
      </c>
      <c r="D51" s="252">
        <f>+'[4]2.SZ.TÁBL. BEVÉTELEK'!$E50</f>
        <v>412</v>
      </c>
      <c r="E51" s="599">
        <v>309</v>
      </c>
      <c r="F51" s="631">
        <f t="shared" si="1"/>
        <v>0.75</v>
      </c>
      <c r="G51" s="6" t="s">
        <v>363</v>
      </c>
      <c r="H51" s="8"/>
      <c r="I51" s="8" t="s">
        <v>364</v>
      </c>
      <c r="J51" s="8" t="s">
        <v>365</v>
      </c>
      <c r="K51" s="6">
        <v>160709</v>
      </c>
      <c r="L51" s="8"/>
      <c r="M51" s="8"/>
      <c r="N51" s="8"/>
    </row>
    <row r="52" spans="1:14" ht="12.75">
      <c r="A52" s="113"/>
      <c r="B52" s="271" t="s">
        <v>359</v>
      </c>
      <c r="C52" s="251">
        <f>+'[5]2.SZ.TÁBL. BEVÉTELEK'!$D51</f>
        <v>921</v>
      </c>
      <c r="D52" s="252">
        <f>+'[4]2.SZ.TÁBL. BEVÉTELEK'!$E51</f>
        <v>921</v>
      </c>
      <c r="E52" s="599">
        <v>725</v>
      </c>
      <c r="F52" s="631">
        <f t="shared" si="1"/>
        <v>0.78718783930510317</v>
      </c>
      <c r="I52" s="8" t="s">
        <v>4</v>
      </c>
      <c r="J52" s="280">
        <v>0.4</v>
      </c>
      <c r="K52" s="38">
        <f>+$K$51*J52*0.02</f>
        <v>1285.6720000000003</v>
      </c>
      <c r="L52" s="8">
        <v>1285</v>
      </c>
    </row>
    <row r="53" spans="1:14" ht="12.95" customHeight="1">
      <c r="A53" s="113"/>
      <c r="B53" s="271" t="s">
        <v>354</v>
      </c>
      <c r="C53" s="251">
        <f>+'[5]2.SZ.TÁBL. BEVÉTELEK'!$D52</f>
        <v>203</v>
      </c>
      <c r="D53" s="252">
        <f>+'[4]2.SZ.TÁBL. BEVÉTELEK'!$E52</f>
        <v>203</v>
      </c>
      <c r="E53" s="599">
        <v>152</v>
      </c>
      <c r="F53" s="631">
        <f t="shared" si="1"/>
        <v>0.74876847290640391</v>
      </c>
      <c r="I53" s="8" t="s">
        <v>6</v>
      </c>
      <c r="J53" s="280">
        <v>0.2</v>
      </c>
      <c r="K53" s="38">
        <f>+$K$51*J53*0.02</f>
        <v>642.83600000000013</v>
      </c>
      <c r="L53" s="8">
        <v>643</v>
      </c>
    </row>
    <row r="54" spans="1:14" ht="12.95" customHeight="1">
      <c r="A54" s="113"/>
      <c r="B54" s="271" t="s">
        <v>356</v>
      </c>
      <c r="C54" s="251">
        <f>+'[5]2.SZ.TÁBL. BEVÉTELEK'!$D53</f>
        <v>643</v>
      </c>
      <c r="D54" s="252">
        <f>+'[4]2.SZ.TÁBL. BEVÉTELEK'!$E53</f>
        <v>643</v>
      </c>
      <c r="E54" s="599">
        <v>105</v>
      </c>
      <c r="F54" s="631">
        <f t="shared" si="1"/>
        <v>0.16329704510108864</v>
      </c>
      <c r="I54" s="8" t="s">
        <v>10</v>
      </c>
      <c r="J54" s="280">
        <v>0.4</v>
      </c>
      <c r="K54" s="38">
        <f>+$K$51*J54*0.02</f>
        <v>1285.6720000000003</v>
      </c>
      <c r="L54" s="8">
        <v>1285</v>
      </c>
    </row>
    <row r="55" spans="1:14" ht="12.95" customHeight="1">
      <c r="A55" s="113"/>
      <c r="B55" s="271" t="s">
        <v>357</v>
      </c>
      <c r="C55" s="251">
        <f>+'[5]2.SZ.TÁBL. BEVÉTELEK'!$D54</f>
        <v>1755</v>
      </c>
      <c r="D55" s="252">
        <f>+'[4]2.SZ.TÁBL. BEVÉTELEK'!$E54</f>
        <v>1755</v>
      </c>
      <c r="E55" s="599">
        <v>1316</v>
      </c>
      <c r="F55" s="631">
        <f t="shared" si="1"/>
        <v>0.74985754985754982</v>
      </c>
      <c r="J55" s="280">
        <f>SUM(J52:J54)</f>
        <v>1</v>
      </c>
      <c r="K55" s="38">
        <f>SUM(K52:K54)</f>
        <v>3214.1800000000003</v>
      </c>
      <c r="L55" s="8">
        <f>SUM(L52:L54)</f>
        <v>3213</v>
      </c>
    </row>
    <row r="56" spans="1:14" ht="12.95" customHeight="1">
      <c r="A56" s="113"/>
      <c r="B56" s="272" t="s">
        <v>336</v>
      </c>
      <c r="C56" s="251">
        <f>+'[5]2.SZ.TÁBL. BEVÉTELEK'!$D55</f>
        <v>477</v>
      </c>
      <c r="D56" s="252">
        <f>+'[4]2.SZ.TÁBL. BEVÉTELEK'!$E55</f>
        <v>477</v>
      </c>
      <c r="E56" s="599">
        <v>357</v>
      </c>
      <c r="F56" s="631">
        <f t="shared" si="1"/>
        <v>0.74842767295597479</v>
      </c>
      <c r="K56" s="6"/>
    </row>
    <row r="57" spans="1:14" ht="12.95" customHeight="1">
      <c r="A57" s="113"/>
      <c r="B57" s="272"/>
      <c r="C57" s="255"/>
      <c r="D57" s="256"/>
      <c r="E57" s="620"/>
      <c r="F57" s="631"/>
      <c r="I57" s="8" t="s">
        <v>366</v>
      </c>
      <c r="J57" s="8" t="s">
        <v>365</v>
      </c>
      <c r="K57" s="6">
        <v>88973</v>
      </c>
    </row>
    <row r="58" spans="1:14" ht="12.95" customHeight="1">
      <c r="A58" s="113"/>
      <c r="B58" s="269" t="s">
        <v>395</v>
      </c>
      <c r="C58" s="251">
        <f>+C59</f>
        <v>0</v>
      </c>
      <c r="D58" s="251">
        <f t="shared" ref="D58:E58" si="8">+D59</f>
        <v>0</v>
      </c>
      <c r="E58" s="621">
        <f t="shared" si="8"/>
        <v>0</v>
      </c>
      <c r="F58" s="631"/>
      <c r="I58" s="8" t="s">
        <v>367</v>
      </c>
      <c r="J58" s="275">
        <v>2755</v>
      </c>
      <c r="K58" s="277">
        <f>+J58/$J$64</f>
        <v>0.21085259452012858</v>
      </c>
      <c r="L58" s="38">
        <f t="shared" ref="L58:L63" si="9">+$K$57*K58*0.02</f>
        <v>375.20375784478796</v>
      </c>
      <c r="M58" s="276">
        <v>375</v>
      </c>
    </row>
    <row r="59" spans="1:14" ht="12.95" customHeight="1">
      <c r="A59" s="113"/>
      <c r="B59" s="272" t="s">
        <v>8</v>
      </c>
      <c r="C59" s="251">
        <f>+'[5]2.SZ.TÁBL. BEVÉTELEK'!$D$58</f>
        <v>0</v>
      </c>
      <c r="D59" s="252">
        <f>+'[4]2.SZ.TÁBL. BEVÉTELEK'!$E58</f>
        <v>0</v>
      </c>
      <c r="E59" s="599"/>
      <c r="F59" s="631"/>
      <c r="I59" s="281" t="s">
        <v>359</v>
      </c>
      <c r="J59" s="275">
        <v>1248</v>
      </c>
      <c r="K59" s="277">
        <f t="shared" ref="K59:K63" si="10">+J59/$J$64</f>
        <v>9.5515077299862236E-2</v>
      </c>
      <c r="L59" s="38">
        <f t="shared" si="9"/>
        <v>169.96525945201287</v>
      </c>
      <c r="M59" s="282">
        <v>170</v>
      </c>
    </row>
    <row r="60" spans="1:14" ht="12.95" customHeight="1">
      <c r="A60" s="113"/>
      <c r="B60" s="272"/>
      <c r="C60" s="255"/>
      <c r="D60" s="256"/>
      <c r="E60" s="620"/>
      <c r="F60" s="631"/>
      <c r="I60" s="281" t="s">
        <v>368</v>
      </c>
      <c r="J60" s="275">
        <v>1077</v>
      </c>
      <c r="K60" s="277">
        <f t="shared" si="10"/>
        <v>8.2427674881371496E-2</v>
      </c>
      <c r="L60" s="38">
        <f t="shared" si="9"/>
        <v>146.67675034440532</v>
      </c>
      <c r="M60" s="276">
        <v>146</v>
      </c>
    </row>
    <row r="61" spans="1:14" ht="12.95" customHeight="1">
      <c r="A61" s="113"/>
      <c r="B61" s="269" t="s">
        <v>379</v>
      </c>
      <c r="C61" s="251">
        <f>+SUM(C62:C67)</f>
        <v>223803</v>
      </c>
      <c r="D61" s="251">
        <f>+SUM(D62:D67)</f>
        <v>233720</v>
      </c>
      <c r="E61" s="621">
        <f>+SUM(E62:E67)</f>
        <v>178349</v>
      </c>
      <c r="F61" s="631">
        <f t="shared" si="1"/>
        <v>0.76308831079924699</v>
      </c>
      <c r="I61" s="281" t="s">
        <v>369</v>
      </c>
      <c r="J61" s="275">
        <v>3400</v>
      </c>
      <c r="K61" s="277">
        <f t="shared" si="10"/>
        <v>0.26021735802847085</v>
      </c>
      <c r="L61" s="38">
        <f t="shared" si="9"/>
        <v>463.04637991734273</v>
      </c>
      <c r="M61" s="276">
        <v>463</v>
      </c>
    </row>
    <row r="62" spans="1:14" ht="12.95" customHeight="1">
      <c r="A62" s="113"/>
      <c r="B62" s="272" t="s">
        <v>374</v>
      </c>
      <c r="C62" s="251">
        <f>+'[5]2.SZ.TÁBL. BEVÉTELEK'!$D61</f>
        <v>162497</v>
      </c>
      <c r="D62" s="252">
        <f>+'[4]2.SZ.TÁBL. BEVÉTELEK'!$E61</f>
        <v>162497</v>
      </c>
      <c r="E62" s="599">
        <f>+'5.SZ.TÁBL. ÓVODAI NORMATÍVA'!W44</f>
        <v>122379</v>
      </c>
      <c r="F62" s="631">
        <f t="shared" si="1"/>
        <v>0.75311544213123938</v>
      </c>
      <c r="I62" s="281" t="s">
        <v>370</v>
      </c>
      <c r="J62" s="275">
        <v>2047</v>
      </c>
      <c r="K62" s="277">
        <f t="shared" si="10"/>
        <v>0.15666615643655288</v>
      </c>
      <c r="L62" s="38">
        <f t="shared" si="9"/>
        <v>278.78115873258838</v>
      </c>
      <c r="M62" s="276">
        <v>279</v>
      </c>
    </row>
    <row r="63" spans="1:14" ht="12.95" customHeight="1">
      <c r="A63" s="113"/>
      <c r="B63" s="272" t="s">
        <v>375</v>
      </c>
      <c r="C63" s="251">
        <f>+'[5]2.SZ.TÁBL. BEVÉTELEK'!$D62</f>
        <v>61306</v>
      </c>
      <c r="D63" s="252">
        <f>+'[4]2.SZ.TÁBL. BEVÉTELEK'!$E62</f>
        <v>61306</v>
      </c>
      <c r="E63" s="599">
        <f>+'6.SZ.TÁBL. SZOCIÁLIS NORMATÍVA'!G11+'6.SZ.TÁBL. SZOCIÁLIS NORMATÍVA'!G14</f>
        <v>47257</v>
      </c>
      <c r="F63" s="631">
        <f t="shared" si="1"/>
        <v>0.77083809088833066</v>
      </c>
      <c r="I63" s="281" t="s">
        <v>336</v>
      </c>
      <c r="J63" s="245">
        <v>2539</v>
      </c>
      <c r="K63" s="277">
        <f t="shared" si="10"/>
        <v>0.19432113883361396</v>
      </c>
      <c r="L63" s="38">
        <f t="shared" si="9"/>
        <v>345.78669370886274</v>
      </c>
      <c r="M63" s="276">
        <v>346</v>
      </c>
    </row>
    <row r="64" spans="1:14" ht="12.95" customHeight="1">
      <c r="A64" s="113"/>
      <c r="B64" s="272" t="s">
        <v>422</v>
      </c>
      <c r="C64" s="251"/>
      <c r="D64" s="252">
        <f>+'[4]2.SZ.TÁBL. BEVÉTELEK'!$E63</f>
        <v>2964</v>
      </c>
      <c r="E64" s="599">
        <f>+'5.SZ.TÁBL. ÓVODAI NORMATÍVA'!W45+'6.SZ.TÁBL. SZOCIÁLIS NORMATÍVA'!G25</f>
        <v>2681</v>
      </c>
      <c r="F64" s="631">
        <f t="shared" si="1"/>
        <v>0.90452091767881238</v>
      </c>
      <c r="I64" s="283"/>
      <c r="J64" s="245">
        <f t="shared" ref="J64:M65" si="11">SUM(J58:J63)</f>
        <v>13066</v>
      </c>
      <c r="K64" s="280">
        <f t="shared" si="11"/>
        <v>1</v>
      </c>
      <c r="L64" s="38">
        <f t="shared" si="11"/>
        <v>1779.46</v>
      </c>
      <c r="M64" s="276">
        <f t="shared" si="11"/>
        <v>1779</v>
      </c>
    </row>
    <row r="65" spans="1:13" ht="12.95" customHeight="1">
      <c r="A65" s="113"/>
      <c r="B65" s="272" t="s">
        <v>497</v>
      </c>
      <c r="C65" s="251"/>
      <c r="D65" s="252"/>
      <c r="E65" s="599">
        <v>166</v>
      </c>
      <c r="F65" s="631"/>
      <c r="I65" s="283"/>
      <c r="J65" s="245">
        <f t="shared" si="11"/>
        <v>23377</v>
      </c>
      <c r="K65" s="280">
        <f t="shared" si="11"/>
        <v>1.7891474054798715</v>
      </c>
      <c r="L65" s="38">
        <f t="shared" si="11"/>
        <v>3183.7162421552121</v>
      </c>
      <c r="M65" s="276">
        <f t="shared" si="11"/>
        <v>3183</v>
      </c>
    </row>
    <row r="66" spans="1:13" ht="12.95" customHeight="1">
      <c r="A66" s="113"/>
      <c r="B66" s="272" t="s">
        <v>423</v>
      </c>
      <c r="C66" s="251"/>
      <c r="D66" s="252">
        <f>+'[4]2.SZ.TÁBL. BEVÉTELEK'!$E64</f>
        <v>4210</v>
      </c>
      <c r="E66" s="599">
        <f>+'6.SZ.TÁBL. SZOCIÁLIS NORMATÍVA'!G35</f>
        <v>3123</v>
      </c>
      <c r="F66" s="631">
        <f>+E66/D66</f>
        <v>0.74180522565320661</v>
      </c>
    </row>
    <row r="67" spans="1:13" ht="12.95" customHeight="1">
      <c r="A67" s="113"/>
      <c r="B67" s="272" t="s">
        <v>510</v>
      </c>
      <c r="C67" s="251"/>
      <c r="D67" s="252">
        <f>+'[4]2.SZ.TÁBL. BEVÉTELEK'!$E65</f>
        <v>2743</v>
      </c>
      <c r="E67" s="599">
        <f>+'6.SZ.TÁBL. SZOCIÁLIS NORMATÍVA'!G45</f>
        <v>2743</v>
      </c>
      <c r="F67" s="631">
        <f>+E67/D67</f>
        <v>1</v>
      </c>
    </row>
    <row r="68" spans="1:13" ht="12.95" customHeight="1">
      <c r="A68" s="113"/>
      <c r="B68" s="272"/>
      <c r="C68" s="251"/>
      <c r="D68" s="252"/>
      <c r="E68" s="599"/>
      <c r="F68" s="631"/>
      <c r="I68" s="8" t="s">
        <v>371</v>
      </c>
      <c r="J68" s="8" t="s">
        <v>365</v>
      </c>
      <c r="K68" s="8">
        <v>44632</v>
      </c>
    </row>
    <row r="69" spans="1:13" ht="12.95" customHeight="1">
      <c r="A69" s="113"/>
      <c r="B69" s="269" t="s">
        <v>496</v>
      </c>
      <c r="C69" s="251">
        <f>+SUM(C70:C70)</f>
        <v>0</v>
      </c>
      <c r="D69" s="251">
        <f>+SUM(D70:D70)</f>
        <v>81</v>
      </c>
      <c r="E69" s="621">
        <f>+SUM(E70:E70)</f>
        <v>0</v>
      </c>
      <c r="F69" s="631">
        <f t="shared" si="1"/>
        <v>0</v>
      </c>
      <c r="G69" s="284"/>
      <c r="H69" s="29"/>
      <c r="I69" s="8" t="s">
        <v>9</v>
      </c>
      <c r="J69" s="275">
        <v>3400</v>
      </c>
      <c r="K69" s="277" t="e">
        <f>+J69/#REF!</f>
        <v>#REF!</v>
      </c>
      <c r="L69" s="38" t="e">
        <f t="shared" ref="L69:L70" si="12">+$K$68*K69*0.02</f>
        <v>#REF!</v>
      </c>
      <c r="M69" s="276">
        <v>140</v>
      </c>
    </row>
    <row r="70" spans="1:13" ht="12.95" customHeight="1">
      <c r="A70" s="113"/>
      <c r="B70" s="272" t="s">
        <v>9</v>
      </c>
      <c r="C70" s="251"/>
      <c r="D70" s="252">
        <f>+'[6]2.SZ.TÁBL. BEVÉTELEK'!$E$67</f>
        <v>81</v>
      </c>
      <c r="E70" s="599">
        <v>0</v>
      </c>
      <c r="F70" s="631">
        <f t="shared" ref="F70:F98" si="13">+E70/D70</f>
        <v>0</v>
      </c>
      <c r="G70" s="284"/>
      <c r="I70" s="8" t="s">
        <v>10</v>
      </c>
      <c r="J70" s="275">
        <v>2047</v>
      </c>
      <c r="K70" s="277" t="e">
        <f>+J70/#REF!</f>
        <v>#REF!</v>
      </c>
      <c r="L70" s="38" t="e">
        <f t="shared" si="12"/>
        <v>#REF!</v>
      </c>
      <c r="M70" s="276">
        <v>84</v>
      </c>
    </row>
    <row r="71" spans="1:13" ht="12.95" customHeight="1">
      <c r="A71" s="105"/>
      <c r="B71" s="614"/>
      <c r="C71" s="250"/>
      <c r="D71" s="609"/>
      <c r="E71" s="21"/>
      <c r="F71" s="631"/>
      <c r="G71" s="284"/>
    </row>
    <row r="72" spans="1:13" ht="12.95" customHeight="1">
      <c r="A72" s="113"/>
      <c r="B72" s="285" t="s">
        <v>376</v>
      </c>
      <c r="C72" s="251">
        <f>+C7+C16+C21+C30+C40+C49+C58+C61+C69</f>
        <v>273884</v>
      </c>
      <c r="D72" s="251">
        <f>+D7+D16+D21+D30+D40+D49+D58+D61+D69</f>
        <v>284313</v>
      </c>
      <c r="E72" s="621">
        <f>+E7+E16+E21+E30+E40+E49+E58+E61+E69</f>
        <v>213467</v>
      </c>
      <c r="F72" s="631">
        <f t="shared" si="13"/>
        <v>0.75081688139480085</v>
      </c>
      <c r="G72" s="284"/>
    </row>
    <row r="73" spans="1:13" ht="12.95" customHeight="1">
      <c r="A73" s="502"/>
      <c r="B73" s="503"/>
      <c r="C73" s="504"/>
      <c r="D73" s="505"/>
      <c r="E73" s="622"/>
      <c r="F73" s="632"/>
    </row>
    <row r="74" spans="1:13" ht="12.95" customHeight="1">
      <c r="A74" s="95" t="s">
        <v>169</v>
      </c>
      <c r="B74" s="162" t="s">
        <v>131</v>
      </c>
      <c r="C74" s="258">
        <f>+C3+C5+C72</f>
        <v>303104</v>
      </c>
      <c r="D74" s="258">
        <f>+D3+D5+D72</f>
        <v>313533</v>
      </c>
      <c r="E74" s="623">
        <f>+E3+E5+E72</f>
        <v>235468</v>
      </c>
      <c r="F74" s="633">
        <f t="shared" si="13"/>
        <v>0.75101504466834434</v>
      </c>
    </row>
    <row r="75" spans="1:13" ht="12.95" customHeight="1">
      <c r="A75" s="114" t="s">
        <v>170</v>
      </c>
      <c r="B75" s="144" t="s">
        <v>165</v>
      </c>
      <c r="C75" s="248"/>
      <c r="D75" s="252"/>
      <c r="E75" s="607"/>
      <c r="F75" s="630"/>
    </row>
    <row r="76" spans="1:13" ht="12.95" customHeight="1">
      <c r="A76" s="103" t="s">
        <v>171</v>
      </c>
      <c r="B76" s="104" t="s">
        <v>132</v>
      </c>
      <c r="C76" s="249">
        <f>+C77</f>
        <v>0</v>
      </c>
      <c r="D76" s="249">
        <f t="shared" ref="D76:E76" si="14">+D77</f>
        <v>0</v>
      </c>
      <c r="E76" s="618">
        <f t="shared" si="14"/>
        <v>0</v>
      </c>
      <c r="F76" s="631"/>
    </row>
    <row r="77" spans="1:13" ht="12.95" customHeight="1">
      <c r="A77" s="113"/>
      <c r="B77" s="154" t="s">
        <v>130</v>
      </c>
      <c r="C77" s="251"/>
      <c r="D77" s="252"/>
      <c r="E77" s="599"/>
      <c r="F77" s="632"/>
    </row>
    <row r="78" spans="1:13" ht="12.95" customHeight="1">
      <c r="A78" s="95" t="s">
        <v>172</v>
      </c>
      <c r="B78" s="162" t="s">
        <v>133</v>
      </c>
      <c r="C78" s="259">
        <f>+C75+C76</f>
        <v>0</v>
      </c>
      <c r="D78" s="259">
        <f t="shared" ref="D78:E78" si="15">+D75+D76</f>
        <v>0</v>
      </c>
      <c r="E78" s="624">
        <f t="shared" si="15"/>
        <v>0</v>
      </c>
      <c r="F78" s="637"/>
    </row>
    <row r="79" spans="1:13" ht="12.95" customHeight="1">
      <c r="A79" s="114" t="s">
        <v>173</v>
      </c>
      <c r="B79" s="144" t="s">
        <v>134</v>
      </c>
      <c r="C79" s="248"/>
      <c r="D79" s="257"/>
      <c r="E79" s="607"/>
      <c r="F79" s="630"/>
    </row>
    <row r="80" spans="1:13" ht="12.95" customHeight="1">
      <c r="A80" s="103" t="s">
        <v>174</v>
      </c>
      <c r="B80" s="104" t="s">
        <v>135</v>
      </c>
      <c r="C80" s="251">
        <f>+'[5]2.SZ.TÁBL. BEVÉTELEK'!$D$72</f>
        <v>2100</v>
      </c>
      <c r="D80" s="20">
        <f>+'[4]2.SZ.TÁBL. BEVÉTELEK'!$E78</f>
        <v>2586</v>
      </c>
      <c r="E80" s="599">
        <f>+'3.SZ.TÁBL. SEGÍTŐ SZOLGÁLAT'!Z13</f>
        <v>1671</v>
      </c>
      <c r="F80" s="631">
        <f t="shared" si="13"/>
        <v>0.64617169373549888</v>
      </c>
    </row>
    <row r="81" spans="1:6" ht="12.95" customHeight="1">
      <c r="A81" s="103" t="s">
        <v>175</v>
      </c>
      <c r="B81" s="104" t="s">
        <v>136</v>
      </c>
      <c r="C81" s="251"/>
      <c r="D81" s="20">
        <f>+'[4]2.SZ.TÁBL. BEVÉTELEK'!$E79</f>
        <v>21</v>
      </c>
      <c r="E81" s="599">
        <f>+'3.SZ.TÁBL. SEGÍTŐ SZOLGÁLAT'!Z14</f>
        <v>3</v>
      </c>
      <c r="F81" s="631">
        <f t="shared" si="13"/>
        <v>0.14285714285714285</v>
      </c>
    </row>
    <row r="82" spans="1:6" ht="12.95" customHeight="1">
      <c r="A82" s="103" t="s">
        <v>176</v>
      </c>
      <c r="B82" s="104" t="s">
        <v>137</v>
      </c>
      <c r="C82" s="251"/>
      <c r="D82" s="20">
        <f>+'[4]2.SZ.TÁBL. BEVÉTELEK'!$E80</f>
        <v>0</v>
      </c>
      <c r="E82" s="599"/>
      <c r="F82" s="631"/>
    </row>
    <row r="83" spans="1:6" ht="12.95" customHeight="1">
      <c r="A83" s="103" t="s">
        <v>177</v>
      </c>
      <c r="B83" s="104" t="s">
        <v>138</v>
      </c>
      <c r="C83" s="251">
        <f>+'[5]2.SZ.TÁBL. BEVÉTELEK'!$D$75</f>
        <v>10245</v>
      </c>
      <c r="D83" s="20">
        <f>+'[4]2.SZ.TÁBL. BEVÉTELEK'!$E81</f>
        <v>10180</v>
      </c>
      <c r="E83" s="599">
        <f>+'3.SZ.TÁBL. SEGÍTŐ SZOLGÁLAT'!Z16+'4.SZ.TÁBL. ÓVODA'!T16</f>
        <v>5933</v>
      </c>
      <c r="F83" s="631">
        <f t="shared" si="13"/>
        <v>0.58280943025540277</v>
      </c>
    </row>
    <row r="84" spans="1:6" ht="12.95" customHeight="1">
      <c r="A84" s="103" t="s">
        <v>178</v>
      </c>
      <c r="B84" s="104" t="s">
        <v>139</v>
      </c>
      <c r="C84" s="250"/>
      <c r="D84" s="20">
        <f>+'[4]2.SZ.TÁBL. BEVÉTELEK'!$E82</f>
        <v>0</v>
      </c>
      <c r="E84" s="619"/>
      <c r="F84" s="631"/>
    </row>
    <row r="85" spans="1:6" ht="12.95" customHeight="1">
      <c r="A85" s="103" t="s">
        <v>179</v>
      </c>
      <c r="B85" s="104" t="s">
        <v>140</v>
      </c>
      <c r="C85" s="249"/>
      <c r="D85" s="20">
        <f>+'[4]2.SZ.TÁBL. BEVÉTELEK'!$E83</f>
        <v>0</v>
      </c>
      <c r="E85" s="610"/>
      <c r="F85" s="631"/>
    </row>
    <row r="86" spans="1:6" ht="12.95" customHeight="1">
      <c r="A86" s="103" t="s">
        <v>180</v>
      </c>
      <c r="B86" s="104" t="s">
        <v>141</v>
      </c>
      <c r="C86" s="249"/>
      <c r="D86" s="20">
        <f>+'[4]2.SZ.TÁBL. BEVÉTELEK'!$E84</f>
        <v>15</v>
      </c>
      <c r="E86" s="610">
        <f>+'1.1.SZ.TÁBL. BEV - KIAD'!P19+'3.SZ.TÁBL. SEGÍTŐ SZOLGÁLAT'!Z19+'4.SZ.TÁBL. ÓVODA'!T19</f>
        <v>17</v>
      </c>
      <c r="F86" s="631"/>
    </row>
    <row r="87" spans="1:6" ht="12.95" customHeight="1">
      <c r="A87" s="115" t="s">
        <v>181</v>
      </c>
      <c r="B87" s="164" t="s">
        <v>142</v>
      </c>
      <c r="C87" s="251"/>
      <c r="D87" s="20">
        <f>+'[4]2.SZ.TÁBL. BEVÉTELEK'!$E85</f>
        <v>2</v>
      </c>
      <c r="E87" s="599">
        <f>+'3.SZ.TÁBL. SEGÍTŐ SZOLGÁLAT'!Z20+'4.SZ.TÁBL. ÓVODA'!T20</f>
        <v>2</v>
      </c>
      <c r="F87" s="632">
        <f t="shared" si="13"/>
        <v>1</v>
      </c>
    </row>
    <row r="88" spans="1:6" ht="12.95" customHeight="1">
      <c r="A88" s="95" t="s">
        <v>182</v>
      </c>
      <c r="B88" s="162" t="s">
        <v>143</v>
      </c>
      <c r="C88" s="259">
        <f>SUM(C79:C87)</f>
        <v>12345</v>
      </c>
      <c r="D88" s="259">
        <f>SUM(D79:D87)</f>
        <v>12804</v>
      </c>
      <c r="E88" s="624">
        <f t="shared" ref="E88" si="16">SUM(E79:E87)</f>
        <v>7626</v>
      </c>
      <c r="F88" s="633">
        <f t="shared" si="13"/>
        <v>0.59559512652296154</v>
      </c>
    </row>
    <row r="89" spans="1:6" ht="12.95" customHeight="1">
      <c r="A89" s="95" t="s">
        <v>183</v>
      </c>
      <c r="B89" s="162" t="s">
        <v>144</v>
      </c>
      <c r="C89" s="259"/>
      <c r="D89" s="260"/>
      <c r="E89" s="625"/>
      <c r="F89" s="634"/>
    </row>
    <row r="90" spans="1:6" ht="12.95" customHeight="1">
      <c r="A90" s="116" t="s">
        <v>184</v>
      </c>
      <c r="B90" s="165" t="s">
        <v>145</v>
      </c>
      <c r="C90" s="261"/>
      <c r="D90" s="252"/>
      <c r="E90" s="626"/>
      <c r="F90" s="637"/>
    </row>
    <row r="91" spans="1:6" ht="12.95" customHeight="1">
      <c r="A91" s="95" t="s">
        <v>185</v>
      </c>
      <c r="B91" s="162" t="s">
        <v>304</v>
      </c>
      <c r="C91" s="259">
        <f>+C90</f>
        <v>0</v>
      </c>
      <c r="D91" s="259">
        <f t="shared" ref="D91:E91" si="17">+D90</f>
        <v>0</v>
      </c>
      <c r="E91" s="624">
        <f t="shared" si="17"/>
        <v>0</v>
      </c>
      <c r="F91" s="637"/>
    </row>
    <row r="92" spans="1:6" ht="12.95" customHeight="1">
      <c r="A92" s="116" t="s">
        <v>186</v>
      </c>
      <c r="B92" s="165" t="s">
        <v>146</v>
      </c>
      <c r="C92" s="261"/>
      <c r="D92" s="252"/>
      <c r="E92" s="626"/>
      <c r="F92" s="637"/>
    </row>
    <row r="93" spans="1:6" ht="12.95" customHeight="1">
      <c r="A93" s="95" t="s">
        <v>187</v>
      </c>
      <c r="B93" s="162" t="s">
        <v>305</v>
      </c>
      <c r="C93" s="259">
        <f>+C92</f>
        <v>0</v>
      </c>
      <c r="D93" s="259">
        <f t="shared" ref="D93:E93" si="18">+D92</f>
        <v>0</v>
      </c>
      <c r="E93" s="624">
        <f t="shared" si="18"/>
        <v>0</v>
      </c>
      <c r="F93" s="634"/>
    </row>
    <row r="94" spans="1:6" ht="12.95" customHeight="1">
      <c r="A94" s="95" t="s">
        <v>188</v>
      </c>
      <c r="B94" s="162" t="s">
        <v>147</v>
      </c>
      <c r="C94" s="259">
        <f>+C74+C78+C88+C89+C91+C93</f>
        <v>315449</v>
      </c>
      <c r="D94" s="259">
        <f t="shared" ref="D94:E94" si="19">+D74+D78+D88+D89+D91+D93</f>
        <v>326337</v>
      </c>
      <c r="E94" s="624">
        <f t="shared" si="19"/>
        <v>243094</v>
      </c>
      <c r="F94" s="633">
        <f t="shared" si="13"/>
        <v>0.74491706426179072</v>
      </c>
    </row>
    <row r="95" spans="1:6" ht="12.95" customHeight="1">
      <c r="A95" s="173" t="s">
        <v>189</v>
      </c>
      <c r="B95" s="162" t="s">
        <v>148</v>
      </c>
      <c r="C95" s="259">
        <f>+'1.1.SZ.TÁBL. BEV - KIAD'!N28+'3.SZ.TÁBL. SEGÍTŐ SZOLGÁLAT'!X28+'4.SZ.TÁBL. ÓVODA'!R28</f>
        <v>0</v>
      </c>
      <c r="D95" s="259">
        <f>+'[4]2.SZ.TÁBL. BEVÉTELEK'!$E93</f>
        <v>15584</v>
      </c>
      <c r="E95" s="627">
        <f>+'1.1.SZ.TÁBL. BEV - KIAD'!P28+'3.SZ.TÁBL. SEGÍTŐ SZOLGÁLAT'!Z28+'4.SZ.TÁBL. ÓVODA'!T28</f>
        <v>15584</v>
      </c>
      <c r="F95" s="633">
        <f t="shared" si="13"/>
        <v>1</v>
      </c>
    </row>
    <row r="96" spans="1:6" ht="12.95" customHeight="1">
      <c r="A96" s="173" t="s">
        <v>302</v>
      </c>
      <c r="B96" s="162" t="s">
        <v>303</v>
      </c>
      <c r="C96" s="259"/>
      <c r="D96" s="252"/>
      <c r="E96" s="625"/>
      <c r="F96" s="634"/>
    </row>
    <row r="97" spans="1:6" ht="12.95" customHeight="1" thickBot="1">
      <c r="A97" s="206" t="s">
        <v>190</v>
      </c>
      <c r="B97" s="262" t="s">
        <v>149</v>
      </c>
      <c r="C97" s="263">
        <f>+SUM(C95:C96)</f>
        <v>0</v>
      </c>
      <c r="D97" s="263">
        <f t="shared" ref="D97:E97" si="20">+SUM(D95:D96)</f>
        <v>15584</v>
      </c>
      <c r="E97" s="628">
        <f t="shared" si="20"/>
        <v>15584</v>
      </c>
      <c r="F97" s="635">
        <f t="shared" si="13"/>
        <v>1</v>
      </c>
    </row>
    <row r="98" spans="1:6" ht="12.95" customHeight="1" thickBot="1">
      <c r="A98" s="897" t="s">
        <v>0</v>
      </c>
      <c r="B98" s="898"/>
      <c r="C98" s="264">
        <f>+C94+C97</f>
        <v>315449</v>
      </c>
      <c r="D98" s="264">
        <f t="shared" ref="D98:E98" si="21">+D94+D97</f>
        <v>341921</v>
      </c>
      <c r="E98" s="629">
        <f t="shared" si="21"/>
        <v>258678</v>
      </c>
      <c r="F98" s="636">
        <f t="shared" si="13"/>
        <v>0.75654317810254412</v>
      </c>
    </row>
  </sheetData>
  <mergeCells count="7">
    <mergeCell ref="F1:F2"/>
    <mergeCell ref="E1:E2"/>
    <mergeCell ref="A1:A2"/>
    <mergeCell ref="B1:B2"/>
    <mergeCell ref="A98:B98"/>
    <mergeCell ref="D1:D2"/>
    <mergeCell ref="C1:C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97" fitToHeight="2" orientation="portrait" r:id="rId1"/>
  <headerFooter alignWithMargins="0">
    <oddHeader>&amp;L&amp;"Times New Roman,Félkövér"&amp;13Szent László Völgye TKT&amp;C&amp;"Times New Roman,Félkövér"&amp;14
&amp;16 2015. I-III. NEGYEDÉVI KÖLTSÉGVETÉSI BESZÁMOLÓ&amp;14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C162"/>
  <sheetViews>
    <sheetView zoomScaleSheetLayoutView="50" workbookViewId="0">
      <pane xSplit="2" ySplit="2" topLeftCell="T96" activePane="bottomRight" state="frozen"/>
      <selection activeCell="D11" sqref="D11"/>
      <selection pane="topRight" activeCell="D11" sqref="D11"/>
      <selection pane="bottomLeft" activeCell="D11" sqref="D11"/>
      <selection pane="bottomRight" activeCell="E22" sqref="E22"/>
    </sheetView>
  </sheetViews>
  <sheetFormatPr defaultColWidth="8.85546875" defaultRowHeight="15" customHeight="1"/>
  <cols>
    <col min="1" max="1" width="8.85546875" style="2"/>
    <col min="2" max="2" width="56" style="32" customWidth="1"/>
    <col min="3" max="13" width="10.42578125" style="33" customWidth="1"/>
    <col min="14" max="14" width="10.42578125" style="34" customWidth="1"/>
    <col min="15" max="19" width="10.42578125" style="33" customWidth="1"/>
    <col min="20" max="20" width="10.42578125" style="34" customWidth="1"/>
    <col min="21" max="22" width="10.42578125" style="33" customWidth="1"/>
    <col min="23" max="23" width="10.42578125" style="34" customWidth="1"/>
    <col min="24" max="26" width="10.42578125" style="33" customWidth="1"/>
    <col min="27" max="28" width="11.5703125" style="2" bestFit="1" customWidth="1"/>
    <col min="29" max="16384" width="8.85546875" style="2"/>
  </cols>
  <sheetData>
    <row r="1" spans="1:26" s="3" customFormat="1" ht="30" customHeight="1">
      <c r="A1" s="909" t="s">
        <v>166</v>
      </c>
      <c r="B1" s="929" t="s">
        <v>191</v>
      </c>
      <c r="C1" s="917" t="s">
        <v>11</v>
      </c>
      <c r="D1" s="918"/>
      <c r="E1" s="919"/>
      <c r="F1" s="932" t="s">
        <v>12</v>
      </c>
      <c r="G1" s="933"/>
      <c r="H1" s="934"/>
      <c r="I1" s="917" t="s">
        <v>13</v>
      </c>
      <c r="J1" s="918"/>
      <c r="K1" s="919"/>
      <c r="L1" s="927" t="s">
        <v>14</v>
      </c>
      <c r="M1" s="918"/>
      <c r="N1" s="928"/>
      <c r="O1" s="917" t="s">
        <v>15</v>
      </c>
      <c r="P1" s="918"/>
      <c r="Q1" s="919"/>
      <c r="R1" s="922" t="s">
        <v>22</v>
      </c>
      <c r="S1" s="923"/>
      <c r="T1" s="924"/>
      <c r="U1" s="925" t="s">
        <v>60</v>
      </c>
      <c r="V1" s="923"/>
      <c r="W1" s="926"/>
      <c r="X1" s="920" t="s">
        <v>16</v>
      </c>
      <c r="Y1" s="918"/>
      <c r="Z1" s="921"/>
    </row>
    <row r="2" spans="1:26" s="5" customFormat="1" ht="29.25" customHeight="1">
      <c r="A2" s="910"/>
      <c r="B2" s="930"/>
      <c r="C2" s="492" t="s">
        <v>105</v>
      </c>
      <c r="D2" s="153" t="s">
        <v>106</v>
      </c>
      <c r="E2" s="478" t="s">
        <v>126</v>
      </c>
      <c r="F2" s="152" t="s">
        <v>105</v>
      </c>
      <c r="G2" s="153" t="s">
        <v>106</v>
      </c>
      <c r="H2" s="182" t="s">
        <v>126</v>
      </c>
      <c r="I2" s="492" t="s">
        <v>105</v>
      </c>
      <c r="J2" s="153" t="s">
        <v>106</v>
      </c>
      <c r="K2" s="478" t="s">
        <v>126</v>
      </c>
      <c r="L2" s="152" t="s">
        <v>105</v>
      </c>
      <c r="M2" s="153" t="s">
        <v>106</v>
      </c>
      <c r="N2" s="182" t="s">
        <v>126</v>
      </c>
      <c r="O2" s="492" t="s">
        <v>105</v>
      </c>
      <c r="P2" s="153" t="s">
        <v>106</v>
      </c>
      <c r="Q2" s="478" t="s">
        <v>126</v>
      </c>
      <c r="R2" s="152" t="s">
        <v>105</v>
      </c>
      <c r="S2" s="153" t="s">
        <v>106</v>
      </c>
      <c r="T2" s="182" t="s">
        <v>126</v>
      </c>
      <c r="U2" s="492" t="s">
        <v>105</v>
      </c>
      <c r="V2" s="153" t="s">
        <v>106</v>
      </c>
      <c r="W2" s="97" t="s">
        <v>126</v>
      </c>
      <c r="X2" s="100" t="s">
        <v>105</v>
      </c>
      <c r="Y2" s="101" t="s">
        <v>106</v>
      </c>
      <c r="Z2" s="97" t="s">
        <v>126</v>
      </c>
    </row>
    <row r="3" spans="1:26" ht="13.5" customHeight="1">
      <c r="A3" s="114" t="s">
        <v>167</v>
      </c>
      <c r="B3" s="122" t="s">
        <v>127</v>
      </c>
      <c r="C3" s="148"/>
      <c r="D3" s="146"/>
      <c r="E3" s="149"/>
      <c r="F3" s="145"/>
      <c r="G3" s="146"/>
      <c r="H3" s="147"/>
      <c r="I3" s="148"/>
      <c r="J3" s="146"/>
      <c r="K3" s="149"/>
      <c r="L3" s="145"/>
      <c r="M3" s="146"/>
      <c r="N3" s="147"/>
      <c r="O3" s="148"/>
      <c r="P3" s="146"/>
      <c r="Q3" s="149"/>
      <c r="R3" s="145"/>
      <c r="S3" s="146"/>
      <c r="T3" s="147"/>
      <c r="U3" s="148"/>
      <c r="V3" s="146"/>
      <c r="W3" s="151"/>
      <c r="X3" s="192"/>
      <c r="Y3" s="191"/>
      <c r="Z3" s="193"/>
    </row>
    <row r="4" spans="1:26" ht="13.5" customHeight="1">
      <c r="A4" s="103" t="s">
        <v>168</v>
      </c>
      <c r="B4" s="121" t="s">
        <v>128</v>
      </c>
      <c r="C4" s="141"/>
      <c r="D4" s="137"/>
      <c r="E4" s="142"/>
      <c r="F4" s="139"/>
      <c r="G4" s="137"/>
      <c r="H4" s="140"/>
      <c r="I4" s="141"/>
      <c r="J4" s="137"/>
      <c r="K4" s="142"/>
      <c r="L4" s="139"/>
      <c r="M4" s="137"/>
      <c r="N4" s="140"/>
      <c r="O4" s="141"/>
      <c r="P4" s="137"/>
      <c r="Q4" s="142"/>
      <c r="R4" s="139"/>
      <c r="S4" s="137"/>
      <c r="T4" s="140"/>
      <c r="U4" s="141"/>
      <c r="V4" s="137"/>
      <c r="W4" s="138"/>
      <c r="X4" s="143"/>
      <c r="Y4" s="137"/>
      <c r="Z4" s="138"/>
    </row>
    <row r="5" spans="1:26" ht="13.5" customHeight="1">
      <c r="A5" s="105"/>
      <c r="B5" s="294" t="s">
        <v>129</v>
      </c>
      <c r="C5" s="141"/>
      <c r="D5" s="137"/>
      <c r="E5" s="142"/>
      <c r="F5" s="139"/>
      <c r="G5" s="137"/>
      <c r="H5" s="140"/>
      <c r="I5" s="141"/>
      <c r="J5" s="137"/>
      <c r="K5" s="142"/>
      <c r="L5" s="139"/>
      <c r="M5" s="137"/>
      <c r="N5" s="140"/>
      <c r="O5" s="141"/>
      <c r="P5" s="137"/>
      <c r="Q5" s="142"/>
      <c r="R5" s="139"/>
      <c r="S5" s="137"/>
      <c r="T5" s="140"/>
      <c r="U5" s="141"/>
      <c r="V5" s="137"/>
      <c r="W5" s="138"/>
      <c r="X5" s="143"/>
      <c r="Y5" s="137"/>
      <c r="Z5" s="138"/>
    </row>
    <row r="6" spans="1:26" ht="13.5" customHeight="1">
      <c r="A6" s="113"/>
      <c r="B6" s="295" t="s">
        <v>130</v>
      </c>
      <c r="C6" s="158"/>
      <c r="D6" s="156"/>
      <c r="E6" s="159"/>
      <c r="F6" s="155"/>
      <c r="G6" s="156"/>
      <c r="H6" s="157"/>
      <c r="I6" s="158"/>
      <c r="J6" s="156"/>
      <c r="K6" s="159"/>
      <c r="L6" s="155"/>
      <c r="M6" s="156"/>
      <c r="N6" s="157"/>
      <c r="O6" s="158"/>
      <c r="P6" s="156"/>
      <c r="Q6" s="159"/>
      <c r="R6" s="155"/>
      <c r="S6" s="156"/>
      <c r="T6" s="157"/>
      <c r="U6" s="158"/>
      <c r="V6" s="156"/>
      <c r="W6" s="161"/>
      <c r="X6" s="160"/>
      <c r="Y6" s="156"/>
      <c r="Z6" s="161"/>
    </row>
    <row r="7" spans="1:26" s="235" customFormat="1" ht="13.5" customHeight="1">
      <c r="A7" s="95" t="s">
        <v>169</v>
      </c>
      <c r="B7" s="94" t="s">
        <v>131</v>
      </c>
      <c r="C7" s="233">
        <f>SUM(C3:C4)</f>
        <v>0</v>
      </c>
      <c r="D7" s="214">
        <f t="shared" ref="D7:E7" si="0">SUM(D3:D4)</f>
        <v>0</v>
      </c>
      <c r="E7" s="493">
        <f t="shared" si="0"/>
        <v>0</v>
      </c>
      <c r="F7" s="214">
        <f>SUM(F3:F4)</f>
        <v>0</v>
      </c>
      <c r="G7" s="214">
        <f t="shared" ref="G7" si="1">SUM(G3:G4)</f>
        <v>0</v>
      </c>
      <c r="H7" s="643">
        <f t="shared" ref="H7" si="2">SUM(H3:H4)</f>
        <v>0</v>
      </c>
      <c r="I7" s="233">
        <f>SUM(I3:I4)</f>
        <v>0</v>
      </c>
      <c r="J7" s="214">
        <f t="shared" ref="J7" si="3">SUM(J3:J4)</f>
        <v>0</v>
      </c>
      <c r="K7" s="493">
        <f t="shared" ref="K7" si="4">SUM(K3:K4)</f>
        <v>0</v>
      </c>
      <c r="L7" s="214">
        <f>SUM(L3:L4)</f>
        <v>0</v>
      </c>
      <c r="M7" s="214">
        <f t="shared" ref="M7" si="5">SUM(M3:M4)</f>
        <v>0</v>
      </c>
      <c r="N7" s="643">
        <f t="shared" ref="N7" si="6">SUM(N3:N4)</f>
        <v>0</v>
      </c>
      <c r="O7" s="233">
        <f>SUM(O3:O4)</f>
        <v>0</v>
      </c>
      <c r="P7" s="214">
        <f t="shared" ref="P7" si="7">SUM(P3:P4)</f>
        <v>0</v>
      </c>
      <c r="Q7" s="493">
        <f t="shared" ref="Q7" si="8">SUM(Q3:Q4)</f>
        <v>0</v>
      </c>
      <c r="R7" s="214">
        <f>SUM(R3:R4)</f>
        <v>0</v>
      </c>
      <c r="S7" s="214">
        <f t="shared" ref="S7" si="9">SUM(S3:S4)</f>
        <v>0</v>
      </c>
      <c r="T7" s="643">
        <f t="shared" ref="T7" si="10">SUM(T3:T4)</f>
        <v>0</v>
      </c>
      <c r="U7" s="233">
        <f>SUM(U3:U4)</f>
        <v>0</v>
      </c>
      <c r="V7" s="214">
        <f t="shared" ref="V7" si="11">SUM(V3:V4)</f>
        <v>0</v>
      </c>
      <c r="W7" s="645">
        <f t="shared" ref="W7" si="12">SUM(W3:W4)</f>
        <v>0</v>
      </c>
      <c r="X7" s="208">
        <f>SUM(X3:X4)</f>
        <v>0</v>
      </c>
      <c r="Y7" s="212">
        <f t="shared" ref="Y7:Z7" si="13">SUM(Y3:Y4)</f>
        <v>0</v>
      </c>
      <c r="Z7" s="213">
        <f t="shared" si="13"/>
        <v>0</v>
      </c>
    </row>
    <row r="8" spans="1:26" ht="13.5" customHeight="1">
      <c r="A8" s="114" t="s">
        <v>170</v>
      </c>
      <c r="B8" s="122" t="s">
        <v>165</v>
      </c>
      <c r="C8" s="148"/>
      <c r="D8" s="146"/>
      <c r="E8" s="149"/>
      <c r="F8" s="145"/>
      <c r="G8" s="146"/>
      <c r="H8" s="147"/>
      <c r="I8" s="148"/>
      <c r="J8" s="146"/>
      <c r="K8" s="149"/>
      <c r="L8" s="145"/>
      <c r="M8" s="146"/>
      <c r="N8" s="147"/>
      <c r="O8" s="148"/>
      <c r="P8" s="146"/>
      <c r="Q8" s="149"/>
      <c r="R8" s="145"/>
      <c r="S8" s="146"/>
      <c r="T8" s="147"/>
      <c r="U8" s="148"/>
      <c r="V8" s="146"/>
      <c r="W8" s="151"/>
      <c r="X8" s="150"/>
      <c r="Y8" s="146"/>
      <c r="Z8" s="151"/>
    </row>
    <row r="9" spans="1:26" ht="13.5" customHeight="1">
      <c r="A9" s="103" t="s">
        <v>171</v>
      </c>
      <c r="B9" s="121" t="s">
        <v>132</v>
      </c>
      <c r="C9" s="141"/>
      <c r="D9" s="137"/>
      <c r="E9" s="142"/>
      <c r="F9" s="139"/>
      <c r="G9" s="137"/>
      <c r="H9" s="140"/>
      <c r="I9" s="141"/>
      <c r="J9" s="137"/>
      <c r="K9" s="142"/>
      <c r="L9" s="139"/>
      <c r="M9" s="137"/>
      <c r="N9" s="140"/>
      <c r="O9" s="141"/>
      <c r="P9" s="137"/>
      <c r="Q9" s="142"/>
      <c r="R9" s="139"/>
      <c r="S9" s="137"/>
      <c r="T9" s="140"/>
      <c r="U9" s="141"/>
      <c r="V9" s="137"/>
      <c r="W9" s="138"/>
      <c r="X9" s="143"/>
      <c r="Y9" s="137"/>
      <c r="Z9" s="138"/>
    </row>
    <row r="10" spans="1:26" ht="13.5" customHeight="1">
      <c r="A10" s="113"/>
      <c r="B10" s="295" t="s">
        <v>130</v>
      </c>
      <c r="C10" s="158"/>
      <c r="D10" s="156"/>
      <c r="E10" s="159"/>
      <c r="F10" s="155"/>
      <c r="G10" s="156"/>
      <c r="H10" s="157"/>
      <c r="I10" s="158"/>
      <c r="J10" s="156"/>
      <c r="K10" s="159"/>
      <c r="L10" s="155"/>
      <c r="M10" s="156"/>
      <c r="N10" s="157"/>
      <c r="O10" s="158"/>
      <c r="P10" s="156"/>
      <c r="Q10" s="159"/>
      <c r="R10" s="155"/>
      <c r="S10" s="156"/>
      <c r="T10" s="157"/>
      <c r="U10" s="158"/>
      <c r="V10" s="156"/>
      <c r="W10" s="161"/>
      <c r="X10" s="160"/>
      <c r="Y10" s="156"/>
      <c r="Z10" s="161"/>
    </row>
    <row r="11" spans="1:26" s="235" customFormat="1" ht="13.5" customHeight="1">
      <c r="A11" s="95" t="s">
        <v>172</v>
      </c>
      <c r="B11" s="94" t="s">
        <v>133</v>
      </c>
      <c r="C11" s="233">
        <f>SUM(C8:C9)</f>
        <v>0</v>
      </c>
      <c r="D11" s="214">
        <f t="shared" ref="D11:E11" si="14">SUM(D8:D9)</f>
        <v>0</v>
      </c>
      <c r="E11" s="493">
        <f t="shared" si="14"/>
        <v>0</v>
      </c>
      <c r="F11" s="214">
        <f>SUM(F8:F9)</f>
        <v>0</v>
      </c>
      <c r="G11" s="214">
        <f t="shared" ref="G11" si="15">SUM(G8:G9)</f>
        <v>0</v>
      </c>
      <c r="H11" s="643">
        <f t="shared" ref="H11" si="16">SUM(H8:H9)</f>
        <v>0</v>
      </c>
      <c r="I11" s="233">
        <f>SUM(I8:I9)</f>
        <v>0</v>
      </c>
      <c r="J11" s="214">
        <f t="shared" ref="J11" si="17">SUM(J8:J9)</f>
        <v>0</v>
      </c>
      <c r="K11" s="493">
        <f t="shared" ref="K11" si="18">SUM(K8:K9)</f>
        <v>0</v>
      </c>
      <c r="L11" s="214">
        <f>SUM(L8:L9)</f>
        <v>0</v>
      </c>
      <c r="M11" s="214">
        <f t="shared" ref="M11" si="19">SUM(M8:M9)</f>
        <v>0</v>
      </c>
      <c r="N11" s="643">
        <f t="shared" ref="N11" si="20">SUM(N8:N9)</f>
        <v>0</v>
      </c>
      <c r="O11" s="233">
        <f>SUM(O8:O9)</f>
        <v>0</v>
      </c>
      <c r="P11" s="214">
        <f t="shared" ref="P11" si="21">SUM(P8:P9)</f>
        <v>0</v>
      </c>
      <c r="Q11" s="493">
        <f t="shared" ref="Q11" si="22">SUM(Q8:Q9)</f>
        <v>0</v>
      </c>
      <c r="R11" s="214">
        <f>SUM(R8:R9)</f>
        <v>0</v>
      </c>
      <c r="S11" s="214">
        <f t="shared" ref="S11" si="23">SUM(S8:S9)</f>
        <v>0</v>
      </c>
      <c r="T11" s="643">
        <f t="shared" ref="T11" si="24">SUM(T8:T9)</f>
        <v>0</v>
      </c>
      <c r="U11" s="233">
        <f>SUM(U8:U9)</f>
        <v>0</v>
      </c>
      <c r="V11" s="214">
        <f t="shared" ref="V11" si="25">SUM(V8:V9)</f>
        <v>0</v>
      </c>
      <c r="W11" s="645">
        <f t="shared" ref="W11" si="26">SUM(W8:W9)</f>
        <v>0</v>
      </c>
      <c r="X11" s="208">
        <f>SUM(X8:X9)</f>
        <v>0</v>
      </c>
      <c r="Y11" s="212">
        <f t="shared" ref="Y11:Z11" si="27">SUM(Y8:Y9)</f>
        <v>0</v>
      </c>
      <c r="Z11" s="213">
        <f t="shared" si="27"/>
        <v>0</v>
      </c>
    </row>
    <row r="12" spans="1:26" ht="13.5" customHeight="1">
      <c r="A12" s="114" t="s">
        <v>173</v>
      </c>
      <c r="B12" s="122" t="s">
        <v>134</v>
      </c>
      <c r="C12" s="148"/>
      <c r="D12" s="146"/>
      <c r="E12" s="149"/>
      <c r="F12" s="145"/>
      <c r="G12" s="146"/>
      <c r="H12" s="147"/>
      <c r="I12" s="148"/>
      <c r="J12" s="146"/>
      <c r="K12" s="149"/>
      <c r="L12" s="145"/>
      <c r="M12" s="146"/>
      <c r="N12" s="147"/>
      <c r="O12" s="148"/>
      <c r="P12" s="146"/>
      <c r="Q12" s="149"/>
      <c r="R12" s="145"/>
      <c r="S12" s="146"/>
      <c r="T12" s="147"/>
      <c r="U12" s="148"/>
      <c r="V12" s="146"/>
      <c r="W12" s="151"/>
      <c r="X12" s="150">
        <f t="shared" ref="X12:X20" si="28">+C12+F12+I12+L12+O12+R12+U12</f>
        <v>0</v>
      </c>
      <c r="Y12" s="146">
        <f t="shared" ref="Y12:Y20" si="29">+D12+G12+J12+M12+P12+S12+V12</f>
        <v>0</v>
      </c>
      <c r="Z12" s="151">
        <f t="shared" ref="Z12:Z20" si="30">+E12+H12+K12+N12+Q12+T12+W12</f>
        <v>0</v>
      </c>
    </row>
    <row r="13" spans="1:26" ht="13.5" customHeight="1">
      <c r="A13" s="103" t="s">
        <v>174</v>
      </c>
      <c r="B13" s="121" t="s">
        <v>135</v>
      </c>
      <c r="C13" s="141">
        <f>+'[5]3.SZ.TÁBL. SEGÍTŐ SZOLGÁLAT'!$C13</f>
        <v>1300</v>
      </c>
      <c r="D13" s="137">
        <f>+'[4]3.SZ.TÁBL. SEGÍTŐ SZOLGÁLAT'!$E13</f>
        <v>1300</v>
      </c>
      <c r="E13" s="142">
        <v>600</v>
      </c>
      <c r="F13" s="139">
        <f>+'[5]3.SZ.TÁBL. SEGÍTŐ SZOLGÁLAT'!$F13</f>
        <v>0</v>
      </c>
      <c r="G13" s="137">
        <f>+'[4]3.SZ.TÁBL. SEGÍTŐ SZOLGÁLAT'!$H13</f>
        <v>208</v>
      </c>
      <c r="H13" s="140">
        <v>208</v>
      </c>
      <c r="I13" s="141">
        <f>+'[5]3.SZ.TÁBL. SEGÍTŐ SZOLGÁLAT'!$I13</f>
        <v>0</v>
      </c>
      <c r="J13" s="137">
        <f>+'[4]3.SZ.TÁBL. SEGÍTŐ SZOLGÁLAT'!$K13</f>
        <v>0</v>
      </c>
      <c r="K13" s="142"/>
      <c r="L13" s="139">
        <f>+'[5]3.SZ.TÁBL. SEGÍTŐ SZOLGÁLAT'!$L13</f>
        <v>0</v>
      </c>
      <c r="M13" s="137">
        <f>+'[4]3.SZ.TÁBL. SEGÍTŐ SZOLGÁLAT'!$N13</f>
        <v>0</v>
      </c>
      <c r="N13" s="140"/>
      <c r="O13" s="141">
        <f>+'[5]3.SZ.TÁBL. SEGÍTŐ SZOLGÁLAT'!$O13</f>
        <v>0</v>
      </c>
      <c r="P13" s="137">
        <f>+'[4]3.SZ.TÁBL. SEGÍTŐ SZOLGÁLAT'!$Q13</f>
        <v>278</v>
      </c>
      <c r="Q13" s="142">
        <v>278</v>
      </c>
      <c r="R13" s="139">
        <f>+'[5]3.SZ.TÁBL. SEGÍTŐ SZOLGÁLAT'!$R13</f>
        <v>800</v>
      </c>
      <c r="S13" s="137">
        <f>+'[4]3.SZ.TÁBL. SEGÍTŐ SZOLGÁLAT'!$T13</f>
        <v>800</v>
      </c>
      <c r="T13" s="140">
        <v>585</v>
      </c>
      <c r="U13" s="141">
        <f>+'[5]3.SZ.TÁBL. SEGÍTŐ SZOLGÁLAT'!$U13</f>
        <v>0</v>
      </c>
      <c r="V13" s="137">
        <f>+'[4]3.SZ.TÁBL. SEGÍTŐ SZOLGÁLAT'!$W13</f>
        <v>0</v>
      </c>
      <c r="W13" s="138"/>
      <c r="X13" s="143">
        <f t="shared" si="28"/>
        <v>2100</v>
      </c>
      <c r="Y13" s="137">
        <f t="shared" si="29"/>
        <v>2586</v>
      </c>
      <c r="Z13" s="138">
        <f t="shared" si="30"/>
        <v>1671</v>
      </c>
    </row>
    <row r="14" spans="1:26" ht="13.5" customHeight="1">
      <c r="A14" s="103" t="s">
        <v>175</v>
      </c>
      <c r="B14" s="121" t="s">
        <v>136</v>
      </c>
      <c r="C14" s="141">
        <f>+'[5]3.SZ.TÁBL. SEGÍTŐ SZOLGÁLAT'!$C14</f>
        <v>0</v>
      </c>
      <c r="D14" s="137">
        <f>+'[4]3.SZ.TÁBL. SEGÍTŐ SZOLGÁLAT'!$E14</f>
        <v>0</v>
      </c>
      <c r="E14" s="142"/>
      <c r="F14" s="139">
        <f>+'[5]3.SZ.TÁBL. SEGÍTŐ SZOLGÁLAT'!$F14</f>
        <v>0</v>
      </c>
      <c r="G14" s="137">
        <f>+'[4]3.SZ.TÁBL. SEGÍTŐ SZOLGÁLAT'!$H14</f>
        <v>14</v>
      </c>
      <c r="H14" s="140">
        <v>3</v>
      </c>
      <c r="I14" s="141">
        <f>+'[5]3.SZ.TÁBL. SEGÍTŐ SZOLGÁLAT'!$I14</f>
        <v>0</v>
      </c>
      <c r="J14" s="137">
        <f>+'[4]3.SZ.TÁBL. SEGÍTŐ SZOLGÁLAT'!$K14</f>
        <v>4</v>
      </c>
      <c r="K14" s="142"/>
      <c r="L14" s="139">
        <f>+'[5]3.SZ.TÁBL. SEGÍTŐ SZOLGÁLAT'!$L14</f>
        <v>0</v>
      </c>
      <c r="M14" s="137">
        <f>+'[4]3.SZ.TÁBL. SEGÍTŐ SZOLGÁLAT'!$N14</f>
        <v>0</v>
      </c>
      <c r="N14" s="140"/>
      <c r="O14" s="141">
        <f>+'[5]3.SZ.TÁBL. SEGÍTŐ SZOLGÁLAT'!$O14</f>
        <v>0</v>
      </c>
      <c r="P14" s="137">
        <f>+'[4]3.SZ.TÁBL. SEGÍTŐ SZOLGÁLAT'!$Q14</f>
        <v>3</v>
      </c>
      <c r="Q14" s="142"/>
      <c r="R14" s="139">
        <f>+'[5]3.SZ.TÁBL. SEGÍTŐ SZOLGÁLAT'!$R14</f>
        <v>0</v>
      </c>
      <c r="S14" s="137">
        <f>+'[4]3.SZ.TÁBL. SEGÍTŐ SZOLGÁLAT'!$T14</f>
        <v>0</v>
      </c>
      <c r="T14" s="140"/>
      <c r="U14" s="141">
        <f>+'[5]3.SZ.TÁBL. SEGÍTŐ SZOLGÁLAT'!$U14</f>
        <v>0</v>
      </c>
      <c r="V14" s="137">
        <f>+'[4]3.SZ.TÁBL. SEGÍTŐ SZOLGÁLAT'!$W14</f>
        <v>0</v>
      </c>
      <c r="W14" s="138"/>
      <c r="X14" s="143">
        <f t="shared" si="28"/>
        <v>0</v>
      </c>
      <c r="Y14" s="137">
        <f t="shared" si="29"/>
        <v>21</v>
      </c>
      <c r="Z14" s="138">
        <f t="shared" si="30"/>
        <v>3</v>
      </c>
    </row>
    <row r="15" spans="1:26" ht="13.5" customHeight="1">
      <c r="A15" s="103" t="s">
        <v>176</v>
      </c>
      <c r="B15" s="121" t="s">
        <v>137</v>
      </c>
      <c r="C15" s="141">
        <f>+'[5]3.SZ.TÁBL. SEGÍTŐ SZOLGÁLAT'!$C15</f>
        <v>0</v>
      </c>
      <c r="D15" s="137">
        <f>+'[4]3.SZ.TÁBL. SEGÍTŐ SZOLGÁLAT'!$E15</f>
        <v>0</v>
      </c>
      <c r="E15" s="142"/>
      <c r="F15" s="139">
        <f>+'[5]3.SZ.TÁBL. SEGÍTŐ SZOLGÁLAT'!$F15</f>
        <v>0</v>
      </c>
      <c r="G15" s="137">
        <f>+'[4]3.SZ.TÁBL. SEGÍTŐ SZOLGÁLAT'!$H15</f>
        <v>0</v>
      </c>
      <c r="H15" s="140"/>
      <c r="I15" s="141">
        <f>+'[5]3.SZ.TÁBL. SEGÍTŐ SZOLGÁLAT'!$I15</f>
        <v>0</v>
      </c>
      <c r="J15" s="137">
        <f>+'[4]3.SZ.TÁBL. SEGÍTŐ SZOLGÁLAT'!$K15</f>
        <v>0</v>
      </c>
      <c r="K15" s="142"/>
      <c r="L15" s="139">
        <f>+'[5]3.SZ.TÁBL. SEGÍTŐ SZOLGÁLAT'!$L15</f>
        <v>0</v>
      </c>
      <c r="M15" s="137">
        <f>+'[4]3.SZ.TÁBL. SEGÍTŐ SZOLGÁLAT'!$N15</f>
        <v>0</v>
      </c>
      <c r="N15" s="140"/>
      <c r="O15" s="141">
        <f>+'[5]3.SZ.TÁBL. SEGÍTŐ SZOLGÁLAT'!$O15</f>
        <v>0</v>
      </c>
      <c r="P15" s="137">
        <f>+'[4]3.SZ.TÁBL. SEGÍTŐ SZOLGÁLAT'!$Q15</f>
        <v>0</v>
      </c>
      <c r="Q15" s="142"/>
      <c r="R15" s="139">
        <f>+'[5]3.SZ.TÁBL. SEGÍTŐ SZOLGÁLAT'!$R15</f>
        <v>0</v>
      </c>
      <c r="S15" s="137">
        <f>+'[4]3.SZ.TÁBL. SEGÍTŐ SZOLGÁLAT'!$T15</f>
        <v>0</v>
      </c>
      <c r="T15" s="140"/>
      <c r="U15" s="141">
        <f>+'[5]3.SZ.TÁBL. SEGÍTŐ SZOLGÁLAT'!$U15</f>
        <v>0</v>
      </c>
      <c r="V15" s="137">
        <f>+'[4]3.SZ.TÁBL. SEGÍTŐ SZOLGÁLAT'!$W15</f>
        <v>0</v>
      </c>
      <c r="W15" s="138"/>
      <c r="X15" s="143">
        <f t="shared" si="28"/>
        <v>0</v>
      </c>
      <c r="Y15" s="137">
        <f t="shared" si="29"/>
        <v>0</v>
      </c>
      <c r="Z15" s="138">
        <f t="shared" si="30"/>
        <v>0</v>
      </c>
    </row>
    <row r="16" spans="1:26" ht="13.5" customHeight="1">
      <c r="A16" s="103" t="s">
        <v>177</v>
      </c>
      <c r="B16" s="121" t="s">
        <v>138</v>
      </c>
      <c r="C16" s="141">
        <f>+'[5]3.SZ.TÁBL. SEGÍTŐ SZOLGÁLAT'!$C16</f>
        <v>1000</v>
      </c>
      <c r="D16" s="137">
        <f>+'[4]3.SZ.TÁBL. SEGÍTŐ SZOLGÁLAT'!$E16</f>
        <v>1000</v>
      </c>
      <c r="E16" s="142">
        <v>528</v>
      </c>
      <c r="F16" s="139">
        <f>+'[5]3.SZ.TÁBL. SEGÍTŐ SZOLGÁLAT'!$F16</f>
        <v>0</v>
      </c>
      <c r="G16" s="137">
        <f>+'[4]3.SZ.TÁBL. SEGÍTŐ SZOLGÁLAT'!$H16</f>
        <v>0</v>
      </c>
      <c r="H16" s="140"/>
      <c r="I16" s="141">
        <f>+'[5]3.SZ.TÁBL. SEGÍTŐ SZOLGÁLAT'!$I16</f>
        <v>1700</v>
      </c>
      <c r="J16" s="137">
        <f>+'[4]3.SZ.TÁBL. SEGÍTŐ SZOLGÁLAT'!$K16</f>
        <v>1700</v>
      </c>
      <c r="K16" s="142">
        <v>1217</v>
      </c>
      <c r="L16" s="139">
        <f>+'[5]3.SZ.TÁBL. SEGÍTŐ SZOLGÁLAT'!$L16</f>
        <v>0</v>
      </c>
      <c r="M16" s="137">
        <f>+'[4]3.SZ.TÁBL. SEGÍTŐ SZOLGÁLAT'!$N16</f>
        <v>0</v>
      </c>
      <c r="N16" s="140"/>
      <c r="O16" s="141">
        <f>+'[5]3.SZ.TÁBL. SEGÍTŐ SZOLGÁLAT'!$O16</f>
        <v>1400</v>
      </c>
      <c r="P16" s="137">
        <f>+'[4]3.SZ.TÁBL. SEGÍTŐ SZOLGÁLAT'!$Q16</f>
        <v>1335</v>
      </c>
      <c r="Q16" s="142">
        <v>870</v>
      </c>
      <c r="R16" s="139">
        <f>+'[5]3.SZ.TÁBL. SEGÍTŐ SZOLGÁLAT'!$R16</f>
        <v>0</v>
      </c>
      <c r="S16" s="137">
        <f>+'[4]3.SZ.TÁBL. SEGÍTŐ SZOLGÁLAT'!$T16</f>
        <v>0</v>
      </c>
      <c r="T16" s="140"/>
      <c r="U16" s="141">
        <f>+'[5]3.SZ.TÁBL. SEGÍTŐ SZOLGÁLAT'!$U16</f>
        <v>2691</v>
      </c>
      <c r="V16" s="137">
        <f>+'[4]3.SZ.TÁBL. SEGÍTŐ SZOLGÁLAT'!$W16</f>
        <v>2691</v>
      </c>
      <c r="W16" s="138">
        <v>1635</v>
      </c>
      <c r="X16" s="143">
        <f t="shared" si="28"/>
        <v>6791</v>
      </c>
      <c r="Y16" s="137">
        <f t="shared" si="29"/>
        <v>6726</v>
      </c>
      <c r="Z16" s="138">
        <f t="shared" si="30"/>
        <v>4250</v>
      </c>
    </row>
    <row r="17" spans="1:29" ht="13.5" customHeight="1">
      <c r="A17" s="103" t="s">
        <v>178</v>
      </c>
      <c r="B17" s="121" t="s">
        <v>139</v>
      </c>
      <c r="C17" s="141">
        <f>+'[5]3.SZ.TÁBL. SEGÍTŐ SZOLGÁLAT'!$C17</f>
        <v>0</v>
      </c>
      <c r="D17" s="137">
        <f>+'[4]3.SZ.TÁBL. SEGÍTŐ SZOLGÁLAT'!$E17</f>
        <v>0</v>
      </c>
      <c r="E17" s="142"/>
      <c r="F17" s="139">
        <f>+'[5]3.SZ.TÁBL. SEGÍTŐ SZOLGÁLAT'!$F17</f>
        <v>0</v>
      </c>
      <c r="G17" s="137">
        <f>+'[4]3.SZ.TÁBL. SEGÍTŐ SZOLGÁLAT'!$H17</f>
        <v>0</v>
      </c>
      <c r="H17" s="140"/>
      <c r="I17" s="141">
        <f>+'[5]3.SZ.TÁBL. SEGÍTŐ SZOLGÁLAT'!$I17</f>
        <v>0</v>
      </c>
      <c r="J17" s="137">
        <f>+'[4]3.SZ.TÁBL. SEGÍTŐ SZOLGÁLAT'!$K17</f>
        <v>0</v>
      </c>
      <c r="K17" s="142"/>
      <c r="L17" s="139">
        <f>+'[5]3.SZ.TÁBL. SEGÍTŐ SZOLGÁLAT'!$L17</f>
        <v>0</v>
      </c>
      <c r="M17" s="137">
        <f>+'[4]3.SZ.TÁBL. SEGÍTŐ SZOLGÁLAT'!$N17</f>
        <v>0</v>
      </c>
      <c r="N17" s="140"/>
      <c r="O17" s="141">
        <f>+'[5]3.SZ.TÁBL. SEGÍTŐ SZOLGÁLAT'!$O17</f>
        <v>0</v>
      </c>
      <c r="P17" s="137">
        <f>+'[4]3.SZ.TÁBL. SEGÍTŐ SZOLGÁLAT'!$Q17</f>
        <v>0</v>
      </c>
      <c r="Q17" s="142"/>
      <c r="R17" s="139">
        <f>+'[5]3.SZ.TÁBL. SEGÍTŐ SZOLGÁLAT'!$R17</f>
        <v>0</v>
      </c>
      <c r="S17" s="137">
        <f>+'[4]3.SZ.TÁBL. SEGÍTŐ SZOLGÁLAT'!$T17</f>
        <v>0</v>
      </c>
      <c r="T17" s="140"/>
      <c r="U17" s="141">
        <f>+'[5]3.SZ.TÁBL. SEGÍTŐ SZOLGÁLAT'!$U17</f>
        <v>0</v>
      </c>
      <c r="V17" s="137">
        <f>+'[4]3.SZ.TÁBL. SEGÍTŐ SZOLGÁLAT'!$W17</f>
        <v>0</v>
      </c>
      <c r="W17" s="138"/>
      <c r="X17" s="143">
        <f t="shared" si="28"/>
        <v>0</v>
      </c>
      <c r="Y17" s="137">
        <f t="shared" si="29"/>
        <v>0</v>
      </c>
      <c r="Z17" s="138">
        <f t="shared" si="30"/>
        <v>0</v>
      </c>
    </row>
    <row r="18" spans="1:29" ht="13.5" customHeight="1">
      <c r="A18" s="103" t="s">
        <v>179</v>
      </c>
      <c r="B18" s="121" t="s">
        <v>140</v>
      </c>
      <c r="C18" s="141">
        <f>+'[5]3.SZ.TÁBL. SEGÍTŐ SZOLGÁLAT'!$C18</f>
        <v>0</v>
      </c>
      <c r="D18" s="137">
        <f>+'[4]3.SZ.TÁBL. SEGÍTŐ SZOLGÁLAT'!$E18</f>
        <v>0</v>
      </c>
      <c r="E18" s="142"/>
      <c r="F18" s="139">
        <f>+'[5]3.SZ.TÁBL. SEGÍTŐ SZOLGÁLAT'!$F18</f>
        <v>0</v>
      </c>
      <c r="G18" s="137">
        <f>+'[4]3.SZ.TÁBL. SEGÍTŐ SZOLGÁLAT'!$H18</f>
        <v>0</v>
      </c>
      <c r="H18" s="140"/>
      <c r="I18" s="141">
        <f>+'[5]3.SZ.TÁBL. SEGÍTŐ SZOLGÁLAT'!$I18</f>
        <v>0</v>
      </c>
      <c r="J18" s="137">
        <f>+'[4]3.SZ.TÁBL. SEGÍTŐ SZOLGÁLAT'!$K18</f>
        <v>0</v>
      </c>
      <c r="K18" s="142"/>
      <c r="L18" s="139">
        <f>+'[5]3.SZ.TÁBL. SEGÍTŐ SZOLGÁLAT'!$L18</f>
        <v>0</v>
      </c>
      <c r="M18" s="137">
        <f>+'[4]3.SZ.TÁBL. SEGÍTŐ SZOLGÁLAT'!$N18</f>
        <v>0</v>
      </c>
      <c r="N18" s="140"/>
      <c r="O18" s="141">
        <f>+'[5]3.SZ.TÁBL. SEGÍTŐ SZOLGÁLAT'!$O18</f>
        <v>0</v>
      </c>
      <c r="P18" s="137">
        <f>+'[4]3.SZ.TÁBL. SEGÍTŐ SZOLGÁLAT'!$Q18</f>
        <v>0</v>
      </c>
      <c r="Q18" s="142"/>
      <c r="R18" s="139">
        <f>+'[5]3.SZ.TÁBL. SEGÍTŐ SZOLGÁLAT'!$R18</f>
        <v>0</v>
      </c>
      <c r="S18" s="137">
        <f>+'[4]3.SZ.TÁBL. SEGÍTŐ SZOLGÁLAT'!$T18</f>
        <v>0</v>
      </c>
      <c r="T18" s="140"/>
      <c r="U18" s="141">
        <f>+'[5]3.SZ.TÁBL. SEGÍTŐ SZOLGÁLAT'!$U18</f>
        <v>0</v>
      </c>
      <c r="V18" s="137">
        <f>+'[4]3.SZ.TÁBL. SEGÍTŐ SZOLGÁLAT'!$W18</f>
        <v>0</v>
      </c>
      <c r="W18" s="138"/>
      <c r="X18" s="143">
        <f t="shared" si="28"/>
        <v>0</v>
      </c>
      <c r="Y18" s="137">
        <f t="shared" si="29"/>
        <v>0</v>
      </c>
      <c r="Z18" s="138">
        <f t="shared" si="30"/>
        <v>0</v>
      </c>
    </row>
    <row r="19" spans="1:29" ht="13.5" customHeight="1">
      <c r="A19" s="103" t="s">
        <v>180</v>
      </c>
      <c r="B19" s="121" t="s">
        <v>141</v>
      </c>
      <c r="C19" s="141">
        <f>+'[5]3.SZ.TÁBL. SEGÍTŐ SZOLGÁLAT'!$C19</f>
        <v>0</v>
      </c>
      <c r="D19" s="137">
        <f>+'[4]3.SZ.TÁBL. SEGÍTŐ SZOLGÁLAT'!$E19</f>
        <v>0</v>
      </c>
      <c r="E19" s="142"/>
      <c r="F19" s="139">
        <f>+'[5]3.SZ.TÁBL. SEGÍTŐ SZOLGÁLAT'!$F19</f>
        <v>0</v>
      </c>
      <c r="G19" s="137">
        <f>+'[4]3.SZ.TÁBL. SEGÍTŐ SZOLGÁLAT'!$H19</f>
        <v>0</v>
      </c>
      <c r="H19" s="140"/>
      <c r="I19" s="141">
        <f>+'[5]3.SZ.TÁBL. SEGÍTŐ SZOLGÁLAT'!$I19</f>
        <v>0</v>
      </c>
      <c r="J19" s="137">
        <f>+'[4]3.SZ.TÁBL. SEGÍTŐ SZOLGÁLAT'!$K19</f>
        <v>0</v>
      </c>
      <c r="K19" s="142"/>
      <c r="L19" s="139">
        <f>+'[5]3.SZ.TÁBL. SEGÍTŐ SZOLGÁLAT'!$L19</f>
        <v>0</v>
      </c>
      <c r="M19" s="137">
        <f>+'[4]3.SZ.TÁBL. SEGÍTŐ SZOLGÁLAT'!$N19</f>
        <v>1</v>
      </c>
      <c r="N19" s="140">
        <v>1</v>
      </c>
      <c r="O19" s="141">
        <f>+'[5]3.SZ.TÁBL. SEGÍTŐ SZOLGÁLAT'!$O19</f>
        <v>0</v>
      </c>
      <c r="P19" s="137">
        <f>+'[4]3.SZ.TÁBL. SEGÍTŐ SZOLGÁLAT'!$Q19</f>
        <v>0</v>
      </c>
      <c r="Q19" s="142"/>
      <c r="R19" s="139">
        <f>+'[5]3.SZ.TÁBL. SEGÍTŐ SZOLGÁLAT'!$R19</f>
        <v>0</v>
      </c>
      <c r="S19" s="137">
        <f>+'[4]3.SZ.TÁBL. SEGÍTŐ SZOLGÁLAT'!$T19</f>
        <v>0</v>
      </c>
      <c r="T19" s="140"/>
      <c r="U19" s="141">
        <f>+'[5]3.SZ.TÁBL. SEGÍTŐ SZOLGÁLAT'!$U19</f>
        <v>0</v>
      </c>
      <c r="V19" s="137">
        <f>+'[4]3.SZ.TÁBL. SEGÍTŐ SZOLGÁLAT'!$W19</f>
        <v>0</v>
      </c>
      <c r="W19" s="138"/>
      <c r="X19" s="143">
        <f t="shared" si="28"/>
        <v>0</v>
      </c>
      <c r="Y19" s="137">
        <f t="shared" si="29"/>
        <v>1</v>
      </c>
      <c r="Z19" s="138">
        <f t="shared" si="30"/>
        <v>1</v>
      </c>
    </row>
    <row r="20" spans="1:29" ht="13.5" customHeight="1">
      <c r="A20" s="115" t="s">
        <v>181</v>
      </c>
      <c r="B20" s="123" t="s">
        <v>142</v>
      </c>
      <c r="C20" s="158"/>
      <c r="D20" s="137">
        <f>+'[4]3.SZ.TÁBL. SEGÍTŐ SZOLGÁLAT'!$E20</f>
        <v>0</v>
      </c>
      <c r="E20" s="159"/>
      <c r="F20" s="155"/>
      <c r="G20" s="137">
        <f>+'[4]3.SZ.TÁBL. SEGÍTŐ SZOLGÁLAT'!$H20</f>
        <v>0</v>
      </c>
      <c r="H20" s="157"/>
      <c r="I20" s="158"/>
      <c r="J20" s="137">
        <f>+'[4]3.SZ.TÁBL. SEGÍTŐ SZOLGÁLAT'!$K20</f>
        <v>0</v>
      </c>
      <c r="K20" s="159"/>
      <c r="L20" s="155"/>
      <c r="M20" s="137">
        <f>+'[4]3.SZ.TÁBL. SEGÍTŐ SZOLGÁLAT'!$N20</f>
        <v>0</v>
      </c>
      <c r="N20" s="157"/>
      <c r="O20" s="158"/>
      <c r="P20" s="137">
        <f>+'[4]3.SZ.TÁBL. SEGÍTŐ SZOLGÁLAT'!$Q20</f>
        <v>0</v>
      </c>
      <c r="Q20" s="159"/>
      <c r="R20" s="155"/>
      <c r="S20" s="137">
        <f>+'[4]3.SZ.TÁBL. SEGÍTŐ SZOLGÁLAT'!$T20</f>
        <v>0</v>
      </c>
      <c r="T20" s="157"/>
      <c r="U20" s="158"/>
      <c r="V20" s="137">
        <f>+'[4]3.SZ.TÁBL. SEGÍTŐ SZOLGÁLAT'!$W20</f>
        <v>0</v>
      </c>
      <c r="W20" s="161"/>
      <c r="X20" s="160">
        <f t="shared" si="28"/>
        <v>0</v>
      </c>
      <c r="Y20" s="156">
        <f t="shared" si="29"/>
        <v>0</v>
      </c>
      <c r="Z20" s="161">
        <f t="shared" si="30"/>
        <v>0</v>
      </c>
    </row>
    <row r="21" spans="1:29" s="235" customFormat="1" ht="13.5" customHeight="1">
      <c r="A21" s="95" t="s">
        <v>182</v>
      </c>
      <c r="B21" s="94" t="s">
        <v>143</v>
      </c>
      <c r="C21" s="233">
        <f>SUM(C12:C20)</f>
        <v>2300</v>
      </c>
      <c r="D21" s="214">
        <f t="shared" ref="D21:E21" si="31">SUM(D12:D20)</f>
        <v>2300</v>
      </c>
      <c r="E21" s="493">
        <f t="shared" si="31"/>
        <v>1128</v>
      </c>
      <c r="F21" s="214">
        <f>SUM(F12:F20)</f>
        <v>0</v>
      </c>
      <c r="G21" s="214">
        <f t="shared" ref="G21" si="32">SUM(G12:G20)</f>
        <v>222</v>
      </c>
      <c r="H21" s="643">
        <f t="shared" ref="H21" si="33">SUM(H12:H20)</f>
        <v>211</v>
      </c>
      <c r="I21" s="233">
        <f>SUM(I12:I20)</f>
        <v>1700</v>
      </c>
      <c r="J21" s="214">
        <f t="shared" ref="J21" si="34">SUM(J12:J20)</f>
        <v>1704</v>
      </c>
      <c r="K21" s="493">
        <f t="shared" ref="K21" si="35">SUM(K12:K20)</f>
        <v>1217</v>
      </c>
      <c r="L21" s="214">
        <f>SUM(L12:L20)</f>
        <v>0</v>
      </c>
      <c r="M21" s="214">
        <f t="shared" ref="M21" si="36">SUM(M12:M20)</f>
        <v>1</v>
      </c>
      <c r="N21" s="643">
        <f t="shared" ref="N21" si="37">SUM(N12:N20)</f>
        <v>1</v>
      </c>
      <c r="O21" s="233">
        <f>SUM(O12:O20)</f>
        <v>1400</v>
      </c>
      <c r="P21" s="214">
        <f t="shared" ref="P21" si="38">SUM(P12:P20)</f>
        <v>1616</v>
      </c>
      <c r="Q21" s="493">
        <f t="shared" ref="Q21" si="39">SUM(Q12:Q20)</f>
        <v>1148</v>
      </c>
      <c r="R21" s="214">
        <f>SUM(R12:R20)</f>
        <v>800</v>
      </c>
      <c r="S21" s="214">
        <f t="shared" ref="S21" si="40">SUM(S12:S20)</f>
        <v>800</v>
      </c>
      <c r="T21" s="643">
        <f t="shared" ref="T21" si="41">SUM(T12:T20)</f>
        <v>585</v>
      </c>
      <c r="U21" s="233">
        <f>SUM(U12:U20)</f>
        <v>2691</v>
      </c>
      <c r="V21" s="214">
        <f t="shared" ref="V21" si="42">SUM(V12:V20)</f>
        <v>2691</v>
      </c>
      <c r="W21" s="645">
        <f t="shared" ref="W21" si="43">SUM(W12:W20)</f>
        <v>1635</v>
      </c>
      <c r="X21" s="208">
        <f>SUM(X12:X20)</f>
        <v>8891</v>
      </c>
      <c r="Y21" s="212">
        <f t="shared" ref="Y21:Z21" si="44">SUM(Y12:Y20)</f>
        <v>9334</v>
      </c>
      <c r="Z21" s="213">
        <f t="shared" si="44"/>
        <v>5925</v>
      </c>
    </row>
    <row r="22" spans="1:29" s="235" customFormat="1" ht="13.5" customHeight="1">
      <c r="A22" s="95" t="s">
        <v>183</v>
      </c>
      <c r="B22" s="94" t="s">
        <v>144</v>
      </c>
      <c r="C22" s="233"/>
      <c r="D22" s="212"/>
      <c r="E22" s="234"/>
      <c r="F22" s="214"/>
      <c r="G22" s="212"/>
      <c r="H22" s="215"/>
      <c r="I22" s="233"/>
      <c r="J22" s="212"/>
      <c r="K22" s="234"/>
      <c r="L22" s="214"/>
      <c r="M22" s="212"/>
      <c r="N22" s="215"/>
      <c r="O22" s="233"/>
      <c r="P22" s="212"/>
      <c r="Q22" s="234"/>
      <c r="R22" s="214"/>
      <c r="S22" s="212"/>
      <c r="T22" s="215"/>
      <c r="U22" s="233"/>
      <c r="V22" s="212"/>
      <c r="W22" s="213"/>
      <c r="X22" s="208"/>
      <c r="Y22" s="212"/>
      <c r="Z22" s="213"/>
    </row>
    <row r="23" spans="1:29" ht="13.5" customHeight="1">
      <c r="A23" s="116" t="s">
        <v>184</v>
      </c>
      <c r="B23" s="124" t="s">
        <v>145</v>
      </c>
      <c r="C23" s="169"/>
      <c r="D23" s="167"/>
      <c r="E23" s="170"/>
      <c r="F23" s="166"/>
      <c r="G23" s="167"/>
      <c r="H23" s="168"/>
      <c r="I23" s="169"/>
      <c r="J23" s="167"/>
      <c r="K23" s="170"/>
      <c r="L23" s="166"/>
      <c r="M23" s="167"/>
      <c r="N23" s="168"/>
      <c r="O23" s="169"/>
      <c r="P23" s="167"/>
      <c r="Q23" s="170"/>
      <c r="R23" s="166"/>
      <c r="S23" s="167"/>
      <c r="T23" s="168"/>
      <c r="U23" s="169"/>
      <c r="V23" s="167"/>
      <c r="W23" s="172"/>
      <c r="X23" s="171"/>
      <c r="Y23" s="167"/>
      <c r="Z23" s="172"/>
    </row>
    <row r="24" spans="1:29" s="235" customFormat="1" ht="13.5" customHeight="1">
      <c r="A24" s="95" t="s">
        <v>185</v>
      </c>
      <c r="B24" s="94" t="s">
        <v>304</v>
      </c>
      <c r="C24" s="233">
        <f>+C23</f>
        <v>0</v>
      </c>
      <c r="D24" s="214">
        <f t="shared" ref="D24:E24" si="45">+D23</f>
        <v>0</v>
      </c>
      <c r="E24" s="493">
        <f t="shared" si="45"/>
        <v>0</v>
      </c>
      <c r="F24" s="214">
        <f>+F23</f>
        <v>0</v>
      </c>
      <c r="G24" s="214">
        <f t="shared" ref="G24" si="46">+G23</f>
        <v>0</v>
      </c>
      <c r="H24" s="643">
        <f t="shared" ref="H24" si="47">+H23</f>
        <v>0</v>
      </c>
      <c r="I24" s="233">
        <f>+I23</f>
        <v>0</v>
      </c>
      <c r="J24" s="214">
        <f t="shared" ref="J24" si="48">+J23</f>
        <v>0</v>
      </c>
      <c r="K24" s="493">
        <f t="shared" ref="K24" si="49">+K23</f>
        <v>0</v>
      </c>
      <c r="L24" s="214">
        <f>+L23</f>
        <v>0</v>
      </c>
      <c r="M24" s="214">
        <f t="shared" ref="M24" si="50">+M23</f>
        <v>0</v>
      </c>
      <c r="N24" s="643">
        <f t="shared" ref="N24" si="51">+N23</f>
        <v>0</v>
      </c>
      <c r="O24" s="233">
        <f>+O23</f>
        <v>0</v>
      </c>
      <c r="P24" s="214">
        <f t="shared" ref="P24" si="52">+P23</f>
        <v>0</v>
      </c>
      <c r="Q24" s="493">
        <f t="shared" ref="Q24" si="53">+Q23</f>
        <v>0</v>
      </c>
      <c r="R24" s="214">
        <f>+R23</f>
        <v>0</v>
      </c>
      <c r="S24" s="214">
        <f t="shared" ref="S24" si="54">+S23</f>
        <v>0</v>
      </c>
      <c r="T24" s="643">
        <f t="shared" ref="T24" si="55">+T23</f>
        <v>0</v>
      </c>
      <c r="U24" s="233">
        <f>+U23</f>
        <v>0</v>
      </c>
      <c r="V24" s="214">
        <f t="shared" ref="V24" si="56">+V23</f>
        <v>0</v>
      </c>
      <c r="W24" s="645">
        <f t="shared" ref="W24" si="57">+W23</f>
        <v>0</v>
      </c>
      <c r="X24" s="208">
        <f>+X23</f>
        <v>0</v>
      </c>
      <c r="Y24" s="212">
        <f t="shared" ref="Y24:Z24" si="58">+Y23</f>
        <v>0</v>
      </c>
      <c r="Z24" s="213">
        <f t="shared" si="58"/>
        <v>0</v>
      </c>
    </row>
    <row r="25" spans="1:29" ht="13.5" customHeight="1">
      <c r="A25" s="116" t="s">
        <v>186</v>
      </c>
      <c r="B25" s="124" t="s">
        <v>146</v>
      </c>
      <c r="C25" s="169"/>
      <c r="D25" s="167"/>
      <c r="E25" s="170"/>
      <c r="F25" s="166"/>
      <c r="G25" s="167"/>
      <c r="H25" s="168"/>
      <c r="I25" s="169"/>
      <c r="J25" s="167"/>
      <c r="K25" s="170"/>
      <c r="L25" s="166"/>
      <c r="M25" s="167"/>
      <c r="N25" s="168"/>
      <c r="O25" s="169"/>
      <c r="P25" s="167"/>
      <c r="Q25" s="170"/>
      <c r="R25" s="166"/>
      <c r="S25" s="167"/>
      <c r="T25" s="168"/>
      <c r="U25" s="169"/>
      <c r="V25" s="167"/>
      <c r="W25" s="172"/>
      <c r="X25" s="171"/>
      <c r="Y25" s="167"/>
      <c r="Z25" s="172"/>
    </row>
    <row r="26" spans="1:29" s="235" customFormat="1" ht="13.5" customHeight="1">
      <c r="A26" s="95" t="s">
        <v>187</v>
      </c>
      <c r="B26" s="94" t="s">
        <v>305</v>
      </c>
      <c r="C26" s="233">
        <f t="shared" ref="C26:X26" si="59">+C25</f>
        <v>0</v>
      </c>
      <c r="D26" s="214">
        <f t="shared" si="59"/>
        <v>0</v>
      </c>
      <c r="E26" s="493">
        <f t="shared" si="59"/>
        <v>0</v>
      </c>
      <c r="F26" s="214">
        <f t="shared" ref="F26:G26" si="60">+F25</f>
        <v>0</v>
      </c>
      <c r="G26" s="214">
        <f t="shared" si="60"/>
        <v>0</v>
      </c>
      <c r="H26" s="643">
        <f t="shared" ref="H26:J26" si="61">+H25</f>
        <v>0</v>
      </c>
      <c r="I26" s="233">
        <f t="shared" si="61"/>
        <v>0</v>
      </c>
      <c r="J26" s="214">
        <f t="shared" si="61"/>
        <v>0</v>
      </c>
      <c r="K26" s="493">
        <f t="shared" ref="K26:M26" si="62">+K25</f>
        <v>0</v>
      </c>
      <c r="L26" s="214">
        <f t="shared" si="62"/>
        <v>0</v>
      </c>
      <c r="M26" s="214">
        <f t="shared" si="62"/>
        <v>0</v>
      </c>
      <c r="N26" s="643">
        <f t="shared" ref="N26:P26" si="63">+N25</f>
        <v>0</v>
      </c>
      <c r="O26" s="233">
        <f t="shared" si="63"/>
        <v>0</v>
      </c>
      <c r="P26" s="214">
        <f t="shared" si="63"/>
        <v>0</v>
      </c>
      <c r="Q26" s="493">
        <f t="shared" ref="Q26:S26" si="64">+Q25</f>
        <v>0</v>
      </c>
      <c r="R26" s="214">
        <f t="shared" si="64"/>
        <v>0</v>
      </c>
      <c r="S26" s="214">
        <f t="shared" si="64"/>
        <v>0</v>
      </c>
      <c r="T26" s="643">
        <f t="shared" ref="T26:V26" si="65">+T25</f>
        <v>0</v>
      </c>
      <c r="U26" s="233">
        <f t="shared" si="65"/>
        <v>0</v>
      </c>
      <c r="V26" s="214">
        <f t="shared" si="65"/>
        <v>0</v>
      </c>
      <c r="W26" s="645">
        <f t="shared" ref="W26" si="66">+W25</f>
        <v>0</v>
      </c>
      <c r="X26" s="208">
        <f t="shared" si="59"/>
        <v>0</v>
      </c>
      <c r="Y26" s="212">
        <f t="shared" ref="Y26:Z26" si="67">+Y25</f>
        <v>0</v>
      </c>
      <c r="Z26" s="213">
        <f t="shared" si="67"/>
        <v>0</v>
      </c>
    </row>
    <row r="27" spans="1:29" s="235" customFormat="1" ht="13.5" customHeight="1">
      <c r="A27" s="95" t="s">
        <v>188</v>
      </c>
      <c r="B27" s="94" t="s">
        <v>147</v>
      </c>
      <c r="C27" s="233">
        <f>+C7+C11+C21+C22+C24+C26</f>
        <v>2300</v>
      </c>
      <c r="D27" s="214">
        <f t="shared" ref="D27:E27" si="68">+D7+D11+D21+D22+D24+D26</f>
        <v>2300</v>
      </c>
      <c r="E27" s="493">
        <f t="shared" si="68"/>
        <v>1128</v>
      </c>
      <c r="F27" s="214">
        <f>+F7+F11+F21+F22+F24+F26</f>
        <v>0</v>
      </c>
      <c r="G27" s="214">
        <f t="shared" ref="G27" si="69">+G7+G11+G21+G22+G24+G26</f>
        <v>222</v>
      </c>
      <c r="H27" s="643">
        <f t="shared" ref="H27" si="70">+H7+H11+H21+H22+H24+H26</f>
        <v>211</v>
      </c>
      <c r="I27" s="233">
        <f>+I7+I11+I21+I22+I24+I26</f>
        <v>1700</v>
      </c>
      <c r="J27" s="214">
        <f t="shared" ref="J27" si="71">+J7+J11+J21+J22+J24+J26</f>
        <v>1704</v>
      </c>
      <c r="K27" s="493">
        <f t="shared" ref="K27" si="72">+K7+K11+K21+K22+K24+K26</f>
        <v>1217</v>
      </c>
      <c r="L27" s="214">
        <f>+L7+L11+L21+L22+L24+L26</f>
        <v>0</v>
      </c>
      <c r="M27" s="214">
        <f t="shared" ref="M27" si="73">+M7+M11+M21+M22+M24+M26</f>
        <v>1</v>
      </c>
      <c r="N27" s="643">
        <f t="shared" ref="N27" si="74">+N7+N11+N21+N22+N24+N26</f>
        <v>1</v>
      </c>
      <c r="O27" s="233">
        <f>+O7+O11+O21+O22+O24+O26</f>
        <v>1400</v>
      </c>
      <c r="P27" s="214">
        <f t="shared" ref="P27" si="75">+P7+P11+P21+P22+P24+P26</f>
        <v>1616</v>
      </c>
      <c r="Q27" s="493">
        <f t="shared" ref="Q27" si="76">+Q7+Q11+Q21+Q22+Q24+Q26</f>
        <v>1148</v>
      </c>
      <c r="R27" s="214">
        <f>+R7+R11+R21+R22+R24+R26</f>
        <v>800</v>
      </c>
      <c r="S27" s="214">
        <f t="shared" ref="S27" si="77">+S7+S11+S21+S22+S24+S26</f>
        <v>800</v>
      </c>
      <c r="T27" s="643">
        <f t="shared" ref="T27" si="78">+T7+T11+T21+T22+T24+T26</f>
        <v>585</v>
      </c>
      <c r="U27" s="233">
        <f>+U7+U11+U21+U22+U24+U26</f>
        <v>2691</v>
      </c>
      <c r="V27" s="214">
        <f t="shared" ref="V27" si="79">+V7+V11+V21+V22+V24+V26</f>
        <v>2691</v>
      </c>
      <c r="W27" s="645">
        <f t="shared" ref="W27" si="80">+W7+W11+W21+W22+W24+W26</f>
        <v>1635</v>
      </c>
      <c r="X27" s="208">
        <f>+X7+X11+X21+X22+X24+X26</f>
        <v>8891</v>
      </c>
      <c r="Y27" s="212">
        <f t="shared" ref="Y27:Z27" si="81">+Y7+Y11+Y21+Y22+Y24+Y26</f>
        <v>9334</v>
      </c>
      <c r="Z27" s="213">
        <f t="shared" si="81"/>
        <v>5925</v>
      </c>
    </row>
    <row r="28" spans="1:29" s="235" customFormat="1" ht="13.5" customHeight="1">
      <c r="A28" s="173" t="s">
        <v>189</v>
      </c>
      <c r="B28" s="94" t="s">
        <v>148</v>
      </c>
      <c r="C28" s="233"/>
      <c r="D28" s="850">
        <f>+'[4]3.SZ.TÁBL. SEGÍTŐ SZOLGÁLAT'!$E28</f>
        <v>68</v>
      </c>
      <c r="E28" s="234">
        <v>68</v>
      </c>
      <c r="F28" s="214"/>
      <c r="G28" s="850">
        <f>+'[4]3.SZ.TÁBL. SEGÍTŐ SZOLGÁLAT'!$H28</f>
        <v>83</v>
      </c>
      <c r="H28" s="215">
        <v>83</v>
      </c>
      <c r="I28" s="233"/>
      <c r="J28" s="850">
        <f>+'[4]3.SZ.TÁBL. SEGÍTŐ SZOLGÁLAT'!$K28</f>
        <v>53</v>
      </c>
      <c r="K28" s="234">
        <v>53</v>
      </c>
      <c r="L28" s="214"/>
      <c r="M28" s="850">
        <f>+'[4]3.SZ.TÁBL. SEGÍTŐ SZOLGÁLAT'!$N28</f>
        <v>83</v>
      </c>
      <c r="N28" s="215">
        <v>83</v>
      </c>
      <c r="O28" s="233"/>
      <c r="P28" s="850">
        <f>+'[4]3.SZ.TÁBL. SEGÍTŐ SZOLGÁLAT'!$Q28</f>
        <v>53</v>
      </c>
      <c r="Q28" s="234">
        <v>53</v>
      </c>
      <c r="R28" s="214"/>
      <c r="S28" s="850">
        <f>+'[4]3.SZ.TÁBL. SEGÍTŐ SZOLGÁLAT'!$T28</f>
        <v>0</v>
      </c>
      <c r="T28" s="215"/>
      <c r="U28" s="233"/>
      <c r="V28" s="850">
        <f>+'[4]3.SZ.TÁBL. SEGÍTŐ SZOLGÁLAT'!$W28</f>
        <v>5</v>
      </c>
      <c r="W28" s="213">
        <v>5</v>
      </c>
      <c r="X28" s="666">
        <f>+C28+F28+I28+L28+O28+R28+U28</f>
        <v>0</v>
      </c>
      <c r="Y28" s="667">
        <f t="shared" ref="Y28" si="82">+D28+G28+J28+M28+P28+S28+V28</f>
        <v>345</v>
      </c>
      <c r="Z28" s="668">
        <f t="shared" ref="Z28" si="83">+E28+H28+K28+N28+Q28+T28+W28</f>
        <v>345</v>
      </c>
    </row>
    <row r="29" spans="1:29" s="235" customFormat="1" ht="13.5" customHeight="1">
      <c r="A29" s="173" t="s">
        <v>302</v>
      </c>
      <c r="B29" s="94" t="s">
        <v>303</v>
      </c>
      <c r="C29" s="233">
        <f t="shared" ref="C29:Z29" si="84">+SUM(C30:C31)+SUM(C39:C39)</f>
        <v>4237</v>
      </c>
      <c r="D29" s="214">
        <f t="shared" si="84"/>
        <v>4526</v>
      </c>
      <c r="E29" s="493">
        <f t="shared" si="84"/>
        <v>3454</v>
      </c>
      <c r="F29" s="214">
        <f t="shared" si="84"/>
        <v>19709</v>
      </c>
      <c r="G29" s="214">
        <f t="shared" ref="G29" si="85">+SUM(G30:G31)+SUM(G39:G39)</f>
        <v>21901</v>
      </c>
      <c r="H29" s="643">
        <f t="shared" si="84"/>
        <v>15271</v>
      </c>
      <c r="I29" s="233">
        <f t="shared" si="84"/>
        <v>27965</v>
      </c>
      <c r="J29" s="214">
        <f t="shared" si="84"/>
        <v>31221</v>
      </c>
      <c r="K29" s="493">
        <f t="shared" si="84"/>
        <v>23139</v>
      </c>
      <c r="L29" s="214">
        <f t="shared" si="84"/>
        <v>13798</v>
      </c>
      <c r="M29" s="214">
        <f t="shared" ref="M29" si="86">+SUM(M30:M31)+SUM(M39:M39)</f>
        <v>15410</v>
      </c>
      <c r="N29" s="643">
        <f t="shared" si="84"/>
        <v>11282</v>
      </c>
      <c r="O29" s="233">
        <f t="shared" si="84"/>
        <v>11417</v>
      </c>
      <c r="P29" s="214">
        <f t="shared" si="84"/>
        <v>12562</v>
      </c>
      <c r="Q29" s="493">
        <f t="shared" si="84"/>
        <v>9397</v>
      </c>
      <c r="R29" s="214">
        <f t="shared" si="84"/>
        <v>4232</v>
      </c>
      <c r="S29" s="214">
        <f t="shared" ref="S29" si="87">+SUM(S30:S31)+SUM(S39:S39)</f>
        <v>4861</v>
      </c>
      <c r="T29" s="643">
        <f t="shared" si="84"/>
        <v>3386</v>
      </c>
      <c r="U29" s="233">
        <f t="shared" si="84"/>
        <v>1395</v>
      </c>
      <c r="V29" s="214">
        <f t="shared" si="84"/>
        <v>1783</v>
      </c>
      <c r="W29" s="645">
        <f t="shared" si="84"/>
        <v>1391</v>
      </c>
      <c r="X29" s="208">
        <f t="shared" si="84"/>
        <v>82753</v>
      </c>
      <c r="Y29" s="212">
        <f t="shared" si="84"/>
        <v>92264</v>
      </c>
      <c r="Z29" s="213">
        <f t="shared" si="84"/>
        <v>67320</v>
      </c>
      <c r="AA29" s="2"/>
      <c r="AB29" s="290"/>
      <c r="AC29" s="290"/>
    </row>
    <row r="30" spans="1:29" ht="13.5" customHeight="1">
      <c r="A30" s="194"/>
      <c r="B30" s="120" t="s">
        <v>334</v>
      </c>
      <c r="C30" s="141">
        <f>+'[5]3.SZ.TÁBL. SEGÍTŐ SZOLGÁLAT'!$C30</f>
        <v>1635</v>
      </c>
      <c r="D30" s="137">
        <f>+'[4]3.SZ.TÁBL. SEGÍTŐ SZOLGÁLAT'!$E30</f>
        <v>1924</v>
      </c>
      <c r="E30" s="142">
        <f>+'6.SZ.TÁBL. SZOCIÁLIS NORMATÍVA'!G8+'6.SZ.TÁBL. SZOCIÁLIS NORMATÍVA'!G18+'6.SZ.TÁBL. SZOCIÁLIS NORMATÍVA'!G28+'6.SZ.TÁBL. SZOCIÁLIS NORMATÍVA'!G38</f>
        <v>1472</v>
      </c>
      <c r="F30" s="139">
        <f>+'[5]3.SZ.TÁBL. SEGÍTŐ SZOLGÁLAT'!$F30</f>
        <v>11815</v>
      </c>
      <c r="G30" s="137">
        <f>+'[4]3.SZ.TÁBL. SEGÍTŐ SZOLGÁLAT'!$H30</f>
        <v>14007</v>
      </c>
      <c r="H30" s="140">
        <f>+'6.SZ.TÁBL. SZOCIÁLIS NORMATÍVA'!G5+'6.SZ.TÁBL. SZOCIÁLIS NORMATÍVA'!G6+'6.SZ.TÁBL. SZOCIÁLIS NORMATÍVA'!G20+'6.SZ.TÁBL. SZOCIÁLIS NORMATÍVA'!G30+'6.SZ.TÁBL. SZOCIÁLIS NORMATÍVA'!G40</f>
        <v>10803</v>
      </c>
      <c r="I30" s="141">
        <f>+'[5]3.SZ.TÁBL. SEGÍTŐ SZOLGÁLAT'!$I30</f>
        <v>22431</v>
      </c>
      <c r="J30" s="137">
        <f>+'[4]3.SZ.TÁBL. SEGÍTŐ SZOLGÁLAT'!$K30</f>
        <v>25687</v>
      </c>
      <c r="K30" s="142">
        <f>+'6.SZ.TÁBL. SZOCIÁLIS NORMATÍVA'!G7+'6.SZ.TÁBL. SZOCIÁLIS NORMATÍVA'!G21+'6.SZ.TÁBL. SZOCIÁLIS NORMATÍVA'!G31+'6.SZ.TÁBL. SZOCIÁLIS NORMATÍVA'!G41</f>
        <v>19794</v>
      </c>
      <c r="L30" s="139">
        <f>+'[5]3.SZ.TÁBL. SEGÍTŐ SZOLGÁLAT'!$L30</f>
        <v>12980</v>
      </c>
      <c r="M30" s="137">
        <f>+'[4]3.SZ.TÁBL. SEGÍTŐ SZOLGÁLAT'!$N30</f>
        <v>14592</v>
      </c>
      <c r="N30" s="140">
        <f>+'6.SZ.TÁBL. SZOCIÁLIS NORMATÍVA'!G3+'6.SZ.TÁBL. SZOCIÁLIS NORMATÍVA'!G4+'6.SZ.TÁBL. SZOCIÁLIS NORMATÍVA'!G22+'6.SZ.TÁBL. SZOCIÁLIS NORMATÍVA'!G32+'6.SZ.TÁBL. SZOCIÁLIS NORMATÍVA'!G42</f>
        <v>11282</v>
      </c>
      <c r="O30" s="141">
        <f>+'[5]3.SZ.TÁBL. SEGÍTŐ SZOLGÁLAT'!$O30</f>
        <v>8550</v>
      </c>
      <c r="P30" s="137">
        <f>+'[4]3.SZ.TÁBL. SEGÍTŐ SZOLGÁLAT'!$Q30</f>
        <v>9695</v>
      </c>
      <c r="Q30" s="142">
        <f>+'6.SZ.TÁBL. SZOCIÁLIS NORMATÍVA'!G14+'6.SZ.TÁBL. SZOCIÁLIS NORMATÍVA'!G23+'6.SZ.TÁBL. SZOCIÁLIS NORMATÍVA'!G33+'6.SZ.TÁBL. SZOCIÁLIS NORMATÍVA'!G43</f>
        <v>8141</v>
      </c>
      <c r="R30" s="139">
        <f>+'[5]3.SZ.TÁBL. SEGÍTŐ SZOLGÁLAT'!$R30</f>
        <v>2500</v>
      </c>
      <c r="S30" s="137">
        <f>+'[4]3.SZ.TÁBL. SEGÍTŐ SZOLGÁLAT'!$T30</f>
        <v>2698</v>
      </c>
      <c r="T30" s="140">
        <f>+'6.SZ.TÁBL. SZOCIÁLIS NORMATÍVA'!G9+'6.SZ.TÁBL. SZOCIÁLIS NORMATÍVA'!G24+'6.SZ.TÁBL. SZOCIÁLIS NORMATÍVA'!G34+'6.SZ.TÁBL. SZOCIÁLIS NORMATÍVA'!G44</f>
        <v>2086</v>
      </c>
      <c r="U30" s="141">
        <f>+'[5]3.SZ.TÁBL. SEGÍTŐ SZOLGÁLAT'!$U30</f>
        <v>1395</v>
      </c>
      <c r="V30" s="137">
        <f>+'[4]3.SZ.TÁBL. SEGÍTŐ SZOLGÁLAT'!$W30</f>
        <v>1783</v>
      </c>
      <c r="W30" s="138">
        <f>+'6.SZ.TÁBL. SZOCIÁLIS NORMATÍVA'!G10+'6.SZ.TÁBL. SZOCIÁLIS NORMATÍVA'!G19+'6.SZ.TÁBL. SZOCIÁLIS NORMATÍVA'!G29+'6.SZ.TÁBL. SZOCIÁLIS NORMATÍVA'!G39</f>
        <v>1391</v>
      </c>
      <c r="X30" s="192">
        <f>+C30+F30+I30+L30+O30+R30+U30</f>
        <v>61306</v>
      </c>
      <c r="Y30" s="191">
        <f t="shared" ref="Y30:Z30" si="88">+D30+G30+J30+M30+P30+S30+V30</f>
        <v>70386</v>
      </c>
      <c r="Z30" s="193">
        <f t="shared" si="88"/>
        <v>54969</v>
      </c>
    </row>
    <row r="31" spans="1:29" ht="13.5" customHeight="1">
      <c r="A31" s="195"/>
      <c r="B31" s="121" t="s">
        <v>335</v>
      </c>
      <c r="C31" s="141">
        <f t="shared" ref="C31:X31" si="89">+SUM(C32:C38)</f>
        <v>2602</v>
      </c>
      <c r="D31" s="137">
        <f t="shared" si="89"/>
        <v>2602</v>
      </c>
      <c r="E31" s="142">
        <f t="shared" si="89"/>
        <v>1982</v>
      </c>
      <c r="F31" s="139">
        <f t="shared" ref="F31" si="90">+SUM(F32:F38)</f>
        <v>7894</v>
      </c>
      <c r="G31" s="137">
        <f t="shared" ref="G31" si="91">+SUM(G32:G38)</f>
        <v>7894</v>
      </c>
      <c r="H31" s="140">
        <f t="shared" si="89"/>
        <v>5337</v>
      </c>
      <c r="I31" s="141">
        <f t="shared" si="89"/>
        <v>5534</v>
      </c>
      <c r="J31" s="137">
        <f t="shared" si="89"/>
        <v>5534</v>
      </c>
      <c r="K31" s="142">
        <f t="shared" si="89"/>
        <v>3742</v>
      </c>
      <c r="L31" s="139">
        <f t="shared" ref="L31" si="92">+SUM(L32:L38)</f>
        <v>818</v>
      </c>
      <c r="M31" s="137">
        <f t="shared" ref="M31" si="93">+SUM(M32:M38)</f>
        <v>818</v>
      </c>
      <c r="N31" s="140">
        <f t="shared" si="89"/>
        <v>552</v>
      </c>
      <c r="O31" s="141">
        <f t="shared" si="89"/>
        <v>2867</v>
      </c>
      <c r="P31" s="137">
        <f t="shared" si="89"/>
        <v>2867</v>
      </c>
      <c r="Q31" s="142">
        <f t="shared" si="89"/>
        <v>1905</v>
      </c>
      <c r="R31" s="139">
        <f t="shared" ref="R31" si="94">+SUM(R32:R38)</f>
        <v>1732</v>
      </c>
      <c r="S31" s="137">
        <f t="shared" ref="S31" si="95">+SUM(S32:S38)</f>
        <v>2163</v>
      </c>
      <c r="T31" s="140">
        <f t="shared" si="89"/>
        <v>1300</v>
      </c>
      <c r="U31" s="141">
        <f t="shared" si="89"/>
        <v>0</v>
      </c>
      <c r="V31" s="137">
        <f t="shared" si="89"/>
        <v>0</v>
      </c>
      <c r="W31" s="138">
        <f t="shared" si="89"/>
        <v>0</v>
      </c>
      <c r="X31" s="143">
        <f t="shared" si="89"/>
        <v>21447</v>
      </c>
      <c r="Y31" s="137">
        <f t="shared" ref="Y31:Z31" si="96">+SUM(Y32:Y38)</f>
        <v>21878</v>
      </c>
      <c r="Z31" s="138">
        <f t="shared" si="96"/>
        <v>14818</v>
      </c>
    </row>
    <row r="32" spans="1:29" s="202" customFormat="1" ht="13.5" customHeight="1">
      <c r="A32" s="196"/>
      <c r="B32" s="294" t="s">
        <v>4</v>
      </c>
      <c r="C32" s="199">
        <f>+'[5]3.SZ.TÁBL. SEGÍTŐ SZOLGÁLAT'!$C32</f>
        <v>260</v>
      </c>
      <c r="D32" s="137">
        <f>+'[4]3.SZ.TÁBL. SEGÍTŐ SZOLGÁLAT'!$E32</f>
        <v>260</v>
      </c>
      <c r="E32" s="142">
        <v>195</v>
      </c>
      <c r="F32" s="197">
        <f>+'[5]3.SZ.TÁBL. SEGÍTŐ SZOLGÁLAT'!$F32</f>
        <v>1160</v>
      </c>
      <c r="G32" s="137">
        <f>+'[4]3.SZ.TÁBL. SEGÍTŐ SZOLGÁLAT'!$H32</f>
        <v>1160</v>
      </c>
      <c r="H32" s="140">
        <v>870</v>
      </c>
      <c r="I32" s="199">
        <f>+'[5]3.SZ.TÁBL. SEGÍTŐ SZOLGÁLAT'!$I32</f>
        <v>813</v>
      </c>
      <c r="J32" s="137">
        <f>+'[4]3.SZ.TÁBL. SEGÍTŐ SZOLGÁLAT'!$K32</f>
        <v>813</v>
      </c>
      <c r="K32" s="142">
        <v>610</v>
      </c>
      <c r="L32" s="197">
        <f>+'[5]3.SZ.TÁBL. SEGÍTŐ SZOLGÁLAT'!$L32</f>
        <v>120</v>
      </c>
      <c r="M32" s="137">
        <f>+'[4]3.SZ.TÁBL. SEGÍTŐ SZOLGÁLAT'!$N32</f>
        <v>120</v>
      </c>
      <c r="N32" s="140">
        <v>90</v>
      </c>
      <c r="O32" s="199">
        <f>+'[5]3.SZ.TÁBL. SEGÍTŐ SZOLGÁLAT'!$O32</f>
        <v>487</v>
      </c>
      <c r="P32" s="137">
        <f>+'[4]3.SZ.TÁBL. SEGÍTŐ SZOLGÁLAT'!$Q32</f>
        <v>487</v>
      </c>
      <c r="Q32" s="142">
        <v>366</v>
      </c>
      <c r="R32" s="197">
        <f>+'[5]3.SZ.TÁBL. SEGÍTŐ SZOLGÁLAT'!$R32</f>
        <v>1732</v>
      </c>
      <c r="S32" s="137">
        <f>+'[4]3.SZ.TÁBL. SEGÍTŐ SZOLGÁLAT'!$T32</f>
        <v>2163</v>
      </c>
      <c r="T32" s="140">
        <v>1300</v>
      </c>
      <c r="U32" s="199">
        <f>+'[5]3.SZ.TÁBL. SEGÍTŐ SZOLGÁLAT'!$U32</f>
        <v>0</v>
      </c>
      <c r="V32" s="137">
        <f>+'[4]3.SZ.TÁBL. SEGÍTŐ SZOLGÁLAT'!$W32</f>
        <v>0</v>
      </c>
      <c r="W32" s="138"/>
      <c r="X32" s="200">
        <f t="shared" ref="X32:X38" si="97">+C32+F32+I32+L32+O32+R32+U32</f>
        <v>4572</v>
      </c>
      <c r="Y32" s="198">
        <f t="shared" ref="Y32:Y38" si="98">+D32+G32+J32+M32+P32+S32+V32</f>
        <v>5003</v>
      </c>
      <c r="Z32" s="201">
        <f t="shared" ref="Z32:Z38" si="99">+E32+H32+K32+N32+Q32+T32+W32</f>
        <v>3431</v>
      </c>
    </row>
    <row r="33" spans="1:26" s="202" customFormat="1" ht="13.5" customHeight="1">
      <c r="A33" s="196"/>
      <c r="B33" s="294" t="s">
        <v>6</v>
      </c>
      <c r="C33" s="199">
        <f>+'[5]3.SZ.TÁBL. SEGÍTŐ SZOLGÁLAT'!$C33</f>
        <v>0</v>
      </c>
      <c r="D33" s="137">
        <f>+'[4]3.SZ.TÁBL. SEGÍTŐ SZOLGÁLAT'!$E33</f>
        <v>0</v>
      </c>
      <c r="E33" s="142"/>
      <c r="F33" s="197">
        <f>+'[5]3.SZ.TÁBL. SEGÍTŐ SZOLGÁLAT'!$F33</f>
        <v>527</v>
      </c>
      <c r="G33" s="137">
        <f>+'[4]3.SZ.TÁBL. SEGÍTŐ SZOLGÁLAT'!$H33</f>
        <v>527</v>
      </c>
      <c r="H33" s="140">
        <v>415</v>
      </c>
      <c r="I33" s="199">
        <f>+'[5]3.SZ.TÁBL. SEGÍTŐ SZOLGÁLAT'!$I33</f>
        <v>369</v>
      </c>
      <c r="J33" s="137">
        <f>+'[4]3.SZ.TÁBL. SEGÍTŐ SZOLGÁLAT'!$K33</f>
        <v>369</v>
      </c>
      <c r="K33" s="142">
        <v>290</v>
      </c>
      <c r="L33" s="197">
        <f>+'[5]3.SZ.TÁBL. SEGÍTŐ SZOLGÁLAT'!$L33</f>
        <v>55</v>
      </c>
      <c r="M33" s="137">
        <f>+'[4]3.SZ.TÁBL. SEGÍTŐ SZOLGÁLAT'!$N33</f>
        <v>55</v>
      </c>
      <c r="N33" s="140">
        <v>43</v>
      </c>
      <c r="O33" s="199">
        <f>+'[5]3.SZ.TÁBL. SEGÍTŐ SZOLGÁLAT'!$O33</f>
        <v>221</v>
      </c>
      <c r="P33" s="137">
        <f>+'[4]3.SZ.TÁBL. SEGÍTŐ SZOLGÁLAT'!$Q33</f>
        <v>221</v>
      </c>
      <c r="Q33" s="142">
        <v>174</v>
      </c>
      <c r="R33" s="197">
        <f>+'[5]3.SZ.TÁBL. SEGÍTŐ SZOLGÁLAT'!$R33</f>
        <v>0</v>
      </c>
      <c r="S33" s="137">
        <f>+'[4]3.SZ.TÁBL. SEGÍTŐ SZOLGÁLAT'!$T33</f>
        <v>0</v>
      </c>
      <c r="T33" s="140"/>
      <c r="U33" s="199">
        <f>+'[5]3.SZ.TÁBL. SEGÍTŐ SZOLGÁLAT'!$U33</f>
        <v>0</v>
      </c>
      <c r="V33" s="137">
        <f>+'[4]3.SZ.TÁBL. SEGÍTŐ SZOLGÁLAT'!$W33</f>
        <v>0</v>
      </c>
      <c r="W33" s="138"/>
      <c r="X33" s="200">
        <f t="shared" si="97"/>
        <v>1172</v>
      </c>
      <c r="Y33" s="198">
        <f t="shared" si="98"/>
        <v>1172</v>
      </c>
      <c r="Z33" s="201">
        <f t="shared" si="99"/>
        <v>922</v>
      </c>
    </row>
    <row r="34" spans="1:26" s="202" customFormat="1" ht="13.5" customHeight="1">
      <c r="A34" s="196"/>
      <c r="B34" s="294" t="s">
        <v>7</v>
      </c>
      <c r="C34" s="199">
        <f>+'[5]3.SZ.TÁBL. SEGÍTŐ SZOLGÁLAT'!$C34</f>
        <v>260</v>
      </c>
      <c r="D34" s="137">
        <f>+'[4]3.SZ.TÁBL. SEGÍTŐ SZOLGÁLAT'!$E34</f>
        <v>260</v>
      </c>
      <c r="E34" s="142">
        <v>195</v>
      </c>
      <c r="F34" s="197">
        <f>+'[5]3.SZ.TÁBL. SEGÍTŐ SZOLGÁLAT'!$F34</f>
        <v>454</v>
      </c>
      <c r="G34" s="137">
        <f>+'[4]3.SZ.TÁBL. SEGÍTŐ SZOLGÁLAT'!$H34</f>
        <v>454</v>
      </c>
      <c r="H34" s="140">
        <v>340</v>
      </c>
      <c r="I34" s="199">
        <f>+'[5]3.SZ.TÁBL. SEGÍTŐ SZOLGÁLAT'!$I34</f>
        <v>319</v>
      </c>
      <c r="J34" s="137">
        <f>+'[4]3.SZ.TÁBL. SEGÍTŐ SZOLGÁLAT'!$K34</f>
        <v>319</v>
      </c>
      <c r="K34" s="142">
        <v>240</v>
      </c>
      <c r="L34" s="197">
        <f>+'[5]3.SZ.TÁBL. SEGÍTŐ SZOLGÁLAT'!$L34</f>
        <v>47</v>
      </c>
      <c r="M34" s="137">
        <f>+'[4]3.SZ.TÁBL. SEGÍTŐ SZOLGÁLAT'!$N34</f>
        <v>47</v>
      </c>
      <c r="N34" s="140">
        <v>35</v>
      </c>
      <c r="O34" s="199">
        <f>+'[5]3.SZ.TÁBL. SEGÍTŐ SZOLGÁLAT'!$O34</f>
        <v>191</v>
      </c>
      <c r="P34" s="137">
        <f>+'[4]3.SZ.TÁBL. SEGÍTŐ SZOLGÁLAT'!$Q34</f>
        <v>191</v>
      </c>
      <c r="Q34" s="142">
        <v>143</v>
      </c>
      <c r="R34" s="197">
        <f>+'[5]3.SZ.TÁBL. SEGÍTŐ SZOLGÁLAT'!$R34</f>
        <v>0</v>
      </c>
      <c r="S34" s="137">
        <f>+'[4]3.SZ.TÁBL. SEGÍTŐ SZOLGÁLAT'!$T34</f>
        <v>0</v>
      </c>
      <c r="T34" s="140"/>
      <c r="U34" s="199">
        <f>+'[5]3.SZ.TÁBL. SEGÍTŐ SZOLGÁLAT'!$U34</f>
        <v>0</v>
      </c>
      <c r="V34" s="137">
        <f>+'[4]3.SZ.TÁBL. SEGÍTŐ SZOLGÁLAT'!$W34</f>
        <v>0</v>
      </c>
      <c r="W34" s="138"/>
      <c r="X34" s="200">
        <f t="shared" si="97"/>
        <v>1271</v>
      </c>
      <c r="Y34" s="198">
        <f t="shared" si="98"/>
        <v>1271</v>
      </c>
      <c r="Z34" s="201">
        <f t="shared" si="99"/>
        <v>953</v>
      </c>
    </row>
    <row r="35" spans="1:26" s="202" customFormat="1" ht="13.5" customHeight="1">
      <c r="A35" s="196"/>
      <c r="B35" s="294" t="s">
        <v>8</v>
      </c>
      <c r="C35" s="199">
        <f>+'[5]3.SZ.TÁBL. SEGÍTŐ SZOLGÁLAT'!$C35</f>
        <v>1822</v>
      </c>
      <c r="D35" s="137">
        <f>+'[4]3.SZ.TÁBL. SEGÍTŐ SZOLGÁLAT'!$E35</f>
        <v>1822</v>
      </c>
      <c r="E35" s="142">
        <v>1549</v>
      </c>
      <c r="F35" s="197">
        <f>+'[5]3.SZ.TÁBL. SEGÍTŐ SZOLGÁLAT'!$F35</f>
        <v>2395</v>
      </c>
      <c r="G35" s="137">
        <f>+'[4]3.SZ.TÁBL. SEGÍTŐ SZOLGÁLAT'!$H35</f>
        <v>2395</v>
      </c>
      <c r="H35" s="140">
        <v>2036</v>
      </c>
      <c r="I35" s="199">
        <f>+'[5]3.SZ.TÁBL. SEGÍTŐ SZOLGÁLAT'!$I35</f>
        <v>1679</v>
      </c>
      <c r="J35" s="137">
        <f>+'[4]3.SZ.TÁBL. SEGÍTŐ SZOLGÁLAT'!$K35</f>
        <v>1679</v>
      </c>
      <c r="K35" s="142">
        <v>1427</v>
      </c>
      <c r="L35" s="197">
        <f>+'[5]3.SZ.TÁBL. SEGÍTŐ SZOLGÁLAT'!$L35</f>
        <v>248</v>
      </c>
      <c r="M35" s="137">
        <f>+'[4]3.SZ.TÁBL. SEGÍTŐ SZOLGÁLAT'!$N35</f>
        <v>248</v>
      </c>
      <c r="N35" s="140">
        <v>211</v>
      </c>
      <c r="O35" s="199">
        <f>+'[5]3.SZ.TÁBL. SEGÍTŐ SZOLGÁLAT'!$O35</f>
        <v>1005</v>
      </c>
      <c r="P35" s="137">
        <f>+'[4]3.SZ.TÁBL. SEGÍTŐ SZOLGÁLAT'!$Q35</f>
        <v>1005</v>
      </c>
      <c r="Q35" s="142">
        <v>854</v>
      </c>
      <c r="R35" s="197">
        <f>+'[5]3.SZ.TÁBL. SEGÍTŐ SZOLGÁLAT'!$R35</f>
        <v>0</v>
      </c>
      <c r="S35" s="137">
        <f>+'[4]3.SZ.TÁBL. SEGÍTŐ SZOLGÁLAT'!$T35</f>
        <v>0</v>
      </c>
      <c r="T35" s="140"/>
      <c r="U35" s="199">
        <f>+'[5]3.SZ.TÁBL. SEGÍTŐ SZOLGÁLAT'!$U35</f>
        <v>0</v>
      </c>
      <c r="V35" s="137">
        <f>+'[4]3.SZ.TÁBL. SEGÍTŐ SZOLGÁLAT'!$W35</f>
        <v>0</v>
      </c>
      <c r="W35" s="138"/>
      <c r="X35" s="200">
        <f t="shared" si="97"/>
        <v>7149</v>
      </c>
      <c r="Y35" s="198">
        <f t="shared" si="98"/>
        <v>7149</v>
      </c>
      <c r="Z35" s="201">
        <f t="shared" si="99"/>
        <v>6077</v>
      </c>
    </row>
    <row r="36" spans="1:26" s="202" customFormat="1" ht="13.5" customHeight="1">
      <c r="A36" s="196"/>
      <c r="B36" s="294" t="s">
        <v>9</v>
      </c>
      <c r="C36" s="199">
        <f>+'[5]3.SZ.TÁBL. SEGÍTŐ SZOLGÁLAT'!$C36</f>
        <v>260</v>
      </c>
      <c r="D36" s="137">
        <f>+'[4]3.SZ.TÁBL. SEGÍTŐ SZOLGÁLAT'!$E36</f>
        <v>260</v>
      </c>
      <c r="E36" s="142">
        <v>43</v>
      </c>
      <c r="F36" s="197">
        <f>+'[5]3.SZ.TÁBL. SEGÍTŐ SZOLGÁLAT'!$F36</f>
        <v>1436</v>
      </c>
      <c r="G36" s="137">
        <f>+'[4]3.SZ.TÁBL. SEGÍTŐ SZOLGÁLAT'!$H36</f>
        <v>1436</v>
      </c>
      <c r="H36" s="140">
        <v>234</v>
      </c>
      <c r="I36" s="199">
        <f>+'[5]3.SZ.TÁBL. SEGÍTŐ SZOLGÁLAT'!$I36</f>
        <v>1007</v>
      </c>
      <c r="J36" s="137">
        <f>+'[4]3.SZ.TÁBL. SEGÍTŐ SZOLGÁLAT'!$K36</f>
        <v>1007</v>
      </c>
      <c r="K36" s="142">
        <v>164</v>
      </c>
      <c r="L36" s="197">
        <f>+'[5]3.SZ.TÁBL. SEGÍTŐ SZOLGÁLAT'!$L36</f>
        <v>149</v>
      </c>
      <c r="M36" s="137">
        <f>+'[4]3.SZ.TÁBL. SEGÍTŐ SZOLGÁLAT'!$N36</f>
        <v>149</v>
      </c>
      <c r="N36" s="140">
        <v>24</v>
      </c>
      <c r="O36" s="199">
        <f>+'[5]3.SZ.TÁBL. SEGÍTŐ SZOLGÁLAT'!$O36</f>
        <v>603</v>
      </c>
      <c r="P36" s="137">
        <f>+'[4]3.SZ.TÁBL. SEGÍTŐ SZOLGÁLAT'!$Q36</f>
        <v>603</v>
      </c>
      <c r="Q36" s="142">
        <v>98</v>
      </c>
      <c r="R36" s="197">
        <f>+'[5]3.SZ.TÁBL. SEGÍTŐ SZOLGÁLAT'!$R36</f>
        <v>0</v>
      </c>
      <c r="S36" s="137">
        <f>+'[4]3.SZ.TÁBL. SEGÍTŐ SZOLGÁLAT'!$T36</f>
        <v>0</v>
      </c>
      <c r="T36" s="140"/>
      <c r="U36" s="199">
        <f>+'[5]3.SZ.TÁBL. SEGÍTŐ SZOLGÁLAT'!$U36</f>
        <v>0</v>
      </c>
      <c r="V36" s="137">
        <f>+'[4]3.SZ.TÁBL. SEGÍTŐ SZOLGÁLAT'!$W36</f>
        <v>0</v>
      </c>
      <c r="W36" s="138"/>
      <c r="X36" s="200">
        <f t="shared" si="97"/>
        <v>3455</v>
      </c>
      <c r="Y36" s="198">
        <f t="shared" si="98"/>
        <v>3455</v>
      </c>
      <c r="Z36" s="201">
        <f t="shared" si="99"/>
        <v>563</v>
      </c>
    </row>
    <row r="37" spans="1:26" s="202" customFormat="1" ht="13.5" customHeight="1">
      <c r="A37" s="196"/>
      <c r="B37" s="294" t="s">
        <v>10</v>
      </c>
      <c r="C37" s="199">
        <f>+'[5]3.SZ.TÁBL. SEGÍTŐ SZOLGÁLAT'!$C37</f>
        <v>0</v>
      </c>
      <c r="D37" s="137">
        <f>+'[4]3.SZ.TÁBL. SEGÍTŐ SZOLGÁLAT'!$E37</f>
        <v>0</v>
      </c>
      <c r="E37" s="142"/>
      <c r="F37" s="197">
        <f>+'[5]3.SZ.TÁBL. SEGÍTŐ SZOLGÁLAT'!$F37</f>
        <v>857</v>
      </c>
      <c r="G37" s="137">
        <f>+'[4]3.SZ.TÁBL. SEGÍTŐ SZOLGÁLAT'!$H37</f>
        <v>857</v>
      </c>
      <c r="H37" s="140">
        <v>643</v>
      </c>
      <c r="I37" s="199">
        <f>+'[5]3.SZ.TÁBL. SEGÍTŐ SZOLGÁLAT'!$I37</f>
        <v>601</v>
      </c>
      <c r="J37" s="137">
        <f>+'[4]3.SZ.TÁBL. SEGÍTŐ SZOLGÁLAT'!$K37</f>
        <v>601</v>
      </c>
      <c r="K37" s="142">
        <v>451</v>
      </c>
      <c r="L37" s="197">
        <f>+'[5]3.SZ.TÁBL. SEGÍTŐ SZOLGÁLAT'!$L37</f>
        <v>89</v>
      </c>
      <c r="M37" s="137">
        <f>+'[4]3.SZ.TÁBL. SEGÍTŐ SZOLGÁLAT'!$N37</f>
        <v>89</v>
      </c>
      <c r="N37" s="140">
        <v>66</v>
      </c>
      <c r="O37" s="199">
        <f>+'[5]3.SZ.TÁBL. SEGÍTŐ SZOLGÁLAT'!$O37</f>
        <v>360</v>
      </c>
      <c r="P37" s="137">
        <f>+'[4]3.SZ.TÁBL. SEGÍTŐ SZOLGÁLAT'!$Q37</f>
        <v>360</v>
      </c>
      <c r="Q37" s="142">
        <v>270</v>
      </c>
      <c r="R37" s="197">
        <f>+'[5]3.SZ.TÁBL. SEGÍTŐ SZOLGÁLAT'!$R37</f>
        <v>0</v>
      </c>
      <c r="S37" s="137">
        <f>+'[4]3.SZ.TÁBL. SEGÍTŐ SZOLGÁLAT'!$T37</f>
        <v>0</v>
      </c>
      <c r="T37" s="140"/>
      <c r="U37" s="199">
        <f>+'[5]3.SZ.TÁBL. SEGÍTŐ SZOLGÁLAT'!$U37</f>
        <v>0</v>
      </c>
      <c r="V37" s="137">
        <f>+'[4]3.SZ.TÁBL. SEGÍTŐ SZOLGÁLAT'!$W37</f>
        <v>0</v>
      </c>
      <c r="W37" s="138"/>
      <c r="X37" s="200">
        <f t="shared" si="97"/>
        <v>1907</v>
      </c>
      <c r="Y37" s="198">
        <f t="shared" si="98"/>
        <v>1907</v>
      </c>
      <c r="Z37" s="201">
        <f t="shared" si="99"/>
        <v>1430</v>
      </c>
    </row>
    <row r="38" spans="1:26" s="202" customFormat="1" ht="13.5" customHeight="1">
      <c r="A38" s="522"/>
      <c r="B38" s="295" t="s">
        <v>336</v>
      </c>
      <c r="C38" s="199">
        <f>+'[5]3.SZ.TÁBL. SEGÍTŐ SZOLGÁLAT'!$C38</f>
        <v>0</v>
      </c>
      <c r="D38" s="137">
        <f>+'[4]3.SZ.TÁBL. SEGÍTŐ SZOLGÁLAT'!$E38</f>
        <v>0</v>
      </c>
      <c r="E38" s="159"/>
      <c r="F38" s="197">
        <f>+'[5]3.SZ.TÁBL. SEGÍTŐ SZOLGÁLAT'!$F38</f>
        <v>1065</v>
      </c>
      <c r="G38" s="137">
        <f>+'[4]3.SZ.TÁBL. SEGÍTŐ SZOLGÁLAT'!$H38</f>
        <v>1065</v>
      </c>
      <c r="H38" s="157">
        <v>799</v>
      </c>
      <c r="I38" s="199">
        <f>+'[5]3.SZ.TÁBL. SEGÍTŐ SZOLGÁLAT'!$I38</f>
        <v>746</v>
      </c>
      <c r="J38" s="137">
        <f>+'[4]3.SZ.TÁBL. SEGÍTŐ SZOLGÁLAT'!$K38</f>
        <v>746</v>
      </c>
      <c r="K38" s="159">
        <v>560</v>
      </c>
      <c r="L38" s="197">
        <f>+'[5]3.SZ.TÁBL. SEGÍTŐ SZOLGÁLAT'!$L38</f>
        <v>110</v>
      </c>
      <c r="M38" s="137">
        <f>+'[4]3.SZ.TÁBL. SEGÍTŐ SZOLGÁLAT'!$N38</f>
        <v>110</v>
      </c>
      <c r="N38" s="157">
        <v>83</v>
      </c>
      <c r="O38" s="199">
        <f>+'[5]3.SZ.TÁBL. SEGÍTŐ SZOLGÁLAT'!$O38</f>
        <v>0</v>
      </c>
      <c r="P38" s="137">
        <f>+'[4]3.SZ.TÁBL. SEGÍTŐ SZOLGÁLAT'!$Q38</f>
        <v>0</v>
      </c>
      <c r="Q38" s="159"/>
      <c r="R38" s="197">
        <f>+'[5]3.SZ.TÁBL. SEGÍTŐ SZOLGÁLAT'!$R38</f>
        <v>0</v>
      </c>
      <c r="S38" s="137">
        <f>+'[4]3.SZ.TÁBL. SEGÍTŐ SZOLGÁLAT'!$T38</f>
        <v>0</v>
      </c>
      <c r="T38" s="157"/>
      <c r="U38" s="199">
        <f>+'[5]3.SZ.TÁBL. SEGÍTŐ SZOLGÁLAT'!$U38</f>
        <v>0</v>
      </c>
      <c r="V38" s="137">
        <f>+'[4]3.SZ.TÁBL. SEGÍTŐ SZOLGÁLAT'!$W38</f>
        <v>0</v>
      </c>
      <c r="W38" s="161"/>
      <c r="X38" s="209">
        <f t="shared" si="97"/>
        <v>1921</v>
      </c>
      <c r="Y38" s="210">
        <f t="shared" si="98"/>
        <v>1921</v>
      </c>
      <c r="Z38" s="211">
        <f t="shared" si="99"/>
        <v>1442</v>
      </c>
    </row>
    <row r="39" spans="1:26" s="202" customFormat="1" ht="13.5" customHeight="1">
      <c r="A39" s="522"/>
      <c r="B39" s="123" t="s">
        <v>513</v>
      </c>
      <c r="C39" s="661"/>
      <c r="D39" s="155"/>
      <c r="E39" s="662"/>
      <c r="F39" s="663"/>
      <c r="G39" s="155"/>
      <c r="H39" s="664">
        <v>-869</v>
      </c>
      <c r="I39" s="661"/>
      <c r="J39" s="155"/>
      <c r="K39" s="662">
        <v>-397</v>
      </c>
      <c r="L39" s="663"/>
      <c r="M39" s="155"/>
      <c r="N39" s="664">
        <v>-552</v>
      </c>
      <c r="O39" s="661"/>
      <c r="P39" s="155"/>
      <c r="Q39" s="662">
        <v>-649</v>
      </c>
      <c r="R39" s="663"/>
      <c r="S39" s="155"/>
      <c r="T39" s="664"/>
      <c r="U39" s="661"/>
      <c r="V39" s="155"/>
      <c r="W39" s="665"/>
      <c r="X39" s="160">
        <f>+C39+F39+I39+L39+O39+R39+U39</f>
        <v>0</v>
      </c>
      <c r="Y39" s="156">
        <f t="shared" ref="Y39" si="100">+D39+G39+J39+M39+P39+S39+V39</f>
        <v>0</v>
      </c>
      <c r="Z39" s="161">
        <f t="shared" ref="Z39" si="101">+E39+H39+K39+N39+Q39+T39+W39</f>
        <v>-2467</v>
      </c>
    </row>
    <row r="40" spans="1:26" s="235" customFormat="1" ht="13.5" customHeight="1" thickBot="1">
      <c r="A40" s="206" t="s">
        <v>190</v>
      </c>
      <c r="B40" s="207" t="s">
        <v>149</v>
      </c>
      <c r="C40" s="717">
        <f>SUM(C28:C29)</f>
        <v>4237</v>
      </c>
      <c r="D40" s="717">
        <f t="shared" ref="D40" si="102">SUM(D28:D29)</f>
        <v>4594</v>
      </c>
      <c r="E40" s="718">
        <f>SUM(E28:E29)</f>
        <v>3522</v>
      </c>
      <c r="F40" s="719">
        <f>SUM(F28:F29)</f>
        <v>19709</v>
      </c>
      <c r="G40" s="717">
        <f t="shared" ref="G40" si="103">SUM(G28:G29)</f>
        <v>21984</v>
      </c>
      <c r="H40" s="720">
        <f t="shared" ref="H40" si="104">SUM(H28:H29)</f>
        <v>15354</v>
      </c>
      <c r="I40" s="717">
        <f>SUM(I28:I29)</f>
        <v>27965</v>
      </c>
      <c r="J40" s="717">
        <f t="shared" ref="J40" si="105">SUM(J28:J29)</f>
        <v>31274</v>
      </c>
      <c r="K40" s="718">
        <f t="shared" ref="K40" si="106">SUM(K28:K29)</f>
        <v>23192</v>
      </c>
      <c r="L40" s="719">
        <f>SUM(L28:L29)</f>
        <v>13798</v>
      </c>
      <c r="M40" s="717">
        <f t="shared" ref="M40" si="107">SUM(M28:M29)</f>
        <v>15493</v>
      </c>
      <c r="N40" s="720">
        <f t="shared" ref="N40" si="108">SUM(N28:N29)</f>
        <v>11365</v>
      </c>
      <c r="O40" s="717">
        <f>SUM(O28:O29)</f>
        <v>11417</v>
      </c>
      <c r="P40" s="717">
        <f t="shared" ref="P40" si="109">SUM(P28:P29)</f>
        <v>12615</v>
      </c>
      <c r="Q40" s="718">
        <f t="shared" ref="Q40" si="110">SUM(Q28:Q29)</f>
        <v>9450</v>
      </c>
      <c r="R40" s="719">
        <f>SUM(R28:R29)</f>
        <v>4232</v>
      </c>
      <c r="S40" s="717">
        <f t="shared" ref="S40" si="111">SUM(S28:S29)</f>
        <v>4861</v>
      </c>
      <c r="T40" s="720">
        <f t="shared" ref="T40" si="112">SUM(T28:T29)</f>
        <v>3386</v>
      </c>
      <c r="U40" s="717">
        <f>SUM(U28:U29)</f>
        <v>1395</v>
      </c>
      <c r="V40" s="717">
        <f t="shared" ref="V40" si="113">SUM(V28:V29)</f>
        <v>1788</v>
      </c>
      <c r="W40" s="721">
        <f t="shared" ref="W40" si="114">SUM(W28:W29)</f>
        <v>1396</v>
      </c>
      <c r="X40" s="216">
        <f>SUM(X28:X29)</f>
        <v>82753</v>
      </c>
      <c r="Y40" s="217">
        <f t="shared" ref="Y40:Z40" si="115">SUM(Y28:Y29)</f>
        <v>92609</v>
      </c>
      <c r="Z40" s="218">
        <f t="shared" si="115"/>
        <v>67665</v>
      </c>
    </row>
    <row r="41" spans="1:26" s="235" customFormat="1" ht="13.5" customHeight="1" thickBot="1">
      <c r="A41" s="897" t="s">
        <v>0</v>
      </c>
      <c r="B41" s="931"/>
      <c r="C41" s="238">
        <f t="shared" ref="C41:Z41" si="116">+C27+C40</f>
        <v>6537</v>
      </c>
      <c r="D41" s="222">
        <f t="shared" si="116"/>
        <v>6894</v>
      </c>
      <c r="E41" s="494">
        <f t="shared" si="116"/>
        <v>4650</v>
      </c>
      <c r="F41" s="222">
        <f t="shared" si="116"/>
        <v>19709</v>
      </c>
      <c r="G41" s="222">
        <f t="shared" ref="G41" si="117">+G27+G40</f>
        <v>22206</v>
      </c>
      <c r="H41" s="534">
        <f t="shared" si="116"/>
        <v>15565</v>
      </c>
      <c r="I41" s="238">
        <f t="shared" si="116"/>
        <v>29665</v>
      </c>
      <c r="J41" s="222">
        <f t="shared" si="116"/>
        <v>32978</v>
      </c>
      <c r="K41" s="494">
        <f t="shared" si="116"/>
        <v>24409</v>
      </c>
      <c r="L41" s="222">
        <f t="shared" si="116"/>
        <v>13798</v>
      </c>
      <c r="M41" s="222">
        <f t="shared" ref="M41" si="118">+M27+M40</f>
        <v>15494</v>
      </c>
      <c r="N41" s="534">
        <f t="shared" si="116"/>
        <v>11366</v>
      </c>
      <c r="O41" s="238">
        <f t="shared" si="116"/>
        <v>12817</v>
      </c>
      <c r="P41" s="222">
        <f t="shared" si="116"/>
        <v>14231</v>
      </c>
      <c r="Q41" s="494">
        <f t="shared" si="116"/>
        <v>10598</v>
      </c>
      <c r="R41" s="222">
        <f t="shared" si="116"/>
        <v>5032</v>
      </c>
      <c r="S41" s="222">
        <f t="shared" ref="S41" si="119">+S27+S40</f>
        <v>5661</v>
      </c>
      <c r="T41" s="534">
        <f t="shared" si="116"/>
        <v>3971</v>
      </c>
      <c r="U41" s="238">
        <f t="shared" si="116"/>
        <v>4086</v>
      </c>
      <c r="V41" s="222">
        <f t="shared" si="116"/>
        <v>4479</v>
      </c>
      <c r="W41" s="646">
        <f t="shared" si="116"/>
        <v>3031</v>
      </c>
      <c r="X41" s="219">
        <f t="shared" si="116"/>
        <v>91644</v>
      </c>
      <c r="Y41" s="220">
        <f t="shared" si="116"/>
        <v>101943</v>
      </c>
      <c r="Z41" s="221">
        <f t="shared" si="116"/>
        <v>73590</v>
      </c>
    </row>
    <row r="42" spans="1:26" ht="13.5" customHeight="1">
      <c r="A42" s="129" t="s">
        <v>208</v>
      </c>
      <c r="B42" s="175" t="s">
        <v>209</v>
      </c>
      <c r="C42" s="141">
        <f>+'[5]3.SZ.TÁBL. SEGÍTŐ SZOLGÁLAT'!$C41</f>
        <v>2893</v>
      </c>
      <c r="D42" s="137">
        <f>+'[4]3.SZ.TÁBL. SEGÍTŐ SZOLGÁLAT'!$E41</f>
        <v>3120</v>
      </c>
      <c r="E42" s="142">
        <v>2487</v>
      </c>
      <c r="F42" s="139">
        <f>+'[5]3.SZ.TÁBL. SEGÍTŐ SZOLGÁLAT'!$F41</f>
        <v>12229</v>
      </c>
      <c r="G42" s="137">
        <f>+'[4]3.SZ.TÁBL. SEGÍTŐ SZOLGÁLAT'!$H41</f>
        <v>13531</v>
      </c>
      <c r="H42" s="140">
        <v>9627</v>
      </c>
      <c r="I42" s="141">
        <f>+'[5]3.SZ.TÁBL. SEGÍTŐ SZOLGÁLAT'!$I41</f>
        <v>19379</v>
      </c>
      <c r="J42" s="137">
        <f>+'[4]3.SZ.TÁBL. SEGÍTŐ SZOLGÁLAT'!$K41</f>
        <v>21298</v>
      </c>
      <c r="K42" s="142">
        <v>16488</v>
      </c>
      <c r="L42" s="139">
        <f>+'[5]3.SZ.TÁBL. SEGÍTŐ SZOLGÁLAT'!$L41</f>
        <v>6898</v>
      </c>
      <c r="M42" s="137">
        <f>+'[4]3.SZ.TÁBL. SEGÍTŐ SZOLGÁLAT'!$N41</f>
        <v>7715</v>
      </c>
      <c r="N42" s="140">
        <v>6011</v>
      </c>
      <c r="O42" s="141">
        <f>+'[5]3.SZ.TÁBL. SEGÍTŐ SZOLGÁLAT'!$O41</f>
        <v>6308</v>
      </c>
      <c r="P42" s="137">
        <f>+'[4]3.SZ.TÁBL. SEGÍTŐ SZOLGÁLAT'!$Q41</f>
        <v>6966</v>
      </c>
      <c r="Q42" s="142">
        <v>5502</v>
      </c>
      <c r="R42" s="139">
        <f>+'[5]3.SZ.TÁBL. SEGÍTŐ SZOLGÁLAT'!$R41</f>
        <v>1700</v>
      </c>
      <c r="S42" s="137">
        <f>+'[4]3.SZ.TÁBL. SEGÍTŐ SZOLGÁLAT'!$T41</f>
        <v>771</v>
      </c>
      <c r="T42" s="140">
        <v>465</v>
      </c>
      <c r="U42" s="141">
        <f>+'[5]3.SZ.TÁBL. SEGÍTŐ SZOLGÁLAT'!$U41</f>
        <v>2712</v>
      </c>
      <c r="V42" s="137">
        <f>+'[4]3.SZ.TÁBL. SEGÍTŐ SZOLGÁLAT'!$W41</f>
        <v>3003</v>
      </c>
      <c r="W42" s="138">
        <v>2324</v>
      </c>
      <c r="X42" s="150">
        <f t="shared" ref="X42:X55" si="120">+C42+F42+I42+L42+O42+R42+U42</f>
        <v>52119</v>
      </c>
      <c r="Y42" s="146">
        <f t="shared" ref="Y42:Y55" si="121">+D42+G42+J42+M42+P42+S42+V42</f>
        <v>56404</v>
      </c>
      <c r="Z42" s="151">
        <f t="shared" ref="Z42:Z55" si="122">+E42+H42+K42+N42+Q42+T42+W42</f>
        <v>42904</v>
      </c>
    </row>
    <row r="43" spans="1:26" ht="13.5" customHeight="1">
      <c r="A43" s="130" t="s">
        <v>210</v>
      </c>
      <c r="B43" s="176" t="s">
        <v>211</v>
      </c>
      <c r="C43" s="141">
        <f>+'[5]3.SZ.TÁBL. SEGÍTŐ SZOLGÁLAT'!$C42</f>
        <v>0</v>
      </c>
      <c r="D43" s="137">
        <f>+'[4]3.SZ.TÁBL. SEGÍTŐ SZOLGÁLAT'!$E42</f>
        <v>0</v>
      </c>
      <c r="E43" s="142"/>
      <c r="F43" s="139">
        <f>+'[5]3.SZ.TÁBL. SEGÍTŐ SZOLGÁLAT'!$F42</f>
        <v>0</v>
      </c>
      <c r="G43" s="137">
        <f>+'[4]3.SZ.TÁBL. SEGÍTŐ SZOLGÁLAT'!$H42</f>
        <v>0</v>
      </c>
      <c r="H43" s="140"/>
      <c r="I43" s="141">
        <f>+'[5]3.SZ.TÁBL. SEGÍTŐ SZOLGÁLAT'!$I42</f>
        <v>0</v>
      </c>
      <c r="J43" s="137">
        <f>+'[4]3.SZ.TÁBL. SEGÍTŐ SZOLGÁLAT'!$K42</f>
        <v>0</v>
      </c>
      <c r="K43" s="142"/>
      <c r="L43" s="139">
        <f>+'[5]3.SZ.TÁBL. SEGÍTŐ SZOLGÁLAT'!$L42</f>
        <v>0</v>
      </c>
      <c r="M43" s="137">
        <f>+'[4]3.SZ.TÁBL. SEGÍTŐ SZOLGÁLAT'!$N42</f>
        <v>0</v>
      </c>
      <c r="N43" s="140"/>
      <c r="O43" s="141">
        <f>+'[5]3.SZ.TÁBL. SEGÍTŐ SZOLGÁLAT'!$O42</f>
        <v>0</v>
      </c>
      <c r="P43" s="137">
        <f>+'[4]3.SZ.TÁBL. SEGÍTŐ SZOLGÁLAT'!$Q42</f>
        <v>0</v>
      </c>
      <c r="Q43" s="142"/>
      <c r="R43" s="139">
        <f>+'[5]3.SZ.TÁBL. SEGÍTŐ SZOLGÁLAT'!$R42</f>
        <v>0</v>
      </c>
      <c r="S43" s="137">
        <f>+'[4]3.SZ.TÁBL. SEGÍTŐ SZOLGÁLAT'!$T42</f>
        <v>0</v>
      </c>
      <c r="T43" s="140"/>
      <c r="U43" s="141">
        <f>+'[5]3.SZ.TÁBL. SEGÍTŐ SZOLGÁLAT'!$U42</f>
        <v>0</v>
      </c>
      <c r="V43" s="137">
        <f>+'[4]3.SZ.TÁBL. SEGÍTŐ SZOLGÁLAT'!$W42</f>
        <v>0</v>
      </c>
      <c r="W43" s="138"/>
      <c r="X43" s="143">
        <f t="shared" si="120"/>
        <v>0</v>
      </c>
      <c r="Y43" s="137">
        <f t="shared" si="121"/>
        <v>0</v>
      </c>
      <c r="Z43" s="138">
        <f t="shared" si="122"/>
        <v>0</v>
      </c>
    </row>
    <row r="44" spans="1:26" ht="13.5" customHeight="1">
      <c r="A44" s="130" t="s">
        <v>212</v>
      </c>
      <c r="B44" s="176" t="s">
        <v>213</v>
      </c>
      <c r="C44" s="141">
        <f>+'[5]3.SZ.TÁBL. SEGÍTŐ SZOLGÁLAT'!$C43</f>
        <v>0</v>
      </c>
      <c r="D44" s="137">
        <f>+'[4]3.SZ.TÁBL. SEGÍTŐ SZOLGÁLAT'!$E43</f>
        <v>0</v>
      </c>
      <c r="E44" s="142"/>
      <c r="F44" s="139">
        <f>+'[5]3.SZ.TÁBL. SEGÍTŐ SZOLGÁLAT'!$F43</f>
        <v>0</v>
      </c>
      <c r="G44" s="137">
        <f>+'[4]3.SZ.TÁBL. SEGÍTŐ SZOLGÁLAT'!$H43</f>
        <v>0</v>
      </c>
      <c r="H44" s="140"/>
      <c r="I44" s="141">
        <f>+'[5]3.SZ.TÁBL. SEGÍTŐ SZOLGÁLAT'!$I43</f>
        <v>0</v>
      </c>
      <c r="J44" s="137">
        <f>+'[4]3.SZ.TÁBL. SEGÍTŐ SZOLGÁLAT'!$K43</f>
        <v>0</v>
      </c>
      <c r="K44" s="142"/>
      <c r="L44" s="139">
        <f>+'[5]3.SZ.TÁBL. SEGÍTŐ SZOLGÁLAT'!$L43</f>
        <v>0</v>
      </c>
      <c r="M44" s="137">
        <f>+'[4]3.SZ.TÁBL. SEGÍTŐ SZOLGÁLAT'!$N43</f>
        <v>0</v>
      </c>
      <c r="N44" s="140"/>
      <c r="O44" s="141">
        <f>+'[5]3.SZ.TÁBL. SEGÍTŐ SZOLGÁLAT'!$O43</f>
        <v>0</v>
      </c>
      <c r="P44" s="137">
        <f>+'[4]3.SZ.TÁBL. SEGÍTŐ SZOLGÁLAT'!$Q43</f>
        <v>0</v>
      </c>
      <c r="Q44" s="142"/>
      <c r="R44" s="139">
        <f>+'[5]3.SZ.TÁBL. SEGÍTŐ SZOLGÁLAT'!$R43</f>
        <v>0</v>
      </c>
      <c r="S44" s="137">
        <f>+'[4]3.SZ.TÁBL. SEGÍTŐ SZOLGÁLAT'!$T43</f>
        <v>0</v>
      </c>
      <c r="T44" s="140"/>
      <c r="U44" s="141">
        <f>+'[5]3.SZ.TÁBL. SEGÍTŐ SZOLGÁLAT'!$U43</f>
        <v>0</v>
      </c>
      <c r="V44" s="137">
        <f>+'[4]3.SZ.TÁBL. SEGÍTŐ SZOLGÁLAT'!$W43</f>
        <v>0</v>
      </c>
      <c r="W44" s="138"/>
      <c r="X44" s="143">
        <f t="shared" si="120"/>
        <v>0</v>
      </c>
      <c r="Y44" s="137">
        <f t="shared" si="121"/>
        <v>0</v>
      </c>
      <c r="Z44" s="138">
        <f t="shared" si="122"/>
        <v>0</v>
      </c>
    </row>
    <row r="45" spans="1:26" ht="13.5" customHeight="1">
      <c r="A45" s="130" t="s">
        <v>214</v>
      </c>
      <c r="B45" s="176" t="s">
        <v>215</v>
      </c>
      <c r="C45" s="141">
        <f>+'[5]3.SZ.TÁBL. SEGÍTŐ SZOLGÁLAT'!$C44</f>
        <v>25</v>
      </c>
      <c r="D45" s="137">
        <f>+'[4]3.SZ.TÁBL. SEGÍTŐ SZOLGÁLAT'!$E44</f>
        <v>25</v>
      </c>
      <c r="E45" s="142"/>
      <c r="F45" s="139">
        <f>+'[5]3.SZ.TÁBL. SEGÍTŐ SZOLGÁLAT'!$F44</f>
        <v>87</v>
      </c>
      <c r="G45" s="137">
        <f>+'[4]3.SZ.TÁBL. SEGÍTŐ SZOLGÁLAT'!$H44</f>
        <v>87</v>
      </c>
      <c r="H45" s="140"/>
      <c r="I45" s="141">
        <f>+'[5]3.SZ.TÁBL. SEGÍTŐ SZOLGÁLAT'!$I44</f>
        <v>100</v>
      </c>
      <c r="J45" s="137">
        <f>+'[4]3.SZ.TÁBL. SEGÍTŐ SZOLGÁLAT'!$K44</f>
        <v>100</v>
      </c>
      <c r="K45" s="142">
        <v>10</v>
      </c>
      <c r="L45" s="139">
        <f>+'[5]3.SZ.TÁBL. SEGÍTŐ SZOLGÁLAT'!$L44</f>
        <v>0</v>
      </c>
      <c r="M45" s="137">
        <f>+'[4]3.SZ.TÁBL. SEGÍTŐ SZOLGÁLAT'!$N44</f>
        <v>0</v>
      </c>
      <c r="N45" s="140"/>
      <c r="O45" s="141">
        <f>+'[5]3.SZ.TÁBL. SEGÍTŐ SZOLGÁLAT'!$O44</f>
        <v>50</v>
      </c>
      <c r="P45" s="137">
        <f>+'[4]3.SZ.TÁBL. SEGÍTŐ SZOLGÁLAT'!$Q44</f>
        <v>50</v>
      </c>
      <c r="Q45" s="142"/>
      <c r="R45" s="139">
        <f>+'[5]3.SZ.TÁBL. SEGÍTŐ SZOLGÁLAT'!$R44</f>
        <v>0</v>
      </c>
      <c r="S45" s="137">
        <f>+'[4]3.SZ.TÁBL. SEGÍTŐ SZOLGÁLAT'!$T44</f>
        <v>0</v>
      </c>
      <c r="T45" s="140"/>
      <c r="U45" s="141">
        <f>+'[5]3.SZ.TÁBL. SEGÍTŐ SZOLGÁLAT'!$U44</f>
        <v>25</v>
      </c>
      <c r="V45" s="137">
        <f>+'[4]3.SZ.TÁBL. SEGÍTŐ SZOLGÁLAT'!$W44</f>
        <v>31</v>
      </c>
      <c r="W45" s="138">
        <v>30</v>
      </c>
      <c r="X45" s="143">
        <f t="shared" si="120"/>
        <v>287</v>
      </c>
      <c r="Y45" s="137">
        <f t="shared" si="121"/>
        <v>293</v>
      </c>
      <c r="Z45" s="138">
        <f t="shared" si="122"/>
        <v>40</v>
      </c>
    </row>
    <row r="46" spans="1:26" ht="13.5" customHeight="1">
      <c r="A46" s="130" t="s">
        <v>216</v>
      </c>
      <c r="B46" s="176" t="s">
        <v>217</v>
      </c>
      <c r="C46" s="141">
        <f>+'[5]3.SZ.TÁBL. SEGÍTŐ SZOLGÁLAT'!$C45</f>
        <v>0</v>
      </c>
      <c r="D46" s="137">
        <f>+'[4]3.SZ.TÁBL. SEGÍTŐ SZOLGÁLAT'!$E45</f>
        <v>0</v>
      </c>
      <c r="E46" s="142"/>
      <c r="F46" s="139">
        <f>+'[5]3.SZ.TÁBL. SEGÍTŐ SZOLGÁLAT'!$F45</f>
        <v>0</v>
      </c>
      <c r="G46" s="137">
        <f>+'[4]3.SZ.TÁBL. SEGÍTŐ SZOLGÁLAT'!$H45</f>
        <v>0</v>
      </c>
      <c r="H46" s="140"/>
      <c r="I46" s="141">
        <f>+'[5]3.SZ.TÁBL. SEGÍTŐ SZOLGÁLAT'!$I45</f>
        <v>0</v>
      </c>
      <c r="J46" s="137">
        <f>+'[4]3.SZ.TÁBL. SEGÍTŐ SZOLGÁLAT'!$K45</f>
        <v>0</v>
      </c>
      <c r="K46" s="142"/>
      <c r="L46" s="139">
        <f>+'[5]3.SZ.TÁBL. SEGÍTŐ SZOLGÁLAT'!$L45</f>
        <v>0</v>
      </c>
      <c r="M46" s="137">
        <f>+'[4]3.SZ.TÁBL. SEGÍTŐ SZOLGÁLAT'!$N45</f>
        <v>0</v>
      </c>
      <c r="N46" s="140"/>
      <c r="O46" s="141">
        <f>+'[5]3.SZ.TÁBL. SEGÍTŐ SZOLGÁLAT'!$O45</f>
        <v>0</v>
      </c>
      <c r="P46" s="137">
        <f>+'[4]3.SZ.TÁBL. SEGÍTŐ SZOLGÁLAT'!$Q45</f>
        <v>0</v>
      </c>
      <c r="Q46" s="142"/>
      <c r="R46" s="139">
        <f>+'[5]3.SZ.TÁBL. SEGÍTŐ SZOLGÁLAT'!$R45</f>
        <v>0</v>
      </c>
      <c r="S46" s="137">
        <f>+'[4]3.SZ.TÁBL. SEGÍTŐ SZOLGÁLAT'!$T45</f>
        <v>0</v>
      </c>
      <c r="T46" s="140"/>
      <c r="U46" s="141">
        <f>+'[5]3.SZ.TÁBL. SEGÍTŐ SZOLGÁLAT'!$U45</f>
        <v>0</v>
      </c>
      <c r="V46" s="137">
        <f>+'[4]3.SZ.TÁBL. SEGÍTŐ SZOLGÁLAT'!$W45</f>
        <v>0</v>
      </c>
      <c r="W46" s="138"/>
      <c r="X46" s="143">
        <f t="shared" si="120"/>
        <v>0</v>
      </c>
      <c r="Y46" s="137">
        <f t="shared" si="121"/>
        <v>0</v>
      </c>
      <c r="Z46" s="138">
        <f t="shared" si="122"/>
        <v>0</v>
      </c>
    </row>
    <row r="47" spans="1:26" ht="13.5" customHeight="1">
      <c r="A47" s="130" t="s">
        <v>218</v>
      </c>
      <c r="B47" s="176" t="s">
        <v>1</v>
      </c>
      <c r="C47" s="141">
        <f>+'[5]3.SZ.TÁBL. SEGÍTŐ SZOLGÁLAT'!$C46</f>
        <v>0</v>
      </c>
      <c r="D47" s="137">
        <f>+'[4]3.SZ.TÁBL. SEGÍTŐ SZOLGÁLAT'!$E46</f>
        <v>0</v>
      </c>
      <c r="E47" s="142"/>
      <c r="F47" s="139">
        <f>+'[5]3.SZ.TÁBL. SEGÍTŐ SZOLGÁLAT'!$F46</f>
        <v>0</v>
      </c>
      <c r="G47" s="137">
        <f>+'[4]3.SZ.TÁBL. SEGÍTŐ SZOLGÁLAT'!$H46</f>
        <v>0</v>
      </c>
      <c r="H47" s="140"/>
      <c r="I47" s="141">
        <f>+'[5]3.SZ.TÁBL. SEGÍTŐ SZOLGÁLAT'!$I46</f>
        <v>488</v>
      </c>
      <c r="J47" s="137">
        <f>+'[4]3.SZ.TÁBL. SEGÍTŐ SZOLGÁLAT'!$K46</f>
        <v>488</v>
      </c>
      <c r="K47" s="142">
        <v>366</v>
      </c>
      <c r="L47" s="139">
        <f>+'[5]3.SZ.TÁBL. SEGÍTŐ SZOLGÁLAT'!$L46</f>
        <v>0</v>
      </c>
      <c r="M47" s="137">
        <f>+'[4]3.SZ.TÁBL. SEGÍTŐ SZOLGÁLAT'!$N46</f>
        <v>0</v>
      </c>
      <c r="N47" s="140"/>
      <c r="O47" s="141">
        <f>+'[5]3.SZ.TÁBL. SEGÍTŐ SZOLGÁLAT'!$O46</f>
        <v>485</v>
      </c>
      <c r="P47" s="137">
        <f>+'[4]3.SZ.TÁBL. SEGÍTŐ SZOLGÁLAT'!$Q46</f>
        <v>485</v>
      </c>
      <c r="Q47" s="142">
        <v>363</v>
      </c>
      <c r="R47" s="139">
        <f>+'[5]3.SZ.TÁBL. SEGÍTŐ SZOLGÁLAT'!$R46</f>
        <v>0</v>
      </c>
      <c r="S47" s="137">
        <f>+'[4]3.SZ.TÁBL. SEGÍTŐ SZOLGÁLAT'!$T46</f>
        <v>0</v>
      </c>
      <c r="T47" s="140"/>
      <c r="U47" s="141">
        <f>+'[5]3.SZ.TÁBL. SEGÍTŐ SZOLGÁLAT'!$U46</f>
        <v>0</v>
      </c>
      <c r="V47" s="137">
        <f>+'[4]3.SZ.TÁBL. SEGÍTŐ SZOLGÁLAT'!$W46</f>
        <v>0</v>
      </c>
      <c r="W47" s="138"/>
      <c r="X47" s="143">
        <f t="shared" si="120"/>
        <v>973</v>
      </c>
      <c r="Y47" s="137">
        <f t="shared" si="121"/>
        <v>973</v>
      </c>
      <c r="Z47" s="138">
        <f t="shared" si="122"/>
        <v>729</v>
      </c>
    </row>
    <row r="48" spans="1:26" ht="13.5" customHeight="1">
      <c r="A48" s="130" t="s">
        <v>219</v>
      </c>
      <c r="B48" s="176" t="s">
        <v>220</v>
      </c>
      <c r="C48" s="141">
        <f>+'[5]3.SZ.TÁBL. SEGÍTŐ SZOLGÁLAT'!$C47</f>
        <v>90</v>
      </c>
      <c r="D48" s="137">
        <f>+'[4]3.SZ.TÁBL. SEGÍTŐ SZOLGÁLAT'!$E47</f>
        <v>90</v>
      </c>
      <c r="E48" s="142">
        <v>67</v>
      </c>
      <c r="F48" s="139">
        <f>+'[5]3.SZ.TÁBL. SEGÍTŐ SZOLGÁLAT'!$F47</f>
        <v>330</v>
      </c>
      <c r="G48" s="137">
        <f>+'[4]3.SZ.TÁBL. SEGÍTŐ SZOLGÁLAT'!$H47</f>
        <v>330</v>
      </c>
      <c r="H48" s="140">
        <v>215</v>
      </c>
      <c r="I48" s="141">
        <f>+'[5]3.SZ.TÁBL. SEGÍTŐ SZOLGÁLAT'!$I47</f>
        <v>780</v>
      </c>
      <c r="J48" s="137">
        <f>+'[4]3.SZ.TÁBL. SEGÍTŐ SZOLGÁLAT'!$K47</f>
        <v>780</v>
      </c>
      <c r="K48" s="142">
        <v>563</v>
      </c>
      <c r="L48" s="139">
        <f>+'[5]3.SZ.TÁBL. SEGÍTŐ SZOLGÁLAT'!$L47</f>
        <v>210</v>
      </c>
      <c r="M48" s="137">
        <f>+'[4]3.SZ.TÁBL. SEGÍTŐ SZOLGÁLAT'!$N47</f>
        <v>210</v>
      </c>
      <c r="N48" s="140">
        <v>158</v>
      </c>
      <c r="O48" s="141">
        <f>+'[5]3.SZ.TÁBL. SEGÍTŐ SZOLGÁLAT'!$O47</f>
        <v>210</v>
      </c>
      <c r="P48" s="137">
        <f>+'[4]3.SZ.TÁBL. SEGÍTŐ SZOLGÁLAT'!$Q47</f>
        <v>210</v>
      </c>
      <c r="Q48" s="142">
        <v>158</v>
      </c>
      <c r="R48" s="139">
        <f>+'[5]3.SZ.TÁBL. SEGÍTŐ SZOLGÁLAT'!$R47</f>
        <v>60</v>
      </c>
      <c r="S48" s="137">
        <f>+'[4]3.SZ.TÁBL. SEGÍTŐ SZOLGÁLAT'!$T47</f>
        <v>60</v>
      </c>
      <c r="T48" s="140">
        <v>45</v>
      </c>
      <c r="U48" s="141">
        <f>+'[5]3.SZ.TÁBL. SEGÍTŐ SZOLGÁLAT'!$U47</f>
        <v>90</v>
      </c>
      <c r="V48" s="137">
        <f>+'[4]3.SZ.TÁBL. SEGÍTŐ SZOLGÁLAT'!$W47</f>
        <v>90</v>
      </c>
      <c r="W48" s="138">
        <v>62</v>
      </c>
      <c r="X48" s="143">
        <f t="shared" si="120"/>
        <v>1770</v>
      </c>
      <c r="Y48" s="137">
        <f t="shared" si="121"/>
        <v>1770</v>
      </c>
      <c r="Z48" s="138">
        <f t="shared" si="122"/>
        <v>1268</v>
      </c>
    </row>
    <row r="49" spans="1:26" ht="13.5" customHeight="1">
      <c r="A49" s="130" t="s">
        <v>221</v>
      </c>
      <c r="B49" s="176" t="s">
        <v>222</v>
      </c>
      <c r="C49" s="141">
        <f>+'[5]3.SZ.TÁBL. SEGÍTŐ SZOLGÁLAT'!$C48</f>
        <v>0</v>
      </c>
      <c r="D49" s="137">
        <f>+'[4]3.SZ.TÁBL. SEGÍTŐ SZOLGÁLAT'!$E48</f>
        <v>0</v>
      </c>
      <c r="E49" s="142"/>
      <c r="F49" s="139">
        <f>+'[5]3.SZ.TÁBL. SEGÍTŐ SZOLGÁLAT'!$F48</f>
        <v>0</v>
      </c>
      <c r="G49" s="137">
        <f>+'[4]3.SZ.TÁBL. SEGÍTŐ SZOLGÁLAT'!$H48</f>
        <v>0</v>
      </c>
      <c r="H49" s="140"/>
      <c r="I49" s="141">
        <f>+'[5]3.SZ.TÁBL. SEGÍTŐ SZOLGÁLAT'!$I48</f>
        <v>0</v>
      </c>
      <c r="J49" s="137">
        <f>+'[4]3.SZ.TÁBL. SEGÍTŐ SZOLGÁLAT'!$K48</f>
        <v>0</v>
      </c>
      <c r="K49" s="142"/>
      <c r="L49" s="139">
        <f>+'[5]3.SZ.TÁBL. SEGÍTŐ SZOLGÁLAT'!$L48</f>
        <v>0</v>
      </c>
      <c r="M49" s="137">
        <f>+'[4]3.SZ.TÁBL. SEGÍTŐ SZOLGÁLAT'!$N48</f>
        <v>0</v>
      </c>
      <c r="N49" s="140"/>
      <c r="O49" s="141">
        <f>+'[5]3.SZ.TÁBL. SEGÍTŐ SZOLGÁLAT'!$O48</f>
        <v>0</v>
      </c>
      <c r="P49" s="137">
        <f>+'[4]3.SZ.TÁBL. SEGÍTŐ SZOLGÁLAT'!$Q48</f>
        <v>0</v>
      </c>
      <c r="Q49" s="142"/>
      <c r="R49" s="139">
        <f>+'[5]3.SZ.TÁBL. SEGÍTŐ SZOLGÁLAT'!$R48</f>
        <v>0</v>
      </c>
      <c r="S49" s="137">
        <f>+'[4]3.SZ.TÁBL. SEGÍTŐ SZOLGÁLAT'!$T48</f>
        <v>0</v>
      </c>
      <c r="T49" s="140"/>
      <c r="U49" s="141">
        <f>+'[5]3.SZ.TÁBL. SEGÍTŐ SZOLGÁLAT'!$U48</f>
        <v>0</v>
      </c>
      <c r="V49" s="137">
        <f>+'[4]3.SZ.TÁBL. SEGÍTŐ SZOLGÁLAT'!$W48</f>
        <v>0</v>
      </c>
      <c r="W49" s="138"/>
      <c r="X49" s="143">
        <f t="shared" si="120"/>
        <v>0</v>
      </c>
      <c r="Y49" s="137">
        <f t="shared" si="121"/>
        <v>0</v>
      </c>
      <c r="Z49" s="138">
        <f t="shared" si="122"/>
        <v>0</v>
      </c>
    </row>
    <row r="50" spans="1:26" ht="13.5" customHeight="1">
      <c r="A50" s="130" t="s">
        <v>223</v>
      </c>
      <c r="B50" s="176" t="s">
        <v>2</v>
      </c>
      <c r="C50" s="141">
        <f>+'[5]3.SZ.TÁBL. SEGÍTŐ SZOLGÁLAT'!$C49</f>
        <v>11</v>
      </c>
      <c r="D50" s="137">
        <f>+'[4]3.SZ.TÁBL. SEGÍTŐ SZOLGÁLAT'!$E49</f>
        <v>11</v>
      </c>
      <c r="E50" s="142">
        <v>7</v>
      </c>
      <c r="F50" s="139">
        <f>+'[5]3.SZ.TÁBL. SEGÍTŐ SZOLGÁLAT'!$F49</f>
        <v>112</v>
      </c>
      <c r="G50" s="137">
        <f>+'[4]3.SZ.TÁBL. SEGÍTŐ SZOLGÁLAT'!$H49</f>
        <v>112</v>
      </c>
      <c r="H50" s="140">
        <v>49</v>
      </c>
      <c r="I50" s="141">
        <f>+'[5]3.SZ.TÁBL. SEGÍTŐ SZOLGÁLAT'!$I49</f>
        <v>112</v>
      </c>
      <c r="J50" s="137">
        <f>+'[4]3.SZ.TÁBL. SEGÍTŐ SZOLGÁLAT'!$K49</f>
        <v>112</v>
      </c>
      <c r="K50" s="142">
        <v>29</v>
      </c>
      <c r="L50" s="139">
        <f>+'[5]3.SZ.TÁBL. SEGÍTŐ SZOLGÁLAT'!$L49</f>
        <v>118</v>
      </c>
      <c r="M50" s="137">
        <f>+'[4]3.SZ.TÁBL. SEGÍTŐ SZOLGÁLAT'!$N49</f>
        <v>118</v>
      </c>
      <c r="N50" s="140">
        <v>88</v>
      </c>
      <c r="O50" s="141">
        <f>+'[5]3.SZ.TÁBL. SEGÍTŐ SZOLGÁLAT'!$O49</f>
        <v>280</v>
      </c>
      <c r="P50" s="137">
        <f>+'[4]3.SZ.TÁBL. SEGÍTŐ SZOLGÁLAT'!$Q49</f>
        <v>280</v>
      </c>
      <c r="Q50" s="142">
        <v>178</v>
      </c>
      <c r="R50" s="139">
        <f>+'[5]3.SZ.TÁBL. SEGÍTŐ SZOLGÁLAT'!$R49</f>
        <v>0</v>
      </c>
      <c r="S50" s="137">
        <f>+'[4]3.SZ.TÁBL. SEGÍTŐ SZOLGÁLAT'!$T49</f>
        <v>0</v>
      </c>
      <c r="T50" s="140"/>
      <c r="U50" s="141">
        <f>+'[5]3.SZ.TÁBL. SEGÍTŐ SZOLGÁLAT'!$U49</f>
        <v>11</v>
      </c>
      <c r="V50" s="137">
        <f>+'[4]3.SZ.TÁBL. SEGÍTŐ SZOLGÁLAT'!$W49</f>
        <v>11</v>
      </c>
      <c r="W50" s="138">
        <v>7</v>
      </c>
      <c r="X50" s="143">
        <f t="shared" si="120"/>
        <v>644</v>
      </c>
      <c r="Y50" s="137">
        <f t="shared" si="121"/>
        <v>644</v>
      </c>
      <c r="Z50" s="138">
        <f t="shared" si="122"/>
        <v>358</v>
      </c>
    </row>
    <row r="51" spans="1:26" ht="13.5" customHeight="1">
      <c r="A51" s="130" t="s">
        <v>224</v>
      </c>
      <c r="B51" s="176" t="s">
        <v>225</v>
      </c>
      <c r="C51" s="141">
        <f>+'[5]3.SZ.TÁBL. SEGÍTŐ SZOLGÁLAT'!$C50</f>
        <v>0</v>
      </c>
      <c r="D51" s="137">
        <f>+'[4]3.SZ.TÁBL. SEGÍTŐ SZOLGÁLAT'!$E50</f>
        <v>0</v>
      </c>
      <c r="E51" s="142"/>
      <c r="F51" s="139">
        <f>+'[5]3.SZ.TÁBL. SEGÍTŐ SZOLGÁLAT'!$F50</f>
        <v>0</v>
      </c>
      <c r="G51" s="137">
        <f>+'[4]3.SZ.TÁBL. SEGÍTŐ SZOLGÁLAT'!$H50</f>
        <v>0</v>
      </c>
      <c r="H51" s="140"/>
      <c r="I51" s="141">
        <f>+'[5]3.SZ.TÁBL. SEGÍTŐ SZOLGÁLAT'!$I50</f>
        <v>0</v>
      </c>
      <c r="J51" s="137">
        <f>+'[4]3.SZ.TÁBL. SEGÍTŐ SZOLGÁLAT'!$K50</f>
        <v>0</v>
      </c>
      <c r="K51" s="142"/>
      <c r="L51" s="139">
        <f>+'[5]3.SZ.TÁBL. SEGÍTŐ SZOLGÁLAT'!$L50</f>
        <v>0</v>
      </c>
      <c r="M51" s="137">
        <f>+'[4]3.SZ.TÁBL. SEGÍTŐ SZOLGÁLAT'!$N50</f>
        <v>0</v>
      </c>
      <c r="N51" s="140"/>
      <c r="O51" s="141">
        <f>+'[5]3.SZ.TÁBL. SEGÍTŐ SZOLGÁLAT'!$O50</f>
        <v>0</v>
      </c>
      <c r="P51" s="137">
        <f>+'[4]3.SZ.TÁBL. SEGÍTŐ SZOLGÁLAT'!$Q50</f>
        <v>0</v>
      </c>
      <c r="Q51" s="142"/>
      <c r="R51" s="139">
        <f>+'[5]3.SZ.TÁBL. SEGÍTŐ SZOLGÁLAT'!$R50</f>
        <v>0</v>
      </c>
      <c r="S51" s="137">
        <f>+'[4]3.SZ.TÁBL. SEGÍTŐ SZOLGÁLAT'!$T50</f>
        <v>0</v>
      </c>
      <c r="T51" s="140"/>
      <c r="U51" s="141">
        <f>+'[5]3.SZ.TÁBL. SEGÍTŐ SZOLGÁLAT'!$U50</f>
        <v>0</v>
      </c>
      <c r="V51" s="137">
        <f>+'[4]3.SZ.TÁBL. SEGÍTŐ SZOLGÁLAT'!$W50</f>
        <v>0</v>
      </c>
      <c r="W51" s="138"/>
      <c r="X51" s="143">
        <f t="shared" si="120"/>
        <v>0</v>
      </c>
      <c r="Y51" s="137">
        <f t="shared" si="121"/>
        <v>0</v>
      </c>
      <c r="Z51" s="138">
        <f t="shared" si="122"/>
        <v>0</v>
      </c>
    </row>
    <row r="52" spans="1:26" ht="13.5" customHeight="1">
      <c r="A52" s="130" t="s">
        <v>226</v>
      </c>
      <c r="B52" s="176" t="s">
        <v>227</v>
      </c>
      <c r="C52" s="141">
        <f>+'[5]3.SZ.TÁBL. SEGÍTŐ SZOLGÁLAT'!$C51</f>
        <v>0</v>
      </c>
      <c r="D52" s="137">
        <f>+'[4]3.SZ.TÁBL. SEGÍTŐ SZOLGÁLAT'!$E51</f>
        <v>0</v>
      </c>
      <c r="E52" s="142"/>
      <c r="F52" s="139">
        <f>+'[5]3.SZ.TÁBL. SEGÍTŐ SZOLGÁLAT'!$F51</f>
        <v>0</v>
      </c>
      <c r="G52" s="137">
        <f>+'[4]3.SZ.TÁBL. SEGÍTŐ SZOLGÁLAT'!$H51</f>
        <v>0</v>
      </c>
      <c r="H52" s="140"/>
      <c r="I52" s="141">
        <f>+'[5]3.SZ.TÁBL. SEGÍTŐ SZOLGÁLAT'!$I51</f>
        <v>0</v>
      </c>
      <c r="J52" s="137">
        <f>+'[4]3.SZ.TÁBL. SEGÍTŐ SZOLGÁLAT'!$K51</f>
        <v>0</v>
      </c>
      <c r="K52" s="142"/>
      <c r="L52" s="139">
        <f>+'[5]3.SZ.TÁBL. SEGÍTŐ SZOLGÁLAT'!$L51</f>
        <v>0</v>
      </c>
      <c r="M52" s="137">
        <f>+'[4]3.SZ.TÁBL. SEGÍTŐ SZOLGÁLAT'!$N51</f>
        <v>0</v>
      </c>
      <c r="N52" s="140"/>
      <c r="O52" s="141">
        <f>+'[5]3.SZ.TÁBL. SEGÍTŐ SZOLGÁLAT'!$O51</f>
        <v>0</v>
      </c>
      <c r="P52" s="137">
        <f>+'[4]3.SZ.TÁBL. SEGÍTŐ SZOLGÁLAT'!$Q51</f>
        <v>0</v>
      </c>
      <c r="Q52" s="142"/>
      <c r="R52" s="139">
        <f>+'[5]3.SZ.TÁBL. SEGÍTŐ SZOLGÁLAT'!$R51</f>
        <v>0</v>
      </c>
      <c r="S52" s="137">
        <f>+'[4]3.SZ.TÁBL. SEGÍTŐ SZOLGÁLAT'!$T51</f>
        <v>0</v>
      </c>
      <c r="T52" s="140"/>
      <c r="U52" s="141">
        <f>+'[5]3.SZ.TÁBL. SEGÍTŐ SZOLGÁLAT'!$U51</f>
        <v>0</v>
      </c>
      <c r="V52" s="137">
        <f>+'[4]3.SZ.TÁBL. SEGÍTŐ SZOLGÁLAT'!$W51</f>
        <v>0</v>
      </c>
      <c r="W52" s="138"/>
      <c r="X52" s="143">
        <f t="shared" si="120"/>
        <v>0</v>
      </c>
      <c r="Y52" s="137">
        <f t="shared" si="121"/>
        <v>0</v>
      </c>
      <c r="Z52" s="138">
        <f t="shared" si="122"/>
        <v>0</v>
      </c>
    </row>
    <row r="53" spans="1:26" ht="13.5" customHeight="1">
      <c r="A53" s="130" t="s">
        <v>228</v>
      </c>
      <c r="B53" s="176" t="s">
        <v>229</v>
      </c>
      <c r="C53" s="141">
        <f>+'[5]3.SZ.TÁBL. SEGÍTŐ SZOLGÁLAT'!$C52</f>
        <v>0</v>
      </c>
      <c r="D53" s="137">
        <f>+'[4]3.SZ.TÁBL. SEGÍTŐ SZOLGÁLAT'!$E52</f>
        <v>0</v>
      </c>
      <c r="E53" s="142"/>
      <c r="F53" s="139">
        <f>+'[5]3.SZ.TÁBL. SEGÍTŐ SZOLGÁLAT'!$F52</f>
        <v>0</v>
      </c>
      <c r="G53" s="137">
        <f>+'[4]3.SZ.TÁBL. SEGÍTŐ SZOLGÁLAT'!$H52</f>
        <v>50</v>
      </c>
      <c r="H53" s="140">
        <v>50</v>
      </c>
      <c r="I53" s="141">
        <f>+'[5]3.SZ.TÁBL. SEGÍTŐ SZOLGÁLAT'!$I52</f>
        <v>0</v>
      </c>
      <c r="J53" s="137">
        <f>+'[4]3.SZ.TÁBL. SEGÍTŐ SZOLGÁLAT'!$K52</f>
        <v>0</v>
      </c>
      <c r="K53" s="142"/>
      <c r="L53" s="139">
        <f>+'[5]3.SZ.TÁBL. SEGÍTŐ SZOLGÁLAT'!$L52</f>
        <v>0</v>
      </c>
      <c r="M53" s="137">
        <f>+'[4]3.SZ.TÁBL. SEGÍTŐ SZOLGÁLAT'!$N52</f>
        <v>0</v>
      </c>
      <c r="N53" s="140"/>
      <c r="O53" s="141">
        <f>+'[5]3.SZ.TÁBL. SEGÍTŐ SZOLGÁLAT'!$O52</f>
        <v>0</v>
      </c>
      <c r="P53" s="137">
        <f>+'[4]3.SZ.TÁBL. SEGÍTŐ SZOLGÁLAT'!$Q52</f>
        <v>0</v>
      </c>
      <c r="Q53" s="142"/>
      <c r="R53" s="139">
        <f>+'[5]3.SZ.TÁBL. SEGÍTŐ SZOLGÁLAT'!$R52</f>
        <v>0</v>
      </c>
      <c r="S53" s="137">
        <f>+'[4]3.SZ.TÁBL. SEGÍTŐ SZOLGÁLAT'!$T52</f>
        <v>0</v>
      </c>
      <c r="T53" s="140"/>
      <c r="U53" s="141">
        <f>+'[5]3.SZ.TÁBL. SEGÍTŐ SZOLGÁLAT'!$U52</f>
        <v>0</v>
      </c>
      <c r="V53" s="137">
        <f>+'[4]3.SZ.TÁBL. SEGÍTŐ SZOLGÁLAT'!$W52</f>
        <v>0</v>
      </c>
      <c r="W53" s="138"/>
      <c r="X53" s="143">
        <f t="shared" si="120"/>
        <v>0</v>
      </c>
      <c r="Y53" s="137">
        <f t="shared" si="121"/>
        <v>50</v>
      </c>
      <c r="Z53" s="138">
        <f t="shared" si="122"/>
        <v>50</v>
      </c>
    </row>
    <row r="54" spans="1:26" ht="13.5" customHeight="1">
      <c r="A54" s="130" t="s">
        <v>230</v>
      </c>
      <c r="B54" s="176" t="s">
        <v>424</v>
      </c>
      <c r="C54" s="141">
        <f>+'[5]3.SZ.TÁBL. SEGÍTŐ SZOLGÁLAT'!$C53</f>
        <v>0</v>
      </c>
      <c r="D54" s="137">
        <f>+'[4]3.SZ.TÁBL. SEGÍTŐ SZOLGÁLAT'!$E53</f>
        <v>0</v>
      </c>
      <c r="E54" s="142"/>
      <c r="F54" s="139">
        <f>+'[5]3.SZ.TÁBL. SEGÍTŐ SZOLGÁLAT'!$F53</f>
        <v>0</v>
      </c>
      <c r="G54" s="137">
        <f>+'[4]3.SZ.TÁBL. SEGÍTŐ SZOLGÁLAT'!$H53</f>
        <v>312</v>
      </c>
      <c r="H54" s="140">
        <v>297</v>
      </c>
      <c r="I54" s="141">
        <f>+'[5]3.SZ.TÁBL. SEGÍTŐ SZOLGÁLAT'!$I53</f>
        <v>0</v>
      </c>
      <c r="J54" s="137">
        <f>+'[4]3.SZ.TÁBL. SEGÍTŐ SZOLGÁLAT'!$K53</f>
        <v>646</v>
      </c>
      <c r="K54" s="142">
        <v>585</v>
      </c>
      <c r="L54" s="139">
        <f>+'[5]3.SZ.TÁBL. SEGÍTŐ SZOLGÁLAT'!$L53</f>
        <v>0</v>
      </c>
      <c r="M54" s="137">
        <f>+'[4]3.SZ.TÁBL. SEGÍTŐ SZOLGÁLAT'!$N53</f>
        <v>453</v>
      </c>
      <c r="N54" s="140">
        <v>452</v>
      </c>
      <c r="O54" s="141">
        <f>+'[5]3.SZ.TÁBL. SEGÍTŐ SZOLGÁLAT'!$O53</f>
        <v>0</v>
      </c>
      <c r="P54" s="137">
        <f>+'[4]3.SZ.TÁBL. SEGÍTŐ SZOLGÁLAT'!$Q53</f>
        <v>243</v>
      </c>
      <c r="Q54" s="142">
        <v>219</v>
      </c>
      <c r="R54" s="139">
        <f>+'[5]3.SZ.TÁBL. SEGÍTŐ SZOLGÁLAT'!$R53</f>
        <v>0</v>
      </c>
      <c r="S54" s="137">
        <f>+'[4]3.SZ.TÁBL. SEGÍTŐ SZOLGÁLAT'!$T53</f>
        <v>189</v>
      </c>
      <c r="T54" s="140">
        <v>178</v>
      </c>
      <c r="U54" s="141">
        <f>+'[5]3.SZ.TÁBL. SEGÍTŐ SZOLGÁLAT'!$U53</f>
        <v>0</v>
      </c>
      <c r="V54" s="137">
        <f>+'[4]3.SZ.TÁBL. SEGÍTŐ SZOLGÁLAT'!$W53</f>
        <v>23</v>
      </c>
      <c r="W54" s="138">
        <v>23</v>
      </c>
      <c r="X54" s="143">
        <f t="shared" si="120"/>
        <v>0</v>
      </c>
      <c r="Y54" s="137">
        <f t="shared" si="121"/>
        <v>1866</v>
      </c>
      <c r="Z54" s="138">
        <f t="shared" si="122"/>
        <v>1754</v>
      </c>
    </row>
    <row r="55" spans="1:26" ht="13.5" customHeight="1">
      <c r="A55" s="131" t="s">
        <v>230</v>
      </c>
      <c r="B55" s="177" t="s">
        <v>231</v>
      </c>
      <c r="C55" s="141">
        <f>+'[5]3.SZ.TÁBL. SEGÍTŐ SZOLGÁLAT'!$C54</f>
        <v>0</v>
      </c>
      <c r="D55" s="137">
        <f>+'[4]3.SZ.TÁBL. SEGÍTŐ SZOLGÁLAT'!$E54</f>
        <v>0</v>
      </c>
      <c r="E55" s="142"/>
      <c r="F55" s="139">
        <f>+'[5]3.SZ.TÁBL. SEGÍTŐ SZOLGÁLAT'!$F54</f>
        <v>0</v>
      </c>
      <c r="G55" s="137">
        <f>+'[4]3.SZ.TÁBL. SEGÍTŐ SZOLGÁLAT'!$H54</f>
        <v>0</v>
      </c>
      <c r="H55" s="140"/>
      <c r="I55" s="141">
        <f>+'[5]3.SZ.TÁBL. SEGÍTŐ SZOLGÁLAT'!$I54</f>
        <v>0</v>
      </c>
      <c r="J55" s="137">
        <f>+'[4]3.SZ.TÁBL. SEGÍTŐ SZOLGÁLAT'!$K54</f>
        <v>0</v>
      </c>
      <c r="K55" s="142"/>
      <c r="L55" s="139">
        <f>+'[5]3.SZ.TÁBL. SEGÍTŐ SZOLGÁLAT'!$L54</f>
        <v>0</v>
      </c>
      <c r="M55" s="137">
        <f>+'[4]3.SZ.TÁBL. SEGÍTŐ SZOLGÁLAT'!$N54</f>
        <v>0</v>
      </c>
      <c r="N55" s="140"/>
      <c r="O55" s="141">
        <f>+'[5]3.SZ.TÁBL. SEGÍTŐ SZOLGÁLAT'!$O54</f>
        <v>0</v>
      </c>
      <c r="P55" s="137">
        <f>+'[4]3.SZ.TÁBL. SEGÍTŐ SZOLGÁLAT'!$Q54</f>
        <v>0</v>
      </c>
      <c r="Q55" s="142"/>
      <c r="R55" s="139">
        <f>+'[5]3.SZ.TÁBL. SEGÍTŐ SZOLGÁLAT'!$R54</f>
        <v>0</v>
      </c>
      <c r="S55" s="137">
        <f>+'[4]3.SZ.TÁBL. SEGÍTŐ SZOLGÁLAT'!$T54</f>
        <v>0</v>
      </c>
      <c r="T55" s="140"/>
      <c r="U55" s="141">
        <f>+'[5]3.SZ.TÁBL. SEGÍTŐ SZOLGÁLAT'!$U54</f>
        <v>0</v>
      </c>
      <c r="V55" s="137">
        <f>+'[4]3.SZ.TÁBL. SEGÍTŐ SZOLGÁLAT'!$W54</f>
        <v>0</v>
      </c>
      <c r="W55" s="138"/>
      <c r="X55" s="160">
        <f t="shared" si="120"/>
        <v>0</v>
      </c>
      <c r="Y55" s="156">
        <f t="shared" si="121"/>
        <v>0</v>
      </c>
      <c r="Z55" s="161">
        <f t="shared" si="122"/>
        <v>0</v>
      </c>
    </row>
    <row r="56" spans="1:26" s="235" customFormat="1" ht="13.5" customHeight="1">
      <c r="A56" s="132" t="s">
        <v>192</v>
      </c>
      <c r="B56" s="178" t="s">
        <v>150</v>
      </c>
      <c r="C56" s="233">
        <f>+SUM(C42:C54)</f>
        <v>3019</v>
      </c>
      <c r="D56" s="214">
        <f t="shared" ref="D56:E56" si="123">+SUM(D42:D54)</f>
        <v>3246</v>
      </c>
      <c r="E56" s="493">
        <f t="shared" si="123"/>
        <v>2561</v>
      </c>
      <c r="F56" s="214">
        <f>+SUM(F42:F54)</f>
        <v>12758</v>
      </c>
      <c r="G56" s="214">
        <f t="shared" ref="G56" si="124">+SUM(G42:G54)</f>
        <v>14422</v>
      </c>
      <c r="H56" s="643">
        <f t="shared" ref="H56" si="125">+SUM(H42:H54)</f>
        <v>10238</v>
      </c>
      <c r="I56" s="233">
        <f>+SUM(I42:I54)</f>
        <v>20859</v>
      </c>
      <c r="J56" s="214">
        <f t="shared" ref="J56" si="126">+SUM(J42:J54)</f>
        <v>23424</v>
      </c>
      <c r="K56" s="493">
        <f t="shared" ref="K56" si="127">+SUM(K42:K54)</f>
        <v>18041</v>
      </c>
      <c r="L56" s="214">
        <f>+SUM(L42:L54)</f>
        <v>7226</v>
      </c>
      <c r="M56" s="214">
        <f t="shared" ref="M56" si="128">+SUM(M42:M54)</f>
        <v>8496</v>
      </c>
      <c r="N56" s="643">
        <f t="shared" ref="N56" si="129">+SUM(N42:N54)</f>
        <v>6709</v>
      </c>
      <c r="O56" s="233">
        <f>+SUM(O42:O54)</f>
        <v>7333</v>
      </c>
      <c r="P56" s="214">
        <f t="shared" ref="P56" si="130">+SUM(P42:P54)</f>
        <v>8234</v>
      </c>
      <c r="Q56" s="493">
        <f t="shared" ref="Q56" si="131">+SUM(Q42:Q54)</f>
        <v>6420</v>
      </c>
      <c r="R56" s="214">
        <f>+SUM(R42:R54)</f>
        <v>1760</v>
      </c>
      <c r="S56" s="214">
        <f t="shared" ref="S56" si="132">+SUM(S42:S54)</f>
        <v>1020</v>
      </c>
      <c r="T56" s="643">
        <f t="shared" ref="T56" si="133">+SUM(T42:T54)</f>
        <v>688</v>
      </c>
      <c r="U56" s="233">
        <f>+SUM(U42:U54)</f>
        <v>2838</v>
      </c>
      <c r="V56" s="214">
        <f t="shared" ref="V56" si="134">+SUM(V42:V54)</f>
        <v>3158</v>
      </c>
      <c r="W56" s="645">
        <f t="shared" ref="W56" si="135">+SUM(W42:W54)</f>
        <v>2446</v>
      </c>
      <c r="X56" s="208">
        <f>+SUM(X42:X54)</f>
        <v>55793</v>
      </c>
      <c r="Y56" s="212">
        <f t="shared" ref="Y56:Z56" si="136">+SUM(Y42:Y54)</f>
        <v>62000</v>
      </c>
      <c r="Z56" s="213">
        <f t="shared" si="136"/>
        <v>47103</v>
      </c>
    </row>
    <row r="57" spans="1:26" ht="13.5" customHeight="1">
      <c r="A57" s="129" t="s">
        <v>232</v>
      </c>
      <c r="B57" s="175" t="s">
        <v>233</v>
      </c>
      <c r="C57" s="141">
        <f>+'[5]3.SZ.TÁBL. SEGÍTŐ SZOLGÁLAT'!$C56</f>
        <v>0</v>
      </c>
      <c r="D57" s="137">
        <f>+'[4]3.SZ.TÁBL. SEGÍTŐ SZOLGÁLAT'!$E56</f>
        <v>0</v>
      </c>
      <c r="E57" s="142"/>
      <c r="F57" s="139">
        <f>+'[5]3.SZ.TÁBL. SEGÍTŐ SZOLGÁLAT'!$F56</f>
        <v>0</v>
      </c>
      <c r="G57" s="137">
        <f>+'[4]3.SZ.TÁBL. SEGÍTŐ SZOLGÁLAT'!$H56</f>
        <v>0</v>
      </c>
      <c r="H57" s="140"/>
      <c r="I57" s="141">
        <f>+'[5]3.SZ.TÁBL. SEGÍTŐ SZOLGÁLAT'!$I56</f>
        <v>0</v>
      </c>
      <c r="J57" s="137">
        <f>+'[4]3.SZ.TÁBL. SEGÍTŐ SZOLGÁLAT'!$K56</f>
        <v>0</v>
      </c>
      <c r="K57" s="142"/>
      <c r="L57" s="139">
        <f>+'[5]3.SZ.TÁBL. SEGÍTŐ SZOLGÁLAT'!$L56</f>
        <v>0</v>
      </c>
      <c r="M57" s="137">
        <f>+'[4]3.SZ.TÁBL. SEGÍTŐ SZOLGÁLAT'!$N56</f>
        <v>0</v>
      </c>
      <c r="N57" s="140"/>
      <c r="O57" s="141">
        <f>+'[5]3.SZ.TÁBL. SEGÍTŐ SZOLGÁLAT'!$O56</f>
        <v>0</v>
      </c>
      <c r="P57" s="137">
        <f>+'[4]3.SZ.TÁBL. SEGÍTŐ SZOLGÁLAT'!$Q56</f>
        <v>0</v>
      </c>
      <c r="Q57" s="142"/>
      <c r="R57" s="139">
        <f>+'[5]3.SZ.TÁBL. SEGÍTŐ SZOLGÁLAT'!$R56</f>
        <v>0</v>
      </c>
      <c r="S57" s="137">
        <f>+'[4]3.SZ.TÁBL. SEGÍTŐ SZOLGÁLAT'!$T56</f>
        <v>0</v>
      </c>
      <c r="T57" s="140"/>
      <c r="U57" s="141">
        <f>+'[5]3.SZ.TÁBL. SEGÍTŐ SZOLGÁLAT'!$U56</f>
        <v>0</v>
      </c>
      <c r="V57" s="137">
        <f>+'[4]3.SZ.TÁBL. SEGÍTŐ SZOLGÁLAT'!$W56</f>
        <v>0</v>
      </c>
      <c r="W57" s="138"/>
      <c r="X57" s="150">
        <f t="shared" ref="X57:X59" si="137">+C57+F57+I57+L57+O57+R57+U57</f>
        <v>0</v>
      </c>
      <c r="Y57" s="146">
        <f t="shared" ref="Y57:Y59" si="138">+D57+G57+J57+M57+P57+S57+V57</f>
        <v>0</v>
      </c>
      <c r="Z57" s="151">
        <f t="shared" ref="Z57:Z59" si="139">+E57+H57+K57+N57+Q57+T57+W57</f>
        <v>0</v>
      </c>
    </row>
    <row r="58" spans="1:26" ht="13.5" customHeight="1">
      <c r="A58" s="130" t="s">
        <v>234</v>
      </c>
      <c r="B58" s="176" t="s">
        <v>235</v>
      </c>
      <c r="C58" s="141">
        <f>+'[5]3.SZ.TÁBL. SEGÍTŐ SZOLGÁLAT'!$C57</f>
        <v>0</v>
      </c>
      <c r="D58" s="137">
        <f>+'[4]3.SZ.TÁBL. SEGÍTŐ SZOLGÁLAT'!$E57</f>
        <v>0</v>
      </c>
      <c r="E58" s="142"/>
      <c r="F58" s="139">
        <f>+'[5]3.SZ.TÁBL. SEGÍTŐ SZOLGÁLAT'!$F57</f>
        <v>150</v>
      </c>
      <c r="G58" s="137">
        <f>+'[4]3.SZ.TÁBL. SEGÍTŐ SZOLGÁLAT'!$H57</f>
        <v>150</v>
      </c>
      <c r="H58" s="140"/>
      <c r="I58" s="141">
        <f>+'[5]3.SZ.TÁBL. SEGÍTŐ SZOLGÁLAT'!$I57</f>
        <v>100</v>
      </c>
      <c r="J58" s="137">
        <f>+'[4]3.SZ.TÁBL. SEGÍTŐ SZOLGÁLAT'!$K57</f>
        <v>100</v>
      </c>
      <c r="K58" s="142"/>
      <c r="L58" s="139">
        <f>+'[5]3.SZ.TÁBL. SEGÍTŐ SZOLGÁLAT'!$L57</f>
        <v>150</v>
      </c>
      <c r="M58" s="137">
        <f>+'[4]3.SZ.TÁBL. SEGÍTŐ SZOLGÁLAT'!$N57</f>
        <v>150</v>
      </c>
      <c r="N58" s="140"/>
      <c r="O58" s="141">
        <f>+'[5]3.SZ.TÁBL. SEGÍTŐ SZOLGÁLAT'!$O57</f>
        <v>0</v>
      </c>
      <c r="P58" s="137">
        <f>+'[4]3.SZ.TÁBL. SEGÍTŐ SZOLGÁLAT'!$Q57</f>
        <v>8</v>
      </c>
      <c r="Q58" s="142">
        <v>5</v>
      </c>
      <c r="R58" s="139">
        <f>+'[5]3.SZ.TÁBL. SEGÍTŐ SZOLGÁLAT'!$R57</f>
        <v>150</v>
      </c>
      <c r="S58" s="137">
        <f>+'[4]3.SZ.TÁBL. SEGÍTŐ SZOLGÁLAT'!$T57</f>
        <v>1000</v>
      </c>
      <c r="T58" s="140">
        <v>972</v>
      </c>
      <c r="U58" s="141">
        <f>+'[5]3.SZ.TÁBL. SEGÍTŐ SZOLGÁLAT'!$U57</f>
        <v>0</v>
      </c>
      <c r="V58" s="137">
        <f>+'[4]3.SZ.TÁBL. SEGÍTŐ SZOLGÁLAT'!$W57</f>
        <v>0</v>
      </c>
      <c r="W58" s="138"/>
      <c r="X58" s="143">
        <f t="shared" si="137"/>
        <v>550</v>
      </c>
      <c r="Y58" s="137">
        <f t="shared" si="138"/>
        <v>1408</v>
      </c>
      <c r="Z58" s="138">
        <f t="shared" si="139"/>
        <v>977</v>
      </c>
    </row>
    <row r="59" spans="1:26" ht="13.5" customHeight="1">
      <c r="A59" s="131" t="s">
        <v>236</v>
      </c>
      <c r="B59" s="177" t="s">
        <v>237</v>
      </c>
      <c r="C59" s="141">
        <f>+'[5]3.SZ.TÁBL. SEGÍTŐ SZOLGÁLAT'!$C58</f>
        <v>5</v>
      </c>
      <c r="D59" s="137">
        <f>+'[4]3.SZ.TÁBL. SEGÍTŐ SZOLGÁLAT'!$E58</f>
        <v>5</v>
      </c>
      <c r="E59" s="142">
        <v>1</v>
      </c>
      <c r="F59" s="139">
        <f>+'[5]3.SZ.TÁBL. SEGÍTŐ SZOLGÁLAT'!$F58</f>
        <v>25</v>
      </c>
      <c r="G59" s="137">
        <f>+'[4]3.SZ.TÁBL. SEGÍTŐ SZOLGÁLAT'!$H58</f>
        <v>25</v>
      </c>
      <c r="H59" s="140">
        <v>19</v>
      </c>
      <c r="I59" s="141">
        <f>+'[5]3.SZ.TÁBL. SEGÍTŐ SZOLGÁLAT'!$I58</f>
        <v>15</v>
      </c>
      <c r="J59" s="137">
        <f>+'[4]3.SZ.TÁBL. SEGÍTŐ SZOLGÁLAT'!$K58</f>
        <v>15</v>
      </c>
      <c r="K59" s="142"/>
      <c r="L59" s="139">
        <f>+'[5]3.SZ.TÁBL. SEGÍTŐ SZOLGÁLAT'!$L58</f>
        <v>50</v>
      </c>
      <c r="M59" s="137">
        <f>+'[4]3.SZ.TÁBL. SEGÍTŐ SZOLGÁLAT'!$N58</f>
        <v>50</v>
      </c>
      <c r="N59" s="140"/>
      <c r="O59" s="141">
        <f>+'[5]3.SZ.TÁBL. SEGÍTŐ SZOLGÁLAT'!$O58</f>
        <v>10</v>
      </c>
      <c r="P59" s="137">
        <f>+'[4]3.SZ.TÁBL. SEGÍTŐ SZOLGÁLAT'!$Q58</f>
        <v>10</v>
      </c>
      <c r="Q59" s="142">
        <v>1</v>
      </c>
      <c r="R59" s="139">
        <f>+'[5]3.SZ.TÁBL. SEGÍTŐ SZOLGÁLAT'!$R58</f>
        <v>0</v>
      </c>
      <c r="S59" s="137">
        <f>+'[4]3.SZ.TÁBL. SEGÍTŐ SZOLGÁLAT'!$T58</f>
        <v>0</v>
      </c>
      <c r="T59" s="140"/>
      <c r="U59" s="141">
        <f>+'[5]3.SZ.TÁBL. SEGÍTŐ SZOLGÁLAT'!$U58</f>
        <v>0</v>
      </c>
      <c r="V59" s="137">
        <f>+'[4]3.SZ.TÁBL. SEGÍTŐ SZOLGÁLAT'!$W58</f>
        <v>0</v>
      </c>
      <c r="W59" s="138"/>
      <c r="X59" s="160">
        <f t="shared" si="137"/>
        <v>105</v>
      </c>
      <c r="Y59" s="156">
        <f t="shared" si="138"/>
        <v>105</v>
      </c>
      <c r="Z59" s="161">
        <f t="shared" si="139"/>
        <v>21</v>
      </c>
    </row>
    <row r="60" spans="1:26" s="235" customFormat="1" ht="13.5" customHeight="1">
      <c r="A60" s="132" t="s">
        <v>193</v>
      </c>
      <c r="B60" s="178" t="s">
        <v>151</v>
      </c>
      <c r="C60" s="233">
        <f>SUM(C57:C59)</f>
        <v>5</v>
      </c>
      <c r="D60" s="214">
        <f t="shared" ref="D60:E60" si="140">SUM(D57:D59)</f>
        <v>5</v>
      </c>
      <c r="E60" s="493">
        <f t="shared" si="140"/>
        <v>1</v>
      </c>
      <c r="F60" s="214">
        <f>SUM(F57:F59)</f>
        <v>175</v>
      </c>
      <c r="G60" s="214">
        <f t="shared" ref="G60" si="141">SUM(G57:G59)</f>
        <v>175</v>
      </c>
      <c r="H60" s="643">
        <f t="shared" ref="H60" si="142">SUM(H57:H59)</f>
        <v>19</v>
      </c>
      <c r="I60" s="233">
        <f>SUM(I57:I59)</f>
        <v>115</v>
      </c>
      <c r="J60" s="214">
        <f t="shared" ref="J60" si="143">SUM(J57:J59)</f>
        <v>115</v>
      </c>
      <c r="K60" s="493">
        <f t="shared" ref="K60" si="144">SUM(K57:K59)</f>
        <v>0</v>
      </c>
      <c r="L60" s="214">
        <f>SUM(L57:L59)</f>
        <v>200</v>
      </c>
      <c r="M60" s="214">
        <f t="shared" ref="M60" si="145">SUM(M57:M59)</f>
        <v>200</v>
      </c>
      <c r="N60" s="643">
        <f t="shared" ref="N60" si="146">SUM(N57:N59)</f>
        <v>0</v>
      </c>
      <c r="O60" s="233">
        <f>SUM(O57:O59)</f>
        <v>10</v>
      </c>
      <c r="P60" s="214">
        <f t="shared" ref="P60" si="147">SUM(P57:P59)</f>
        <v>18</v>
      </c>
      <c r="Q60" s="493">
        <f t="shared" ref="Q60" si="148">SUM(Q57:Q59)</f>
        <v>6</v>
      </c>
      <c r="R60" s="214">
        <f>SUM(R57:R59)</f>
        <v>150</v>
      </c>
      <c r="S60" s="214">
        <f t="shared" ref="S60" si="149">SUM(S57:S59)</f>
        <v>1000</v>
      </c>
      <c r="T60" s="643">
        <f t="shared" ref="T60" si="150">SUM(T57:T59)</f>
        <v>972</v>
      </c>
      <c r="U60" s="233">
        <f>SUM(U57:U59)</f>
        <v>0</v>
      </c>
      <c r="V60" s="214">
        <f t="shared" ref="V60" si="151">SUM(V57:V59)</f>
        <v>0</v>
      </c>
      <c r="W60" s="645">
        <f t="shared" ref="W60" si="152">SUM(W57:W59)</f>
        <v>0</v>
      </c>
      <c r="X60" s="208">
        <f>SUM(X57:X59)</f>
        <v>655</v>
      </c>
      <c r="Y60" s="212">
        <f t="shared" ref="Y60:Z60" si="153">SUM(Y57:Y59)</f>
        <v>1513</v>
      </c>
      <c r="Z60" s="213">
        <f t="shared" si="153"/>
        <v>998</v>
      </c>
    </row>
    <row r="61" spans="1:26" s="235" customFormat="1" ht="13.5" customHeight="1">
      <c r="A61" s="132" t="s">
        <v>194</v>
      </c>
      <c r="B61" s="178" t="s">
        <v>152</v>
      </c>
      <c r="C61" s="233">
        <f>+C56+C60</f>
        <v>3024</v>
      </c>
      <c r="D61" s="214">
        <f t="shared" ref="D61" si="154">+D56+D60</f>
        <v>3251</v>
      </c>
      <c r="E61" s="493">
        <f>+E56+E60</f>
        <v>2562</v>
      </c>
      <c r="F61" s="214">
        <f>+F56+F60</f>
        <v>12933</v>
      </c>
      <c r="G61" s="214">
        <f t="shared" ref="G61" si="155">+G56+G60</f>
        <v>14597</v>
      </c>
      <c r="H61" s="643">
        <f t="shared" ref="H61" si="156">+H56+H60</f>
        <v>10257</v>
      </c>
      <c r="I61" s="233">
        <f>+I56+I60</f>
        <v>20974</v>
      </c>
      <c r="J61" s="214">
        <f t="shared" ref="J61" si="157">+J56+J60</f>
        <v>23539</v>
      </c>
      <c r="K61" s="493">
        <f t="shared" ref="K61" si="158">+K56+K60</f>
        <v>18041</v>
      </c>
      <c r="L61" s="214">
        <f>+L56+L60</f>
        <v>7426</v>
      </c>
      <c r="M61" s="214">
        <f t="shared" ref="M61" si="159">+M56+M60</f>
        <v>8696</v>
      </c>
      <c r="N61" s="643">
        <f t="shared" ref="N61" si="160">+N56+N60</f>
        <v>6709</v>
      </c>
      <c r="O61" s="233">
        <f>+O56+O60</f>
        <v>7343</v>
      </c>
      <c r="P61" s="214">
        <f t="shared" ref="P61" si="161">+P56+P60</f>
        <v>8252</v>
      </c>
      <c r="Q61" s="493">
        <f t="shared" ref="Q61" si="162">+Q56+Q60</f>
        <v>6426</v>
      </c>
      <c r="R61" s="214">
        <f>+R56+R60</f>
        <v>1910</v>
      </c>
      <c r="S61" s="214">
        <f t="shared" ref="S61" si="163">+S56+S60</f>
        <v>2020</v>
      </c>
      <c r="T61" s="643">
        <f t="shared" ref="T61" si="164">+T56+T60</f>
        <v>1660</v>
      </c>
      <c r="U61" s="233">
        <f>+U56+U60</f>
        <v>2838</v>
      </c>
      <c r="V61" s="214">
        <f t="shared" ref="V61" si="165">+V56+V60</f>
        <v>3158</v>
      </c>
      <c r="W61" s="645">
        <f t="shared" ref="W61" si="166">+W56+W60</f>
        <v>2446</v>
      </c>
      <c r="X61" s="208">
        <f>+X56+X60</f>
        <v>56448</v>
      </c>
      <c r="Y61" s="212">
        <f t="shared" ref="Y61:Z61" si="167">+Y56+Y60</f>
        <v>63513</v>
      </c>
      <c r="Z61" s="213">
        <f t="shared" si="167"/>
        <v>48101</v>
      </c>
    </row>
    <row r="62" spans="1:26" s="235" customFormat="1" ht="13.5" customHeight="1">
      <c r="A62" s="132" t="s">
        <v>195</v>
      </c>
      <c r="B62" s="178" t="s">
        <v>153</v>
      </c>
      <c r="C62" s="233">
        <f>+SUM(C63:C67)</f>
        <v>915</v>
      </c>
      <c r="D62" s="233">
        <f t="shared" ref="D62:E62" si="168">+SUM(D63:D67)</f>
        <v>970</v>
      </c>
      <c r="E62" s="495">
        <f t="shared" si="168"/>
        <v>662</v>
      </c>
      <c r="F62" s="214">
        <f>+SUM(F63:F67)</f>
        <v>3833</v>
      </c>
      <c r="G62" s="233">
        <f t="shared" ref="G62" si="169">+SUM(G63:G67)</f>
        <v>4282</v>
      </c>
      <c r="H62" s="644">
        <f t="shared" ref="H62" si="170">+SUM(H63:H67)</f>
        <v>2649</v>
      </c>
      <c r="I62" s="233">
        <f>+SUM(I63:I67)</f>
        <v>6535</v>
      </c>
      <c r="J62" s="233">
        <f t="shared" ref="J62" si="171">+SUM(J63:J67)</f>
        <v>7211</v>
      </c>
      <c r="K62" s="495">
        <f t="shared" ref="K62" si="172">+SUM(K63:K67)</f>
        <v>4800</v>
      </c>
      <c r="L62" s="214">
        <f>+SUM(L63:L67)</f>
        <v>2218</v>
      </c>
      <c r="M62" s="233">
        <f t="shared" ref="M62" si="173">+SUM(M63:M67)</f>
        <v>2546</v>
      </c>
      <c r="N62" s="644">
        <f t="shared" ref="N62" si="174">+SUM(N63:N67)</f>
        <v>1723</v>
      </c>
      <c r="O62" s="233">
        <f>+SUM(O63:O67)</f>
        <v>2142</v>
      </c>
      <c r="P62" s="233">
        <f t="shared" ref="P62" si="175">+SUM(P63:P67)</f>
        <v>2388</v>
      </c>
      <c r="Q62" s="495">
        <f t="shared" ref="Q62" si="176">+SUM(Q63:Q67)</f>
        <v>1656</v>
      </c>
      <c r="R62" s="214">
        <f>+SUM(R63:R67)</f>
        <v>582</v>
      </c>
      <c r="S62" s="233">
        <f t="shared" ref="S62" si="177">+SUM(S63:S67)</f>
        <v>655</v>
      </c>
      <c r="T62" s="644">
        <f t="shared" ref="T62" si="178">+SUM(T63:T67)</f>
        <v>542</v>
      </c>
      <c r="U62" s="233">
        <f>+SUM(U63:U67)</f>
        <v>924</v>
      </c>
      <c r="V62" s="233">
        <f t="shared" ref="V62" si="179">+SUM(V63:V67)</f>
        <v>985</v>
      </c>
      <c r="W62" s="647">
        <f t="shared" ref="W62" si="180">+SUM(W63:W67)</f>
        <v>662</v>
      </c>
      <c r="X62" s="208">
        <f>+SUM(X63:X67)</f>
        <v>17149</v>
      </c>
      <c r="Y62" s="212">
        <f t="shared" ref="Y62:Z62" si="181">+SUM(Y63:Y67)</f>
        <v>19037</v>
      </c>
      <c r="Z62" s="213">
        <f t="shared" si="181"/>
        <v>12694</v>
      </c>
    </row>
    <row r="63" spans="1:26" ht="13.5" customHeight="1">
      <c r="A63" s="133" t="s">
        <v>195</v>
      </c>
      <c r="B63" s="179" t="s">
        <v>296</v>
      </c>
      <c r="C63" s="141">
        <f>+'[5]3.SZ.TÁBL. SEGÍTŐ SZOLGÁLAT'!$C62</f>
        <v>788</v>
      </c>
      <c r="D63" s="137">
        <f>+'[4]3.SZ.TÁBL. SEGÍTŐ SZOLGÁLAT'!$E62</f>
        <v>843</v>
      </c>
      <c r="E63" s="142">
        <v>610</v>
      </c>
      <c r="F63" s="139">
        <f>+'[5]3.SZ.TÁBL. SEGÍTŐ SZOLGÁLAT'!$F62</f>
        <v>3366</v>
      </c>
      <c r="G63" s="137">
        <f>+'[4]3.SZ.TÁBL. SEGÍTŐ SZOLGÁLAT'!$H62</f>
        <v>3813</v>
      </c>
      <c r="H63" s="140">
        <v>2459</v>
      </c>
      <c r="I63" s="141">
        <f>+'[5]3.SZ.TÁBL. SEGÍTŐ SZOLGÁLAT'!$I62</f>
        <v>5391</v>
      </c>
      <c r="J63" s="137">
        <f>+'[4]3.SZ.TÁBL. SEGÍTŐ SZOLGÁLAT'!$K62</f>
        <v>6057</v>
      </c>
      <c r="K63" s="142">
        <v>4338</v>
      </c>
      <c r="L63" s="139">
        <f>+'[5]3.SZ.TÁBL. SEGÍTŐ SZOLGÁLAT'!$L62</f>
        <v>1903</v>
      </c>
      <c r="M63" s="137">
        <f>+'[4]3.SZ.TÁBL. SEGÍTŐ SZOLGÁLAT'!$N62</f>
        <v>2231</v>
      </c>
      <c r="N63" s="140">
        <v>1606</v>
      </c>
      <c r="O63" s="141">
        <f>+'[5]3.SZ.TÁBL. SEGÍTŐ SZOLGÁLAT'!$O62</f>
        <v>1848</v>
      </c>
      <c r="P63" s="137">
        <f>+'[4]3.SZ.TÁBL. SEGÍTŐ SZOLGÁLAT'!$Q62</f>
        <v>2094</v>
      </c>
      <c r="Q63" s="142">
        <v>1528</v>
      </c>
      <c r="R63" s="139">
        <f>+'[5]3.SZ.TÁBL. SEGÍTŐ SZOLGÁLAT'!$R62</f>
        <v>500</v>
      </c>
      <c r="S63" s="137">
        <f>+'[4]3.SZ.TÁBL. SEGÍTŐ SZOLGÁLAT'!$T62</f>
        <v>428</v>
      </c>
      <c r="T63" s="140">
        <v>341</v>
      </c>
      <c r="U63" s="141">
        <f>+'[5]3.SZ.TÁBL. SEGÍTŐ SZOLGÁLAT'!$U62</f>
        <v>739</v>
      </c>
      <c r="V63" s="137">
        <f>+'[4]3.SZ.TÁBL. SEGÍTŐ SZOLGÁLAT'!$W62</f>
        <v>814</v>
      </c>
      <c r="W63" s="138">
        <v>589</v>
      </c>
      <c r="X63" s="150">
        <f t="shared" ref="X63:X70" si="182">+C63+F63+I63+L63+O63+R63+U63</f>
        <v>14535</v>
      </c>
      <c r="Y63" s="146">
        <f t="shared" ref="Y63:Y70" si="183">+D63+G63+J63+M63+P63+S63+V63</f>
        <v>16280</v>
      </c>
      <c r="Z63" s="151">
        <f t="shared" ref="Z63:Z70" si="184">+E63+H63+K63+N63+Q63+T63+W63</f>
        <v>11471</v>
      </c>
    </row>
    <row r="64" spans="1:26" ht="13.5" customHeight="1">
      <c r="A64" s="134" t="s">
        <v>195</v>
      </c>
      <c r="B64" s="180" t="s">
        <v>297</v>
      </c>
      <c r="C64" s="141">
        <f>+'[5]3.SZ.TÁBL. SEGÍTŐ SZOLGÁLAT'!$C63</f>
        <v>92</v>
      </c>
      <c r="D64" s="137">
        <f>+'[4]3.SZ.TÁBL. SEGÍTŐ SZOLGÁLAT'!$E63</f>
        <v>92</v>
      </c>
      <c r="E64" s="142">
        <v>36</v>
      </c>
      <c r="F64" s="139">
        <f>+'[5]3.SZ.TÁBL. SEGÍTŐ SZOLGÁLAT'!$F63</f>
        <v>337</v>
      </c>
      <c r="G64" s="137">
        <f>+'[4]3.SZ.TÁBL. SEGÍTŐ SZOLGÁLAT'!$H63</f>
        <v>337</v>
      </c>
      <c r="H64" s="140">
        <v>130</v>
      </c>
      <c r="I64" s="141">
        <f>+'[5]3.SZ.TÁBL. SEGÍTŐ SZOLGÁLAT'!$I63</f>
        <v>858</v>
      </c>
      <c r="J64" s="137">
        <f>+'[4]3.SZ.TÁBL. SEGÍTŐ SZOLGÁLAT'!$K63</f>
        <v>858</v>
      </c>
      <c r="K64" s="142">
        <v>319</v>
      </c>
      <c r="L64" s="139">
        <f>+'[5]3.SZ.TÁBL. SEGÍTŐ SZOLGÁLAT'!$L63</f>
        <v>214</v>
      </c>
      <c r="M64" s="137">
        <f>+'[4]3.SZ.TÁBL. SEGÍTŐ SZOLGÁLAT'!$N63</f>
        <v>214</v>
      </c>
      <c r="N64" s="140">
        <v>80</v>
      </c>
      <c r="O64" s="141">
        <f>+'[5]3.SZ.TÁBL. SEGÍTŐ SZOLGÁLAT'!$O63</f>
        <v>214</v>
      </c>
      <c r="P64" s="137">
        <f>+'[4]3.SZ.TÁBL. SEGÍTŐ SZOLGÁLAT'!$Q63</f>
        <v>214</v>
      </c>
      <c r="Q64" s="142">
        <v>80</v>
      </c>
      <c r="R64" s="139">
        <f>+'[5]3.SZ.TÁBL. SEGÍTŐ SZOLGÁLAT'!$R63</f>
        <v>61</v>
      </c>
      <c r="S64" s="137">
        <f>+'[4]3.SZ.TÁBL. SEGÍTŐ SZOLGÁLAT'!$T63</f>
        <v>61</v>
      </c>
      <c r="T64" s="140">
        <v>21</v>
      </c>
      <c r="U64" s="141">
        <f>+'[5]3.SZ.TÁBL. SEGÍTŐ SZOLGÁLAT'!$U63</f>
        <v>153</v>
      </c>
      <c r="V64" s="137">
        <f>+'[4]3.SZ.TÁBL. SEGÍTŐ SZOLGÁLAT'!$W63</f>
        <v>139</v>
      </c>
      <c r="W64" s="138">
        <v>58</v>
      </c>
      <c r="X64" s="143">
        <f t="shared" si="182"/>
        <v>1929</v>
      </c>
      <c r="Y64" s="137">
        <f t="shared" si="183"/>
        <v>1915</v>
      </c>
      <c r="Z64" s="138">
        <f t="shared" si="184"/>
        <v>724</v>
      </c>
    </row>
    <row r="65" spans="1:26" ht="13.5" customHeight="1">
      <c r="A65" s="134" t="s">
        <v>195</v>
      </c>
      <c r="B65" s="180" t="s">
        <v>298</v>
      </c>
      <c r="C65" s="141">
        <f>+'[5]3.SZ.TÁBL. SEGÍTŐ SZOLGÁLAT'!$C64</f>
        <v>17</v>
      </c>
      <c r="D65" s="137">
        <f>+'[4]3.SZ.TÁBL. SEGÍTŐ SZOLGÁLAT'!$E64</f>
        <v>17</v>
      </c>
      <c r="E65" s="142">
        <v>7</v>
      </c>
      <c r="F65" s="139">
        <f>+'[5]3.SZ.TÁBL. SEGÍTŐ SZOLGÁLAT'!$F64</f>
        <v>63</v>
      </c>
      <c r="G65" s="137">
        <f>+'[4]3.SZ.TÁBL. SEGÍTŐ SZOLGÁLAT'!$H64</f>
        <v>63</v>
      </c>
      <c r="H65" s="140">
        <v>29</v>
      </c>
      <c r="I65" s="141">
        <f>+'[5]3.SZ.TÁBL. SEGÍTŐ SZOLGÁLAT'!$I64</f>
        <v>135</v>
      </c>
      <c r="J65" s="137">
        <f>+'[4]3.SZ.TÁBL. SEGÍTŐ SZOLGÁLAT'!$K64</f>
        <v>135</v>
      </c>
      <c r="K65" s="142">
        <v>62</v>
      </c>
      <c r="L65" s="139">
        <f>+'[5]3.SZ.TÁBL. SEGÍTŐ SZOLGÁLAT'!$L64</f>
        <v>51</v>
      </c>
      <c r="M65" s="137">
        <f>+'[4]3.SZ.TÁBL. SEGÍTŐ SZOLGÁLAT'!$N64</f>
        <v>51</v>
      </c>
      <c r="N65" s="140">
        <v>17</v>
      </c>
      <c r="O65" s="141">
        <f>+'[5]3.SZ.TÁBL. SEGÍTŐ SZOLGÁLAT'!$O64</f>
        <v>38</v>
      </c>
      <c r="P65" s="137">
        <f>+'[4]3.SZ.TÁBL. SEGÍTŐ SZOLGÁLAT'!$Q64</f>
        <v>38</v>
      </c>
      <c r="Q65" s="142">
        <v>18</v>
      </c>
      <c r="R65" s="139">
        <f>+'[5]3.SZ.TÁBL. SEGÍTŐ SZOLGÁLAT'!$R64</f>
        <v>10</v>
      </c>
      <c r="S65" s="137">
        <f>+'[4]3.SZ.TÁBL. SEGÍTŐ SZOLGÁLAT'!$T64</f>
        <v>10</v>
      </c>
      <c r="T65" s="140">
        <v>5</v>
      </c>
      <c r="U65" s="141">
        <f>+'[5]3.SZ.TÁBL. SEGÍTŐ SZOLGÁLAT'!$U64</f>
        <v>15</v>
      </c>
      <c r="V65" s="137">
        <f>+'[4]3.SZ.TÁBL. SEGÍTŐ SZOLGÁLAT'!$W64</f>
        <v>15</v>
      </c>
      <c r="W65" s="138">
        <v>7</v>
      </c>
      <c r="X65" s="143">
        <f t="shared" si="182"/>
        <v>329</v>
      </c>
      <c r="Y65" s="137">
        <f t="shared" si="183"/>
        <v>329</v>
      </c>
      <c r="Z65" s="138">
        <f t="shared" si="184"/>
        <v>145</v>
      </c>
    </row>
    <row r="66" spans="1:26" ht="13.5" customHeight="1">
      <c r="A66" s="134" t="s">
        <v>195</v>
      </c>
      <c r="B66" s="107" t="s">
        <v>429</v>
      </c>
      <c r="C66" s="141">
        <f>+'[5]3.SZ.TÁBL. SEGÍTŐ SZOLGÁLAT'!$C65</f>
        <v>0</v>
      </c>
      <c r="D66" s="137">
        <f>+'[4]3.SZ.TÁBL. SEGÍTŐ SZOLGÁLAT'!$E65</f>
        <v>0</v>
      </c>
      <c r="E66" s="142"/>
      <c r="F66" s="139">
        <f>+'[5]3.SZ.TÁBL. SEGÍTŐ SZOLGÁLAT'!$F65</f>
        <v>0</v>
      </c>
      <c r="G66" s="137">
        <f>+'[4]3.SZ.TÁBL. SEGÍTŐ SZOLGÁLAT'!$H65</f>
        <v>2</v>
      </c>
      <c r="H66" s="140">
        <v>2</v>
      </c>
      <c r="I66" s="141">
        <f>+'[5]3.SZ.TÁBL. SEGÍTŐ SZOLGÁLAT'!$I65</f>
        <v>0</v>
      </c>
      <c r="J66" s="137">
        <f>+'[4]3.SZ.TÁBL. SEGÍTŐ SZOLGÁLAT'!$K65</f>
        <v>10</v>
      </c>
      <c r="K66" s="142">
        <v>10</v>
      </c>
      <c r="L66" s="139">
        <f>+'[5]3.SZ.TÁBL. SEGÍTŐ SZOLGÁLAT'!$L65</f>
        <v>0</v>
      </c>
      <c r="M66" s="137">
        <f>+'[4]3.SZ.TÁBL. SEGÍTŐ SZOLGÁLAT'!$N65</f>
        <v>0</v>
      </c>
      <c r="N66" s="140"/>
      <c r="O66" s="141">
        <f>+'[5]3.SZ.TÁBL. SEGÍTŐ SZOLGÁLAT'!$O65</f>
        <v>0</v>
      </c>
      <c r="P66" s="137">
        <f>+'[4]3.SZ.TÁBL. SEGÍTŐ SZOLGÁLAT'!$Q65</f>
        <v>0</v>
      </c>
      <c r="Q66" s="142">
        <v>10</v>
      </c>
      <c r="R66" s="139">
        <f>+'[5]3.SZ.TÁBL. SEGÍTŐ SZOLGÁLAT'!$R65</f>
        <v>0</v>
      </c>
      <c r="S66" s="137">
        <f>+'[4]3.SZ.TÁBL. SEGÍTŐ SZOLGÁLAT'!$T65</f>
        <v>145</v>
      </c>
      <c r="T66" s="140">
        <v>169</v>
      </c>
      <c r="U66" s="141">
        <f>+'[5]3.SZ.TÁBL. SEGÍTŐ SZOLGÁLAT'!$U65</f>
        <v>0</v>
      </c>
      <c r="V66" s="137">
        <f>+'[4]3.SZ.TÁBL. SEGÍTŐ SZOLGÁLAT'!$W65</f>
        <v>0</v>
      </c>
      <c r="W66" s="138"/>
      <c r="X66" s="143">
        <f t="shared" si="182"/>
        <v>0</v>
      </c>
      <c r="Y66" s="137">
        <f t="shared" si="183"/>
        <v>157</v>
      </c>
      <c r="Z66" s="138">
        <f t="shared" si="184"/>
        <v>191</v>
      </c>
    </row>
    <row r="67" spans="1:26" ht="13.5" customHeight="1">
      <c r="A67" s="134" t="s">
        <v>195</v>
      </c>
      <c r="B67" s="180" t="s">
        <v>299</v>
      </c>
      <c r="C67" s="141">
        <f>+'[5]3.SZ.TÁBL. SEGÍTŐ SZOLGÁLAT'!$C66</f>
        <v>18</v>
      </c>
      <c r="D67" s="137">
        <f>+'[4]3.SZ.TÁBL. SEGÍTŐ SZOLGÁLAT'!$E66</f>
        <v>18</v>
      </c>
      <c r="E67" s="142">
        <v>9</v>
      </c>
      <c r="F67" s="139">
        <f>+'[5]3.SZ.TÁBL. SEGÍTŐ SZOLGÁLAT'!$F66</f>
        <v>67</v>
      </c>
      <c r="G67" s="137">
        <f>+'[4]3.SZ.TÁBL. SEGÍTŐ SZOLGÁLAT'!$H66</f>
        <v>67</v>
      </c>
      <c r="H67" s="140">
        <v>29</v>
      </c>
      <c r="I67" s="141">
        <f>+'[5]3.SZ.TÁBL. SEGÍTŐ SZOLGÁLAT'!$I66</f>
        <v>151</v>
      </c>
      <c r="J67" s="137">
        <f>+'[4]3.SZ.TÁBL. SEGÍTŐ SZOLGÁLAT'!$K66</f>
        <v>151</v>
      </c>
      <c r="K67" s="142">
        <v>71</v>
      </c>
      <c r="L67" s="139">
        <f>+'[5]3.SZ.TÁBL. SEGÍTŐ SZOLGÁLAT'!$L66</f>
        <v>50</v>
      </c>
      <c r="M67" s="137">
        <f>+'[4]3.SZ.TÁBL. SEGÍTŐ SZOLGÁLAT'!$N66</f>
        <v>50</v>
      </c>
      <c r="N67" s="140">
        <v>20</v>
      </c>
      <c r="O67" s="141">
        <f>+'[5]3.SZ.TÁBL. SEGÍTŐ SZOLGÁLAT'!$O66</f>
        <v>42</v>
      </c>
      <c r="P67" s="137">
        <f>+'[4]3.SZ.TÁBL. SEGÍTŐ SZOLGÁLAT'!$Q66</f>
        <v>42</v>
      </c>
      <c r="Q67" s="142">
        <v>20</v>
      </c>
      <c r="R67" s="139">
        <f>+'[5]3.SZ.TÁBL. SEGÍTŐ SZOLGÁLAT'!$R66</f>
        <v>11</v>
      </c>
      <c r="S67" s="137">
        <f>+'[4]3.SZ.TÁBL. SEGÍTŐ SZOLGÁLAT'!$T66</f>
        <v>11</v>
      </c>
      <c r="T67" s="140">
        <v>6</v>
      </c>
      <c r="U67" s="141">
        <f>+'[5]3.SZ.TÁBL. SEGÍTŐ SZOLGÁLAT'!$U66</f>
        <v>17</v>
      </c>
      <c r="V67" s="137">
        <f>+'[4]3.SZ.TÁBL. SEGÍTŐ SZOLGÁLAT'!$W66</f>
        <v>17</v>
      </c>
      <c r="W67" s="138">
        <v>8</v>
      </c>
      <c r="X67" s="143">
        <f t="shared" si="182"/>
        <v>356</v>
      </c>
      <c r="Y67" s="137">
        <f t="shared" si="183"/>
        <v>356</v>
      </c>
      <c r="Z67" s="138">
        <f t="shared" si="184"/>
        <v>163</v>
      </c>
    </row>
    <row r="68" spans="1:26" ht="13.5" customHeight="1">
      <c r="A68" s="129" t="s">
        <v>238</v>
      </c>
      <c r="B68" s="175" t="s">
        <v>239</v>
      </c>
      <c r="C68" s="141">
        <f>+'[5]3.SZ.TÁBL. SEGÍTŐ SZOLGÁLAT'!$C67</f>
        <v>13</v>
      </c>
      <c r="D68" s="137">
        <f>+'[4]3.SZ.TÁBL. SEGÍTŐ SZOLGÁLAT'!$E67</f>
        <v>23</v>
      </c>
      <c r="E68" s="142">
        <v>25</v>
      </c>
      <c r="F68" s="139">
        <f>+'[5]3.SZ.TÁBL. SEGÍTŐ SZOLGÁLAT'!$F67</f>
        <v>8</v>
      </c>
      <c r="G68" s="137">
        <f>+'[4]3.SZ.TÁBL. SEGÍTŐ SZOLGÁLAT'!$H67</f>
        <v>24</v>
      </c>
      <c r="H68" s="140">
        <v>18</v>
      </c>
      <c r="I68" s="141">
        <f>+'[5]3.SZ.TÁBL. SEGÍTŐ SZOLGÁLAT'!$I67</f>
        <v>0</v>
      </c>
      <c r="J68" s="137">
        <f>+'[4]3.SZ.TÁBL. SEGÍTŐ SZOLGÁLAT'!$K67</f>
        <v>0</v>
      </c>
      <c r="K68" s="142"/>
      <c r="L68" s="139">
        <f>+'[5]3.SZ.TÁBL. SEGÍTŐ SZOLGÁLAT'!$L67</f>
        <v>0</v>
      </c>
      <c r="M68" s="137">
        <f>+'[4]3.SZ.TÁBL. SEGÍTŐ SZOLGÁLAT'!$N67</f>
        <v>4</v>
      </c>
      <c r="N68" s="140">
        <v>4</v>
      </c>
      <c r="O68" s="141">
        <f>+'[5]3.SZ.TÁBL. SEGÍTŐ SZOLGÁLAT'!$O67</f>
        <v>0</v>
      </c>
      <c r="P68" s="137">
        <f>+'[4]3.SZ.TÁBL. SEGÍTŐ SZOLGÁLAT'!$Q67</f>
        <v>0</v>
      </c>
      <c r="Q68" s="142"/>
      <c r="R68" s="139">
        <f>+'[5]3.SZ.TÁBL. SEGÍTŐ SZOLGÁLAT'!$R67</f>
        <v>0</v>
      </c>
      <c r="S68" s="137">
        <f>+'[4]3.SZ.TÁBL. SEGÍTŐ SZOLGÁLAT'!$T67</f>
        <v>0</v>
      </c>
      <c r="T68" s="140"/>
      <c r="U68" s="141">
        <f>+'[5]3.SZ.TÁBL. SEGÍTŐ SZOLGÁLAT'!$U67</f>
        <v>17</v>
      </c>
      <c r="V68" s="137">
        <f>+'[4]3.SZ.TÁBL. SEGÍTŐ SZOLGÁLAT'!$W67</f>
        <v>17</v>
      </c>
      <c r="W68" s="138"/>
      <c r="X68" s="150">
        <f t="shared" si="182"/>
        <v>38</v>
      </c>
      <c r="Y68" s="146">
        <f t="shared" si="183"/>
        <v>68</v>
      </c>
      <c r="Z68" s="151">
        <f t="shared" si="184"/>
        <v>47</v>
      </c>
    </row>
    <row r="69" spans="1:26" ht="15.75" customHeight="1">
      <c r="A69" s="130" t="s">
        <v>240</v>
      </c>
      <c r="B69" s="176" t="s">
        <v>420</v>
      </c>
      <c r="C69" s="141">
        <f>+'[5]3.SZ.TÁBL. SEGÍTŐ SZOLGÁLAT'!$C68</f>
        <v>421</v>
      </c>
      <c r="D69" s="137">
        <f>+'[4]3.SZ.TÁBL. SEGÍTŐ SZOLGÁLAT'!$E68</f>
        <v>378</v>
      </c>
      <c r="E69" s="142">
        <v>253</v>
      </c>
      <c r="F69" s="139">
        <f>+'[5]3.SZ.TÁBL. SEGÍTŐ SZOLGÁLAT'!$F68</f>
        <v>60</v>
      </c>
      <c r="G69" s="137">
        <f>+'[4]3.SZ.TÁBL. SEGÍTŐ SZOLGÁLAT'!$H68</f>
        <v>60</v>
      </c>
      <c r="H69" s="140">
        <v>63</v>
      </c>
      <c r="I69" s="141">
        <f>+'[5]3.SZ.TÁBL. SEGÍTŐ SZOLGÁLAT'!$I68</f>
        <v>415</v>
      </c>
      <c r="J69" s="137">
        <f>+'[4]3.SZ.TÁBL. SEGÍTŐ SZOLGÁLAT'!$K68</f>
        <v>395</v>
      </c>
      <c r="K69" s="142">
        <v>223</v>
      </c>
      <c r="L69" s="139">
        <f>+'[5]3.SZ.TÁBL. SEGÍTŐ SZOLGÁLAT'!$L68</f>
        <v>60</v>
      </c>
      <c r="M69" s="137">
        <f>+'[4]3.SZ.TÁBL. SEGÍTŐ SZOLGÁLAT'!$N68</f>
        <v>56</v>
      </c>
      <c r="N69" s="140">
        <v>37</v>
      </c>
      <c r="O69" s="141">
        <f>+'[5]3.SZ.TÁBL. SEGÍTŐ SZOLGÁLAT'!$O68</f>
        <v>1175</v>
      </c>
      <c r="P69" s="137">
        <f>+'[4]3.SZ.TÁBL. SEGÍTŐ SZOLGÁLAT'!$Q68</f>
        <v>1091</v>
      </c>
      <c r="Q69" s="142">
        <v>521</v>
      </c>
      <c r="R69" s="139">
        <f>+'[5]3.SZ.TÁBL. SEGÍTŐ SZOLGÁLAT'!$R68</f>
        <v>1222</v>
      </c>
      <c r="S69" s="137">
        <f>+'[4]3.SZ.TÁBL. SEGÍTŐ SZOLGÁLAT'!$T68</f>
        <v>1102</v>
      </c>
      <c r="T69" s="140">
        <v>767</v>
      </c>
      <c r="U69" s="141">
        <f>+'[5]3.SZ.TÁBL. SEGÍTŐ SZOLGÁLAT'!$U68</f>
        <v>30</v>
      </c>
      <c r="V69" s="137">
        <f>+'[4]3.SZ.TÁBL. SEGÍTŐ SZOLGÁLAT'!$W68</f>
        <v>30</v>
      </c>
      <c r="W69" s="138">
        <v>5</v>
      </c>
      <c r="X69" s="143">
        <f t="shared" si="182"/>
        <v>3383</v>
      </c>
      <c r="Y69" s="137">
        <f t="shared" si="183"/>
        <v>3112</v>
      </c>
      <c r="Z69" s="138">
        <f t="shared" si="184"/>
        <v>1869</v>
      </c>
    </row>
    <row r="70" spans="1:26" ht="13.5" customHeight="1">
      <c r="A70" s="131" t="s">
        <v>242</v>
      </c>
      <c r="B70" s="177" t="s">
        <v>243</v>
      </c>
      <c r="C70" s="141">
        <f>+'[5]3.SZ.TÁBL. SEGÍTŐ SZOLGÁLAT'!$C69</f>
        <v>0</v>
      </c>
      <c r="D70" s="137">
        <f>+'[4]3.SZ.TÁBL. SEGÍTŐ SZOLGÁLAT'!$E69</f>
        <v>0</v>
      </c>
      <c r="E70" s="142"/>
      <c r="F70" s="139">
        <f>+'[5]3.SZ.TÁBL. SEGÍTŐ SZOLGÁLAT'!$F69</f>
        <v>0</v>
      </c>
      <c r="G70" s="137">
        <f>+'[4]3.SZ.TÁBL. SEGÍTŐ SZOLGÁLAT'!$H69</f>
        <v>0</v>
      </c>
      <c r="H70" s="140"/>
      <c r="I70" s="141">
        <f>+'[5]3.SZ.TÁBL. SEGÍTŐ SZOLGÁLAT'!$I69</f>
        <v>0</v>
      </c>
      <c r="J70" s="137">
        <f>+'[4]3.SZ.TÁBL. SEGÍTŐ SZOLGÁLAT'!$K69</f>
        <v>0</v>
      </c>
      <c r="K70" s="142"/>
      <c r="L70" s="139">
        <f>+'[5]3.SZ.TÁBL. SEGÍTŐ SZOLGÁLAT'!$L69</f>
        <v>0</v>
      </c>
      <c r="M70" s="137">
        <f>+'[4]3.SZ.TÁBL. SEGÍTŐ SZOLGÁLAT'!$N69</f>
        <v>0</v>
      </c>
      <c r="N70" s="140"/>
      <c r="O70" s="141">
        <f>+'[5]3.SZ.TÁBL. SEGÍTŐ SZOLGÁLAT'!$O69</f>
        <v>0</v>
      </c>
      <c r="P70" s="137">
        <f>+'[4]3.SZ.TÁBL. SEGÍTŐ SZOLGÁLAT'!$Q69</f>
        <v>0</v>
      </c>
      <c r="Q70" s="142"/>
      <c r="R70" s="139">
        <f>+'[5]3.SZ.TÁBL. SEGÍTŐ SZOLGÁLAT'!$R69</f>
        <v>0</v>
      </c>
      <c r="S70" s="137">
        <f>+'[4]3.SZ.TÁBL. SEGÍTŐ SZOLGÁLAT'!$T69</f>
        <v>0</v>
      </c>
      <c r="T70" s="140"/>
      <c r="U70" s="141">
        <f>+'[5]3.SZ.TÁBL. SEGÍTŐ SZOLGÁLAT'!$U69</f>
        <v>0</v>
      </c>
      <c r="V70" s="137">
        <f>+'[4]3.SZ.TÁBL. SEGÍTŐ SZOLGÁLAT'!$W69</f>
        <v>0</v>
      </c>
      <c r="W70" s="138"/>
      <c r="X70" s="160">
        <f t="shared" si="182"/>
        <v>0</v>
      </c>
      <c r="Y70" s="156">
        <f t="shared" si="183"/>
        <v>0</v>
      </c>
      <c r="Z70" s="161">
        <f t="shared" si="184"/>
        <v>0</v>
      </c>
    </row>
    <row r="71" spans="1:26" s="235" customFormat="1" ht="13.5" customHeight="1">
      <c r="A71" s="132" t="s">
        <v>196</v>
      </c>
      <c r="B71" s="178" t="s">
        <v>154</v>
      </c>
      <c r="C71" s="233">
        <f>SUM(C68:C70)</f>
        <v>434</v>
      </c>
      <c r="D71" s="214">
        <f t="shared" ref="D71:E71" si="185">SUM(D68:D70)</f>
        <v>401</v>
      </c>
      <c r="E71" s="493">
        <f t="shared" si="185"/>
        <v>278</v>
      </c>
      <c r="F71" s="214">
        <f>SUM(F68:F70)</f>
        <v>68</v>
      </c>
      <c r="G71" s="214">
        <f t="shared" ref="G71" si="186">SUM(G68:G70)</f>
        <v>84</v>
      </c>
      <c r="H71" s="643">
        <f t="shared" ref="H71" si="187">SUM(H68:H70)</f>
        <v>81</v>
      </c>
      <c r="I71" s="233">
        <f>SUM(I68:I70)</f>
        <v>415</v>
      </c>
      <c r="J71" s="214">
        <f t="shared" ref="J71" si="188">SUM(J68:J70)</f>
        <v>395</v>
      </c>
      <c r="K71" s="493">
        <f t="shared" ref="K71" si="189">SUM(K68:K70)</f>
        <v>223</v>
      </c>
      <c r="L71" s="214">
        <f>SUM(L68:L70)</f>
        <v>60</v>
      </c>
      <c r="M71" s="214">
        <f t="shared" ref="M71" si="190">SUM(M68:M70)</f>
        <v>60</v>
      </c>
      <c r="N71" s="643">
        <f t="shared" ref="N71" si="191">SUM(N68:N70)</f>
        <v>41</v>
      </c>
      <c r="O71" s="233">
        <f>SUM(O68:O70)</f>
        <v>1175</v>
      </c>
      <c r="P71" s="214">
        <f t="shared" ref="P71" si="192">SUM(P68:P70)</f>
        <v>1091</v>
      </c>
      <c r="Q71" s="493">
        <f t="shared" ref="Q71" si="193">SUM(Q68:Q70)</f>
        <v>521</v>
      </c>
      <c r="R71" s="214">
        <f>SUM(R68:R70)</f>
        <v>1222</v>
      </c>
      <c r="S71" s="214">
        <f t="shared" ref="S71" si="194">SUM(S68:S70)</f>
        <v>1102</v>
      </c>
      <c r="T71" s="643">
        <f t="shared" ref="T71" si="195">SUM(T68:T70)</f>
        <v>767</v>
      </c>
      <c r="U71" s="233">
        <f>SUM(U68:U70)</f>
        <v>47</v>
      </c>
      <c r="V71" s="214">
        <f t="shared" ref="V71" si="196">SUM(V68:V70)</f>
        <v>47</v>
      </c>
      <c r="W71" s="645">
        <f t="shared" ref="W71" si="197">SUM(W68:W70)</f>
        <v>5</v>
      </c>
      <c r="X71" s="208">
        <f>SUM(X68:X70)</f>
        <v>3421</v>
      </c>
      <c r="Y71" s="212">
        <f t="shared" ref="Y71:Z71" si="198">SUM(Y68:Y70)</f>
        <v>3180</v>
      </c>
      <c r="Z71" s="213">
        <f t="shared" si="198"/>
        <v>1916</v>
      </c>
    </row>
    <row r="72" spans="1:26" ht="13.5" customHeight="1">
      <c r="A72" s="129" t="s">
        <v>244</v>
      </c>
      <c r="B72" s="175" t="s">
        <v>245</v>
      </c>
      <c r="C72" s="141">
        <f>+'[5]3.SZ.TÁBL. SEGÍTŐ SZOLGÁLAT'!$C71</f>
        <v>0</v>
      </c>
      <c r="D72" s="137">
        <f>+'[4]3.SZ.TÁBL. SEGÍTŐ SZOLGÁLAT'!$E71</f>
        <v>0</v>
      </c>
      <c r="E72" s="142"/>
      <c r="F72" s="139">
        <f>+'[5]3.SZ.TÁBL. SEGÍTŐ SZOLGÁLAT'!$F71</f>
        <v>0</v>
      </c>
      <c r="G72" s="137">
        <f>+'[4]3.SZ.TÁBL. SEGÍTŐ SZOLGÁLAT'!$H71</f>
        <v>0</v>
      </c>
      <c r="H72" s="140"/>
      <c r="I72" s="141">
        <f>+'[5]3.SZ.TÁBL. SEGÍTŐ SZOLGÁLAT'!$I71</f>
        <v>0</v>
      </c>
      <c r="J72" s="137">
        <f>+'[4]3.SZ.TÁBL. SEGÍTŐ SZOLGÁLAT'!$K71</f>
        <v>0</v>
      </c>
      <c r="K72" s="142"/>
      <c r="L72" s="139">
        <f>+'[5]3.SZ.TÁBL. SEGÍTŐ SZOLGÁLAT'!$L71</f>
        <v>300</v>
      </c>
      <c r="M72" s="137">
        <f>+'[4]3.SZ.TÁBL. SEGÍTŐ SZOLGÁLAT'!$N71</f>
        <v>300</v>
      </c>
      <c r="N72" s="140">
        <v>225</v>
      </c>
      <c r="O72" s="141">
        <f>+'[5]3.SZ.TÁBL. SEGÍTŐ SZOLGÁLAT'!$O71</f>
        <v>0</v>
      </c>
      <c r="P72" s="137">
        <f>+'[4]3.SZ.TÁBL. SEGÍTŐ SZOLGÁLAT'!$Q71</f>
        <v>0</v>
      </c>
      <c r="Q72" s="142"/>
      <c r="R72" s="139">
        <f>+'[5]3.SZ.TÁBL. SEGÍTŐ SZOLGÁLAT'!$R71</f>
        <v>0</v>
      </c>
      <c r="S72" s="137">
        <f>+'[4]3.SZ.TÁBL. SEGÍTŐ SZOLGÁLAT'!$T71</f>
        <v>0</v>
      </c>
      <c r="T72" s="140"/>
      <c r="U72" s="141">
        <f>+'[5]3.SZ.TÁBL. SEGÍTŐ SZOLGÁLAT'!$U71</f>
        <v>0</v>
      </c>
      <c r="V72" s="137">
        <f>+'[4]3.SZ.TÁBL. SEGÍTŐ SZOLGÁLAT'!$W71</f>
        <v>0</v>
      </c>
      <c r="W72" s="138"/>
      <c r="X72" s="150">
        <f t="shared" ref="X72:X73" si="199">+C72+F72+I72+L72+O72+R72+U72</f>
        <v>300</v>
      </c>
      <c r="Y72" s="146">
        <f t="shared" ref="Y72:Y73" si="200">+D72+G72+J72+M72+P72+S72+V72</f>
        <v>300</v>
      </c>
      <c r="Z72" s="151">
        <f t="shared" ref="Z72:Z73" si="201">+E72+H72+K72+N72+Q72+T72+W72</f>
        <v>225</v>
      </c>
    </row>
    <row r="73" spans="1:26" ht="13.5" customHeight="1">
      <c r="A73" s="131" t="s">
        <v>246</v>
      </c>
      <c r="B73" s="177" t="s">
        <v>247</v>
      </c>
      <c r="C73" s="141">
        <f>+'[5]3.SZ.TÁBL. SEGÍTŐ SZOLGÁLAT'!$C72</f>
        <v>50</v>
      </c>
      <c r="D73" s="137">
        <f>+'[4]3.SZ.TÁBL. SEGÍTŐ SZOLGÁLAT'!$E72</f>
        <v>50</v>
      </c>
      <c r="E73" s="142">
        <v>38</v>
      </c>
      <c r="F73" s="139">
        <f>+'[5]3.SZ.TÁBL. SEGÍTŐ SZOLGÁLAT'!$F72</f>
        <v>154</v>
      </c>
      <c r="G73" s="137">
        <f>+'[4]3.SZ.TÁBL. SEGÍTŐ SZOLGÁLAT'!$H72</f>
        <v>154</v>
      </c>
      <c r="H73" s="140">
        <v>102</v>
      </c>
      <c r="I73" s="141">
        <f>+'[5]3.SZ.TÁBL. SEGÍTŐ SZOLGÁLAT'!$I72</f>
        <v>52</v>
      </c>
      <c r="J73" s="137">
        <f>+'[4]3.SZ.TÁBL. SEGÍTŐ SZOLGÁLAT'!$K72</f>
        <v>52</v>
      </c>
      <c r="K73" s="142">
        <v>40</v>
      </c>
      <c r="L73" s="139">
        <f>+'[5]3.SZ.TÁBL. SEGÍTŐ SZOLGÁLAT'!$L72</f>
        <v>140</v>
      </c>
      <c r="M73" s="137">
        <f>+'[4]3.SZ.TÁBL. SEGÍTŐ SZOLGÁLAT'!$N72</f>
        <v>140</v>
      </c>
      <c r="N73" s="140">
        <v>101</v>
      </c>
      <c r="O73" s="141">
        <f>+'[5]3.SZ.TÁBL. SEGÍTŐ SZOLGÁLAT'!$O72</f>
        <v>76</v>
      </c>
      <c r="P73" s="137">
        <f>+'[4]3.SZ.TÁBL. SEGÍTŐ SZOLGÁLAT'!$Q72</f>
        <v>76</v>
      </c>
      <c r="Q73" s="142">
        <v>58</v>
      </c>
      <c r="R73" s="139">
        <f>+'[5]3.SZ.TÁBL. SEGÍTŐ SZOLGÁLAT'!$R72</f>
        <v>12</v>
      </c>
      <c r="S73" s="137">
        <f>+'[4]3.SZ.TÁBL. SEGÍTŐ SZOLGÁLAT'!$T72</f>
        <v>12</v>
      </c>
      <c r="T73" s="140">
        <v>2</v>
      </c>
      <c r="U73" s="141">
        <f>+'[5]3.SZ.TÁBL. SEGÍTŐ SZOLGÁLAT'!$U72</f>
        <v>50</v>
      </c>
      <c r="V73" s="137">
        <f>+'[4]3.SZ.TÁBL. SEGÍTŐ SZOLGÁLAT'!$W72</f>
        <v>50</v>
      </c>
      <c r="W73" s="138">
        <v>38</v>
      </c>
      <c r="X73" s="160">
        <f t="shared" si="199"/>
        <v>534</v>
      </c>
      <c r="Y73" s="156">
        <f t="shared" si="200"/>
        <v>534</v>
      </c>
      <c r="Z73" s="161">
        <f t="shared" si="201"/>
        <v>379</v>
      </c>
    </row>
    <row r="74" spans="1:26" s="235" customFormat="1" ht="13.5" customHeight="1">
      <c r="A74" s="132" t="s">
        <v>197</v>
      </c>
      <c r="B74" s="178" t="s">
        <v>155</v>
      </c>
      <c r="C74" s="233">
        <f>SUM(C72:C73)</f>
        <v>50</v>
      </c>
      <c r="D74" s="214">
        <f t="shared" ref="D74:E74" si="202">SUM(D72:D73)</f>
        <v>50</v>
      </c>
      <c r="E74" s="493">
        <f t="shared" si="202"/>
        <v>38</v>
      </c>
      <c r="F74" s="214">
        <f>SUM(F72:F73)</f>
        <v>154</v>
      </c>
      <c r="G74" s="214">
        <f t="shared" ref="G74" si="203">SUM(G72:G73)</f>
        <v>154</v>
      </c>
      <c r="H74" s="643">
        <f t="shared" ref="H74" si="204">SUM(H72:H73)</f>
        <v>102</v>
      </c>
      <c r="I74" s="233">
        <f>SUM(I72:I73)</f>
        <v>52</v>
      </c>
      <c r="J74" s="214">
        <f t="shared" ref="J74" si="205">SUM(J72:J73)</f>
        <v>52</v>
      </c>
      <c r="K74" s="493">
        <f t="shared" ref="K74" si="206">SUM(K72:K73)</f>
        <v>40</v>
      </c>
      <c r="L74" s="214">
        <f>SUM(L72:L73)</f>
        <v>440</v>
      </c>
      <c r="M74" s="214">
        <f t="shared" ref="M74" si="207">SUM(M72:M73)</f>
        <v>440</v>
      </c>
      <c r="N74" s="643">
        <f t="shared" ref="N74" si="208">SUM(N72:N73)</f>
        <v>326</v>
      </c>
      <c r="O74" s="233">
        <f>SUM(O72:O73)</f>
        <v>76</v>
      </c>
      <c r="P74" s="214">
        <f t="shared" ref="P74" si="209">SUM(P72:P73)</f>
        <v>76</v>
      </c>
      <c r="Q74" s="493">
        <f t="shared" ref="Q74" si="210">SUM(Q72:Q73)</f>
        <v>58</v>
      </c>
      <c r="R74" s="214">
        <f>SUM(R72:R73)</f>
        <v>12</v>
      </c>
      <c r="S74" s="214">
        <f t="shared" ref="S74" si="211">SUM(S72:S73)</f>
        <v>12</v>
      </c>
      <c r="T74" s="643">
        <f t="shared" ref="T74" si="212">SUM(T72:T73)</f>
        <v>2</v>
      </c>
      <c r="U74" s="233">
        <f>SUM(U72:U73)</f>
        <v>50</v>
      </c>
      <c r="V74" s="214">
        <f t="shared" ref="V74" si="213">SUM(V72:V73)</f>
        <v>50</v>
      </c>
      <c r="W74" s="645">
        <f t="shared" ref="W74" si="214">SUM(W72:W73)</f>
        <v>38</v>
      </c>
      <c r="X74" s="208">
        <f>SUM(X72:X73)</f>
        <v>834</v>
      </c>
      <c r="Y74" s="212">
        <f t="shared" ref="Y74:Z74" si="215">SUM(Y72:Y73)</f>
        <v>834</v>
      </c>
      <c r="Z74" s="213">
        <f t="shared" si="215"/>
        <v>604</v>
      </c>
    </row>
    <row r="75" spans="1:26" ht="13.5" customHeight="1">
      <c r="A75" s="129" t="s">
        <v>248</v>
      </c>
      <c r="B75" s="175" t="s">
        <v>249</v>
      </c>
      <c r="C75" s="141">
        <f>+'[5]3.SZ.TÁBL. SEGÍTŐ SZOLGÁLAT'!$C74</f>
        <v>536</v>
      </c>
      <c r="D75" s="137">
        <f>+'[4]3.SZ.TÁBL. SEGÍTŐ SZOLGÁLAT'!$E74</f>
        <v>536</v>
      </c>
      <c r="E75" s="142">
        <v>189</v>
      </c>
      <c r="F75" s="139">
        <f>+'[5]3.SZ.TÁBL. SEGÍTŐ SZOLGÁLAT'!$F74</f>
        <v>430</v>
      </c>
      <c r="G75" s="137">
        <f>+'[4]3.SZ.TÁBL. SEGÍTŐ SZOLGÁLAT'!$H74</f>
        <v>430</v>
      </c>
      <c r="H75" s="140">
        <v>151</v>
      </c>
      <c r="I75" s="141">
        <f>+'[5]3.SZ.TÁBL. SEGÍTŐ SZOLGÁLAT'!$I74</f>
        <v>429</v>
      </c>
      <c r="J75" s="137">
        <f>+'[4]3.SZ.TÁBL. SEGÍTŐ SZOLGÁLAT'!$K74</f>
        <v>429</v>
      </c>
      <c r="K75" s="142">
        <v>151</v>
      </c>
      <c r="L75" s="139">
        <f>+'[5]3.SZ.TÁBL. SEGÍTŐ SZOLGÁLAT'!$L74</f>
        <v>430</v>
      </c>
      <c r="M75" s="137">
        <f>+'[4]3.SZ.TÁBL. SEGÍTŐ SZOLGÁLAT'!$N74</f>
        <v>430</v>
      </c>
      <c r="N75" s="140">
        <v>152</v>
      </c>
      <c r="O75" s="141">
        <f>+'[5]3.SZ.TÁBL. SEGÍTŐ SZOLGÁLAT'!$O74</f>
        <v>429</v>
      </c>
      <c r="P75" s="137">
        <f>+'[4]3.SZ.TÁBL. SEGÍTŐ SZOLGÁLAT'!$Q74</f>
        <v>429</v>
      </c>
      <c r="Q75" s="142">
        <v>151</v>
      </c>
      <c r="R75" s="139">
        <f>+'[5]3.SZ.TÁBL. SEGÍTŐ SZOLGÁLAT'!$R74</f>
        <v>0</v>
      </c>
      <c r="S75" s="137">
        <f>+'[4]3.SZ.TÁBL. SEGÍTŐ SZOLGÁLAT'!$T74</f>
        <v>0</v>
      </c>
      <c r="T75" s="140"/>
      <c r="U75" s="141">
        <f>+'[5]3.SZ.TÁBL. SEGÍTŐ SZOLGÁLAT'!$U74</f>
        <v>76</v>
      </c>
      <c r="V75" s="137">
        <f>+'[4]3.SZ.TÁBL. SEGÍTŐ SZOLGÁLAT'!$W74</f>
        <v>76</v>
      </c>
      <c r="W75" s="138">
        <v>28</v>
      </c>
      <c r="X75" s="150">
        <f t="shared" ref="X75:X78" si="216">+C75+F75+I75+L75+O75+R75+U75</f>
        <v>2330</v>
      </c>
      <c r="Y75" s="146">
        <f t="shared" ref="Y75:Y78" si="217">+D75+G75+J75+M75+P75+S75+V75</f>
        <v>2330</v>
      </c>
      <c r="Z75" s="151">
        <f t="shared" ref="Z75:Z78" si="218">+E75+H75+K75+N75+Q75+T75+W75</f>
        <v>822</v>
      </c>
    </row>
    <row r="76" spans="1:26" ht="13.5" customHeight="1">
      <c r="A76" s="130" t="s">
        <v>250</v>
      </c>
      <c r="B76" s="176" t="s">
        <v>3</v>
      </c>
      <c r="C76" s="141">
        <f>+'[5]3.SZ.TÁBL. SEGÍTŐ SZOLGÁLAT'!$C75</f>
        <v>250</v>
      </c>
      <c r="D76" s="137">
        <f>+'[4]3.SZ.TÁBL. SEGÍTŐ SZOLGÁLAT'!$E75</f>
        <v>250</v>
      </c>
      <c r="E76" s="142">
        <v>123</v>
      </c>
      <c r="F76" s="139">
        <f>+'[5]3.SZ.TÁBL. SEGÍTŐ SZOLGÁLAT'!$F75</f>
        <v>0</v>
      </c>
      <c r="G76" s="137">
        <f>+'[4]3.SZ.TÁBL. SEGÍTŐ SZOLGÁLAT'!$H75</f>
        <v>102</v>
      </c>
      <c r="H76" s="140">
        <v>102</v>
      </c>
      <c r="I76" s="141">
        <f>+'[5]3.SZ.TÁBL. SEGÍTŐ SZOLGÁLAT'!$I75</f>
        <v>0</v>
      </c>
      <c r="J76" s="137">
        <f>+'[4]3.SZ.TÁBL. SEGÍTŐ SZOLGÁLAT'!$K75</f>
        <v>0</v>
      </c>
      <c r="K76" s="142"/>
      <c r="L76" s="139">
        <f>+'[5]3.SZ.TÁBL. SEGÍTŐ SZOLGÁLAT'!$L75</f>
        <v>0</v>
      </c>
      <c r="M76" s="137">
        <f>+'[4]3.SZ.TÁBL. SEGÍTŐ SZOLGÁLAT'!$N75</f>
        <v>0</v>
      </c>
      <c r="N76" s="140"/>
      <c r="O76" s="141">
        <f>+'[5]3.SZ.TÁBL. SEGÍTŐ SZOLGÁLAT'!$O75</f>
        <v>0</v>
      </c>
      <c r="P76" s="137">
        <f>+'[4]3.SZ.TÁBL. SEGÍTŐ SZOLGÁLAT'!$Q75</f>
        <v>0</v>
      </c>
      <c r="Q76" s="142"/>
      <c r="R76" s="139">
        <f>+'[5]3.SZ.TÁBL. SEGÍTŐ SZOLGÁLAT'!$R75</f>
        <v>0</v>
      </c>
      <c r="S76" s="137">
        <f>+'[4]3.SZ.TÁBL. SEGÍTŐ SZOLGÁLAT'!$T75</f>
        <v>0</v>
      </c>
      <c r="T76" s="140"/>
      <c r="U76" s="141">
        <f>+'[5]3.SZ.TÁBL. SEGÍTŐ SZOLGÁLAT'!$U75</f>
        <v>0</v>
      </c>
      <c r="V76" s="137">
        <f>+'[4]3.SZ.TÁBL. SEGÍTŐ SZOLGÁLAT'!$W75</f>
        <v>0</v>
      </c>
      <c r="W76" s="138"/>
      <c r="X76" s="143">
        <f t="shared" si="216"/>
        <v>250</v>
      </c>
      <c r="Y76" s="137">
        <f t="shared" si="217"/>
        <v>352</v>
      </c>
      <c r="Z76" s="138">
        <f t="shared" si="218"/>
        <v>225</v>
      </c>
    </row>
    <row r="77" spans="1:26" ht="13.5" customHeight="1">
      <c r="A77" s="130" t="s">
        <v>251</v>
      </c>
      <c r="B77" s="176" t="s">
        <v>252</v>
      </c>
      <c r="C77" s="141">
        <f>+'[5]3.SZ.TÁBL. SEGÍTŐ SZOLGÁLAT'!$C76</f>
        <v>0</v>
      </c>
      <c r="D77" s="137">
        <f>+'[4]3.SZ.TÁBL. SEGÍTŐ SZOLGÁLAT'!$E76</f>
        <v>0</v>
      </c>
      <c r="E77" s="142"/>
      <c r="F77" s="139">
        <f>+'[5]3.SZ.TÁBL. SEGÍTŐ SZOLGÁLAT'!$F76</f>
        <v>0</v>
      </c>
      <c r="G77" s="137">
        <f>+'[4]3.SZ.TÁBL. SEGÍTŐ SZOLGÁLAT'!$H76</f>
        <v>0</v>
      </c>
      <c r="H77" s="140"/>
      <c r="I77" s="141">
        <f>+'[5]3.SZ.TÁBL. SEGÍTŐ SZOLGÁLAT'!$I76</f>
        <v>0</v>
      </c>
      <c r="J77" s="137">
        <f>+'[4]3.SZ.TÁBL. SEGÍTŐ SZOLGÁLAT'!$K76</f>
        <v>0</v>
      </c>
      <c r="K77" s="142"/>
      <c r="L77" s="139">
        <f>+'[5]3.SZ.TÁBL. SEGÍTŐ SZOLGÁLAT'!$L76</f>
        <v>0</v>
      </c>
      <c r="M77" s="137">
        <f>+'[4]3.SZ.TÁBL. SEGÍTŐ SZOLGÁLAT'!$N76</f>
        <v>0</v>
      </c>
      <c r="N77" s="140"/>
      <c r="O77" s="141">
        <f>+'[5]3.SZ.TÁBL. SEGÍTŐ SZOLGÁLAT'!$O76</f>
        <v>0</v>
      </c>
      <c r="P77" s="137">
        <f>+'[4]3.SZ.TÁBL. SEGÍTŐ SZOLGÁLAT'!$Q76</f>
        <v>0</v>
      </c>
      <c r="Q77" s="142"/>
      <c r="R77" s="139">
        <f>+'[5]3.SZ.TÁBL. SEGÍTŐ SZOLGÁLAT'!$R76</f>
        <v>0</v>
      </c>
      <c r="S77" s="137">
        <f>+'[4]3.SZ.TÁBL. SEGÍTŐ SZOLGÁLAT'!$T76</f>
        <v>0</v>
      </c>
      <c r="T77" s="140"/>
      <c r="U77" s="141">
        <f>+'[5]3.SZ.TÁBL. SEGÍTŐ SZOLGÁLAT'!$U76</f>
        <v>0</v>
      </c>
      <c r="V77" s="137">
        <f>+'[4]3.SZ.TÁBL. SEGÍTŐ SZOLGÁLAT'!$W76</f>
        <v>0</v>
      </c>
      <c r="W77" s="138"/>
      <c r="X77" s="143">
        <f t="shared" si="216"/>
        <v>0</v>
      </c>
      <c r="Y77" s="137">
        <f t="shared" si="217"/>
        <v>0</v>
      </c>
      <c r="Z77" s="138">
        <f t="shared" si="218"/>
        <v>0</v>
      </c>
    </row>
    <row r="78" spans="1:26" ht="13.5" customHeight="1">
      <c r="A78" s="130" t="s">
        <v>253</v>
      </c>
      <c r="B78" s="176" t="s">
        <v>254</v>
      </c>
      <c r="C78" s="141">
        <f>+'[5]3.SZ.TÁBL. SEGÍTŐ SZOLGÁLAT'!$C77</f>
        <v>40</v>
      </c>
      <c r="D78" s="137">
        <f>+'[4]3.SZ.TÁBL. SEGÍTŐ SZOLGÁLAT'!$E77</f>
        <v>70</v>
      </c>
      <c r="E78" s="142">
        <v>45</v>
      </c>
      <c r="F78" s="139">
        <f>+'[5]3.SZ.TÁBL. SEGÍTŐ SZOLGÁLAT'!$F77</f>
        <v>0</v>
      </c>
      <c r="G78" s="137">
        <f>+'[4]3.SZ.TÁBL. SEGÍTŐ SZOLGÁLAT'!$H77</f>
        <v>0</v>
      </c>
      <c r="H78" s="140"/>
      <c r="I78" s="141">
        <f>+'[5]3.SZ.TÁBL. SEGÍTŐ SZOLGÁLAT'!$I77</f>
        <v>120</v>
      </c>
      <c r="J78" s="137">
        <f>+'[4]3.SZ.TÁBL. SEGÍTŐ SZOLGÁLAT'!$K77</f>
        <v>140</v>
      </c>
      <c r="K78" s="142">
        <v>99</v>
      </c>
      <c r="L78" s="139">
        <f>+'[5]3.SZ.TÁBL. SEGÍTŐ SZOLGÁLAT'!$L77</f>
        <v>200</v>
      </c>
      <c r="M78" s="137">
        <f>+'[4]3.SZ.TÁBL. SEGÍTŐ SZOLGÁLAT'!$N77</f>
        <v>200</v>
      </c>
      <c r="N78" s="140">
        <v>73</v>
      </c>
      <c r="O78" s="141">
        <f>+'[5]3.SZ.TÁBL. SEGÍTŐ SZOLGÁLAT'!$O77</f>
        <v>300</v>
      </c>
      <c r="P78" s="137">
        <f>+'[4]3.SZ.TÁBL. SEGÍTŐ SZOLGÁLAT'!$Q77</f>
        <v>547</v>
      </c>
      <c r="Q78" s="142">
        <v>445</v>
      </c>
      <c r="R78" s="139">
        <f>+'[5]3.SZ.TÁBL. SEGÍTŐ SZOLGÁLAT'!$R77</f>
        <v>500</v>
      </c>
      <c r="S78" s="137">
        <f>+'[4]3.SZ.TÁBL. SEGÍTŐ SZOLGÁLAT'!$T77</f>
        <v>959</v>
      </c>
      <c r="T78" s="140">
        <v>952</v>
      </c>
      <c r="U78" s="141">
        <f>+'[5]3.SZ.TÁBL. SEGÍTŐ SZOLGÁLAT'!$U77</f>
        <v>0</v>
      </c>
      <c r="V78" s="137">
        <f>+'[4]3.SZ.TÁBL. SEGÍTŐ SZOLGÁLAT'!$W77</f>
        <v>0</v>
      </c>
      <c r="W78" s="138"/>
      <c r="X78" s="143">
        <f t="shared" si="216"/>
        <v>1160</v>
      </c>
      <c r="Y78" s="137">
        <f t="shared" si="217"/>
        <v>1916</v>
      </c>
      <c r="Z78" s="138">
        <f t="shared" si="218"/>
        <v>1614</v>
      </c>
    </row>
    <row r="79" spans="1:26" ht="13.5" customHeight="1">
      <c r="A79" s="130" t="s">
        <v>255</v>
      </c>
      <c r="B79" s="176" t="s">
        <v>256</v>
      </c>
      <c r="C79" s="141">
        <f>+'[5]3.SZ.TÁBL. SEGÍTŐ SZOLGÁLAT'!$C78</f>
        <v>0</v>
      </c>
      <c r="D79" s="137">
        <f>+'[4]3.SZ.TÁBL. SEGÍTŐ SZOLGÁLAT'!$E78</f>
        <v>0</v>
      </c>
      <c r="E79" s="142"/>
      <c r="F79" s="139">
        <f>+'[5]3.SZ.TÁBL. SEGÍTŐ SZOLGÁLAT'!$F78</f>
        <v>0</v>
      </c>
      <c r="G79" s="137">
        <f>+'[4]3.SZ.TÁBL. SEGÍTŐ SZOLGÁLAT'!$H78</f>
        <v>14</v>
      </c>
      <c r="H79" s="140">
        <v>14</v>
      </c>
      <c r="I79" s="141">
        <f>+'[5]3.SZ.TÁBL. SEGÍTŐ SZOLGÁLAT'!$I78</f>
        <v>0</v>
      </c>
      <c r="J79" s="137">
        <f>+'[4]3.SZ.TÁBL. SEGÍTŐ SZOLGÁLAT'!$K78</f>
        <v>4</v>
      </c>
      <c r="K79" s="142">
        <v>4</v>
      </c>
      <c r="L79" s="139">
        <f>+'[5]3.SZ.TÁBL. SEGÍTŐ SZOLGÁLAT'!$L78</f>
        <v>0</v>
      </c>
      <c r="M79" s="137">
        <f>+'[4]3.SZ.TÁBL. SEGÍTŐ SZOLGÁLAT'!$N78</f>
        <v>0</v>
      </c>
      <c r="N79" s="140"/>
      <c r="O79" s="141">
        <f>+'[5]3.SZ.TÁBL. SEGÍTŐ SZOLGÁLAT'!$O78</f>
        <v>0</v>
      </c>
      <c r="P79" s="137">
        <f>+'[4]3.SZ.TÁBL. SEGÍTŐ SZOLGÁLAT'!$Q78</f>
        <v>3</v>
      </c>
      <c r="Q79" s="142">
        <v>2</v>
      </c>
      <c r="R79" s="139">
        <f>+'[5]3.SZ.TÁBL. SEGÍTŐ SZOLGÁLAT'!$R78</f>
        <v>0</v>
      </c>
      <c r="S79" s="137">
        <f>+'[4]3.SZ.TÁBL. SEGÍTŐ SZOLGÁLAT'!$T78</f>
        <v>0</v>
      </c>
      <c r="T79" s="140"/>
      <c r="U79" s="141">
        <f>+'[5]3.SZ.TÁBL. SEGÍTŐ SZOLGÁLAT'!$U78</f>
        <v>0</v>
      </c>
      <c r="V79" s="137">
        <f>+'[4]3.SZ.TÁBL. SEGÍTŐ SZOLGÁLAT'!$W78</f>
        <v>0</v>
      </c>
      <c r="W79" s="138"/>
      <c r="X79" s="143">
        <f>+SUM(X80:X81)</f>
        <v>0</v>
      </c>
      <c r="Y79" s="137">
        <f t="shared" ref="Y79:Z79" si="219">+SUM(Y80:Y81)</f>
        <v>21</v>
      </c>
      <c r="Z79" s="138">
        <f t="shared" si="219"/>
        <v>20</v>
      </c>
    </row>
    <row r="80" spans="1:26" ht="13.5" customHeight="1">
      <c r="A80" s="134" t="s">
        <v>255</v>
      </c>
      <c r="B80" s="180" t="s">
        <v>300</v>
      </c>
      <c r="C80" s="141">
        <f>+'[5]3.SZ.TÁBL. SEGÍTŐ SZOLGÁLAT'!$C79</f>
        <v>0</v>
      </c>
      <c r="D80" s="137">
        <f>+'[4]3.SZ.TÁBL. SEGÍTŐ SZOLGÁLAT'!$E79</f>
        <v>0</v>
      </c>
      <c r="E80" s="142"/>
      <c r="F80" s="139">
        <f>+'[5]3.SZ.TÁBL. SEGÍTŐ SZOLGÁLAT'!$F79</f>
        <v>0</v>
      </c>
      <c r="G80" s="137">
        <f>+'[4]3.SZ.TÁBL. SEGÍTŐ SZOLGÁLAT'!$H79</f>
        <v>0</v>
      </c>
      <c r="H80" s="140"/>
      <c r="I80" s="141">
        <f>+'[5]3.SZ.TÁBL. SEGÍTŐ SZOLGÁLAT'!$I79</f>
        <v>0</v>
      </c>
      <c r="J80" s="137">
        <f>+'[4]3.SZ.TÁBL. SEGÍTŐ SZOLGÁLAT'!$K79</f>
        <v>0</v>
      </c>
      <c r="K80" s="142"/>
      <c r="L80" s="139">
        <f>+'[5]3.SZ.TÁBL. SEGÍTŐ SZOLGÁLAT'!$L79</f>
        <v>0</v>
      </c>
      <c r="M80" s="137">
        <f>+'[4]3.SZ.TÁBL. SEGÍTŐ SZOLGÁLAT'!$N79</f>
        <v>0</v>
      </c>
      <c r="N80" s="140"/>
      <c r="O80" s="141">
        <f>+'[5]3.SZ.TÁBL. SEGÍTŐ SZOLGÁLAT'!$O79</f>
        <v>0</v>
      </c>
      <c r="P80" s="137">
        <f>+'[4]3.SZ.TÁBL. SEGÍTŐ SZOLGÁLAT'!$Q79</f>
        <v>0</v>
      </c>
      <c r="Q80" s="142"/>
      <c r="R80" s="139">
        <f>+'[5]3.SZ.TÁBL. SEGÍTŐ SZOLGÁLAT'!$R79</f>
        <v>0</v>
      </c>
      <c r="S80" s="137">
        <f>+'[4]3.SZ.TÁBL. SEGÍTŐ SZOLGÁLAT'!$T79</f>
        <v>0</v>
      </c>
      <c r="T80" s="140"/>
      <c r="U80" s="141">
        <f>+'[5]3.SZ.TÁBL. SEGÍTŐ SZOLGÁLAT'!$U79</f>
        <v>0</v>
      </c>
      <c r="V80" s="137">
        <f>+'[4]3.SZ.TÁBL. SEGÍTŐ SZOLGÁLAT'!$W79</f>
        <v>0</v>
      </c>
      <c r="W80" s="138"/>
      <c r="X80" s="143">
        <f t="shared" ref="X80:X83" si="220">+C80+F80+I80+L80+O80+R80+U80</f>
        <v>0</v>
      </c>
      <c r="Y80" s="137">
        <f t="shared" ref="Y80:Y83" si="221">+D80+G80+J80+M80+P80+S80+V80</f>
        <v>0</v>
      </c>
      <c r="Z80" s="138">
        <f t="shared" ref="Z80:Z83" si="222">+E80+H80+K80+N80+Q80+T80+W80</f>
        <v>0</v>
      </c>
    </row>
    <row r="81" spans="1:26" ht="13.5" customHeight="1">
      <c r="A81" s="134" t="s">
        <v>255</v>
      </c>
      <c r="B81" s="180" t="s">
        <v>301</v>
      </c>
      <c r="C81" s="141">
        <f>+'[5]3.SZ.TÁBL. SEGÍTŐ SZOLGÁLAT'!$C80</f>
        <v>0</v>
      </c>
      <c r="D81" s="137">
        <f>+'[4]3.SZ.TÁBL. SEGÍTŐ SZOLGÁLAT'!$E80</f>
        <v>0</v>
      </c>
      <c r="E81" s="142"/>
      <c r="F81" s="139">
        <f>+'[5]3.SZ.TÁBL. SEGÍTŐ SZOLGÁLAT'!$F80</f>
        <v>0</v>
      </c>
      <c r="G81" s="137">
        <f>+'[4]3.SZ.TÁBL. SEGÍTŐ SZOLGÁLAT'!$H80</f>
        <v>14</v>
      </c>
      <c r="H81" s="140">
        <v>14</v>
      </c>
      <c r="I81" s="141">
        <f>+'[5]3.SZ.TÁBL. SEGÍTŐ SZOLGÁLAT'!$I80</f>
        <v>0</v>
      </c>
      <c r="J81" s="137">
        <f>+'[4]3.SZ.TÁBL. SEGÍTŐ SZOLGÁLAT'!$K80</f>
        <v>4</v>
      </c>
      <c r="K81" s="142">
        <v>4</v>
      </c>
      <c r="L81" s="139">
        <f>+'[5]3.SZ.TÁBL. SEGÍTŐ SZOLGÁLAT'!$L80</f>
        <v>0</v>
      </c>
      <c r="M81" s="137">
        <f>+'[4]3.SZ.TÁBL. SEGÍTŐ SZOLGÁLAT'!$N80</f>
        <v>0</v>
      </c>
      <c r="N81" s="140"/>
      <c r="O81" s="141">
        <f>+'[5]3.SZ.TÁBL. SEGÍTŐ SZOLGÁLAT'!$O80</f>
        <v>0</v>
      </c>
      <c r="P81" s="137">
        <f>+'[4]3.SZ.TÁBL. SEGÍTŐ SZOLGÁLAT'!$Q80</f>
        <v>3</v>
      </c>
      <c r="Q81" s="142">
        <v>2</v>
      </c>
      <c r="R81" s="139">
        <f>+'[5]3.SZ.TÁBL. SEGÍTŐ SZOLGÁLAT'!$R80</f>
        <v>0</v>
      </c>
      <c r="S81" s="137">
        <f>+'[4]3.SZ.TÁBL. SEGÍTŐ SZOLGÁLAT'!$T80</f>
        <v>0</v>
      </c>
      <c r="T81" s="140"/>
      <c r="U81" s="141">
        <f>+'[5]3.SZ.TÁBL. SEGÍTŐ SZOLGÁLAT'!$U80</f>
        <v>0</v>
      </c>
      <c r="V81" s="137">
        <f>+'[4]3.SZ.TÁBL. SEGÍTŐ SZOLGÁLAT'!$W80</f>
        <v>0</v>
      </c>
      <c r="W81" s="138"/>
      <c r="X81" s="143">
        <f t="shared" si="220"/>
        <v>0</v>
      </c>
      <c r="Y81" s="137">
        <f t="shared" si="221"/>
        <v>21</v>
      </c>
      <c r="Z81" s="138">
        <f t="shared" si="222"/>
        <v>20</v>
      </c>
    </row>
    <row r="82" spans="1:26" ht="13.5" customHeight="1">
      <c r="A82" s="130" t="s">
        <v>257</v>
      </c>
      <c r="B82" s="176" t="s">
        <v>258</v>
      </c>
      <c r="C82" s="141">
        <f>+'[5]3.SZ.TÁBL. SEGÍTŐ SZOLGÁLAT'!$C81</f>
        <v>0</v>
      </c>
      <c r="D82" s="137">
        <f>+'[4]3.SZ.TÁBL. SEGÍTŐ SZOLGÁLAT'!$E81</f>
        <v>3</v>
      </c>
      <c r="E82" s="142">
        <v>3</v>
      </c>
      <c r="F82" s="139">
        <f>+'[5]3.SZ.TÁBL. SEGÍTŐ SZOLGÁLAT'!$F81</f>
        <v>880</v>
      </c>
      <c r="G82" s="137">
        <f>+'[4]3.SZ.TÁBL. SEGÍTŐ SZOLGÁLAT'!$H81</f>
        <v>910</v>
      </c>
      <c r="H82" s="140">
        <v>617</v>
      </c>
      <c r="I82" s="141">
        <f>+'[5]3.SZ.TÁBL. SEGÍTŐ SZOLGÁLAT'!$I81</f>
        <v>0</v>
      </c>
      <c r="J82" s="137">
        <f>+'[4]3.SZ.TÁBL. SEGÍTŐ SZOLGÁLAT'!$K81</f>
        <v>0</v>
      </c>
      <c r="K82" s="142"/>
      <c r="L82" s="139">
        <f>+'[5]3.SZ.TÁBL. SEGÍTŐ SZOLGÁLAT'!$L81</f>
        <v>600</v>
      </c>
      <c r="M82" s="137">
        <f>+'[4]3.SZ.TÁBL. SEGÍTŐ SZOLGÁLAT'!$N81</f>
        <v>630</v>
      </c>
      <c r="N82" s="140">
        <v>475</v>
      </c>
      <c r="O82" s="141">
        <f>+'[5]3.SZ.TÁBL. SEGÍTŐ SZOLGÁLAT'!$O81</f>
        <v>0</v>
      </c>
      <c r="P82" s="137">
        <f>+'[4]3.SZ.TÁBL. SEGÍTŐ SZOLGÁLAT'!$Q81</f>
        <v>0</v>
      </c>
      <c r="Q82" s="142"/>
      <c r="R82" s="139">
        <f>+'[5]3.SZ.TÁBL. SEGÍTŐ SZOLGÁLAT'!$R81</f>
        <v>0</v>
      </c>
      <c r="S82" s="137">
        <f>+'[4]3.SZ.TÁBL. SEGÍTŐ SZOLGÁLAT'!$T81</f>
        <v>0</v>
      </c>
      <c r="T82" s="140"/>
      <c r="U82" s="141">
        <f>+'[5]3.SZ.TÁBL. SEGÍTŐ SZOLGÁLAT'!$U81</f>
        <v>0</v>
      </c>
      <c r="V82" s="137">
        <f>+'[4]3.SZ.TÁBL. SEGÍTŐ SZOLGÁLAT'!$W81</f>
        <v>0</v>
      </c>
      <c r="W82" s="138"/>
      <c r="X82" s="143">
        <f t="shared" si="220"/>
        <v>1480</v>
      </c>
      <c r="Y82" s="137">
        <f t="shared" si="221"/>
        <v>1543</v>
      </c>
      <c r="Z82" s="138">
        <f t="shared" si="222"/>
        <v>1095</v>
      </c>
    </row>
    <row r="83" spans="1:26" ht="13.5" customHeight="1">
      <c r="A83" s="131" t="s">
        <v>259</v>
      </c>
      <c r="B83" s="177" t="s">
        <v>418</v>
      </c>
      <c r="C83" s="141">
        <f>+'[5]3.SZ.TÁBL. SEGÍTŐ SZOLGÁLAT'!$C82</f>
        <v>700</v>
      </c>
      <c r="D83" s="137">
        <f>+'[4]3.SZ.TÁBL. SEGÍTŐ SZOLGÁLAT'!$E82</f>
        <v>753</v>
      </c>
      <c r="E83" s="142">
        <v>444</v>
      </c>
      <c r="F83" s="139">
        <f>+'[5]3.SZ.TÁBL. SEGÍTŐ SZOLGÁLAT'!$F82</f>
        <v>565</v>
      </c>
      <c r="G83" s="137">
        <f>+'[4]3.SZ.TÁBL. SEGÍTŐ SZOLGÁLAT'!$H82</f>
        <v>660</v>
      </c>
      <c r="H83" s="140">
        <v>461</v>
      </c>
      <c r="I83" s="141">
        <f>+'[5]3.SZ.TÁBL. SEGÍTŐ SZOLGÁLAT'!$I82</f>
        <v>600</v>
      </c>
      <c r="J83" s="137">
        <f>+'[4]3.SZ.TÁBL. SEGÍTŐ SZOLGÁLAT'!$K82</f>
        <v>642</v>
      </c>
      <c r="K83" s="142">
        <v>481</v>
      </c>
      <c r="L83" s="139">
        <f>+'[5]3.SZ.TÁBL. SEGÍTŐ SZOLGÁLAT'!$L82</f>
        <v>1320</v>
      </c>
      <c r="M83" s="137">
        <f>+'[4]3.SZ.TÁBL. SEGÍTŐ SZOLGÁLAT'!$N82</f>
        <v>1362</v>
      </c>
      <c r="N83" s="140">
        <v>713</v>
      </c>
      <c r="O83" s="141">
        <f>+'[5]3.SZ.TÁBL. SEGÍTŐ SZOLGÁLAT'!$O82</f>
        <v>533</v>
      </c>
      <c r="P83" s="137">
        <f>+'[4]3.SZ.TÁBL. SEGÍTŐ SZOLGÁLAT'!$Q82</f>
        <v>575</v>
      </c>
      <c r="Q83" s="142">
        <v>413</v>
      </c>
      <c r="R83" s="139">
        <f>+'[5]3.SZ.TÁBL. SEGÍTŐ SZOLGÁLAT'!$R82</f>
        <v>30</v>
      </c>
      <c r="S83" s="137">
        <f>+'[4]3.SZ.TÁBL. SEGÍTŐ SZOLGÁLAT'!$T82</f>
        <v>30</v>
      </c>
      <c r="T83" s="140">
        <v>6</v>
      </c>
      <c r="U83" s="141">
        <f>+'[5]3.SZ.TÁBL. SEGÍTŐ SZOLGÁLAT'!$U82</f>
        <v>70</v>
      </c>
      <c r="V83" s="137">
        <f>+'[4]3.SZ.TÁBL. SEGÍTŐ SZOLGÁLAT'!$W82</f>
        <v>74</v>
      </c>
      <c r="W83" s="138">
        <v>48</v>
      </c>
      <c r="X83" s="160">
        <f t="shared" si="220"/>
        <v>3818</v>
      </c>
      <c r="Y83" s="156">
        <f t="shared" si="221"/>
        <v>4096</v>
      </c>
      <c r="Z83" s="161">
        <f t="shared" si="222"/>
        <v>2566</v>
      </c>
    </row>
    <row r="84" spans="1:26" s="235" customFormat="1" ht="13.5" customHeight="1">
      <c r="A84" s="132" t="s">
        <v>198</v>
      </c>
      <c r="B84" s="178" t="s">
        <v>156</v>
      </c>
      <c r="C84" s="233">
        <f>+SUM(C75:C79,C82:C83)</f>
        <v>1526</v>
      </c>
      <c r="D84" s="214">
        <f t="shared" ref="D84:E84" si="223">+SUM(D75:D79,D82:D83)</f>
        <v>1612</v>
      </c>
      <c r="E84" s="493">
        <f t="shared" si="223"/>
        <v>804</v>
      </c>
      <c r="F84" s="214">
        <f>+SUM(F75:F79,F82:F83)</f>
        <v>1875</v>
      </c>
      <c r="G84" s="214">
        <f t="shared" ref="G84" si="224">+SUM(G75:G79,G82:G83)</f>
        <v>2116</v>
      </c>
      <c r="H84" s="643">
        <f t="shared" ref="H84" si="225">+SUM(H75:H79,H82:H83)</f>
        <v>1345</v>
      </c>
      <c r="I84" s="233">
        <f>+SUM(I75:I79,I82:I83)</f>
        <v>1149</v>
      </c>
      <c r="J84" s="214">
        <f t="shared" ref="J84" si="226">+SUM(J75:J79,J82:J83)</f>
        <v>1215</v>
      </c>
      <c r="K84" s="493">
        <f t="shared" ref="K84" si="227">+SUM(K75:K79,K82:K83)</f>
        <v>735</v>
      </c>
      <c r="L84" s="214">
        <f>+SUM(L75:L79,L82:L83)</f>
        <v>2550</v>
      </c>
      <c r="M84" s="214">
        <f t="shared" ref="M84" si="228">+SUM(M75:M79,M82:M83)</f>
        <v>2622</v>
      </c>
      <c r="N84" s="643">
        <f t="shared" ref="N84" si="229">+SUM(N75:N79,N82:N83)</f>
        <v>1413</v>
      </c>
      <c r="O84" s="233">
        <f>+SUM(O75:O79,O82:O83)</f>
        <v>1262</v>
      </c>
      <c r="P84" s="214">
        <f t="shared" ref="P84" si="230">+SUM(P75:P79,P82:P83)</f>
        <v>1554</v>
      </c>
      <c r="Q84" s="493">
        <f t="shared" ref="Q84" si="231">+SUM(Q75:Q79,Q82:Q83)</f>
        <v>1011</v>
      </c>
      <c r="R84" s="214">
        <f>+SUM(R75:R79,R82:R83)</f>
        <v>530</v>
      </c>
      <c r="S84" s="214">
        <f t="shared" ref="S84" si="232">+SUM(S75:S79,S82:S83)</f>
        <v>989</v>
      </c>
      <c r="T84" s="643">
        <f t="shared" ref="T84" si="233">+SUM(T75:T79,T82:T83)</f>
        <v>958</v>
      </c>
      <c r="U84" s="233">
        <f>+SUM(U75:U79,U82:U83)</f>
        <v>146</v>
      </c>
      <c r="V84" s="214">
        <f t="shared" ref="V84" si="234">+SUM(V75:V79,V82:V83)</f>
        <v>150</v>
      </c>
      <c r="W84" s="645">
        <f t="shared" ref="W84" si="235">+SUM(W75:W79,W82:W83)</f>
        <v>76</v>
      </c>
      <c r="X84" s="208">
        <f>+SUM(X75:X79,X82:X83)</f>
        <v>9038</v>
      </c>
      <c r="Y84" s="212">
        <f t="shared" ref="Y84:Z84" si="236">+SUM(Y75:Y79,Y82:Y83)</f>
        <v>10258</v>
      </c>
      <c r="Z84" s="213">
        <f t="shared" si="236"/>
        <v>6342</v>
      </c>
    </row>
    <row r="85" spans="1:26" ht="13.5" customHeight="1">
      <c r="A85" s="129" t="s">
        <v>261</v>
      </c>
      <c r="B85" s="175" t="s">
        <v>262</v>
      </c>
      <c r="C85" s="141">
        <f>+'[5]3.SZ.TÁBL. SEGÍTŐ SZOLGÁLAT'!$C84</f>
        <v>15</v>
      </c>
      <c r="D85" s="137">
        <f>+'[4]3.SZ.TÁBL. SEGÍTŐ SZOLGÁLAT'!$E84</f>
        <v>15</v>
      </c>
      <c r="E85" s="142">
        <v>16</v>
      </c>
      <c r="F85" s="139">
        <f>+'[5]3.SZ.TÁBL. SEGÍTŐ SZOLGÁLAT'!$F84</f>
        <v>280</v>
      </c>
      <c r="G85" s="137">
        <f>+'[4]3.SZ.TÁBL. SEGÍTŐ SZOLGÁLAT'!$H84</f>
        <v>380</v>
      </c>
      <c r="H85" s="140">
        <v>291</v>
      </c>
      <c r="I85" s="141">
        <f>+'[5]3.SZ.TÁBL. SEGÍTŐ SZOLGÁLAT'!$I84</f>
        <v>60</v>
      </c>
      <c r="J85" s="137">
        <f>+'[4]3.SZ.TÁBL. SEGÍTŐ SZOLGÁLAT'!$K84</f>
        <v>60</v>
      </c>
      <c r="K85" s="142">
        <v>42</v>
      </c>
      <c r="L85" s="139">
        <f>+'[5]3.SZ.TÁBL. SEGÍTŐ SZOLGÁLAT'!$L84</f>
        <v>280</v>
      </c>
      <c r="M85" s="137">
        <f>+'[4]3.SZ.TÁBL. SEGÍTŐ SZOLGÁLAT'!$N84</f>
        <v>280</v>
      </c>
      <c r="N85" s="140">
        <v>139</v>
      </c>
      <c r="O85" s="141">
        <f>+'[5]3.SZ.TÁBL. SEGÍTŐ SZOLGÁLAT'!$O84</f>
        <v>70</v>
      </c>
      <c r="P85" s="137">
        <f>+'[4]3.SZ.TÁBL. SEGÍTŐ SZOLGÁLAT'!$Q84</f>
        <v>70</v>
      </c>
      <c r="Q85" s="142">
        <v>41</v>
      </c>
      <c r="R85" s="139">
        <f>+'[5]3.SZ.TÁBL. SEGÍTŐ SZOLGÁLAT'!$R84</f>
        <v>0</v>
      </c>
      <c r="S85" s="137">
        <f>+'[4]3.SZ.TÁBL. SEGÍTŐ SZOLGÁLAT'!$T84</f>
        <v>0</v>
      </c>
      <c r="T85" s="140"/>
      <c r="U85" s="141">
        <f>+'[5]3.SZ.TÁBL. SEGÍTŐ SZOLGÁLAT'!$U84</f>
        <v>15</v>
      </c>
      <c r="V85" s="137">
        <f>+'[4]3.SZ.TÁBL. SEGÍTŐ SZOLGÁLAT'!$W84</f>
        <v>15</v>
      </c>
      <c r="W85" s="138">
        <v>15</v>
      </c>
      <c r="X85" s="150">
        <f t="shared" ref="X85:X86" si="237">+C85+F85+I85+L85+O85+R85+U85</f>
        <v>720</v>
      </c>
      <c r="Y85" s="146">
        <f t="shared" ref="Y85:Y86" si="238">+D85+G85+J85+M85+P85+S85+V85</f>
        <v>820</v>
      </c>
      <c r="Z85" s="151">
        <f t="shared" ref="Z85:Z86" si="239">+E85+H85+K85+N85+Q85+T85+W85</f>
        <v>544</v>
      </c>
    </row>
    <row r="86" spans="1:26" ht="13.5" customHeight="1">
      <c r="A86" s="131" t="s">
        <v>263</v>
      </c>
      <c r="B86" s="177" t="s">
        <v>264</v>
      </c>
      <c r="C86" s="141">
        <f>+'[5]3.SZ.TÁBL. SEGÍTŐ SZOLGÁLAT'!$C85</f>
        <v>0</v>
      </c>
      <c r="D86" s="137">
        <f>+'[4]3.SZ.TÁBL. SEGÍTŐ SZOLGÁLAT'!$E85</f>
        <v>0</v>
      </c>
      <c r="E86" s="142"/>
      <c r="F86" s="139">
        <f>+'[5]3.SZ.TÁBL. SEGÍTŐ SZOLGÁLAT'!$F85</f>
        <v>0</v>
      </c>
      <c r="G86" s="137">
        <f>+'[4]3.SZ.TÁBL. SEGÍTŐ SZOLGÁLAT'!$H85</f>
        <v>0</v>
      </c>
      <c r="H86" s="140"/>
      <c r="I86" s="141">
        <f>+'[5]3.SZ.TÁBL. SEGÍTŐ SZOLGÁLAT'!$I85</f>
        <v>0</v>
      </c>
      <c r="J86" s="137">
        <f>+'[4]3.SZ.TÁBL. SEGÍTŐ SZOLGÁLAT'!$K85</f>
        <v>0</v>
      </c>
      <c r="K86" s="142"/>
      <c r="L86" s="139">
        <f>+'[5]3.SZ.TÁBL. SEGÍTŐ SZOLGÁLAT'!$L85</f>
        <v>0</v>
      </c>
      <c r="M86" s="137">
        <f>+'[4]3.SZ.TÁBL. SEGÍTŐ SZOLGÁLAT'!$N85</f>
        <v>0</v>
      </c>
      <c r="N86" s="140"/>
      <c r="O86" s="141">
        <f>+'[5]3.SZ.TÁBL. SEGÍTŐ SZOLGÁLAT'!$O85</f>
        <v>0</v>
      </c>
      <c r="P86" s="137">
        <f>+'[4]3.SZ.TÁBL. SEGÍTŐ SZOLGÁLAT'!$Q85</f>
        <v>0</v>
      </c>
      <c r="Q86" s="142"/>
      <c r="R86" s="139">
        <f>+'[5]3.SZ.TÁBL. SEGÍTŐ SZOLGÁLAT'!$R85</f>
        <v>0</v>
      </c>
      <c r="S86" s="137">
        <f>+'[4]3.SZ.TÁBL. SEGÍTŐ SZOLGÁLAT'!$T85</f>
        <v>0</v>
      </c>
      <c r="T86" s="140"/>
      <c r="U86" s="141">
        <f>+'[5]3.SZ.TÁBL. SEGÍTŐ SZOLGÁLAT'!$U85</f>
        <v>0</v>
      </c>
      <c r="V86" s="137">
        <f>+'[4]3.SZ.TÁBL. SEGÍTŐ SZOLGÁLAT'!$W85</f>
        <v>0</v>
      </c>
      <c r="W86" s="138"/>
      <c r="X86" s="160">
        <f t="shared" si="237"/>
        <v>0</v>
      </c>
      <c r="Y86" s="156">
        <f t="shared" si="238"/>
        <v>0</v>
      </c>
      <c r="Z86" s="161">
        <f t="shared" si="239"/>
        <v>0</v>
      </c>
    </row>
    <row r="87" spans="1:26" s="235" customFormat="1" ht="13.5" customHeight="1">
      <c r="A87" s="132" t="s">
        <v>199</v>
      </c>
      <c r="B87" s="178" t="s">
        <v>157</v>
      </c>
      <c r="C87" s="233">
        <f>+SUM(C85:C86)</f>
        <v>15</v>
      </c>
      <c r="D87" s="214">
        <f t="shared" ref="D87:E87" si="240">+SUM(D85:D86)</f>
        <v>15</v>
      </c>
      <c r="E87" s="493">
        <f t="shared" si="240"/>
        <v>16</v>
      </c>
      <c r="F87" s="214">
        <f>+SUM(F85:F86)</f>
        <v>280</v>
      </c>
      <c r="G87" s="214">
        <f t="shared" ref="G87" si="241">+SUM(G85:G86)</f>
        <v>380</v>
      </c>
      <c r="H87" s="643">
        <f t="shared" ref="H87" si="242">+SUM(H85:H86)</f>
        <v>291</v>
      </c>
      <c r="I87" s="233">
        <f>+SUM(I85:I86)</f>
        <v>60</v>
      </c>
      <c r="J87" s="214">
        <f t="shared" ref="J87" si="243">+SUM(J85:J86)</f>
        <v>60</v>
      </c>
      <c r="K87" s="493">
        <f t="shared" ref="K87" si="244">+SUM(K85:K86)</f>
        <v>42</v>
      </c>
      <c r="L87" s="214">
        <f>+SUM(L85:L86)</f>
        <v>280</v>
      </c>
      <c r="M87" s="214">
        <f t="shared" ref="M87" si="245">+SUM(M85:M86)</f>
        <v>280</v>
      </c>
      <c r="N87" s="643">
        <f t="shared" ref="N87" si="246">+SUM(N85:N86)</f>
        <v>139</v>
      </c>
      <c r="O87" s="233">
        <f>+SUM(O85:O86)</f>
        <v>70</v>
      </c>
      <c r="P87" s="214">
        <f t="shared" ref="P87" si="247">+SUM(P85:P86)</f>
        <v>70</v>
      </c>
      <c r="Q87" s="493">
        <f t="shared" ref="Q87" si="248">+SUM(Q85:Q86)</f>
        <v>41</v>
      </c>
      <c r="R87" s="214">
        <f>+SUM(R85:R86)</f>
        <v>0</v>
      </c>
      <c r="S87" s="214">
        <f t="shared" ref="S87" si="249">+SUM(S85:S86)</f>
        <v>0</v>
      </c>
      <c r="T87" s="643">
        <f t="shared" ref="T87" si="250">+SUM(T85:T86)</f>
        <v>0</v>
      </c>
      <c r="U87" s="233">
        <f>+SUM(U85:U86)</f>
        <v>15</v>
      </c>
      <c r="V87" s="214">
        <f t="shared" ref="V87" si="251">+SUM(V85:V86)</f>
        <v>15</v>
      </c>
      <c r="W87" s="645">
        <f t="shared" ref="W87" si="252">+SUM(W85:W86)</f>
        <v>15</v>
      </c>
      <c r="X87" s="208">
        <f>+SUM(X85:X86)</f>
        <v>720</v>
      </c>
      <c r="Y87" s="212">
        <f t="shared" ref="Y87:Z87" si="253">+SUM(Y85:Y86)</f>
        <v>820</v>
      </c>
      <c r="Z87" s="213">
        <f t="shared" si="253"/>
        <v>544</v>
      </c>
    </row>
    <row r="88" spans="1:26" ht="13.5" customHeight="1">
      <c r="A88" s="129" t="s">
        <v>265</v>
      </c>
      <c r="B88" s="175" t="s">
        <v>266</v>
      </c>
      <c r="C88" s="141">
        <f>+'[5]3.SZ.TÁBL. SEGÍTŐ SZOLGÁLAT'!$C87</f>
        <v>543</v>
      </c>
      <c r="D88" s="137">
        <f>+'[4]3.SZ.TÁBL. SEGÍTŐ SZOLGÁLAT'!$E87</f>
        <v>558</v>
      </c>
      <c r="E88" s="142">
        <v>293</v>
      </c>
      <c r="F88" s="139">
        <f>+'[5]3.SZ.TÁBL. SEGÍTŐ SZOLGÁLAT'!$F87</f>
        <v>566</v>
      </c>
      <c r="G88" s="137">
        <f>+'[4]3.SZ.TÁBL. SEGÍTŐ SZOLGÁLAT'!$H87</f>
        <v>514</v>
      </c>
      <c r="H88" s="140">
        <v>233</v>
      </c>
      <c r="I88" s="141">
        <f>+'[5]3.SZ.TÁBL. SEGÍTŐ SZOLGÁLAT'!$I87</f>
        <v>436</v>
      </c>
      <c r="J88" s="137">
        <f>+'[4]3.SZ.TÁBL. SEGÍTŐ SZOLGÁLAT'!$K87</f>
        <v>447</v>
      </c>
      <c r="K88" s="142">
        <v>260</v>
      </c>
      <c r="L88" s="139">
        <f>+'[5]3.SZ.TÁBL. SEGÍTŐ SZOLGÁLAT'!$L87</f>
        <v>824</v>
      </c>
      <c r="M88" s="137">
        <f>+'[4]3.SZ.TÁBL. SEGÍTŐ SZOLGÁLAT'!$N87</f>
        <v>835</v>
      </c>
      <c r="N88" s="140">
        <v>225</v>
      </c>
      <c r="O88" s="141">
        <f>+'[5]3.SZ.TÁBL. SEGÍTŐ SZOLGÁLAT'!$O87</f>
        <v>678</v>
      </c>
      <c r="P88" s="137">
        <f>+'[4]3.SZ.TÁBL. SEGÍTŐ SZOLGÁLAT'!$Q87</f>
        <v>729</v>
      </c>
      <c r="Q88" s="142">
        <v>429</v>
      </c>
      <c r="R88" s="139">
        <f>+'[5]3.SZ.TÁBL. SEGÍTŐ SZOLGÁLAT'!$R87</f>
        <v>476</v>
      </c>
      <c r="S88" s="137">
        <f>+'[4]3.SZ.TÁBL. SEGÍTŐ SZOLGÁLAT'!$T87</f>
        <v>568</v>
      </c>
      <c r="T88" s="140">
        <v>474</v>
      </c>
      <c r="U88" s="141">
        <f>+'[5]3.SZ.TÁBL. SEGÍTŐ SZOLGÁLAT'!$U87</f>
        <v>66</v>
      </c>
      <c r="V88" s="137">
        <f>+'[4]3.SZ.TÁBL. SEGÍTŐ SZOLGÁLAT'!$W87</f>
        <v>67</v>
      </c>
      <c r="W88" s="138">
        <v>31</v>
      </c>
      <c r="X88" s="150">
        <f t="shared" ref="X88:X92" si="254">+C88+F88+I88+L88+O88+R88+U88</f>
        <v>3589</v>
      </c>
      <c r="Y88" s="146">
        <f t="shared" ref="Y88:Y92" si="255">+D88+G88+J88+M88+P88+S88+V88</f>
        <v>3718</v>
      </c>
      <c r="Z88" s="151">
        <f t="shared" ref="Z88:Z92" si="256">+E88+H88+K88+N88+Q88+T88+W88</f>
        <v>1945</v>
      </c>
    </row>
    <row r="89" spans="1:26" ht="13.5" customHeight="1">
      <c r="A89" s="130" t="s">
        <v>267</v>
      </c>
      <c r="B89" s="176" t="s">
        <v>268</v>
      </c>
      <c r="C89" s="141">
        <f>+'[5]3.SZ.TÁBL. SEGÍTŐ SZOLGÁLAT'!$C88</f>
        <v>0</v>
      </c>
      <c r="D89" s="137">
        <f>+'[4]3.SZ.TÁBL. SEGÍTŐ SZOLGÁLAT'!$E88</f>
        <v>0</v>
      </c>
      <c r="E89" s="142"/>
      <c r="F89" s="139">
        <f>+'[5]3.SZ.TÁBL. SEGÍTŐ SZOLGÁLAT'!$F88</f>
        <v>0</v>
      </c>
      <c r="G89" s="137">
        <f>+'[4]3.SZ.TÁBL. SEGÍTŐ SZOLGÁLAT'!$H88</f>
        <v>0</v>
      </c>
      <c r="H89" s="140"/>
      <c r="I89" s="141">
        <f>+'[5]3.SZ.TÁBL. SEGÍTŐ SZOLGÁLAT'!$I88</f>
        <v>0</v>
      </c>
      <c r="J89" s="137">
        <f>+'[4]3.SZ.TÁBL. SEGÍTŐ SZOLGÁLAT'!$K88</f>
        <v>0</v>
      </c>
      <c r="K89" s="142"/>
      <c r="L89" s="139">
        <f>+'[5]3.SZ.TÁBL. SEGÍTŐ SZOLGÁLAT'!$L88</f>
        <v>0</v>
      </c>
      <c r="M89" s="137">
        <f>+'[4]3.SZ.TÁBL. SEGÍTŐ SZOLGÁLAT'!$N88</f>
        <v>0</v>
      </c>
      <c r="N89" s="140"/>
      <c r="O89" s="141">
        <f>+'[5]3.SZ.TÁBL. SEGÍTŐ SZOLGÁLAT'!$O88</f>
        <v>0</v>
      </c>
      <c r="P89" s="137">
        <f>+'[4]3.SZ.TÁBL. SEGÍTŐ SZOLGÁLAT'!$Q88</f>
        <v>0</v>
      </c>
      <c r="Q89" s="142"/>
      <c r="R89" s="139">
        <f>+'[5]3.SZ.TÁBL. SEGÍTŐ SZOLGÁLAT'!$R88</f>
        <v>0</v>
      </c>
      <c r="S89" s="137">
        <f>+'[4]3.SZ.TÁBL. SEGÍTŐ SZOLGÁLAT'!$T88</f>
        <v>0</v>
      </c>
      <c r="T89" s="140"/>
      <c r="U89" s="141">
        <f>+'[5]3.SZ.TÁBL. SEGÍTŐ SZOLGÁLAT'!$U88</f>
        <v>0</v>
      </c>
      <c r="V89" s="137">
        <f>+'[4]3.SZ.TÁBL. SEGÍTŐ SZOLGÁLAT'!$W88</f>
        <v>0</v>
      </c>
      <c r="W89" s="138"/>
      <c r="X89" s="143">
        <f t="shared" si="254"/>
        <v>0</v>
      </c>
      <c r="Y89" s="137">
        <f t="shared" si="255"/>
        <v>0</v>
      </c>
      <c r="Z89" s="138">
        <f t="shared" si="256"/>
        <v>0</v>
      </c>
    </row>
    <row r="90" spans="1:26" ht="13.5" customHeight="1">
      <c r="A90" s="130" t="s">
        <v>269</v>
      </c>
      <c r="B90" s="176" t="s">
        <v>270</v>
      </c>
      <c r="C90" s="141">
        <f>+'[5]3.SZ.TÁBL. SEGÍTŐ SZOLGÁLAT'!$C89</f>
        <v>0</v>
      </c>
      <c r="D90" s="137">
        <f>+'[4]3.SZ.TÁBL. SEGÍTŐ SZOLGÁLAT'!$E89</f>
        <v>0</v>
      </c>
      <c r="E90" s="142"/>
      <c r="F90" s="139">
        <f>+'[5]3.SZ.TÁBL. SEGÍTŐ SZOLGÁLAT'!$F89</f>
        <v>0</v>
      </c>
      <c r="G90" s="137">
        <f>+'[4]3.SZ.TÁBL. SEGÍTŐ SZOLGÁLAT'!$H89</f>
        <v>0</v>
      </c>
      <c r="H90" s="140"/>
      <c r="I90" s="141">
        <f>+'[5]3.SZ.TÁBL. SEGÍTŐ SZOLGÁLAT'!$I89</f>
        <v>0</v>
      </c>
      <c r="J90" s="137">
        <f>+'[4]3.SZ.TÁBL. SEGÍTŐ SZOLGÁLAT'!$K89</f>
        <v>0</v>
      </c>
      <c r="K90" s="142"/>
      <c r="L90" s="139">
        <f>+'[5]3.SZ.TÁBL. SEGÍTŐ SZOLGÁLAT'!$L89</f>
        <v>0</v>
      </c>
      <c r="M90" s="137">
        <f>+'[4]3.SZ.TÁBL. SEGÍTŐ SZOLGÁLAT'!$N89</f>
        <v>0</v>
      </c>
      <c r="N90" s="140"/>
      <c r="O90" s="141">
        <f>+'[5]3.SZ.TÁBL. SEGÍTŐ SZOLGÁLAT'!$O89</f>
        <v>0</v>
      </c>
      <c r="P90" s="137">
        <f>+'[4]3.SZ.TÁBL. SEGÍTŐ SZOLGÁLAT'!$Q89</f>
        <v>0</v>
      </c>
      <c r="Q90" s="142"/>
      <c r="R90" s="139">
        <f>+'[5]3.SZ.TÁBL. SEGÍTŐ SZOLGÁLAT'!$R89</f>
        <v>0</v>
      </c>
      <c r="S90" s="137">
        <f>+'[4]3.SZ.TÁBL. SEGÍTŐ SZOLGÁLAT'!$T89</f>
        <v>0</v>
      </c>
      <c r="T90" s="140"/>
      <c r="U90" s="141">
        <f>+'[5]3.SZ.TÁBL. SEGÍTŐ SZOLGÁLAT'!$U89</f>
        <v>0</v>
      </c>
      <c r="V90" s="137">
        <f>+'[4]3.SZ.TÁBL. SEGÍTŐ SZOLGÁLAT'!$W89</f>
        <v>0</v>
      </c>
      <c r="W90" s="138"/>
      <c r="X90" s="143">
        <f t="shared" si="254"/>
        <v>0</v>
      </c>
      <c r="Y90" s="137">
        <f t="shared" si="255"/>
        <v>0</v>
      </c>
      <c r="Z90" s="138">
        <f t="shared" si="256"/>
        <v>0</v>
      </c>
    </row>
    <row r="91" spans="1:26" ht="13.5" customHeight="1">
      <c r="A91" s="130" t="s">
        <v>271</v>
      </c>
      <c r="B91" s="176" t="s">
        <v>272</v>
      </c>
      <c r="C91" s="141">
        <f>+'[5]3.SZ.TÁBL. SEGÍTŐ SZOLGÁLAT'!$C90</f>
        <v>0</v>
      </c>
      <c r="D91" s="137">
        <f>+'[4]3.SZ.TÁBL. SEGÍTŐ SZOLGÁLAT'!$E90</f>
        <v>0</v>
      </c>
      <c r="E91" s="142"/>
      <c r="F91" s="139">
        <f>+'[5]3.SZ.TÁBL. SEGÍTŐ SZOLGÁLAT'!$F90</f>
        <v>0</v>
      </c>
      <c r="G91" s="137">
        <f>+'[4]3.SZ.TÁBL. SEGÍTŐ SZOLGÁLAT'!$H90</f>
        <v>0</v>
      </c>
      <c r="H91" s="140"/>
      <c r="I91" s="141">
        <f>+'[5]3.SZ.TÁBL. SEGÍTŐ SZOLGÁLAT'!$I90</f>
        <v>0</v>
      </c>
      <c r="J91" s="137">
        <f>+'[4]3.SZ.TÁBL. SEGÍTŐ SZOLGÁLAT'!$K90</f>
        <v>0</v>
      </c>
      <c r="K91" s="142"/>
      <c r="L91" s="139">
        <f>+'[5]3.SZ.TÁBL. SEGÍTŐ SZOLGÁLAT'!$L90</f>
        <v>0</v>
      </c>
      <c r="M91" s="137">
        <f>+'[4]3.SZ.TÁBL. SEGÍTŐ SZOLGÁLAT'!$N90</f>
        <v>0</v>
      </c>
      <c r="N91" s="140"/>
      <c r="O91" s="141">
        <f>+'[5]3.SZ.TÁBL. SEGÍTŐ SZOLGÁLAT'!$O90</f>
        <v>0</v>
      </c>
      <c r="P91" s="137">
        <f>+'[4]3.SZ.TÁBL. SEGÍTŐ SZOLGÁLAT'!$Q90</f>
        <v>0</v>
      </c>
      <c r="Q91" s="142"/>
      <c r="R91" s="139">
        <f>+'[5]3.SZ.TÁBL. SEGÍTŐ SZOLGÁLAT'!$R90</f>
        <v>0</v>
      </c>
      <c r="S91" s="137">
        <f>+'[4]3.SZ.TÁBL. SEGÍTŐ SZOLGÁLAT'!$T90</f>
        <v>0</v>
      </c>
      <c r="T91" s="140"/>
      <c r="U91" s="141">
        <f>+'[5]3.SZ.TÁBL. SEGÍTŐ SZOLGÁLAT'!$U90</f>
        <v>0</v>
      </c>
      <c r="V91" s="137">
        <f>+'[4]3.SZ.TÁBL. SEGÍTŐ SZOLGÁLAT'!$W90</f>
        <v>0</v>
      </c>
      <c r="W91" s="138"/>
      <c r="X91" s="143">
        <f t="shared" si="254"/>
        <v>0</v>
      </c>
      <c r="Y91" s="137">
        <f t="shared" si="255"/>
        <v>0</v>
      </c>
      <c r="Z91" s="138">
        <f t="shared" si="256"/>
        <v>0</v>
      </c>
    </row>
    <row r="92" spans="1:26" ht="13.5" customHeight="1">
      <c r="A92" s="131" t="s">
        <v>273</v>
      </c>
      <c r="B92" s="177" t="s">
        <v>419</v>
      </c>
      <c r="C92" s="141">
        <f>+'[5]3.SZ.TÁBL. SEGÍTŐ SZOLGÁLAT'!$C91</f>
        <v>30</v>
      </c>
      <c r="D92" s="137">
        <f>+'[4]3.SZ.TÁBL. SEGÍTŐ SZOLGÁLAT'!$E91</f>
        <v>30</v>
      </c>
      <c r="E92" s="142">
        <v>13</v>
      </c>
      <c r="F92" s="139">
        <f>+'[5]3.SZ.TÁBL. SEGÍTŐ SZOLGÁLAT'!$F91</f>
        <v>0</v>
      </c>
      <c r="G92" s="137">
        <f>+'[4]3.SZ.TÁBL. SEGÍTŐ SZOLGÁLAT'!$H91</f>
        <v>79</v>
      </c>
      <c r="H92" s="140">
        <v>79</v>
      </c>
      <c r="I92" s="141">
        <f>+'[5]3.SZ.TÁBL. SEGÍTŐ SZOLGÁLAT'!$I91</f>
        <v>44</v>
      </c>
      <c r="J92" s="137">
        <f>+'[4]3.SZ.TÁBL. SEGÍTŐ SZOLGÁLAT'!$K91</f>
        <v>44</v>
      </c>
      <c r="K92" s="142">
        <v>13</v>
      </c>
      <c r="L92" s="139">
        <f>+'[5]3.SZ.TÁBL. SEGÍTŐ SZOLGÁLAT'!$L91</f>
        <v>0</v>
      </c>
      <c r="M92" s="137">
        <f>+'[4]3.SZ.TÁBL. SEGÍTŐ SZOLGÁLAT'!$N91</f>
        <v>0</v>
      </c>
      <c r="N92" s="140"/>
      <c r="O92" s="141">
        <f>+'[5]3.SZ.TÁBL. SEGÍTŐ SZOLGÁLAT'!$O91</f>
        <v>71</v>
      </c>
      <c r="P92" s="137">
        <f>+'[4]3.SZ.TÁBL. SEGÍTŐ SZOLGÁLAT'!$Q91</f>
        <v>71</v>
      </c>
      <c r="Q92" s="142">
        <v>62</v>
      </c>
      <c r="R92" s="139">
        <f>+'[5]3.SZ.TÁBL. SEGÍTŐ SZOLGÁLAT'!$R91</f>
        <v>300</v>
      </c>
      <c r="S92" s="137">
        <f>+'[4]3.SZ.TÁBL. SEGÍTŐ SZOLGÁLAT'!$T91</f>
        <v>300</v>
      </c>
      <c r="T92" s="140">
        <v>240</v>
      </c>
      <c r="U92" s="141">
        <f>+'[5]3.SZ.TÁBL. SEGÍTŐ SZOLGÁLAT'!$U91</f>
        <v>0</v>
      </c>
      <c r="V92" s="137">
        <f>+'[4]3.SZ.TÁBL. SEGÍTŐ SZOLGÁLAT'!$W91</f>
        <v>0</v>
      </c>
      <c r="W92" s="138"/>
      <c r="X92" s="160">
        <f t="shared" si="254"/>
        <v>445</v>
      </c>
      <c r="Y92" s="156">
        <f t="shared" si="255"/>
        <v>524</v>
      </c>
      <c r="Z92" s="161">
        <f t="shared" si="256"/>
        <v>407</v>
      </c>
    </row>
    <row r="93" spans="1:26" s="235" customFormat="1" ht="13.5" customHeight="1">
      <c r="A93" s="132" t="s">
        <v>200</v>
      </c>
      <c r="B93" s="178" t="s">
        <v>158</v>
      </c>
      <c r="C93" s="233">
        <f>SUM(C88:C92)</f>
        <v>573</v>
      </c>
      <c r="D93" s="214">
        <f t="shared" ref="D93:E93" si="257">SUM(D88:D92)</f>
        <v>588</v>
      </c>
      <c r="E93" s="493">
        <f t="shared" si="257"/>
        <v>306</v>
      </c>
      <c r="F93" s="214">
        <f>SUM(F88:F92)</f>
        <v>566</v>
      </c>
      <c r="G93" s="214">
        <f t="shared" ref="G93" si="258">SUM(G88:G92)</f>
        <v>593</v>
      </c>
      <c r="H93" s="643">
        <f t="shared" ref="H93" si="259">SUM(H88:H92)</f>
        <v>312</v>
      </c>
      <c r="I93" s="233">
        <f>SUM(I88:I92)</f>
        <v>480</v>
      </c>
      <c r="J93" s="214">
        <f t="shared" ref="J93" si="260">SUM(J88:J92)</f>
        <v>491</v>
      </c>
      <c r="K93" s="493">
        <f t="shared" ref="K93" si="261">SUM(K88:K92)</f>
        <v>273</v>
      </c>
      <c r="L93" s="214">
        <f>SUM(L88:L92)</f>
        <v>824</v>
      </c>
      <c r="M93" s="214">
        <f t="shared" ref="M93" si="262">SUM(M88:M92)</f>
        <v>835</v>
      </c>
      <c r="N93" s="643">
        <f t="shared" ref="N93" si="263">SUM(N88:N92)</f>
        <v>225</v>
      </c>
      <c r="O93" s="233">
        <f>SUM(O88:O92)</f>
        <v>749</v>
      </c>
      <c r="P93" s="214">
        <f t="shared" ref="P93" si="264">SUM(P88:P92)</f>
        <v>800</v>
      </c>
      <c r="Q93" s="493">
        <f t="shared" ref="Q93" si="265">SUM(Q88:Q92)</f>
        <v>491</v>
      </c>
      <c r="R93" s="214">
        <f>SUM(R88:R92)</f>
        <v>776</v>
      </c>
      <c r="S93" s="214">
        <f t="shared" ref="S93" si="266">SUM(S88:S92)</f>
        <v>868</v>
      </c>
      <c r="T93" s="643">
        <f t="shared" ref="T93" si="267">SUM(T88:T92)</f>
        <v>714</v>
      </c>
      <c r="U93" s="233">
        <f>SUM(U88:U92)</f>
        <v>66</v>
      </c>
      <c r="V93" s="214">
        <f t="shared" ref="V93" si="268">SUM(V88:V92)</f>
        <v>67</v>
      </c>
      <c r="W93" s="645">
        <f t="shared" ref="W93" si="269">SUM(W88:W92)</f>
        <v>31</v>
      </c>
      <c r="X93" s="208">
        <f>SUM(X88:X92)</f>
        <v>4034</v>
      </c>
      <c r="Y93" s="212">
        <f t="shared" ref="Y93:Z93" si="270">SUM(Y88:Y92)</f>
        <v>4242</v>
      </c>
      <c r="Z93" s="213">
        <f t="shared" si="270"/>
        <v>2352</v>
      </c>
    </row>
    <row r="94" spans="1:26" s="235" customFormat="1" ht="13.5" customHeight="1">
      <c r="A94" s="132" t="s">
        <v>201</v>
      </c>
      <c r="B94" s="178" t="s">
        <v>159</v>
      </c>
      <c r="C94" s="233">
        <f>+C71+C74+C84+C87+C93</f>
        <v>2598</v>
      </c>
      <c r="D94" s="214">
        <f t="shared" ref="D94:E94" si="271">+D71+D74+D84+D87+D93</f>
        <v>2666</v>
      </c>
      <c r="E94" s="493">
        <f t="shared" si="271"/>
        <v>1442</v>
      </c>
      <c r="F94" s="214">
        <f>+F71+F74+F84+F87+F93</f>
        <v>2943</v>
      </c>
      <c r="G94" s="214">
        <f t="shared" ref="G94" si="272">+G71+G74+G84+G87+G93</f>
        <v>3327</v>
      </c>
      <c r="H94" s="643">
        <f t="shared" ref="H94" si="273">+H71+H74+H84+H87+H93</f>
        <v>2131</v>
      </c>
      <c r="I94" s="233">
        <f>+I71+I74+I84+I87+I93</f>
        <v>2156</v>
      </c>
      <c r="J94" s="214">
        <f t="shared" ref="J94" si="274">+J71+J74+J84+J87+J93</f>
        <v>2213</v>
      </c>
      <c r="K94" s="493">
        <f t="shared" ref="K94" si="275">+K71+K74+K84+K87+K93</f>
        <v>1313</v>
      </c>
      <c r="L94" s="214">
        <f>+L71+L74+L84+L87+L93</f>
        <v>4154</v>
      </c>
      <c r="M94" s="214">
        <f t="shared" ref="M94" si="276">+M71+M74+M84+M87+M93</f>
        <v>4237</v>
      </c>
      <c r="N94" s="643">
        <f t="shared" ref="N94" si="277">+N71+N74+N84+N87+N93</f>
        <v>2144</v>
      </c>
      <c r="O94" s="233">
        <f>+O71+O74+O84+O87+O93</f>
        <v>3332</v>
      </c>
      <c r="P94" s="214">
        <f t="shared" ref="P94" si="278">+P71+P74+P84+P87+P93</f>
        <v>3591</v>
      </c>
      <c r="Q94" s="493">
        <f t="shared" ref="Q94" si="279">+Q71+Q74+Q84+Q87+Q93</f>
        <v>2122</v>
      </c>
      <c r="R94" s="214">
        <f>+R71+R74+R84+R87+R93</f>
        <v>2540</v>
      </c>
      <c r="S94" s="214">
        <f t="shared" ref="S94" si="280">+S71+S74+S84+S87+S93</f>
        <v>2971</v>
      </c>
      <c r="T94" s="643">
        <f t="shared" ref="T94" si="281">+T71+T74+T84+T87+T93</f>
        <v>2441</v>
      </c>
      <c r="U94" s="233">
        <f>+U71+U74+U84+U87+U93</f>
        <v>324</v>
      </c>
      <c r="V94" s="214">
        <f t="shared" ref="V94" si="282">+V71+V74+V84+V87+V93</f>
        <v>329</v>
      </c>
      <c r="W94" s="645">
        <f t="shared" ref="W94" si="283">+W71+W74+W84+W87+W93</f>
        <v>165</v>
      </c>
      <c r="X94" s="208">
        <f>+X71+X74+X84+X87+X93</f>
        <v>18047</v>
      </c>
      <c r="Y94" s="212">
        <f t="shared" ref="Y94:Z94" si="284">+Y71+Y74+Y84+Y87+Y93</f>
        <v>19334</v>
      </c>
      <c r="Z94" s="213">
        <f t="shared" si="284"/>
        <v>11758</v>
      </c>
    </row>
    <row r="95" spans="1:26" ht="13.5" customHeight="1">
      <c r="A95" s="129" t="s">
        <v>425</v>
      </c>
      <c r="B95" s="639" t="s">
        <v>426</v>
      </c>
      <c r="C95" s="148"/>
      <c r="D95" s="137">
        <f>+'[4]3.SZ.TÁBL. SEGÍTŐ SZOLGÁLAT'!$E94</f>
        <v>7</v>
      </c>
      <c r="E95" s="142">
        <v>7</v>
      </c>
      <c r="F95" s="145"/>
      <c r="G95" s="137">
        <f>+'[4]3.SZ.TÁBL. SEGÍTŐ SZOLGÁLAT'!$H94</f>
        <v>0</v>
      </c>
      <c r="H95" s="140"/>
      <c r="I95" s="148"/>
      <c r="J95" s="137">
        <f>+'[4]3.SZ.TÁBL. SEGÍTŐ SZOLGÁLAT'!$K94</f>
        <v>15</v>
      </c>
      <c r="K95" s="142">
        <v>15</v>
      </c>
      <c r="L95" s="145"/>
      <c r="M95" s="137">
        <f>+'[4]3.SZ.TÁBL. SEGÍTŐ SZOLGÁLAT'!$N94</f>
        <v>15</v>
      </c>
      <c r="N95" s="140">
        <v>15</v>
      </c>
      <c r="O95" s="148"/>
      <c r="P95" s="137">
        <f>+'[4]3.SZ.TÁBL. SEGÍTŐ SZOLGÁLAT'!$Q94</f>
        <v>0</v>
      </c>
      <c r="Q95" s="142"/>
      <c r="R95" s="145"/>
      <c r="S95" s="137">
        <f>+'[4]3.SZ.TÁBL. SEGÍTŐ SZOLGÁLAT'!$T94</f>
        <v>15</v>
      </c>
      <c r="T95" s="140">
        <v>14</v>
      </c>
      <c r="U95" s="148"/>
      <c r="V95" s="137">
        <f>+'[4]3.SZ.TÁBL. SEGÍTŐ SZOLGÁLAT'!$W94</f>
        <v>7</v>
      </c>
      <c r="W95" s="138">
        <v>7</v>
      </c>
      <c r="X95" s="150">
        <f t="shared" ref="X95" si="285">+C95+F95+I95+L95+O95+R95+U95</f>
        <v>0</v>
      </c>
      <c r="Y95" s="146">
        <f t="shared" ref="Y95" si="286">+D95+G95+J95+M95+P95+S95+V95</f>
        <v>59</v>
      </c>
      <c r="Z95" s="151">
        <f t="shared" ref="Z95" si="287">+E95+H95+K95+N95+Q95+T95+W95</f>
        <v>58</v>
      </c>
    </row>
    <row r="96" spans="1:26" ht="13.5" customHeight="1">
      <c r="A96" s="129" t="s">
        <v>345</v>
      </c>
      <c r="B96" s="640" t="s">
        <v>346</v>
      </c>
      <c r="C96" s="148">
        <f>+C97</f>
        <v>0</v>
      </c>
      <c r="D96" s="137">
        <f>+'[4]3.SZ.TÁBL. SEGÍTŐ SZOLGÁLAT'!$E95</f>
        <v>0</v>
      </c>
      <c r="E96" s="149"/>
      <c r="F96" s="145">
        <f>+F97</f>
        <v>0</v>
      </c>
      <c r="G96" s="137">
        <f>+'[4]3.SZ.TÁBL. SEGÍTŐ SZOLGÁLAT'!$H95</f>
        <v>0</v>
      </c>
      <c r="H96" s="147"/>
      <c r="I96" s="148">
        <f>+I97</f>
        <v>0</v>
      </c>
      <c r="J96" s="137">
        <f>+'[4]3.SZ.TÁBL. SEGÍTŐ SZOLGÁLAT'!$K95</f>
        <v>0</v>
      </c>
      <c r="K96" s="149"/>
      <c r="L96" s="145">
        <f>+L97</f>
        <v>0</v>
      </c>
      <c r="M96" s="137">
        <f>+'[4]3.SZ.TÁBL. SEGÍTŐ SZOLGÁLAT'!$N95</f>
        <v>0</v>
      </c>
      <c r="N96" s="147"/>
      <c r="O96" s="148">
        <f>+O97</f>
        <v>0</v>
      </c>
      <c r="P96" s="137">
        <f>+'[4]3.SZ.TÁBL. SEGÍTŐ SZOLGÁLAT'!$Q95</f>
        <v>0</v>
      </c>
      <c r="Q96" s="149"/>
      <c r="R96" s="145">
        <f>+R97</f>
        <v>0</v>
      </c>
      <c r="S96" s="137">
        <f>+'[4]3.SZ.TÁBL. SEGÍTŐ SZOLGÁLAT'!$T95</f>
        <v>0</v>
      </c>
      <c r="T96" s="147"/>
      <c r="U96" s="148">
        <f>+U97</f>
        <v>0</v>
      </c>
      <c r="V96" s="137">
        <f>+'[4]3.SZ.TÁBL. SEGÍTŐ SZOLGÁLAT'!$W95</f>
        <v>0</v>
      </c>
      <c r="W96" s="151"/>
      <c r="X96" s="150">
        <f>+X97</f>
        <v>0</v>
      </c>
      <c r="Y96" s="146">
        <f t="shared" ref="Y96:Z96" si="288">+Y97</f>
        <v>0</v>
      </c>
      <c r="Z96" s="151">
        <f t="shared" si="288"/>
        <v>0</v>
      </c>
    </row>
    <row r="97" spans="1:26" ht="13.5" customHeight="1">
      <c r="A97" s="135" t="s">
        <v>345</v>
      </c>
      <c r="B97" s="641" t="s">
        <v>130</v>
      </c>
      <c r="C97" s="158"/>
      <c r="D97" s="137">
        <f>+'[4]3.SZ.TÁBL. SEGÍTŐ SZOLGÁLAT'!$E96</f>
        <v>0</v>
      </c>
      <c r="E97" s="159"/>
      <c r="F97" s="155"/>
      <c r="G97" s="137">
        <f>+'[4]3.SZ.TÁBL. SEGÍTŐ SZOLGÁLAT'!$H96</f>
        <v>0</v>
      </c>
      <c r="H97" s="157"/>
      <c r="I97" s="158"/>
      <c r="J97" s="137">
        <f>+'[4]3.SZ.TÁBL. SEGÍTŐ SZOLGÁLAT'!$K96</f>
        <v>0</v>
      </c>
      <c r="K97" s="159"/>
      <c r="L97" s="155"/>
      <c r="M97" s="137">
        <f>+'[4]3.SZ.TÁBL. SEGÍTŐ SZOLGÁLAT'!$N96</f>
        <v>0</v>
      </c>
      <c r="N97" s="157"/>
      <c r="O97" s="158"/>
      <c r="P97" s="137">
        <f>+'[4]3.SZ.TÁBL. SEGÍTŐ SZOLGÁLAT'!$Q96</f>
        <v>0</v>
      </c>
      <c r="Q97" s="159"/>
      <c r="R97" s="155"/>
      <c r="S97" s="137">
        <f>+'[4]3.SZ.TÁBL. SEGÍTŐ SZOLGÁLAT'!$T96</f>
        <v>0</v>
      </c>
      <c r="T97" s="157"/>
      <c r="U97" s="158"/>
      <c r="V97" s="137">
        <f>+'[4]3.SZ.TÁBL. SEGÍTŐ SZOLGÁLAT'!$W96</f>
        <v>0</v>
      </c>
      <c r="W97" s="161"/>
      <c r="X97" s="160">
        <f t="shared" ref="X97:X98" si="289">+C97+F97+I97+L97+O97+R97+U97</f>
        <v>0</v>
      </c>
      <c r="Y97" s="156">
        <f t="shared" ref="Y97:Y98" si="290">+D97+G97+J97+M97+P97+S97+V97</f>
        <v>0</v>
      </c>
      <c r="Z97" s="161">
        <f t="shared" ref="Z97:Z98" si="291">+E97+H97+K97+N97+Q97+T97+W97</f>
        <v>0</v>
      </c>
    </row>
    <row r="98" spans="1:26" ht="13.5" customHeight="1">
      <c r="A98" s="231" t="s">
        <v>347</v>
      </c>
      <c r="B98" s="642" t="s">
        <v>348</v>
      </c>
      <c r="C98" s="189"/>
      <c r="D98" s="137">
        <f>+'[4]3.SZ.TÁBL. SEGÍTŐ SZOLGÁLAT'!$E97</f>
        <v>0</v>
      </c>
      <c r="E98" s="190"/>
      <c r="F98" s="187"/>
      <c r="G98" s="137">
        <f>+'[4]3.SZ.TÁBL. SEGÍTŐ SZOLGÁLAT'!$H97</f>
        <v>0</v>
      </c>
      <c r="H98" s="188"/>
      <c r="I98" s="189"/>
      <c r="J98" s="137">
        <f>+'[4]3.SZ.TÁBL. SEGÍTŐ SZOLGÁLAT'!$K97</f>
        <v>0</v>
      </c>
      <c r="K98" s="190"/>
      <c r="L98" s="187"/>
      <c r="M98" s="137">
        <f>+'[4]3.SZ.TÁBL. SEGÍTŐ SZOLGÁLAT'!$N97</f>
        <v>0</v>
      </c>
      <c r="N98" s="188"/>
      <c r="O98" s="189"/>
      <c r="P98" s="137">
        <f>+'[4]3.SZ.TÁBL. SEGÍTŐ SZOLGÁLAT'!$Q97</f>
        <v>0</v>
      </c>
      <c r="Q98" s="190"/>
      <c r="R98" s="187"/>
      <c r="S98" s="137">
        <f>+'[4]3.SZ.TÁBL. SEGÍTŐ SZOLGÁLAT'!$T97</f>
        <v>0</v>
      </c>
      <c r="T98" s="188"/>
      <c r="U98" s="189"/>
      <c r="V98" s="137">
        <f>+'[4]3.SZ.TÁBL. SEGÍTŐ SZOLGÁLAT'!$W97</f>
        <v>0</v>
      </c>
      <c r="W98" s="186"/>
      <c r="X98" s="184">
        <f t="shared" si="289"/>
        <v>0</v>
      </c>
      <c r="Y98" s="185">
        <f t="shared" si="290"/>
        <v>0</v>
      </c>
      <c r="Z98" s="186">
        <f t="shared" si="291"/>
        <v>0</v>
      </c>
    </row>
    <row r="99" spans="1:26" s="235" customFormat="1" ht="13.5" customHeight="1">
      <c r="A99" s="132" t="s">
        <v>202</v>
      </c>
      <c r="B99" s="178" t="s">
        <v>160</v>
      </c>
      <c r="C99" s="233">
        <f>+SUM(C95:C98)-C97</f>
        <v>0</v>
      </c>
      <c r="D99" s="214">
        <f t="shared" ref="D99:Y99" si="292">+SUM(D95:D98)-D97</f>
        <v>7</v>
      </c>
      <c r="E99" s="493">
        <f t="shared" si="292"/>
        <v>7</v>
      </c>
      <c r="F99" s="214">
        <f>+SUM(F95:F98)-F97</f>
        <v>0</v>
      </c>
      <c r="G99" s="214">
        <f t="shared" ref="G99" si="293">+SUM(G95:G98)-G97</f>
        <v>0</v>
      </c>
      <c r="H99" s="643">
        <f t="shared" ref="H99" si="294">+SUM(H95:H98)-H97</f>
        <v>0</v>
      </c>
      <c r="I99" s="233">
        <f>+SUM(I95:I98)-I97</f>
        <v>0</v>
      </c>
      <c r="J99" s="214">
        <f t="shared" ref="J99" si="295">+SUM(J95:J98)-J97</f>
        <v>15</v>
      </c>
      <c r="K99" s="493">
        <f t="shared" ref="K99" si="296">+SUM(K95:K98)-K97</f>
        <v>15</v>
      </c>
      <c r="L99" s="214">
        <f>+SUM(L95:L98)-L97</f>
        <v>0</v>
      </c>
      <c r="M99" s="214">
        <f t="shared" ref="M99" si="297">+SUM(M95:M98)-M97</f>
        <v>15</v>
      </c>
      <c r="N99" s="643">
        <f t="shared" ref="N99" si="298">+SUM(N95:N98)-N97</f>
        <v>15</v>
      </c>
      <c r="O99" s="233">
        <f>+SUM(O95:O98)-O97</f>
        <v>0</v>
      </c>
      <c r="P99" s="214">
        <f t="shared" ref="P99" si="299">+SUM(P95:P98)-P97</f>
        <v>0</v>
      </c>
      <c r="Q99" s="493">
        <f t="shared" ref="Q99" si="300">+SUM(Q95:Q98)-Q97</f>
        <v>0</v>
      </c>
      <c r="R99" s="214">
        <f>+SUM(R95:R98)-R97</f>
        <v>0</v>
      </c>
      <c r="S99" s="214">
        <f t="shared" ref="S99" si="301">+SUM(S95:S98)-S97</f>
        <v>15</v>
      </c>
      <c r="T99" s="643">
        <f t="shared" ref="T99" si="302">+SUM(T95:T98)-T97</f>
        <v>14</v>
      </c>
      <c r="U99" s="233">
        <f>+SUM(U95:U98)-U97</f>
        <v>0</v>
      </c>
      <c r="V99" s="214">
        <f t="shared" ref="V99" si="303">+SUM(V95:V98)-V97</f>
        <v>7</v>
      </c>
      <c r="W99" s="645">
        <f t="shared" ref="W99" si="304">+SUM(W95:W98)-W97</f>
        <v>7</v>
      </c>
      <c r="X99" s="208">
        <f t="shared" si="292"/>
        <v>0</v>
      </c>
      <c r="Y99" s="212">
        <f t="shared" si="292"/>
        <v>59</v>
      </c>
      <c r="Z99" s="213">
        <f>+SUM(Z95:Z98)-Z97</f>
        <v>58</v>
      </c>
    </row>
    <row r="100" spans="1:26" ht="13.5" customHeight="1">
      <c r="A100" s="129" t="s">
        <v>274</v>
      </c>
      <c r="B100" s="175" t="s">
        <v>275</v>
      </c>
      <c r="C100" s="148"/>
      <c r="D100" s="137">
        <f>+'[4]3.SZ.TÁBL. SEGÍTŐ SZOLGÁLAT'!$E99</f>
        <v>0</v>
      </c>
      <c r="E100" s="149"/>
      <c r="F100" s="145"/>
      <c r="G100" s="137">
        <f>+'[4]3.SZ.TÁBL. SEGÍTŐ SZOLGÁLAT'!$H99</f>
        <v>0</v>
      </c>
      <c r="H100" s="147"/>
      <c r="I100" s="148"/>
      <c r="J100" s="137">
        <f>+'[4]3.SZ.TÁBL. SEGÍTŐ SZOLGÁLAT'!$K99</f>
        <v>0</v>
      </c>
      <c r="K100" s="149"/>
      <c r="L100" s="145"/>
      <c r="M100" s="137">
        <f>+'[4]3.SZ.TÁBL. SEGÍTŐ SZOLGÁLAT'!$N99</f>
        <v>0</v>
      </c>
      <c r="N100" s="147"/>
      <c r="O100" s="148"/>
      <c r="P100" s="137">
        <f>+'[4]3.SZ.TÁBL. SEGÍTŐ SZOLGÁLAT'!$Q99</f>
        <v>0</v>
      </c>
      <c r="Q100" s="149"/>
      <c r="R100" s="145"/>
      <c r="S100" s="137">
        <f>+'[4]3.SZ.TÁBL. SEGÍTŐ SZOLGÁLAT'!$T99</f>
        <v>0</v>
      </c>
      <c r="T100" s="147"/>
      <c r="U100" s="148"/>
      <c r="V100" s="137">
        <f>+'[4]3.SZ.TÁBL. SEGÍTŐ SZOLGÁLAT'!$W99</f>
        <v>0</v>
      </c>
      <c r="W100" s="151"/>
      <c r="X100" s="150">
        <f t="shared" ref="X100:X106" si="305">+C100+F100+I100+L100+O100+R100+U100</f>
        <v>0</v>
      </c>
      <c r="Y100" s="146">
        <f t="shared" ref="Y100:Y106" si="306">+D100+G100+J100+M100+P100+S100+V100</f>
        <v>0</v>
      </c>
      <c r="Z100" s="151">
        <f t="shared" ref="Z100:Z106" si="307">+E100+H100+K100+N100+Q100+T100+W100</f>
        <v>0</v>
      </c>
    </row>
    <row r="101" spans="1:26" ht="13.5" customHeight="1">
      <c r="A101" s="130" t="s">
        <v>276</v>
      </c>
      <c r="B101" s="176" t="s">
        <v>277</v>
      </c>
      <c r="C101" s="141"/>
      <c r="D101" s="137">
        <f>+'[4]3.SZ.TÁBL. SEGÍTŐ SZOLGÁLAT'!$E100</f>
        <v>0</v>
      </c>
      <c r="E101" s="142"/>
      <c r="F101" s="139"/>
      <c r="G101" s="137">
        <f>+'[4]3.SZ.TÁBL. SEGÍTŐ SZOLGÁLAT'!$H100</f>
        <v>0</v>
      </c>
      <c r="H101" s="140"/>
      <c r="I101" s="141"/>
      <c r="J101" s="137">
        <f>+'[4]3.SZ.TÁBL. SEGÍTŐ SZOLGÁLAT'!$K100</f>
        <v>0</v>
      </c>
      <c r="K101" s="142"/>
      <c r="L101" s="139"/>
      <c r="M101" s="137">
        <f>+'[4]3.SZ.TÁBL. SEGÍTŐ SZOLGÁLAT'!$N100</f>
        <v>0</v>
      </c>
      <c r="N101" s="140"/>
      <c r="O101" s="141"/>
      <c r="P101" s="137">
        <f>+'[4]3.SZ.TÁBL. SEGÍTŐ SZOLGÁLAT'!$Q100</f>
        <v>0</v>
      </c>
      <c r="Q101" s="142"/>
      <c r="R101" s="139"/>
      <c r="S101" s="137">
        <f>+'[4]3.SZ.TÁBL. SEGÍTŐ SZOLGÁLAT'!$T100</f>
        <v>0</v>
      </c>
      <c r="T101" s="140"/>
      <c r="U101" s="141"/>
      <c r="V101" s="137">
        <f>+'[4]3.SZ.TÁBL. SEGÍTŐ SZOLGÁLAT'!$W100</f>
        <v>0</v>
      </c>
      <c r="W101" s="138"/>
      <c r="X101" s="143">
        <f t="shared" si="305"/>
        <v>0</v>
      </c>
      <c r="Y101" s="137">
        <f t="shared" si="306"/>
        <v>0</v>
      </c>
      <c r="Z101" s="138">
        <f t="shared" si="307"/>
        <v>0</v>
      </c>
    </row>
    <row r="102" spans="1:26" ht="13.5" customHeight="1">
      <c r="A102" s="130" t="s">
        <v>278</v>
      </c>
      <c r="B102" s="176" t="s">
        <v>279</v>
      </c>
      <c r="C102" s="141"/>
      <c r="D102" s="137">
        <f>+'[4]3.SZ.TÁBL. SEGÍTŐ SZOLGÁLAT'!$E101</f>
        <v>0</v>
      </c>
      <c r="E102" s="142"/>
      <c r="F102" s="139"/>
      <c r="G102" s="137">
        <f>+'[4]3.SZ.TÁBL. SEGÍTŐ SZOLGÁLAT'!$H101</f>
        <v>0</v>
      </c>
      <c r="H102" s="140"/>
      <c r="I102" s="141"/>
      <c r="J102" s="137">
        <f>+'[4]3.SZ.TÁBL. SEGÍTŐ SZOLGÁLAT'!$K101</f>
        <v>0</v>
      </c>
      <c r="K102" s="142"/>
      <c r="L102" s="139"/>
      <c r="M102" s="137">
        <f>+'[4]3.SZ.TÁBL. SEGÍTŐ SZOLGÁLAT'!$N101</f>
        <v>0</v>
      </c>
      <c r="N102" s="140"/>
      <c r="O102" s="141"/>
      <c r="P102" s="137">
        <f>+'[4]3.SZ.TÁBL. SEGÍTŐ SZOLGÁLAT'!$Q101</f>
        <v>0</v>
      </c>
      <c r="Q102" s="142"/>
      <c r="R102" s="139"/>
      <c r="S102" s="137">
        <f>+'[4]3.SZ.TÁBL. SEGÍTŐ SZOLGÁLAT'!$T101</f>
        <v>0</v>
      </c>
      <c r="T102" s="140"/>
      <c r="U102" s="141"/>
      <c r="V102" s="137">
        <f>+'[4]3.SZ.TÁBL. SEGÍTŐ SZOLGÁLAT'!$W101</f>
        <v>0</v>
      </c>
      <c r="W102" s="138"/>
      <c r="X102" s="143">
        <f t="shared" si="305"/>
        <v>0</v>
      </c>
      <c r="Y102" s="137">
        <f t="shared" si="306"/>
        <v>0</v>
      </c>
      <c r="Z102" s="138">
        <f t="shared" si="307"/>
        <v>0</v>
      </c>
    </row>
    <row r="103" spans="1:26" ht="13.5" customHeight="1">
      <c r="A103" s="130" t="s">
        <v>280</v>
      </c>
      <c r="B103" s="176" t="s">
        <v>281</v>
      </c>
      <c r="C103" s="141"/>
      <c r="D103" s="137">
        <f>+'[4]3.SZ.TÁBL. SEGÍTŐ SZOLGÁLAT'!$E102</f>
        <v>0</v>
      </c>
      <c r="E103" s="142"/>
      <c r="F103" s="139"/>
      <c r="G103" s="137">
        <f>+'[4]3.SZ.TÁBL. SEGÍTŐ SZOLGÁLAT'!$H102</f>
        <v>0</v>
      </c>
      <c r="H103" s="140"/>
      <c r="I103" s="141"/>
      <c r="J103" s="137">
        <f>+'[4]3.SZ.TÁBL. SEGÍTŐ SZOLGÁLAT'!$K102</f>
        <v>0</v>
      </c>
      <c r="K103" s="142"/>
      <c r="L103" s="139"/>
      <c r="M103" s="137">
        <f>+'[4]3.SZ.TÁBL. SEGÍTŐ SZOLGÁLAT'!$N102</f>
        <v>0</v>
      </c>
      <c r="N103" s="140"/>
      <c r="O103" s="141"/>
      <c r="P103" s="137">
        <f>+'[4]3.SZ.TÁBL. SEGÍTŐ SZOLGÁLAT'!$Q102</f>
        <v>0</v>
      </c>
      <c r="Q103" s="142"/>
      <c r="R103" s="139"/>
      <c r="S103" s="137">
        <f>+'[4]3.SZ.TÁBL. SEGÍTŐ SZOLGÁLAT'!$T102</f>
        <v>0</v>
      </c>
      <c r="T103" s="140"/>
      <c r="U103" s="141"/>
      <c r="V103" s="137">
        <f>+'[4]3.SZ.TÁBL. SEGÍTŐ SZOLGÁLAT'!$W102</f>
        <v>0</v>
      </c>
      <c r="W103" s="138"/>
      <c r="X103" s="143">
        <f t="shared" si="305"/>
        <v>0</v>
      </c>
      <c r="Y103" s="137">
        <f t="shared" si="306"/>
        <v>0</v>
      </c>
      <c r="Z103" s="138">
        <f t="shared" si="307"/>
        <v>0</v>
      </c>
    </row>
    <row r="104" spans="1:26" ht="13.5" customHeight="1">
      <c r="A104" s="130" t="s">
        <v>282</v>
      </c>
      <c r="B104" s="176" t="s">
        <v>283</v>
      </c>
      <c r="C104" s="141"/>
      <c r="D104" s="137">
        <f>+'[4]3.SZ.TÁBL. SEGÍTŐ SZOLGÁLAT'!$E103</f>
        <v>0</v>
      </c>
      <c r="E104" s="142"/>
      <c r="F104" s="139"/>
      <c r="G104" s="137">
        <f>+'[4]3.SZ.TÁBL. SEGÍTŐ SZOLGÁLAT'!$H103</f>
        <v>0</v>
      </c>
      <c r="H104" s="140"/>
      <c r="I104" s="141"/>
      <c r="J104" s="137">
        <f>+'[4]3.SZ.TÁBL. SEGÍTŐ SZOLGÁLAT'!$K103</f>
        <v>0</v>
      </c>
      <c r="K104" s="142"/>
      <c r="L104" s="139"/>
      <c r="M104" s="137">
        <f>+'[4]3.SZ.TÁBL. SEGÍTŐ SZOLGÁLAT'!$N103</f>
        <v>0</v>
      </c>
      <c r="N104" s="140"/>
      <c r="O104" s="141"/>
      <c r="P104" s="137">
        <f>+'[4]3.SZ.TÁBL. SEGÍTŐ SZOLGÁLAT'!$Q103</f>
        <v>0</v>
      </c>
      <c r="Q104" s="142"/>
      <c r="R104" s="139"/>
      <c r="S104" s="137">
        <f>+'[4]3.SZ.TÁBL. SEGÍTŐ SZOLGÁLAT'!$T103</f>
        <v>0</v>
      </c>
      <c r="T104" s="140"/>
      <c r="U104" s="141"/>
      <c r="V104" s="137">
        <f>+'[4]3.SZ.TÁBL. SEGÍTŐ SZOLGÁLAT'!$W103</f>
        <v>0</v>
      </c>
      <c r="W104" s="138"/>
      <c r="X104" s="143">
        <f t="shared" si="305"/>
        <v>0</v>
      </c>
      <c r="Y104" s="137">
        <f t="shared" si="306"/>
        <v>0</v>
      </c>
      <c r="Z104" s="138">
        <f t="shared" si="307"/>
        <v>0</v>
      </c>
    </row>
    <row r="105" spans="1:26" ht="13.5" customHeight="1">
      <c r="A105" s="130" t="s">
        <v>284</v>
      </c>
      <c r="B105" s="176" t="s">
        <v>285</v>
      </c>
      <c r="C105" s="141"/>
      <c r="D105" s="137">
        <f>+'[4]3.SZ.TÁBL. SEGÍTŐ SZOLGÁLAT'!$E104</f>
        <v>0</v>
      </c>
      <c r="E105" s="142"/>
      <c r="F105" s="139"/>
      <c r="G105" s="137">
        <f>+'[4]3.SZ.TÁBL. SEGÍTŐ SZOLGÁLAT'!$H104</f>
        <v>0</v>
      </c>
      <c r="H105" s="140"/>
      <c r="I105" s="141"/>
      <c r="J105" s="137">
        <f>+'[4]3.SZ.TÁBL. SEGÍTŐ SZOLGÁLAT'!$K104</f>
        <v>0</v>
      </c>
      <c r="K105" s="142"/>
      <c r="L105" s="139"/>
      <c r="M105" s="137">
        <f>+'[4]3.SZ.TÁBL. SEGÍTŐ SZOLGÁLAT'!$N104</f>
        <v>0</v>
      </c>
      <c r="N105" s="140"/>
      <c r="O105" s="141"/>
      <c r="P105" s="137">
        <f>+'[4]3.SZ.TÁBL. SEGÍTŐ SZOLGÁLAT'!$Q104</f>
        <v>0</v>
      </c>
      <c r="Q105" s="142"/>
      <c r="R105" s="139"/>
      <c r="S105" s="137">
        <f>+'[4]3.SZ.TÁBL. SEGÍTŐ SZOLGÁLAT'!$T104</f>
        <v>0</v>
      </c>
      <c r="T105" s="140"/>
      <c r="U105" s="141"/>
      <c r="V105" s="137">
        <f>+'[4]3.SZ.TÁBL. SEGÍTŐ SZOLGÁLAT'!$W104</f>
        <v>0</v>
      </c>
      <c r="W105" s="138"/>
      <c r="X105" s="143">
        <f t="shared" si="305"/>
        <v>0</v>
      </c>
      <c r="Y105" s="137">
        <f t="shared" si="306"/>
        <v>0</v>
      </c>
      <c r="Z105" s="138">
        <f t="shared" si="307"/>
        <v>0</v>
      </c>
    </row>
    <row r="106" spans="1:26" ht="13.5" customHeight="1">
      <c r="A106" s="131" t="s">
        <v>286</v>
      </c>
      <c r="B106" s="177" t="s">
        <v>287</v>
      </c>
      <c r="C106" s="158"/>
      <c r="D106" s="137">
        <f>+'[4]3.SZ.TÁBL. SEGÍTŐ SZOLGÁLAT'!$E105</f>
        <v>0</v>
      </c>
      <c r="E106" s="159"/>
      <c r="F106" s="155"/>
      <c r="G106" s="137">
        <f>+'[4]3.SZ.TÁBL. SEGÍTŐ SZOLGÁLAT'!$H105</f>
        <v>0</v>
      </c>
      <c r="H106" s="157"/>
      <c r="I106" s="158"/>
      <c r="J106" s="137">
        <f>+'[4]3.SZ.TÁBL. SEGÍTŐ SZOLGÁLAT'!$K105</f>
        <v>0</v>
      </c>
      <c r="K106" s="159"/>
      <c r="L106" s="155"/>
      <c r="M106" s="137">
        <f>+'[4]3.SZ.TÁBL. SEGÍTŐ SZOLGÁLAT'!$N105</f>
        <v>0</v>
      </c>
      <c r="N106" s="157"/>
      <c r="O106" s="158"/>
      <c r="P106" s="137">
        <f>+'[4]3.SZ.TÁBL. SEGÍTŐ SZOLGÁLAT'!$Q105</f>
        <v>0</v>
      </c>
      <c r="Q106" s="159"/>
      <c r="R106" s="155"/>
      <c r="S106" s="137">
        <f>+'[4]3.SZ.TÁBL. SEGÍTŐ SZOLGÁLAT'!$T105</f>
        <v>0</v>
      </c>
      <c r="T106" s="157"/>
      <c r="U106" s="158"/>
      <c r="V106" s="137">
        <f>+'[4]3.SZ.TÁBL. SEGÍTŐ SZOLGÁLAT'!$W105</f>
        <v>0</v>
      </c>
      <c r="W106" s="161"/>
      <c r="X106" s="160">
        <f t="shared" si="305"/>
        <v>0</v>
      </c>
      <c r="Y106" s="156">
        <f t="shared" si="306"/>
        <v>0</v>
      </c>
      <c r="Z106" s="161">
        <f t="shared" si="307"/>
        <v>0</v>
      </c>
    </row>
    <row r="107" spans="1:26" s="235" customFormat="1" ht="13.5" customHeight="1">
      <c r="A107" s="132" t="s">
        <v>203</v>
      </c>
      <c r="B107" s="178" t="s">
        <v>116</v>
      </c>
      <c r="C107" s="233">
        <f>SUM(C100:C106)</f>
        <v>0</v>
      </c>
      <c r="D107" s="214">
        <f t="shared" ref="D107:E107" si="308">SUM(D100:D106)</f>
        <v>0</v>
      </c>
      <c r="E107" s="493">
        <f t="shared" si="308"/>
        <v>0</v>
      </c>
      <c r="F107" s="214">
        <f>SUM(F100:F106)</f>
        <v>0</v>
      </c>
      <c r="G107" s="214">
        <f t="shared" ref="G107" si="309">SUM(G100:G106)</f>
        <v>0</v>
      </c>
      <c r="H107" s="643">
        <f t="shared" ref="H107" si="310">SUM(H100:H106)</f>
        <v>0</v>
      </c>
      <c r="I107" s="233">
        <f>SUM(I100:I106)</f>
        <v>0</v>
      </c>
      <c r="J107" s="214">
        <f t="shared" ref="J107" si="311">SUM(J100:J106)</f>
        <v>0</v>
      </c>
      <c r="K107" s="493">
        <f t="shared" ref="K107" si="312">SUM(K100:K106)</f>
        <v>0</v>
      </c>
      <c r="L107" s="214">
        <f>SUM(L100:L106)</f>
        <v>0</v>
      </c>
      <c r="M107" s="214">
        <f t="shared" ref="M107" si="313">SUM(M100:M106)</f>
        <v>0</v>
      </c>
      <c r="N107" s="643">
        <f t="shared" ref="N107" si="314">SUM(N100:N106)</f>
        <v>0</v>
      </c>
      <c r="O107" s="233">
        <f>SUM(O100:O106)</f>
        <v>0</v>
      </c>
      <c r="P107" s="214">
        <f t="shared" ref="P107" si="315">SUM(P100:P106)</f>
        <v>0</v>
      </c>
      <c r="Q107" s="493">
        <f t="shared" ref="Q107" si="316">SUM(Q100:Q106)</f>
        <v>0</v>
      </c>
      <c r="R107" s="214">
        <f>SUM(R100:R106)</f>
        <v>0</v>
      </c>
      <c r="S107" s="214">
        <f t="shared" ref="S107" si="317">SUM(S100:S106)</f>
        <v>0</v>
      </c>
      <c r="T107" s="643">
        <f t="shared" ref="T107" si="318">SUM(T100:T106)</f>
        <v>0</v>
      </c>
      <c r="U107" s="233">
        <f>SUM(U100:U106)</f>
        <v>0</v>
      </c>
      <c r="V107" s="214">
        <f t="shared" ref="V107" si="319">SUM(V100:V106)</f>
        <v>0</v>
      </c>
      <c r="W107" s="645">
        <f t="shared" ref="W107" si="320">SUM(W100:W106)</f>
        <v>0</v>
      </c>
      <c r="X107" s="208">
        <f>SUM(X100:X106)</f>
        <v>0</v>
      </c>
      <c r="Y107" s="212">
        <f t="shared" ref="Y107:Z107" si="321">SUM(Y100:Y106)</f>
        <v>0</v>
      </c>
      <c r="Z107" s="213">
        <f t="shared" si="321"/>
        <v>0</v>
      </c>
    </row>
    <row r="108" spans="1:26" ht="13.5" customHeight="1">
      <c r="A108" s="129" t="s">
        <v>288</v>
      </c>
      <c r="B108" s="175" t="s">
        <v>289</v>
      </c>
      <c r="C108" s="148"/>
      <c r="D108" s="137">
        <f>+'[4]3.SZ.TÁBL. SEGÍTŐ SZOLGÁLAT'!$E107</f>
        <v>0</v>
      </c>
      <c r="E108" s="149"/>
      <c r="F108" s="145"/>
      <c r="G108" s="137">
        <f>+'[4]3.SZ.TÁBL. SEGÍTŐ SZOLGÁLAT'!$H107</f>
        <v>0</v>
      </c>
      <c r="H108" s="147"/>
      <c r="I108" s="148"/>
      <c r="J108" s="137">
        <f>+'[4]3.SZ.TÁBL. SEGÍTŐ SZOLGÁLAT'!$K107</f>
        <v>0</v>
      </c>
      <c r="K108" s="149"/>
      <c r="L108" s="145"/>
      <c r="M108" s="137">
        <f>+'[4]3.SZ.TÁBL. SEGÍTŐ SZOLGÁLAT'!$N107</f>
        <v>0</v>
      </c>
      <c r="N108" s="147"/>
      <c r="O108" s="148"/>
      <c r="P108" s="137">
        <f>+'[4]3.SZ.TÁBL. SEGÍTŐ SZOLGÁLAT'!$Q107</f>
        <v>0</v>
      </c>
      <c r="Q108" s="149"/>
      <c r="R108" s="145"/>
      <c r="S108" s="137">
        <f>+'[4]3.SZ.TÁBL. SEGÍTŐ SZOLGÁLAT'!$T107</f>
        <v>0</v>
      </c>
      <c r="T108" s="147"/>
      <c r="U108" s="148"/>
      <c r="V108" s="137">
        <f>+'[4]3.SZ.TÁBL. SEGÍTŐ SZOLGÁLAT'!$W107</f>
        <v>0</v>
      </c>
      <c r="W108" s="151"/>
      <c r="X108" s="150">
        <f t="shared" ref="X108:X111" si="322">+C108+F108+I108+L108+O108+R108+U108</f>
        <v>0</v>
      </c>
      <c r="Y108" s="146">
        <f t="shared" ref="Y108:Y111" si="323">+D108+G108+J108+M108+P108+S108+V108</f>
        <v>0</v>
      </c>
      <c r="Z108" s="151">
        <f t="shared" ref="Z108:Z111" si="324">+E108+H108+K108+N108+Q108+T108+W108</f>
        <v>0</v>
      </c>
    </row>
    <row r="109" spans="1:26" ht="13.5" customHeight="1">
      <c r="A109" s="130" t="s">
        <v>290</v>
      </c>
      <c r="B109" s="176" t="s">
        <v>291</v>
      </c>
      <c r="C109" s="141"/>
      <c r="D109" s="137">
        <f>+'[4]3.SZ.TÁBL. SEGÍTŐ SZOLGÁLAT'!$E108</f>
        <v>0</v>
      </c>
      <c r="E109" s="142"/>
      <c r="F109" s="139"/>
      <c r="G109" s="137">
        <f>+'[4]3.SZ.TÁBL. SEGÍTŐ SZOLGÁLAT'!$H108</f>
        <v>0</v>
      </c>
      <c r="H109" s="140"/>
      <c r="I109" s="141"/>
      <c r="J109" s="137">
        <f>+'[4]3.SZ.TÁBL. SEGÍTŐ SZOLGÁLAT'!$K108</f>
        <v>0</v>
      </c>
      <c r="K109" s="142"/>
      <c r="L109" s="139"/>
      <c r="M109" s="137">
        <f>+'[4]3.SZ.TÁBL. SEGÍTŐ SZOLGÁLAT'!$N108</f>
        <v>0</v>
      </c>
      <c r="N109" s="140"/>
      <c r="O109" s="141"/>
      <c r="P109" s="137">
        <f>+'[4]3.SZ.TÁBL. SEGÍTŐ SZOLGÁLAT'!$Q108</f>
        <v>0</v>
      </c>
      <c r="Q109" s="142"/>
      <c r="R109" s="139"/>
      <c r="S109" s="137">
        <f>+'[4]3.SZ.TÁBL. SEGÍTŐ SZOLGÁLAT'!$T108</f>
        <v>0</v>
      </c>
      <c r="T109" s="140"/>
      <c r="U109" s="141"/>
      <c r="V109" s="137">
        <f>+'[4]3.SZ.TÁBL. SEGÍTŐ SZOLGÁLAT'!$W108</f>
        <v>0</v>
      </c>
      <c r="W109" s="138"/>
      <c r="X109" s="143">
        <f t="shared" si="322"/>
        <v>0</v>
      </c>
      <c r="Y109" s="137">
        <f t="shared" si="323"/>
        <v>0</v>
      </c>
      <c r="Z109" s="138">
        <f t="shared" si="324"/>
        <v>0</v>
      </c>
    </row>
    <row r="110" spans="1:26" ht="13.5" customHeight="1">
      <c r="A110" s="130" t="s">
        <v>292</v>
      </c>
      <c r="B110" s="176" t="s">
        <v>293</v>
      </c>
      <c r="C110" s="141"/>
      <c r="D110" s="137">
        <f>+'[4]3.SZ.TÁBL. SEGÍTŐ SZOLGÁLAT'!$E109</f>
        <v>0</v>
      </c>
      <c r="E110" s="142"/>
      <c r="F110" s="139"/>
      <c r="G110" s="137">
        <f>+'[4]3.SZ.TÁBL. SEGÍTŐ SZOLGÁLAT'!$H109</f>
        <v>0</v>
      </c>
      <c r="H110" s="140"/>
      <c r="I110" s="141"/>
      <c r="J110" s="137">
        <f>+'[4]3.SZ.TÁBL. SEGÍTŐ SZOLGÁLAT'!$K109</f>
        <v>0</v>
      </c>
      <c r="K110" s="142"/>
      <c r="L110" s="139"/>
      <c r="M110" s="137">
        <f>+'[4]3.SZ.TÁBL. SEGÍTŐ SZOLGÁLAT'!$N109</f>
        <v>0</v>
      </c>
      <c r="N110" s="140"/>
      <c r="O110" s="141"/>
      <c r="P110" s="137">
        <f>+'[4]3.SZ.TÁBL. SEGÍTŐ SZOLGÁLAT'!$Q109</f>
        <v>0</v>
      </c>
      <c r="Q110" s="142"/>
      <c r="R110" s="139"/>
      <c r="S110" s="137">
        <f>+'[4]3.SZ.TÁBL. SEGÍTŐ SZOLGÁLAT'!$T109</f>
        <v>0</v>
      </c>
      <c r="T110" s="140"/>
      <c r="U110" s="141"/>
      <c r="V110" s="137">
        <f>+'[4]3.SZ.TÁBL. SEGÍTŐ SZOLGÁLAT'!$W109</f>
        <v>0</v>
      </c>
      <c r="W110" s="138"/>
      <c r="X110" s="143">
        <f t="shared" si="322"/>
        <v>0</v>
      </c>
      <c r="Y110" s="137">
        <f t="shared" si="323"/>
        <v>0</v>
      </c>
      <c r="Z110" s="138">
        <f t="shared" si="324"/>
        <v>0</v>
      </c>
    </row>
    <row r="111" spans="1:26" ht="13.5" customHeight="1">
      <c r="A111" s="131" t="s">
        <v>294</v>
      </c>
      <c r="B111" s="177" t="s">
        <v>295</v>
      </c>
      <c r="C111" s="158"/>
      <c r="D111" s="137">
        <f>+'[4]3.SZ.TÁBL. SEGÍTŐ SZOLGÁLAT'!$E110</f>
        <v>0</v>
      </c>
      <c r="E111" s="159"/>
      <c r="F111" s="155"/>
      <c r="G111" s="137">
        <f>+'[4]3.SZ.TÁBL. SEGÍTŐ SZOLGÁLAT'!$H110</f>
        <v>0</v>
      </c>
      <c r="H111" s="157"/>
      <c r="I111" s="158"/>
      <c r="J111" s="137">
        <f>+'[4]3.SZ.TÁBL. SEGÍTŐ SZOLGÁLAT'!$K110</f>
        <v>0</v>
      </c>
      <c r="K111" s="159"/>
      <c r="L111" s="155"/>
      <c r="M111" s="137">
        <f>+'[4]3.SZ.TÁBL. SEGÍTŐ SZOLGÁLAT'!$N110</f>
        <v>0</v>
      </c>
      <c r="N111" s="157"/>
      <c r="O111" s="158"/>
      <c r="P111" s="137">
        <f>+'[4]3.SZ.TÁBL. SEGÍTŐ SZOLGÁLAT'!$Q110</f>
        <v>0</v>
      </c>
      <c r="Q111" s="159"/>
      <c r="R111" s="155"/>
      <c r="S111" s="137">
        <f>+'[4]3.SZ.TÁBL. SEGÍTŐ SZOLGÁLAT'!$T110</f>
        <v>0</v>
      </c>
      <c r="T111" s="157"/>
      <c r="U111" s="158"/>
      <c r="V111" s="137">
        <f>+'[4]3.SZ.TÁBL. SEGÍTŐ SZOLGÁLAT'!$W110</f>
        <v>0</v>
      </c>
      <c r="W111" s="161"/>
      <c r="X111" s="160">
        <f t="shared" si="322"/>
        <v>0</v>
      </c>
      <c r="Y111" s="156">
        <f t="shared" si="323"/>
        <v>0</v>
      </c>
      <c r="Z111" s="161">
        <f t="shared" si="324"/>
        <v>0</v>
      </c>
    </row>
    <row r="112" spans="1:26" s="235" customFormat="1" ht="13.5" customHeight="1">
      <c r="A112" s="132" t="s">
        <v>204</v>
      </c>
      <c r="B112" s="178" t="s">
        <v>161</v>
      </c>
      <c r="C112" s="233">
        <f>SUM(C108:C111)</f>
        <v>0</v>
      </c>
      <c r="D112" s="214">
        <f t="shared" ref="D112:E112" si="325">SUM(D108:D111)</f>
        <v>0</v>
      </c>
      <c r="E112" s="493">
        <f t="shared" si="325"/>
        <v>0</v>
      </c>
      <c r="F112" s="214">
        <f>SUM(F108:F111)</f>
        <v>0</v>
      </c>
      <c r="G112" s="214">
        <f t="shared" ref="G112" si="326">SUM(G108:G111)</f>
        <v>0</v>
      </c>
      <c r="H112" s="643">
        <f t="shared" ref="H112" si="327">SUM(H108:H111)</f>
        <v>0</v>
      </c>
      <c r="I112" s="233">
        <f>SUM(I108:I111)</f>
        <v>0</v>
      </c>
      <c r="J112" s="214">
        <f t="shared" ref="J112" si="328">SUM(J108:J111)</f>
        <v>0</v>
      </c>
      <c r="K112" s="493">
        <f t="shared" ref="K112" si="329">SUM(K108:K111)</f>
        <v>0</v>
      </c>
      <c r="L112" s="214">
        <f>SUM(L108:L111)</f>
        <v>0</v>
      </c>
      <c r="M112" s="214">
        <f t="shared" ref="M112" si="330">SUM(M108:M111)</f>
        <v>0</v>
      </c>
      <c r="N112" s="643">
        <f t="shared" ref="N112" si="331">SUM(N108:N111)</f>
        <v>0</v>
      </c>
      <c r="O112" s="233">
        <f>SUM(O108:O111)</f>
        <v>0</v>
      </c>
      <c r="P112" s="214">
        <f t="shared" ref="P112" si="332">SUM(P108:P111)</f>
        <v>0</v>
      </c>
      <c r="Q112" s="493">
        <f t="shared" ref="Q112" si="333">SUM(Q108:Q111)</f>
        <v>0</v>
      </c>
      <c r="R112" s="214">
        <f>SUM(R108:R111)</f>
        <v>0</v>
      </c>
      <c r="S112" s="214">
        <f t="shared" ref="S112" si="334">SUM(S108:S111)</f>
        <v>0</v>
      </c>
      <c r="T112" s="643">
        <f t="shared" ref="T112" si="335">SUM(T108:T111)</f>
        <v>0</v>
      </c>
      <c r="U112" s="233">
        <f>SUM(U108:U111)</f>
        <v>0</v>
      </c>
      <c r="V112" s="214">
        <f t="shared" ref="V112" si="336">SUM(V108:V111)</f>
        <v>0</v>
      </c>
      <c r="W112" s="645">
        <f t="shared" ref="W112" si="337">SUM(W108:W111)</f>
        <v>0</v>
      </c>
      <c r="X112" s="208">
        <f>SUM(X108:X111)</f>
        <v>0</v>
      </c>
      <c r="Y112" s="212">
        <f t="shared" ref="Y112:Z112" si="338">SUM(Y108:Y111)</f>
        <v>0</v>
      </c>
      <c r="Z112" s="213">
        <f t="shared" si="338"/>
        <v>0</v>
      </c>
    </row>
    <row r="113" spans="1:26" s="235" customFormat="1" ht="13.5" customHeight="1">
      <c r="A113" s="132" t="s">
        <v>205</v>
      </c>
      <c r="B113" s="178" t="s">
        <v>162</v>
      </c>
      <c r="C113" s="233"/>
      <c r="D113" s="212"/>
      <c r="E113" s="234"/>
      <c r="F113" s="214"/>
      <c r="G113" s="212"/>
      <c r="H113" s="215"/>
      <c r="I113" s="233"/>
      <c r="J113" s="212"/>
      <c r="K113" s="234"/>
      <c r="L113" s="214"/>
      <c r="M113" s="212"/>
      <c r="N113" s="215"/>
      <c r="O113" s="233"/>
      <c r="P113" s="212"/>
      <c r="Q113" s="234"/>
      <c r="R113" s="214"/>
      <c r="S113" s="212"/>
      <c r="T113" s="215"/>
      <c r="U113" s="233"/>
      <c r="V113" s="212"/>
      <c r="W113" s="213"/>
      <c r="X113" s="163">
        <f>+C113+F113+I113+L113+O113+R113+U113</f>
        <v>0</v>
      </c>
      <c r="Y113" s="488">
        <f t="shared" ref="Y113:Z113" si="339">+D113+G113+J113+M113+P113+S113+V113</f>
        <v>0</v>
      </c>
      <c r="Z113" s="489">
        <f t="shared" si="339"/>
        <v>0</v>
      </c>
    </row>
    <row r="114" spans="1:26" s="235" customFormat="1" ht="13.5" customHeight="1">
      <c r="A114" s="136" t="s">
        <v>206</v>
      </c>
      <c r="B114" s="178" t="s">
        <v>163</v>
      </c>
      <c r="C114" s="233">
        <f>+C61+C62+C94+C99+C107+C112+C113</f>
        <v>6537</v>
      </c>
      <c r="D114" s="214">
        <f t="shared" ref="D114:E114" si="340">+D61+D62+D94+D99+D107+D112+D113</f>
        <v>6894</v>
      </c>
      <c r="E114" s="493">
        <f t="shared" si="340"/>
        <v>4673</v>
      </c>
      <c r="F114" s="214">
        <f>+F61+F62+F94+F99+F107+F112+F113</f>
        <v>19709</v>
      </c>
      <c r="G114" s="214">
        <f t="shared" ref="G114" si="341">+G61+G62+G94+G99+G107+G112+G113</f>
        <v>22206</v>
      </c>
      <c r="H114" s="643">
        <f t="shared" ref="H114" si="342">+H61+H62+H94+H99+H107+H112+H113</f>
        <v>15037</v>
      </c>
      <c r="I114" s="233">
        <f>+I61+I62+I94+I99+I107+I112+I113</f>
        <v>29665</v>
      </c>
      <c r="J114" s="214">
        <f t="shared" ref="J114" si="343">+J61+J62+J94+J99+J107+J112+J113</f>
        <v>32978</v>
      </c>
      <c r="K114" s="493">
        <f t="shared" ref="K114" si="344">+K61+K62+K94+K99+K107+K112+K113</f>
        <v>24169</v>
      </c>
      <c r="L114" s="214">
        <f>+L61+L62+L94+L99+L107+L112+L113</f>
        <v>13798</v>
      </c>
      <c r="M114" s="214">
        <f t="shared" ref="M114" si="345">+M61+M62+M94+M99+M107+M112+M113</f>
        <v>15494</v>
      </c>
      <c r="N114" s="643">
        <f t="shared" ref="N114" si="346">+N61+N62+N94+N99+N107+N112+N113</f>
        <v>10591</v>
      </c>
      <c r="O114" s="233">
        <f>+O61+O62+O94+O99+O107+O112+O113</f>
        <v>12817</v>
      </c>
      <c r="P114" s="214">
        <f t="shared" ref="P114" si="347">+P61+P62+P94+P99+P107+P112+P113</f>
        <v>14231</v>
      </c>
      <c r="Q114" s="493">
        <f t="shared" ref="Q114" si="348">+Q61+Q62+Q94+Q99+Q107+Q112+Q113</f>
        <v>10204</v>
      </c>
      <c r="R114" s="214">
        <f>+R61+R62+R94+R99+R107+R112+R113</f>
        <v>5032</v>
      </c>
      <c r="S114" s="214">
        <f t="shared" ref="S114" si="349">+S61+S62+S94+S99+S107+S112+S113</f>
        <v>5661</v>
      </c>
      <c r="T114" s="643">
        <f t="shared" ref="T114" si="350">+T61+T62+T94+T99+T107+T112+T113</f>
        <v>4657</v>
      </c>
      <c r="U114" s="233">
        <f>+U61+U62+U94+U99+U107+U112+U113</f>
        <v>4086</v>
      </c>
      <c r="V114" s="214">
        <f t="shared" ref="V114" si="351">+V61+V62+V94+V99+V107+V112+V113</f>
        <v>4479</v>
      </c>
      <c r="W114" s="645">
        <f t="shared" ref="W114" si="352">+W61+W62+W94+W99+W107+W112+W113</f>
        <v>3280</v>
      </c>
      <c r="X114" s="208">
        <f>+X61+X62+X94+X99+X107+X112+X113</f>
        <v>91644</v>
      </c>
      <c r="Y114" s="212">
        <f t="shared" ref="Y114:Z114" si="353">+Y61+Y62+Y94+Y99+Y107+Y112+Y113</f>
        <v>101943</v>
      </c>
      <c r="Z114" s="213">
        <f t="shared" si="353"/>
        <v>72611</v>
      </c>
    </row>
    <row r="115" spans="1:26" s="235" customFormat="1" ht="13.5" customHeight="1" thickBot="1">
      <c r="A115" s="174" t="s">
        <v>207</v>
      </c>
      <c r="B115" s="181" t="s">
        <v>164</v>
      </c>
      <c r="C115" s="236"/>
      <c r="D115" s="227"/>
      <c r="E115" s="237"/>
      <c r="F115" s="229"/>
      <c r="G115" s="227"/>
      <c r="H115" s="230"/>
      <c r="I115" s="236"/>
      <c r="J115" s="227"/>
      <c r="K115" s="237"/>
      <c r="L115" s="229"/>
      <c r="M115" s="227"/>
      <c r="N115" s="230"/>
      <c r="O115" s="236"/>
      <c r="P115" s="227"/>
      <c r="Q115" s="237"/>
      <c r="R115" s="229"/>
      <c r="S115" s="227"/>
      <c r="T115" s="230"/>
      <c r="U115" s="236"/>
      <c r="V115" s="227"/>
      <c r="W115" s="228"/>
      <c r="X115" s="171">
        <f>+C115+F115+I115+L115+O115+R115+U115</f>
        <v>0</v>
      </c>
      <c r="Y115" s="167">
        <f t="shared" ref="Y115:Z115" si="354">+D115+G115+J115+M115+P115+S115+V115</f>
        <v>0</v>
      </c>
      <c r="Z115" s="172">
        <f t="shared" si="354"/>
        <v>0</v>
      </c>
    </row>
    <row r="116" spans="1:26" s="235" customFormat="1" ht="13.5" customHeight="1" thickBot="1">
      <c r="A116" s="899" t="s">
        <v>330</v>
      </c>
      <c r="B116" s="900"/>
      <c r="C116" s="238">
        <f>+SUM(C114:C115)</f>
        <v>6537</v>
      </c>
      <c r="D116" s="222">
        <f t="shared" ref="D116:T116" si="355">+SUM(D114:D115)</f>
        <v>6894</v>
      </c>
      <c r="E116" s="494">
        <f t="shared" si="355"/>
        <v>4673</v>
      </c>
      <c r="F116" s="222">
        <f>+SUM(F114:F115)</f>
        <v>19709</v>
      </c>
      <c r="G116" s="222">
        <f t="shared" ref="G116" si="356">+SUM(G114:G115)</f>
        <v>22206</v>
      </c>
      <c r="H116" s="534">
        <f>+SUM(H114:H115)</f>
        <v>15037</v>
      </c>
      <c r="I116" s="238">
        <f>+SUM(I114:I115)</f>
        <v>29665</v>
      </c>
      <c r="J116" s="222">
        <f t="shared" ref="J116" si="357">+SUM(J114:J115)</f>
        <v>32978</v>
      </c>
      <c r="K116" s="494">
        <f t="shared" si="355"/>
        <v>24169</v>
      </c>
      <c r="L116" s="222">
        <f>+SUM(L114:L115)</f>
        <v>13798</v>
      </c>
      <c r="M116" s="222">
        <f t="shared" ref="M116" si="358">+SUM(M114:M115)</f>
        <v>15494</v>
      </c>
      <c r="N116" s="534">
        <f t="shared" si="355"/>
        <v>10591</v>
      </c>
      <c r="O116" s="238">
        <f>+SUM(O114:O115)</f>
        <v>12817</v>
      </c>
      <c r="P116" s="222">
        <f t="shared" ref="P116" si="359">+SUM(P114:P115)</f>
        <v>14231</v>
      </c>
      <c r="Q116" s="494">
        <f t="shared" si="355"/>
        <v>10204</v>
      </c>
      <c r="R116" s="222">
        <f>+SUM(R114:R115)</f>
        <v>5032</v>
      </c>
      <c r="S116" s="222">
        <f t="shared" ref="S116" si="360">+SUM(S114:S115)</f>
        <v>5661</v>
      </c>
      <c r="T116" s="534">
        <f t="shared" si="355"/>
        <v>4657</v>
      </c>
      <c r="U116" s="238">
        <f>+SUM(U114:U115)</f>
        <v>4086</v>
      </c>
      <c r="V116" s="222">
        <f t="shared" ref="V116" si="361">+SUM(V114:V115)</f>
        <v>4479</v>
      </c>
      <c r="W116" s="646">
        <f>+SUM(W114:W115)</f>
        <v>3280</v>
      </c>
      <c r="X116" s="219">
        <f>+SUM(X114:X115)</f>
        <v>91644</v>
      </c>
      <c r="Y116" s="220">
        <f t="shared" ref="Y116:Z116" si="362">+SUM(Y114:Y115)</f>
        <v>101943</v>
      </c>
      <c r="Z116" s="221">
        <f t="shared" si="362"/>
        <v>72611</v>
      </c>
    </row>
    <row r="117" spans="1:26" ht="13.5" customHeight="1" thickBot="1">
      <c r="N117" s="33"/>
      <c r="T117" s="33"/>
      <c r="W117" s="33"/>
      <c r="X117" s="490"/>
      <c r="Y117" s="491"/>
      <c r="Z117" s="490"/>
    </row>
    <row r="118" spans="1:26" s="235" customFormat="1" ht="13.5" customHeight="1" thickBot="1">
      <c r="A118" s="897" t="s">
        <v>349</v>
      </c>
      <c r="B118" s="898"/>
      <c r="C118" s="238">
        <f>+C41-C116</f>
        <v>0</v>
      </c>
      <c r="D118" s="238">
        <f t="shared" ref="D118:E118" si="363">+D41-D116</f>
        <v>0</v>
      </c>
      <c r="E118" s="238">
        <f t="shared" si="363"/>
        <v>-23</v>
      </c>
      <c r="F118" s="238">
        <f>+F41-F116</f>
        <v>0</v>
      </c>
      <c r="G118" s="238">
        <f t="shared" ref="G118:H118" si="364">+G41-G116</f>
        <v>0</v>
      </c>
      <c r="H118" s="238">
        <f t="shared" si="364"/>
        <v>528</v>
      </c>
      <c r="I118" s="238">
        <f>+I41-I116</f>
        <v>0</v>
      </c>
      <c r="J118" s="238">
        <f t="shared" ref="J118:K118" si="365">+J41-J116</f>
        <v>0</v>
      </c>
      <c r="K118" s="238">
        <f t="shared" si="365"/>
        <v>240</v>
      </c>
      <c r="L118" s="238">
        <f>+L41-L116</f>
        <v>0</v>
      </c>
      <c r="M118" s="238">
        <f t="shared" ref="M118:N118" si="366">+M41-M116</f>
        <v>0</v>
      </c>
      <c r="N118" s="238">
        <f t="shared" si="366"/>
        <v>775</v>
      </c>
      <c r="O118" s="238">
        <f>+O41-O116</f>
        <v>0</v>
      </c>
      <c r="P118" s="238">
        <f t="shared" ref="P118:Q118" si="367">+P41-P116</f>
        <v>0</v>
      </c>
      <c r="Q118" s="238">
        <f t="shared" si="367"/>
        <v>394</v>
      </c>
      <c r="R118" s="238">
        <f>+R41-R116</f>
        <v>0</v>
      </c>
      <c r="S118" s="238">
        <f t="shared" ref="S118:T118" si="368">+S41-S116</f>
        <v>0</v>
      </c>
      <c r="T118" s="238">
        <f t="shared" si="368"/>
        <v>-686</v>
      </c>
      <c r="U118" s="238">
        <f>+U41-U116</f>
        <v>0</v>
      </c>
      <c r="V118" s="238">
        <f t="shared" ref="V118:W118" si="369">+V41-V116</f>
        <v>0</v>
      </c>
      <c r="W118" s="238">
        <f t="shared" si="369"/>
        <v>-249</v>
      </c>
      <c r="X118" s="238">
        <f>+X41-X116</f>
        <v>0</v>
      </c>
      <c r="Y118" s="220">
        <f t="shared" ref="Y118:Z118" si="370">+Y41-Y116</f>
        <v>0</v>
      </c>
      <c r="Z118" s="221">
        <f t="shared" si="370"/>
        <v>979</v>
      </c>
    </row>
    <row r="119" spans="1:26" ht="13.5" customHeight="1"/>
    <row r="120" spans="1:26" ht="13.5" customHeight="1"/>
    <row r="121" spans="1:26" ht="13.5" customHeight="1">
      <c r="B121" s="32" t="s">
        <v>343</v>
      </c>
      <c r="C121" s="243">
        <f>+(C71+C74+C84)*0.27</f>
        <v>542.70000000000005</v>
      </c>
      <c r="F121" s="243">
        <f>+(F71+F74+F84)*0.27</f>
        <v>566.19000000000005</v>
      </c>
      <c r="I121" s="243">
        <f>+(I71+I74+I84)*0.27</f>
        <v>436.32000000000005</v>
      </c>
      <c r="J121" s="34"/>
      <c r="K121" s="34"/>
      <c r="L121" s="243">
        <f>+(L71+L74+L84)*0.27</f>
        <v>823.5</v>
      </c>
      <c r="M121" s="34"/>
      <c r="O121" s="243">
        <f>+(O71+O74+O84)*0.27</f>
        <v>678.51</v>
      </c>
      <c r="R121" s="243">
        <f>+(R71+R74+R84)*0.27</f>
        <v>476.28000000000003</v>
      </c>
      <c r="S121" s="34"/>
      <c r="U121" s="243">
        <f>+(U71+U74+U84)*0.27</f>
        <v>65.61</v>
      </c>
      <c r="V121" s="2"/>
      <c r="W121" s="2"/>
      <c r="X121" s="2"/>
      <c r="Y121" s="2"/>
      <c r="Z121" s="2"/>
    </row>
    <row r="122" spans="1:26" ht="13.5" customHeight="1">
      <c r="B122" s="32" t="s">
        <v>339</v>
      </c>
      <c r="C122" s="240">
        <v>525</v>
      </c>
      <c r="D122" s="240"/>
      <c r="E122" s="240"/>
      <c r="F122" s="240">
        <v>418</v>
      </c>
      <c r="G122" s="240"/>
      <c r="H122" s="240"/>
      <c r="I122" s="240">
        <v>469</v>
      </c>
      <c r="J122" s="240"/>
      <c r="K122" s="240"/>
      <c r="L122" s="240">
        <v>863</v>
      </c>
      <c r="M122" s="240"/>
      <c r="N122" s="240"/>
      <c r="O122" s="240">
        <v>693</v>
      </c>
      <c r="P122" s="240"/>
      <c r="Q122" s="240"/>
      <c r="R122" s="240">
        <v>447</v>
      </c>
      <c r="S122" s="240"/>
      <c r="T122" s="240"/>
      <c r="U122" s="291">
        <v>50</v>
      </c>
      <c r="V122" s="291"/>
      <c r="W122" s="291"/>
      <c r="X122" s="291"/>
      <c r="Y122" s="291"/>
      <c r="Z122" s="291"/>
    </row>
    <row r="123" spans="1:26" ht="15" customHeight="1"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</row>
    <row r="126" spans="1:26" ht="15" customHeight="1">
      <c r="B126" s="32" t="s">
        <v>397</v>
      </c>
      <c r="C126" s="33">
        <v>2516</v>
      </c>
      <c r="E126" s="241"/>
      <c r="W126" s="241"/>
    </row>
    <row r="127" spans="1:26" ht="15" customHeight="1">
      <c r="B127" s="32" t="s">
        <v>4</v>
      </c>
      <c r="C127" s="33">
        <v>1</v>
      </c>
      <c r="D127" s="242">
        <f>+C127/$C$134</f>
        <v>0.1</v>
      </c>
      <c r="E127" s="243">
        <f>+$C$126*$D127</f>
        <v>251.60000000000002</v>
      </c>
      <c r="F127" s="33">
        <v>252</v>
      </c>
      <c r="U127" s="33">
        <v>0</v>
      </c>
      <c r="V127" s="242">
        <f>+U127/$U$134</f>
        <v>0</v>
      </c>
      <c r="W127" s="243">
        <f>+$V$126*$V127</f>
        <v>0</v>
      </c>
    </row>
    <row r="128" spans="1:26" ht="15" customHeight="1">
      <c r="B128" s="32" t="s">
        <v>6</v>
      </c>
      <c r="C128" s="33">
        <v>0</v>
      </c>
      <c r="D128" s="242">
        <f t="shared" ref="D128:D132" si="371">+C128/$C$134</f>
        <v>0</v>
      </c>
      <c r="E128" s="243">
        <f t="shared" ref="E128:E132" si="372">+$C$126*$D128</f>
        <v>0</v>
      </c>
      <c r="U128" s="33">
        <v>0</v>
      </c>
      <c r="V128" s="242">
        <f t="shared" ref="V128:V133" si="373">+U128/$U$134</f>
        <v>0</v>
      </c>
      <c r="W128" s="243">
        <f t="shared" ref="W128:W133" si="374">+$V$126*$V128</f>
        <v>0</v>
      </c>
    </row>
    <row r="129" spans="2:24" ht="15" customHeight="1">
      <c r="B129" s="32" t="s">
        <v>7</v>
      </c>
      <c r="C129" s="33">
        <v>1</v>
      </c>
      <c r="D129" s="242">
        <f t="shared" si="371"/>
        <v>0.1</v>
      </c>
      <c r="E129" s="243">
        <f t="shared" si="372"/>
        <v>251.60000000000002</v>
      </c>
      <c r="F129" s="33">
        <v>252</v>
      </c>
      <c r="U129" s="33">
        <v>0</v>
      </c>
      <c r="V129" s="242">
        <f t="shared" si="373"/>
        <v>0</v>
      </c>
      <c r="W129" s="243">
        <f t="shared" si="374"/>
        <v>0</v>
      </c>
    </row>
    <row r="130" spans="2:24" ht="15" customHeight="1">
      <c r="B130" s="32" t="s">
        <v>8</v>
      </c>
      <c r="C130" s="33">
        <v>7</v>
      </c>
      <c r="D130" s="242">
        <f t="shared" si="371"/>
        <v>0.7</v>
      </c>
      <c r="E130" s="243">
        <f t="shared" si="372"/>
        <v>1761.1999999999998</v>
      </c>
      <c r="F130" s="33">
        <v>1760</v>
      </c>
      <c r="U130" s="33">
        <v>3</v>
      </c>
      <c r="V130" s="242">
        <f t="shared" si="373"/>
        <v>0.42857142857142855</v>
      </c>
      <c r="W130" s="243">
        <f t="shared" si="374"/>
        <v>0</v>
      </c>
    </row>
    <row r="131" spans="2:24" ht="15" customHeight="1">
      <c r="B131" s="32" t="s">
        <v>9</v>
      </c>
      <c r="C131" s="33">
        <v>1</v>
      </c>
      <c r="D131" s="242">
        <f t="shared" si="371"/>
        <v>0.1</v>
      </c>
      <c r="E131" s="243">
        <f t="shared" si="372"/>
        <v>251.60000000000002</v>
      </c>
      <c r="F131" s="33">
        <v>252</v>
      </c>
      <c r="U131" s="33">
        <v>0</v>
      </c>
      <c r="V131" s="242">
        <f t="shared" si="373"/>
        <v>0</v>
      </c>
      <c r="W131" s="243">
        <f t="shared" si="374"/>
        <v>0</v>
      </c>
    </row>
    <row r="132" spans="2:24" ht="15" customHeight="1">
      <c r="B132" s="32" t="s">
        <v>10</v>
      </c>
      <c r="C132" s="33">
        <v>0</v>
      </c>
      <c r="D132" s="242">
        <f t="shared" si="371"/>
        <v>0</v>
      </c>
      <c r="E132" s="243">
        <f t="shared" si="372"/>
        <v>0</v>
      </c>
      <c r="U132" s="33">
        <v>4</v>
      </c>
      <c r="V132" s="242">
        <f t="shared" si="373"/>
        <v>0.5714285714285714</v>
      </c>
      <c r="W132" s="243">
        <f t="shared" si="374"/>
        <v>0</v>
      </c>
    </row>
    <row r="133" spans="2:24" ht="15" customHeight="1">
      <c r="B133" s="32" t="s">
        <v>336</v>
      </c>
      <c r="D133" s="242"/>
      <c r="E133" s="243"/>
      <c r="U133" s="33">
        <v>0</v>
      </c>
      <c r="V133" s="242">
        <f t="shared" si="373"/>
        <v>0</v>
      </c>
      <c r="W133" s="243">
        <f t="shared" si="374"/>
        <v>0</v>
      </c>
    </row>
    <row r="134" spans="2:24" ht="15" customHeight="1">
      <c r="C134" s="33">
        <f>SUM(C127:C133)</f>
        <v>10</v>
      </c>
      <c r="D134" s="246">
        <f>SUM(D127:D133)</f>
        <v>0.99999999999999989</v>
      </c>
      <c r="E134" s="243">
        <f>SUM(E127:E133)</f>
        <v>2515.9999999999995</v>
      </c>
      <c r="F134" s="243">
        <f>SUM(F127:F133)</f>
        <v>2516</v>
      </c>
      <c r="U134" s="33">
        <f>SUM(U127:U133)</f>
        <v>7</v>
      </c>
      <c r="V134" s="355">
        <f>SUM(V127:V133)</f>
        <v>1</v>
      </c>
      <c r="W134" s="243">
        <f>SUM(W127:W133)</f>
        <v>0</v>
      </c>
      <c r="X134" s="243">
        <f>SUM(X127:X133)</f>
        <v>0</v>
      </c>
    </row>
    <row r="135" spans="2:24" ht="15" customHeight="1">
      <c r="E135" s="244"/>
    </row>
    <row r="136" spans="2:24" ht="15" customHeight="1">
      <c r="B136" s="32" t="s">
        <v>351</v>
      </c>
      <c r="F136" s="33">
        <v>4527</v>
      </c>
      <c r="I136" s="33">
        <v>6289</v>
      </c>
      <c r="L136" s="33">
        <v>900</v>
      </c>
      <c r="O136" s="33">
        <v>2337</v>
      </c>
    </row>
    <row r="137" spans="2:24" ht="15" customHeight="1">
      <c r="B137" s="35" t="s">
        <v>4</v>
      </c>
      <c r="C137" s="245">
        <v>2755</v>
      </c>
      <c r="D137" s="242">
        <f>+C137/$C$144</f>
        <v>0.14705097411262344</v>
      </c>
      <c r="F137" s="243">
        <f>+$F$136*D137</f>
        <v>665.69975980784636</v>
      </c>
      <c r="G137" s="33">
        <v>666</v>
      </c>
      <c r="I137" s="243">
        <f>+$I$136*D137</f>
        <v>924.80357619428878</v>
      </c>
      <c r="J137" s="33">
        <v>925</v>
      </c>
      <c r="L137" s="243">
        <f>+$L$136*D137</f>
        <v>132.34587670136111</v>
      </c>
      <c r="M137" s="33">
        <v>133</v>
      </c>
      <c r="O137" s="243">
        <f>+$O$136*D147</f>
        <v>397.53241541121264</v>
      </c>
      <c r="P137" s="33">
        <v>398</v>
      </c>
      <c r="R137" s="33">
        <v>2009</v>
      </c>
    </row>
    <row r="138" spans="2:24" ht="15" customHeight="1">
      <c r="B138" s="35" t="s">
        <v>6</v>
      </c>
      <c r="C138" s="245">
        <v>1248</v>
      </c>
      <c r="D138" s="242">
        <f t="shared" ref="D138:D143" si="375">+C138/$C$144</f>
        <v>6.6613290632506011E-2</v>
      </c>
      <c r="F138" s="243">
        <f t="shared" ref="F138:F143" si="376">+$F$136*D138</f>
        <v>301.55836669335474</v>
      </c>
      <c r="G138" s="33">
        <v>301</v>
      </c>
      <c r="I138" s="243">
        <f t="shared" ref="I138:I143" si="377">+$I$136*D138</f>
        <v>418.93098478783031</v>
      </c>
      <c r="J138" s="33">
        <v>419</v>
      </c>
      <c r="L138" s="243">
        <f t="shared" ref="L138:L143" si="378">+$L$136*D138</f>
        <v>59.95196156925541</v>
      </c>
      <c r="M138" s="33">
        <v>60</v>
      </c>
      <c r="O138" s="243">
        <f t="shared" ref="O138:O142" si="379">+$O$136*D148</f>
        <v>180.08001975796492</v>
      </c>
      <c r="P138" s="33">
        <v>180</v>
      </c>
    </row>
    <row r="139" spans="2:24" ht="15" customHeight="1">
      <c r="B139" s="35" t="s">
        <v>7</v>
      </c>
      <c r="C139" s="245">
        <v>1068</v>
      </c>
      <c r="D139" s="242">
        <f t="shared" si="375"/>
        <v>5.7005604483586866E-2</v>
      </c>
      <c r="F139" s="243">
        <f t="shared" si="376"/>
        <v>258.06437149719773</v>
      </c>
      <c r="G139" s="33">
        <v>258</v>
      </c>
      <c r="I139" s="243">
        <f t="shared" si="377"/>
        <v>358.50824659727778</v>
      </c>
      <c r="J139" s="33">
        <v>359</v>
      </c>
      <c r="L139" s="243">
        <f t="shared" si="378"/>
        <v>51.305044035228178</v>
      </c>
      <c r="M139" s="33">
        <v>51</v>
      </c>
      <c r="O139" s="243">
        <f t="shared" si="379"/>
        <v>154.1069399851815</v>
      </c>
      <c r="P139" s="33">
        <v>154</v>
      </c>
    </row>
    <row r="140" spans="2:24" ht="15" customHeight="1">
      <c r="B140" s="35" t="s">
        <v>8</v>
      </c>
      <c r="C140" s="245">
        <v>5678</v>
      </c>
      <c r="D140" s="242">
        <f t="shared" si="375"/>
        <v>0.30306912196423808</v>
      </c>
      <c r="F140" s="243">
        <f t="shared" si="376"/>
        <v>1371.9939151321057</v>
      </c>
      <c r="G140" s="33">
        <v>1372</v>
      </c>
      <c r="I140" s="243">
        <f t="shared" si="377"/>
        <v>1906.0017080330933</v>
      </c>
      <c r="J140" s="33">
        <v>1906</v>
      </c>
      <c r="L140" s="243">
        <f t="shared" si="378"/>
        <v>272.76220976781428</v>
      </c>
      <c r="M140" s="33">
        <v>273</v>
      </c>
      <c r="O140" s="243">
        <f t="shared" si="379"/>
        <v>819.30637194368978</v>
      </c>
      <c r="P140" s="33">
        <v>819</v>
      </c>
    </row>
    <row r="141" spans="2:24" ht="15" customHeight="1">
      <c r="B141" s="35" t="s">
        <v>9</v>
      </c>
      <c r="C141" s="245">
        <v>3400</v>
      </c>
      <c r="D141" s="242">
        <f t="shared" si="375"/>
        <v>0.18147851614625032</v>
      </c>
      <c r="F141" s="243">
        <f t="shared" si="376"/>
        <v>821.55324259407519</v>
      </c>
      <c r="G141" s="33">
        <v>821</v>
      </c>
      <c r="I141" s="243">
        <f t="shared" si="377"/>
        <v>1141.3183880437682</v>
      </c>
      <c r="J141" s="33">
        <v>1141</v>
      </c>
      <c r="L141" s="243">
        <f t="shared" si="378"/>
        <v>163.3306645316253</v>
      </c>
      <c r="M141" s="33">
        <v>163</v>
      </c>
      <c r="O141" s="243">
        <f t="shared" si="379"/>
        <v>490.60261793035318</v>
      </c>
      <c r="P141" s="33">
        <v>491</v>
      </c>
    </row>
    <row r="142" spans="2:24" ht="15" customHeight="1">
      <c r="B142" s="35" t="s">
        <v>10</v>
      </c>
      <c r="C142" s="245">
        <v>2047</v>
      </c>
      <c r="D142" s="242">
        <f t="shared" si="375"/>
        <v>0.10926074192687484</v>
      </c>
      <c r="E142" s="2"/>
      <c r="F142" s="243">
        <f t="shared" si="376"/>
        <v>494.62337870296238</v>
      </c>
      <c r="G142" s="33">
        <v>495</v>
      </c>
      <c r="I142" s="243">
        <f t="shared" si="377"/>
        <v>687.14080597811585</v>
      </c>
      <c r="J142" s="33">
        <v>687</v>
      </c>
      <c r="L142" s="243">
        <f t="shared" si="378"/>
        <v>98.334667734187349</v>
      </c>
      <c r="M142" s="33">
        <v>98</v>
      </c>
      <c r="O142" s="243">
        <f t="shared" si="379"/>
        <v>295.37163497159793</v>
      </c>
      <c r="P142" s="33">
        <v>295</v>
      </c>
    </row>
    <row r="143" spans="2:24" ht="15" customHeight="1">
      <c r="B143" s="35" t="s">
        <v>336</v>
      </c>
      <c r="C143" s="245">
        <v>2539</v>
      </c>
      <c r="D143" s="242">
        <f t="shared" si="375"/>
        <v>0.13552175073392048</v>
      </c>
      <c r="E143" s="2"/>
      <c r="F143" s="243">
        <f t="shared" si="376"/>
        <v>613.50696557245794</v>
      </c>
      <c r="G143" s="33">
        <v>614</v>
      </c>
      <c r="I143" s="243">
        <f t="shared" si="377"/>
        <v>852.29629036562585</v>
      </c>
      <c r="J143" s="33">
        <v>852</v>
      </c>
      <c r="L143" s="243">
        <f t="shared" si="378"/>
        <v>121.96957566052843</v>
      </c>
      <c r="M143" s="33">
        <v>122</v>
      </c>
      <c r="O143" s="243"/>
    </row>
    <row r="144" spans="2:24" ht="15" customHeight="1">
      <c r="B144" s="35"/>
      <c r="C144" s="22">
        <f>SUM(C137:C143)</f>
        <v>18735</v>
      </c>
      <c r="D144" s="246">
        <f>SUM(D137:D143)</f>
        <v>1</v>
      </c>
      <c r="E144" s="2"/>
      <c r="F144" s="243">
        <f>SUM(F137:F143)</f>
        <v>4527</v>
      </c>
      <c r="G144" s="243">
        <f>SUM(G137:G143)</f>
        <v>4527</v>
      </c>
      <c r="I144" s="243">
        <f>SUM(I137:I143)</f>
        <v>6289.0000000000009</v>
      </c>
      <c r="J144" s="243">
        <f>SUM(J137:J143)</f>
        <v>6289</v>
      </c>
      <c r="L144" s="243">
        <f>SUM(L137:L143)</f>
        <v>900.00000000000011</v>
      </c>
      <c r="M144" s="243">
        <f>SUM(M137:M143)</f>
        <v>900</v>
      </c>
      <c r="O144" s="243">
        <f>SUM(O137:O143)</f>
        <v>2337</v>
      </c>
      <c r="P144" s="243">
        <f>SUM(P137:P143)</f>
        <v>2337</v>
      </c>
    </row>
    <row r="146" spans="2:7" ht="15" customHeight="1">
      <c r="B146" s="32" t="s">
        <v>351</v>
      </c>
    </row>
    <row r="147" spans="2:7" ht="15" customHeight="1">
      <c r="B147" s="35" t="s">
        <v>4</v>
      </c>
      <c r="C147" s="245">
        <v>2755</v>
      </c>
      <c r="D147" s="242">
        <f>+C147/$C$153</f>
        <v>0.17010372931588047</v>
      </c>
    </row>
    <row r="148" spans="2:7" ht="15" customHeight="1">
      <c r="B148" s="35" t="s">
        <v>6</v>
      </c>
      <c r="C148" s="245">
        <v>1248</v>
      </c>
      <c r="D148" s="242">
        <f t="shared" ref="D148:D152" si="380">+C148/$C$153</f>
        <v>7.7056063225487775E-2</v>
      </c>
      <c r="F148" s="292"/>
      <c r="G148" s="292"/>
    </row>
    <row r="149" spans="2:7" ht="15" customHeight="1">
      <c r="B149" s="35" t="s">
        <v>7</v>
      </c>
      <c r="C149" s="245">
        <v>1068</v>
      </c>
      <c r="D149" s="242">
        <f t="shared" si="380"/>
        <v>6.5942207952580878E-2</v>
      </c>
      <c r="F149" s="293"/>
      <c r="G149" s="293"/>
    </row>
    <row r="150" spans="2:7" ht="15" customHeight="1">
      <c r="B150" s="35" t="s">
        <v>8</v>
      </c>
      <c r="C150" s="245">
        <v>5678</v>
      </c>
      <c r="D150" s="242">
        <f t="shared" si="380"/>
        <v>0.35058039021980736</v>
      </c>
      <c r="F150" s="292"/>
      <c r="G150" s="292"/>
    </row>
    <row r="151" spans="2:7" ht="15" customHeight="1">
      <c r="B151" s="35" t="s">
        <v>9</v>
      </c>
      <c r="C151" s="245">
        <v>3400</v>
      </c>
      <c r="D151" s="242">
        <f t="shared" si="380"/>
        <v>0.20992837737713016</v>
      </c>
      <c r="F151" s="293"/>
      <c r="G151" s="293"/>
    </row>
    <row r="152" spans="2:7" ht="15" customHeight="1">
      <c r="B152" s="35" t="s">
        <v>10</v>
      </c>
      <c r="C152" s="245">
        <v>2047</v>
      </c>
      <c r="D152" s="242">
        <f t="shared" si="380"/>
        <v>0.12638923190911336</v>
      </c>
      <c r="F152" s="292"/>
      <c r="G152" s="292"/>
    </row>
    <row r="153" spans="2:7" ht="15" customHeight="1">
      <c r="B153" s="35"/>
      <c r="C153" s="22">
        <f>SUM(C147:C152)</f>
        <v>16196</v>
      </c>
      <c r="D153" s="246">
        <f>SUM(D147:D152)</f>
        <v>1</v>
      </c>
      <c r="F153" s="293"/>
      <c r="G153" s="293"/>
    </row>
    <row r="154" spans="2:7" ht="15" customHeight="1">
      <c r="F154" s="292"/>
      <c r="G154" s="292"/>
    </row>
    <row r="155" spans="2:7" ht="15" customHeight="1">
      <c r="F155" s="293"/>
      <c r="G155" s="293"/>
    </row>
    <row r="156" spans="2:7" ht="15" customHeight="1">
      <c r="F156" s="292"/>
      <c r="G156" s="292"/>
    </row>
    <row r="157" spans="2:7" ht="15" customHeight="1">
      <c r="F157" s="293"/>
      <c r="G157" s="293"/>
    </row>
    <row r="158" spans="2:7" ht="15" customHeight="1">
      <c r="F158" s="292"/>
      <c r="G158" s="292"/>
    </row>
    <row r="159" spans="2:7" ht="15" customHeight="1">
      <c r="F159" s="293"/>
      <c r="G159" s="293"/>
    </row>
    <row r="160" spans="2:7" ht="15" customHeight="1">
      <c r="F160" s="292"/>
      <c r="G160" s="292"/>
    </row>
    <row r="161" spans="6:7" ht="15" customHeight="1">
      <c r="F161" s="293"/>
      <c r="G161" s="293"/>
    </row>
    <row r="162" spans="6:7" ht="15" customHeight="1">
      <c r="F162" s="292"/>
      <c r="G162" s="292"/>
    </row>
  </sheetData>
  <mergeCells count="13">
    <mergeCell ref="A118:B118"/>
    <mergeCell ref="A116:B116"/>
    <mergeCell ref="O1:Q1"/>
    <mergeCell ref="I1:K1"/>
    <mergeCell ref="X1:Z1"/>
    <mergeCell ref="R1:T1"/>
    <mergeCell ref="U1:W1"/>
    <mergeCell ref="L1:N1"/>
    <mergeCell ref="A1:A2"/>
    <mergeCell ref="B1:B2"/>
    <mergeCell ref="A41:B41"/>
    <mergeCell ref="F1:H1"/>
    <mergeCell ref="C1:E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W128"/>
  <sheetViews>
    <sheetView zoomScaleSheetLayoutView="70" workbookViewId="0">
      <pane xSplit="2" ySplit="2" topLeftCell="C93" activePane="bottomRight" state="frozen"/>
      <selection activeCell="D11" sqref="D11"/>
      <selection pane="topRight" activeCell="D11" sqref="D11"/>
      <selection pane="bottomLeft" activeCell="D11" sqref="D11"/>
      <selection pane="bottomRight" activeCell="S72" sqref="S72"/>
    </sheetView>
  </sheetViews>
  <sheetFormatPr defaultColWidth="8.85546875" defaultRowHeight="12.75"/>
  <cols>
    <col min="1" max="1" width="6.28515625" style="2" customWidth="1"/>
    <col min="2" max="2" width="60.7109375" style="32" customWidth="1"/>
    <col min="3" max="8" width="10.7109375" style="33" customWidth="1"/>
    <col min="9" max="14" width="10.7109375" style="34" customWidth="1"/>
    <col min="15" max="17" width="10.7109375" style="33" customWidth="1"/>
    <col min="18" max="20" width="10.7109375" style="34" customWidth="1"/>
    <col min="21" max="16384" width="8.85546875" style="2"/>
  </cols>
  <sheetData>
    <row r="1" spans="1:20" s="3" customFormat="1" ht="33" customHeight="1">
      <c r="A1" s="901" t="s">
        <v>166</v>
      </c>
      <c r="B1" s="903" t="s">
        <v>191</v>
      </c>
      <c r="C1" s="935" t="s">
        <v>331</v>
      </c>
      <c r="D1" s="936"/>
      <c r="E1" s="937"/>
      <c r="F1" s="935" t="s">
        <v>332</v>
      </c>
      <c r="G1" s="936"/>
      <c r="H1" s="937"/>
      <c r="I1" s="936" t="s">
        <v>18</v>
      </c>
      <c r="J1" s="936"/>
      <c r="K1" s="936"/>
      <c r="L1" s="935" t="s">
        <v>333</v>
      </c>
      <c r="M1" s="936"/>
      <c r="N1" s="937"/>
      <c r="O1" s="936" t="s">
        <v>19</v>
      </c>
      <c r="P1" s="936"/>
      <c r="Q1" s="936"/>
      <c r="R1" s="935" t="s">
        <v>338</v>
      </c>
      <c r="S1" s="936"/>
      <c r="T1" s="937"/>
    </row>
    <row r="2" spans="1:20" s="3" customFormat="1" ht="27" customHeight="1">
      <c r="A2" s="902"/>
      <c r="B2" s="904"/>
      <c r="C2" s="100" t="s">
        <v>105</v>
      </c>
      <c r="D2" s="101" t="s">
        <v>106</v>
      </c>
      <c r="E2" s="97" t="s">
        <v>126</v>
      </c>
      <c r="F2" s="100" t="s">
        <v>105</v>
      </c>
      <c r="G2" s="101" t="s">
        <v>106</v>
      </c>
      <c r="H2" s="97" t="s">
        <v>126</v>
      </c>
      <c r="I2" s="100" t="s">
        <v>105</v>
      </c>
      <c r="J2" s="101" t="s">
        <v>106</v>
      </c>
      <c r="K2" s="97" t="s">
        <v>126</v>
      </c>
      <c r="L2" s="100" t="s">
        <v>105</v>
      </c>
      <c r="M2" s="101" t="s">
        <v>106</v>
      </c>
      <c r="N2" s="97" t="s">
        <v>126</v>
      </c>
      <c r="O2" s="100" t="s">
        <v>105</v>
      </c>
      <c r="P2" s="101" t="s">
        <v>106</v>
      </c>
      <c r="Q2" s="97" t="s">
        <v>126</v>
      </c>
      <c r="R2" s="100" t="s">
        <v>105</v>
      </c>
      <c r="S2" s="101" t="s">
        <v>106</v>
      </c>
      <c r="T2" s="97" t="s">
        <v>126</v>
      </c>
    </row>
    <row r="3" spans="1:20" ht="13.5" customHeight="1">
      <c r="A3" s="114" t="s">
        <v>167</v>
      </c>
      <c r="B3" s="122" t="s">
        <v>127</v>
      </c>
      <c r="C3" s="150"/>
      <c r="D3" s="146"/>
      <c r="E3" s="151"/>
      <c r="F3" s="150"/>
      <c r="G3" s="146"/>
      <c r="H3" s="151"/>
      <c r="I3" s="150"/>
      <c r="J3" s="146"/>
      <c r="K3" s="151"/>
      <c r="L3" s="150"/>
      <c r="M3" s="146"/>
      <c r="N3" s="151"/>
      <c r="O3" s="150"/>
      <c r="P3" s="146"/>
      <c r="Q3" s="151"/>
      <c r="R3" s="150"/>
      <c r="S3" s="146"/>
      <c r="T3" s="183"/>
    </row>
    <row r="4" spans="1:20" ht="13.5" customHeight="1">
      <c r="A4" s="103" t="s">
        <v>168</v>
      </c>
      <c r="B4" s="121" t="s">
        <v>128</v>
      </c>
      <c r="C4" s="143"/>
      <c r="D4" s="137"/>
      <c r="E4" s="138"/>
      <c r="F4" s="143"/>
      <c r="G4" s="137"/>
      <c r="H4" s="138"/>
      <c r="I4" s="143"/>
      <c r="J4" s="137"/>
      <c r="K4" s="138"/>
      <c r="L4" s="143"/>
      <c r="M4" s="137"/>
      <c r="N4" s="138"/>
      <c r="O4" s="143"/>
      <c r="P4" s="137"/>
      <c r="Q4" s="138"/>
      <c r="R4" s="143">
        <f>+C4+F4+I4+L4+O4</f>
        <v>0</v>
      </c>
      <c r="S4" s="137">
        <f t="shared" ref="S4" si="0">+D4+G4+J4+M4+P4</f>
        <v>0</v>
      </c>
      <c r="T4" s="138">
        <f t="shared" ref="T4" si="1">+E4+H4+K4+N4+Q4</f>
        <v>0</v>
      </c>
    </row>
    <row r="5" spans="1:20" ht="13.5" customHeight="1">
      <c r="A5" s="105"/>
      <c r="B5" s="294" t="s">
        <v>129</v>
      </c>
      <c r="C5" s="143"/>
      <c r="D5" s="137"/>
      <c r="E5" s="138"/>
      <c r="F5" s="143"/>
      <c r="G5" s="137"/>
      <c r="H5" s="138"/>
      <c r="I5" s="143"/>
      <c r="J5" s="137"/>
      <c r="K5" s="138"/>
      <c r="L5" s="143"/>
      <c r="M5" s="137"/>
      <c r="N5" s="138"/>
      <c r="O5" s="143"/>
      <c r="P5" s="137"/>
      <c r="Q5" s="138"/>
      <c r="R5" s="143">
        <f t="shared" ref="R5:R6" si="2">+C5+F5+I5+L5+O5</f>
        <v>0</v>
      </c>
      <c r="S5" s="137">
        <f t="shared" ref="S5:S6" si="3">+D5+G5+J5+M5+P5</f>
        <v>0</v>
      </c>
      <c r="T5" s="138">
        <f t="shared" ref="T5:T6" si="4">+E5+H5+K5+N5+Q5</f>
        <v>0</v>
      </c>
    </row>
    <row r="6" spans="1:20" ht="13.5" customHeight="1">
      <c r="A6" s="113"/>
      <c r="B6" s="295" t="s">
        <v>130</v>
      </c>
      <c r="C6" s="160"/>
      <c r="D6" s="137"/>
      <c r="E6" s="161"/>
      <c r="F6" s="160"/>
      <c r="G6" s="137"/>
      <c r="H6" s="161"/>
      <c r="I6" s="160"/>
      <c r="J6" s="137"/>
      <c r="K6" s="161"/>
      <c r="L6" s="160"/>
      <c r="M6" s="137"/>
      <c r="N6" s="161"/>
      <c r="O6" s="160"/>
      <c r="P6" s="137"/>
      <c r="Q6" s="161"/>
      <c r="R6" s="143">
        <f t="shared" si="2"/>
        <v>0</v>
      </c>
      <c r="S6" s="137">
        <f t="shared" si="3"/>
        <v>0</v>
      </c>
      <c r="T6" s="138">
        <f t="shared" si="4"/>
        <v>0</v>
      </c>
    </row>
    <row r="7" spans="1:20" s="235" customFormat="1" ht="13.5" customHeight="1">
      <c r="A7" s="95" t="s">
        <v>169</v>
      </c>
      <c r="B7" s="94" t="s">
        <v>131</v>
      </c>
      <c r="C7" s="208">
        <f>SUM(C3:C4)</f>
        <v>0</v>
      </c>
      <c r="D7" s="212">
        <f>SUM(D3:D4)</f>
        <v>0</v>
      </c>
      <c r="E7" s="213"/>
      <c r="F7" s="208">
        <f>SUM(F3:F4)</f>
        <v>0</v>
      </c>
      <c r="G7" s="212">
        <f>SUM(G3:G4)</f>
        <v>0</v>
      </c>
      <c r="H7" s="213">
        <f>+SUM(H3:H4)</f>
        <v>0</v>
      </c>
      <c r="I7" s="208">
        <f>SUM(I3:I4)</f>
        <v>0</v>
      </c>
      <c r="J7" s="212">
        <f>SUM(J3:J4)</f>
        <v>0</v>
      </c>
      <c r="K7" s="213"/>
      <c r="L7" s="208">
        <f>SUM(L3:L4)</f>
        <v>0</v>
      </c>
      <c r="M7" s="212">
        <f>SUM(M3:M4)</f>
        <v>0</v>
      </c>
      <c r="N7" s="213">
        <f>+SUM(N3:N4)</f>
        <v>0</v>
      </c>
      <c r="O7" s="208">
        <f>SUM(O3:O4)</f>
        <v>0</v>
      </c>
      <c r="P7" s="212">
        <f>SUM(P3:P4)</f>
        <v>0</v>
      </c>
      <c r="Q7" s="213"/>
      <c r="R7" s="208">
        <f>SUM(R3:R4)</f>
        <v>0</v>
      </c>
      <c r="S7" s="212">
        <f t="shared" ref="S7:T7" si="5">SUM(S3:S4)</f>
        <v>0</v>
      </c>
      <c r="T7" s="213">
        <f t="shared" si="5"/>
        <v>0</v>
      </c>
    </row>
    <row r="8" spans="1:20" ht="13.5" customHeight="1">
      <c r="A8" s="114" t="s">
        <v>170</v>
      </c>
      <c r="B8" s="122" t="s">
        <v>165</v>
      </c>
      <c r="C8" s="150"/>
      <c r="D8" s="146"/>
      <c r="E8" s="151"/>
      <c r="F8" s="150"/>
      <c r="G8" s="146"/>
      <c r="H8" s="151"/>
      <c r="I8" s="150"/>
      <c r="J8" s="146"/>
      <c r="K8" s="151"/>
      <c r="L8" s="150"/>
      <c r="M8" s="146"/>
      <c r="N8" s="151"/>
      <c r="O8" s="150"/>
      <c r="P8" s="146"/>
      <c r="Q8" s="151"/>
      <c r="R8" s="150"/>
      <c r="S8" s="146"/>
      <c r="T8" s="151"/>
    </row>
    <row r="9" spans="1:20" ht="13.5" customHeight="1">
      <c r="A9" s="103" t="s">
        <v>171</v>
      </c>
      <c r="B9" s="121" t="s">
        <v>132</v>
      </c>
      <c r="C9" s="143"/>
      <c r="D9" s="137"/>
      <c r="E9" s="138"/>
      <c r="F9" s="143"/>
      <c r="G9" s="137"/>
      <c r="H9" s="138"/>
      <c r="I9" s="143"/>
      <c r="J9" s="137"/>
      <c r="K9" s="138"/>
      <c r="L9" s="143"/>
      <c r="M9" s="137"/>
      <c r="N9" s="138"/>
      <c r="O9" s="143"/>
      <c r="P9" s="137"/>
      <c r="Q9" s="138"/>
      <c r="R9" s="143"/>
      <c r="S9" s="137"/>
      <c r="T9" s="138"/>
    </row>
    <row r="10" spans="1:20" s="202" customFormat="1" ht="13.5" customHeight="1">
      <c r="A10" s="113"/>
      <c r="B10" s="295" t="s">
        <v>130</v>
      </c>
      <c r="C10" s="209"/>
      <c r="D10" s="210"/>
      <c r="E10" s="211"/>
      <c r="F10" s="209"/>
      <c r="G10" s="210"/>
      <c r="H10" s="211"/>
      <c r="I10" s="209"/>
      <c r="J10" s="210"/>
      <c r="K10" s="211"/>
      <c r="L10" s="209"/>
      <c r="M10" s="210"/>
      <c r="N10" s="211"/>
      <c r="O10" s="209"/>
      <c r="P10" s="210"/>
      <c r="Q10" s="211"/>
      <c r="R10" s="209"/>
      <c r="S10" s="210"/>
      <c r="T10" s="211"/>
    </row>
    <row r="11" spans="1:20" s="235" customFormat="1" ht="13.5" customHeight="1">
      <c r="A11" s="95" t="s">
        <v>172</v>
      </c>
      <c r="B11" s="94" t="s">
        <v>133</v>
      </c>
      <c r="C11" s="208">
        <f>SUM(C8:C9)</f>
        <v>0</v>
      </c>
      <c r="D11" s="212"/>
      <c r="E11" s="213"/>
      <c r="F11" s="208">
        <f>SUM(F8:F9)</f>
        <v>0</v>
      </c>
      <c r="G11" s="212"/>
      <c r="H11" s="213"/>
      <c r="I11" s="208">
        <f>SUM(I8:I9)</f>
        <v>0</v>
      </c>
      <c r="J11" s="212"/>
      <c r="K11" s="213"/>
      <c r="L11" s="208">
        <f>SUM(L8:L9)</f>
        <v>0</v>
      </c>
      <c r="M11" s="212"/>
      <c r="N11" s="213"/>
      <c r="O11" s="208">
        <f>SUM(O8:O9)</f>
        <v>0</v>
      </c>
      <c r="P11" s="212"/>
      <c r="Q11" s="213"/>
      <c r="R11" s="208">
        <f>SUM(R8:R9)</f>
        <v>0</v>
      </c>
      <c r="S11" s="212">
        <f t="shared" ref="S11:T11" si="6">SUM(S8:S9)</f>
        <v>0</v>
      </c>
      <c r="T11" s="213">
        <f t="shared" si="6"/>
        <v>0</v>
      </c>
    </row>
    <row r="12" spans="1:20" ht="13.5" customHeight="1">
      <c r="A12" s="114" t="s">
        <v>173</v>
      </c>
      <c r="B12" s="122" t="s">
        <v>134</v>
      </c>
      <c r="C12" s="150"/>
      <c r="D12" s="137">
        <f>+'[4]4.SZ.TÁBL. ÓVODA'!$E12</f>
        <v>0</v>
      </c>
      <c r="E12" s="151"/>
      <c r="F12" s="150"/>
      <c r="G12" s="137">
        <f>+'[4]4.SZ.TÁBL. ÓVODA'!$H12</f>
        <v>0</v>
      </c>
      <c r="H12" s="151"/>
      <c r="I12" s="150"/>
      <c r="J12" s="137">
        <f>+'[4]4.SZ.TÁBL. ÓVODA'!$K12</f>
        <v>0</v>
      </c>
      <c r="K12" s="151"/>
      <c r="L12" s="150"/>
      <c r="M12" s="137">
        <f>+'[4]4.SZ.TÁBL. ÓVODA'!$N12</f>
        <v>0</v>
      </c>
      <c r="N12" s="151"/>
      <c r="O12" s="150"/>
      <c r="P12" s="137">
        <f>+'[4]4.SZ.TÁBL. ÓVODA'!$Q12</f>
        <v>0</v>
      </c>
      <c r="Q12" s="151"/>
      <c r="R12" s="150"/>
      <c r="S12" s="146"/>
      <c r="T12" s="151"/>
    </row>
    <row r="13" spans="1:20" ht="13.5" customHeight="1">
      <c r="A13" s="103" t="s">
        <v>174</v>
      </c>
      <c r="B13" s="121" t="s">
        <v>135</v>
      </c>
      <c r="C13" s="143"/>
      <c r="D13" s="137">
        <f>+'[4]4.SZ.TÁBL. ÓVODA'!$E13</f>
        <v>0</v>
      </c>
      <c r="E13" s="138"/>
      <c r="F13" s="143"/>
      <c r="G13" s="137">
        <f>+'[4]4.SZ.TÁBL. ÓVODA'!$H13</f>
        <v>0</v>
      </c>
      <c r="H13" s="138"/>
      <c r="I13" s="143"/>
      <c r="J13" s="137">
        <f>+'[4]4.SZ.TÁBL. ÓVODA'!$K13</f>
        <v>0</v>
      </c>
      <c r="K13" s="138"/>
      <c r="L13" s="143"/>
      <c r="M13" s="137">
        <f>+'[4]4.SZ.TÁBL. ÓVODA'!$N13</f>
        <v>0</v>
      </c>
      <c r="N13" s="138"/>
      <c r="O13" s="143"/>
      <c r="P13" s="137">
        <f>+'[4]4.SZ.TÁBL. ÓVODA'!$Q13</f>
        <v>0</v>
      </c>
      <c r="Q13" s="138"/>
      <c r="R13" s="143"/>
      <c r="S13" s="137"/>
      <c r="T13" s="138"/>
    </row>
    <row r="14" spans="1:20" ht="13.5" customHeight="1">
      <c r="A14" s="103" t="s">
        <v>175</v>
      </c>
      <c r="B14" s="121" t="s">
        <v>136</v>
      </c>
      <c r="C14" s="143"/>
      <c r="D14" s="137">
        <f>+'[4]4.SZ.TÁBL. ÓVODA'!$E14</f>
        <v>0</v>
      </c>
      <c r="E14" s="138"/>
      <c r="F14" s="143"/>
      <c r="G14" s="137">
        <f>+'[4]4.SZ.TÁBL. ÓVODA'!$H14</f>
        <v>0</v>
      </c>
      <c r="H14" s="138"/>
      <c r="I14" s="143"/>
      <c r="J14" s="137">
        <f>+'[4]4.SZ.TÁBL. ÓVODA'!$K14</f>
        <v>0</v>
      </c>
      <c r="K14" s="138"/>
      <c r="L14" s="143"/>
      <c r="M14" s="137">
        <f>+'[4]4.SZ.TÁBL. ÓVODA'!$N14</f>
        <v>0</v>
      </c>
      <c r="N14" s="138"/>
      <c r="O14" s="143"/>
      <c r="P14" s="137">
        <f>+'[4]4.SZ.TÁBL. ÓVODA'!$Q14</f>
        <v>0</v>
      </c>
      <c r="Q14" s="138"/>
      <c r="R14" s="143"/>
      <c r="S14" s="137"/>
      <c r="T14" s="138"/>
    </row>
    <row r="15" spans="1:20" ht="13.5" customHeight="1">
      <c r="A15" s="103" t="s">
        <v>176</v>
      </c>
      <c r="B15" s="121" t="s">
        <v>137</v>
      </c>
      <c r="C15" s="143"/>
      <c r="D15" s="137">
        <f>+'[4]4.SZ.TÁBL. ÓVODA'!$E15</f>
        <v>0</v>
      </c>
      <c r="E15" s="138"/>
      <c r="F15" s="143"/>
      <c r="G15" s="137">
        <f>+'[4]4.SZ.TÁBL. ÓVODA'!$H15</f>
        <v>0</v>
      </c>
      <c r="H15" s="138"/>
      <c r="I15" s="143"/>
      <c r="J15" s="137">
        <f>+'[4]4.SZ.TÁBL. ÓVODA'!$K15</f>
        <v>0</v>
      </c>
      <c r="K15" s="138"/>
      <c r="L15" s="143"/>
      <c r="M15" s="137">
        <f>+'[4]4.SZ.TÁBL. ÓVODA'!$N15</f>
        <v>0</v>
      </c>
      <c r="N15" s="138"/>
      <c r="O15" s="143"/>
      <c r="P15" s="137">
        <f>+'[4]4.SZ.TÁBL. ÓVODA'!$Q15</f>
        <v>0</v>
      </c>
      <c r="Q15" s="138"/>
      <c r="R15" s="143"/>
      <c r="S15" s="137"/>
      <c r="T15" s="138"/>
    </row>
    <row r="16" spans="1:20" ht="13.5" customHeight="1">
      <c r="A16" s="103" t="s">
        <v>177</v>
      </c>
      <c r="B16" s="121" t="s">
        <v>138</v>
      </c>
      <c r="C16" s="143">
        <f>+'[5]4.SZ.TÁBL. ÓVODA'!$C16</f>
        <v>3454</v>
      </c>
      <c r="D16" s="137">
        <f>+'[4]4.SZ.TÁBL. ÓVODA'!$E16</f>
        <v>3454</v>
      </c>
      <c r="E16" s="138">
        <v>1683</v>
      </c>
      <c r="F16" s="143">
        <f>+'[5]4.SZ.TÁBL. ÓVODA'!$F16</f>
        <v>0</v>
      </c>
      <c r="G16" s="137">
        <f>+'[4]4.SZ.TÁBL. ÓVODA'!$H16</f>
        <v>0</v>
      </c>
      <c r="H16" s="138"/>
      <c r="I16" s="143">
        <f>+'[5]4.SZ.TÁBL. ÓVODA'!$I16</f>
        <v>0</v>
      </c>
      <c r="J16" s="137">
        <f>+'[4]4.SZ.TÁBL. ÓVODA'!$K16</f>
        <v>0</v>
      </c>
      <c r="K16" s="138"/>
      <c r="L16" s="143">
        <f>+'[5]4.SZ.TÁBL. ÓVODA'!$L16</f>
        <v>0</v>
      </c>
      <c r="M16" s="137">
        <f>+'[4]4.SZ.TÁBL. ÓVODA'!$N16</f>
        <v>0</v>
      </c>
      <c r="N16" s="138"/>
      <c r="O16" s="143">
        <f>+'[5]4.SZ.TÁBL. ÓVODA'!$O16</f>
        <v>0</v>
      </c>
      <c r="P16" s="137">
        <f>+'[4]4.SZ.TÁBL. ÓVODA'!$Q16</f>
        <v>0</v>
      </c>
      <c r="Q16" s="138"/>
      <c r="R16" s="143">
        <f>+C16+F16+I16+L16+O16</f>
        <v>3454</v>
      </c>
      <c r="S16" s="137">
        <f t="shared" ref="S16:T16" si="7">+D16+G16+J16+M16+P16</f>
        <v>3454</v>
      </c>
      <c r="T16" s="138">
        <f t="shared" si="7"/>
        <v>1683</v>
      </c>
    </row>
    <row r="17" spans="1:23" ht="13.5" customHeight="1">
      <c r="A17" s="103" t="s">
        <v>178</v>
      </c>
      <c r="B17" s="121" t="s">
        <v>139</v>
      </c>
      <c r="C17" s="143"/>
      <c r="D17" s="137">
        <f>+'[4]4.SZ.TÁBL. ÓVODA'!$E17</f>
        <v>0</v>
      </c>
      <c r="E17" s="138"/>
      <c r="F17" s="143"/>
      <c r="G17" s="137">
        <f>+'[4]4.SZ.TÁBL. ÓVODA'!$H17</f>
        <v>0</v>
      </c>
      <c r="H17" s="138"/>
      <c r="I17" s="143"/>
      <c r="J17" s="137">
        <f>+'[4]4.SZ.TÁBL. ÓVODA'!$K17</f>
        <v>0</v>
      </c>
      <c r="K17" s="138"/>
      <c r="L17" s="143"/>
      <c r="M17" s="137">
        <f>+'[4]4.SZ.TÁBL. ÓVODA'!$N17</f>
        <v>0</v>
      </c>
      <c r="N17" s="138"/>
      <c r="O17" s="143"/>
      <c r="P17" s="137">
        <f>+'[4]4.SZ.TÁBL. ÓVODA'!$Q17</f>
        <v>0</v>
      </c>
      <c r="Q17" s="138"/>
      <c r="R17" s="143">
        <f t="shared" ref="R17:R19" si="8">+C17+F17+I17+L17+O17</f>
        <v>0</v>
      </c>
      <c r="S17" s="137">
        <f t="shared" ref="S17:S19" si="9">+D17+G17+J17+M17+P17</f>
        <v>0</v>
      </c>
      <c r="T17" s="138">
        <f t="shared" ref="T17:T19" si="10">+E17+H17+K17+N17+Q17</f>
        <v>0</v>
      </c>
    </row>
    <row r="18" spans="1:23" ht="13.5" customHeight="1">
      <c r="A18" s="103" t="s">
        <v>179</v>
      </c>
      <c r="B18" s="121" t="s">
        <v>140</v>
      </c>
      <c r="C18" s="143"/>
      <c r="D18" s="137">
        <f>+'[4]4.SZ.TÁBL. ÓVODA'!$E18</f>
        <v>0</v>
      </c>
      <c r="E18" s="138"/>
      <c r="F18" s="143"/>
      <c r="G18" s="137">
        <f>+'[4]4.SZ.TÁBL. ÓVODA'!$H18</f>
        <v>0</v>
      </c>
      <c r="H18" s="138"/>
      <c r="I18" s="143"/>
      <c r="J18" s="137">
        <f>+'[4]4.SZ.TÁBL. ÓVODA'!$K18</f>
        <v>0</v>
      </c>
      <c r="K18" s="138"/>
      <c r="L18" s="143"/>
      <c r="M18" s="137">
        <f>+'[4]4.SZ.TÁBL. ÓVODA'!$N18</f>
        <v>0</v>
      </c>
      <c r="N18" s="138"/>
      <c r="O18" s="143"/>
      <c r="P18" s="137">
        <f>+'[4]4.SZ.TÁBL. ÓVODA'!$Q18</f>
        <v>0</v>
      </c>
      <c r="Q18" s="138"/>
      <c r="R18" s="143">
        <f t="shared" si="8"/>
        <v>0</v>
      </c>
      <c r="S18" s="137">
        <f t="shared" si="9"/>
        <v>0</v>
      </c>
      <c r="T18" s="138">
        <f t="shared" si="10"/>
        <v>0</v>
      </c>
    </row>
    <row r="19" spans="1:23" ht="13.5" customHeight="1">
      <c r="A19" s="103" t="s">
        <v>180</v>
      </c>
      <c r="B19" s="121" t="s">
        <v>141</v>
      </c>
      <c r="C19" s="143"/>
      <c r="D19" s="137">
        <f>+'[4]4.SZ.TÁBL. ÓVODA'!$E19</f>
        <v>0</v>
      </c>
      <c r="E19" s="138"/>
      <c r="F19" s="143"/>
      <c r="G19" s="137">
        <f>+'[4]4.SZ.TÁBL. ÓVODA'!$H19</f>
        <v>0</v>
      </c>
      <c r="H19" s="138"/>
      <c r="I19" s="143"/>
      <c r="J19" s="137">
        <f>+'[4]4.SZ.TÁBL. ÓVODA'!$K19</f>
        <v>0</v>
      </c>
      <c r="K19" s="138"/>
      <c r="L19" s="143"/>
      <c r="M19" s="137">
        <f>+'[4]4.SZ.TÁBL. ÓVODA'!$N19</f>
        <v>0</v>
      </c>
      <c r="N19" s="138"/>
      <c r="O19" s="143"/>
      <c r="P19" s="137">
        <f>+'[4]4.SZ.TÁBL. ÓVODA'!$Q19</f>
        <v>2</v>
      </c>
      <c r="Q19" s="138">
        <v>2</v>
      </c>
      <c r="R19" s="143">
        <f t="shared" si="8"/>
        <v>0</v>
      </c>
      <c r="S19" s="137">
        <f t="shared" si="9"/>
        <v>2</v>
      </c>
      <c r="T19" s="138">
        <f t="shared" si="10"/>
        <v>2</v>
      </c>
    </row>
    <row r="20" spans="1:23" ht="13.5" customHeight="1">
      <c r="A20" s="115" t="s">
        <v>181</v>
      </c>
      <c r="B20" s="123" t="s">
        <v>142</v>
      </c>
      <c r="C20" s="160"/>
      <c r="D20" s="137">
        <f>+'[4]4.SZ.TÁBL. ÓVODA'!$E20</f>
        <v>0</v>
      </c>
      <c r="E20" s="161"/>
      <c r="F20" s="160"/>
      <c r="G20" s="137">
        <f>+'[4]4.SZ.TÁBL. ÓVODA'!$H20</f>
        <v>0</v>
      </c>
      <c r="H20" s="161"/>
      <c r="I20" s="160"/>
      <c r="J20" s="137">
        <f>+'[4]4.SZ.TÁBL. ÓVODA'!$K20</f>
        <v>0</v>
      </c>
      <c r="K20" s="161"/>
      <c r="L20" s="160"/>
      <c r="M20" s="137">
        <f>+'[4]4.SZ.TÁBL. ÓVODA'!$N20</f>
        <v>0</v>
      </c>
      <c r="N20" s="161"/>
      <c r="O20" s="160"/>
      <c r="P20" s="137">
        <f>+'[4]4.SZ.TÁBL. ÓVODA'!$Q20</f>
        <v>2</v>
      </c>
      <c r="Q20" s="161">
        <v>2</v>
      </c>
      <c r="R20" s="143">
        <f>+C20+F20+I20+L20+O20</f>
        <v>0</v>
      </c>
      <c r="S20" s="137">
        <f t="shared" ref="S20" si="11">+D20+G20+J20+M20+P20</f>
        <v>2</v>
      </c>
      <c r="T20" s="138">
        <f t="shared" ref="T20" si="12">+E20+H20+K20+N20+Q20</f>
        <v>2</v>
      </c>
    </row>
    <row r="21" spans="1:23" s="235" customFormat="1" ht="13.5" customHeight="1">
      <c r="A21" s="95" t="s">
        <v>182</v>
      </c>
      <c r="B21" s="94" t="s">
        <v>143</v>
      </c>
      <c r="C21" s="496">
        <f>SUM(C12:C20)</f>
        <v>3454</v>
      </c>
      <c r="D21" s="212">
        <f t="shared" ref="D21:E21" si="13">SUM(D12:D20)</f>
        <v>3454</v>
      </c>
      <c r="E21" s="214">
        <f t="shared" si="13"/>
        <v>1683</v>
      </c>
      <c r="F21" s="496">
        <f>SUM(F12:F20)</f>
        <v>0</v>
      </c>
      <c r="G21" s="212">
        <f t="shared" ref="G21" si="14">SUM(G12:G20)</f>
        <v>0</v>
      </c>
      <c r="H21" s="214">
        <f t="shared" ref="H21" si="15">SUM(H12:H20)</f>
        <v>0</v>
      </c>
      <c r="I21" s="496">
        <f>SUM(I12:I20)</f>
        <v>0</v>
      </c>
      <c r="J21" s="212">
        <f t="shared" ref="J21" si="16">SUM(J12:J20)</f>
        <v>0</v>
      </c>
      <c r="K21" s="214">
        <f t="shared" ref="K21" si="17">SUM(K12:K20)</f>
        <v>0</v>
      </c>
      <c r="L21" s="496">
        <f>SUM(L12:L20)</f>
        <v>0</v>
      </c>
      <c r="M21" s="212">
        <f t="shared" ref="M21" si="18">SUM(M12:M20)</f>
        <v>0</v>
      </c>
      <c r="N21" s="214">
        <f t="shared" ref="N21" si="19">SUM(N12:N20)</f>
        <v>0</v>
      </c>
      <c r="O21" s="496">
        <f>SUM(O12:O20)</f>
        <v>0</v>
      </c>
      <c r="P21" s="212">
        <f t="shared" ref="P21" si="20">SUM(P12:P20)</f>
        <v>4</v>
      </c>
      <c r="Q21" s="214">
        <f t="shared" ref="Q21" si="21">SUM(Q12:Q20)</f>
        <v>4</v>
      </c>
      <c r="R21" s="208">
        <f>SUM(R12:R20)</f>
        <v>3454</v>
      </c>
      <c r="S21" s="212">
        <f t="shared" ref="S21:T21" si="22">SUM(S12:S20)</f>
        <v>3458</v>
      </c>
      <c r="T21" s="213">
        <f t="shared" si="22"/>
        <v>1687</v>
      </c>
    </row>
    <row r="22" spans="1:23" s="235" customFormat="1" ht="13.5" customHeight="1">
      <c r="A22" s="95" t="s">
        <v>183</v>
      </c>
      <c r="B22" s="94" t="s">
        <v>144</v>
      </c>
      <c r="C22" s="208"/>
      <c r="D22" s="212"/>
      <c r="E22" s="213"/>
      <c r="F22" s="208"/>
      <c r="G22" s="212"/>
      <c r="H22" s="213"/>
      <c r="I22" s="208"/>
      <c r="J22" s="212"/>
      <c r="K22" s="213"/>
      <c r="L22" s="208"/>
      <c r="M22" s="212"/>
      <c r="N22" s="213"/>
      <c r="O22" s="208"/>
      <c r="P22" s="212"/>
      <c r="Q22" s="213"/>
      <c r="R22" s="208"/>
      <c r="S22" s="212"/>
      <c r="T22" s="213"/>
    </row>
    <row r="23" spans="1:23" ht="13.5" customHeight="1">
      <c r="A23" s="116" t="s">
        <v>184</v>
      </c>
      <c r="B23" s="124" t="s">
        <v>145</v>
      </c>
      <c r="C23" s="171"/>
      <c r="D23" s="167"/>
      <c r="E23" s="172"/>
      <c r="F23" s="171"/>
      <c r="G23" s="167"/>
      <c r="H23" s="172"/>
      <c r="I23" s="171"/>
      <c r="J23" s="167"/>
      <c r="K23" s="172"/>
      <c r="L23" s="171"/>
      <c r="M23" s="167"/>
      <c r="N23" s="172"/>
      <c r="O23" s="171"/>
      <c r="P23" s="167"/>
      <c r="Q23" s="172"/>
      <c r="R23" s="171"/>
      <c r="S23" s="167"/>
      <c r="T23" s="172"/>
    </row>
    <row r="24" spans="1:23" s="235" customFormat="1" ht="13.5" customHeight="1">
      <c r="A24" s="95" t="s">
        <v>185</v>
      </c>
      <c r="B24" s="94" t="s">
        <v>304</v>
      </c>
      <c r="C24" s="496">
        <f>+C23</f>
        <v>0</v>
      </c>
      <c r="D24" s="212">
        <f t="shared" ref="D24:E24" si="23">+D23</f>
        <v>0</v>
      </c>
      <c r="E24" s="214">
        <f t="shared" si="23"/>
        <v>0</v>
      </c>
      <c r="F24" s="496">
        <f>+F23</f>
        <v>0</v>
      </c>
      <c r="G24" s="212">
        <f t="shared" ref="G24" si="24">+G23</f>
        <v>0</v>
      </c>
      <c r="H24" s="214">
        <f t="shared" ref="H24" si="25">+H23</f>
        <v>0</v>
      </c>
      <c r="I24" s="496">
        <f>+I23</f>
        <v>0</v>
      </c>
      <c r="J24" s="212">
        <f t="shared" ref="J24" si="26">+J23</f>
        <v>0</v>
      </c>
      <c r="K24" s="214">
        <f t="shared" ref="K24" si="27">+K23</f>
        <v>0</v>
      </c>
      <c r="L24" s="496">
        <f>+L23</f>
        <v>0</v>
      </c>
      <c r="M24" s="212">
        <f t="shared" ref="M24" si="28">+M23</f>
        <v>0</v>
      </c>
      <c r="N24" s="214">
        <f t="shared" ref="N24" si="29">+N23</f>
        <v>0</v>
      </c>
      <c r="O24" s="496">
        <f>+O23</f>
        <v>0</v>
      </c>
      <c r="P24" s="212">
        <f t="shared" ref="P24" si="30">+P23</f>
        <v>0</v>
      </c>
      <c r="Q24" s="214">
        <f t="shared" ref="Q24" si="31">+Q23</f>
        <v>0</v>
      </c>
      <c r="R24" s="208">
        <f>+R23</f>
        <v>0</v>
      </c>
      <c r="S24" s="212">
        <f t="shared" ref="S24:T24" si="32">+S23</f>
        <v>0</v>
      </c>
      <c r="T24" s="213">
        <f t="shared" si="32"/>
        <v>0</v>
      </c>
    </row>
    <row r="25" spans="1:23" ht="13.5" customHeight="1">
      <c r="A25" s="116" t="s">
        <v>186</v>
      </c>
      <c r="B25" s="124" t="s">
        <v>146</v>
      </c>
      <c r="C25" s="171"/>
      <c r="D25" s="167"/>
      <c r="E25" s="172"/>
      <c r="F25" s="171"/>
      <c r="G25" s="167"/>
      <c r="H25" s="172"/>
      <c r="I25" s="171"/>
      <c r="J25" s="167"/>
      <c r="K25" s="172"/>
      <c r="L25" s="171"/>
      <c r="M25" s="167"/>
      <c r="N25" s="172"/>
      <c r="O25" s="171"/>
      <c r="P25" s="167"/>
      <c r="Q25" s="172"/>
      <c r="R25" s="171"/>
      <c r="S25" s="167"/>
      <c r="T25" s="172"/>
    </row>
    <row r="26" spans="1:23" s="235" customFormat="1" ht="13.5" customHeight="1">
      <c r="A26" s="95" t="s">
        <v>187</v>
      </c>
      <c r="B26" s="94" t="s">
        <v>305</v>
      </c>
      <c r="C26" s="496">
        <f>+C25</f>
        <v>0</v>
      </c>
      <c r="D26" s="212">
        <f t="shared" ref="D26:E26" si="33">+D25</f>
        <v>0</v>
      </c>
      <c r="E26" s="214">
        <f t="shared" si="33"/>
        <v>0</v>
      </c>
      <c r="F26" s="496">
        <f>+F25</f>
        <v>0</v>
      </c>
      <c r="G26" s="212">
        <f t="shared" ref="G26" si="34">+G25</f>
        <v>0</v>
      </c>
      <c r="H26" s="214">
        <f t="shared" ref="H26" si="35">+H25</f>
        <v>0</v>
      </c>
      <c r="I26" s="496">
        <f>+I25</f>
        <v>0</v>
      </c>
      <c r="J26" s="212">
        <f t="shared" ref="J26" si="36">+J25</f>
        <v>0</v>
      </c>
      <c r="K26" s="214">
        <f t="shared" ref="K26" si="37">+K25</f>
        <v>0</v>
      </c>
      <c r="L26" s="496">
        <f>+L25</f>
        <v>0</v>
      </c>
      <c r="M26" s="212">
        <f t="shared" ref="M26" si="38">+M25</f>
        <v>0</v>
      </c>
      <c r="N26" s="214">
        <f t="shared" ref="N26" si="39">+N25</f>
        <v>0</v>
      </c>
      <c r="O26" s="496">
        <f>+O25</f>
        <v>0</v>
      </c>
      <c r="P26" s="212">
        <f t="shared" ref="P26" si="40">+P25</f>
        <v>0</v>
      </c>
      <c r="Q26" s="214">
        <f t="shared" ref="Q26" si="41">+Q25</f>
        <v>0</v>
      </c>
      <c r="R26" s="208">
        <f>+R25</f>
        <v>0</v>
      </c>
      <c r="S26" s="212">
        <f t="shared" ref="S26:T26" si="42">+S25</f>
        <v>0</v>
      </c>
      <c r="T26" s="213">
        <f t="shared" si="42"/>
        <v>0</v>
      </c>
    </row>
    <row r="27" spans="1:23" s="235" customFormat="1" ht="13.5" customHeight="1">
      <c r="A27" s="95" t="s">
        <v>188</v>
      </c>
      <c r="B27" s="94" t="s">
        <v>147</v>
      </c>
      <c r="C27" s="208">
        <f>+C7+C11+C21+C22+C24+C26</f>
        <v>3454</v>
      </c>
      <c r="D27" s="212">
        <f t="shared" ref="D27:E27" si="43">+D7+D11+D21+D22+D24+D26</f>
        <v>3454</v>
      </c>
      <c r="E27" s="213">
        <f t="shared" si="43"/>
        <v>1683</v>
      </c>
      <c r="F27" s="208">
        <f>+F7+F11+F21+F22+F24+F26</f>
        <v>0</v>
      </c>
      <c r="G27" s="212">
        <f t="shared" ref="G27" si="44">+G7+G11+G21+G22+G24+G26</f>
        <v>0</v>
      </c>
      <c r="H27" s="213">
        <f>+H7+H11+H21+H22+H24+H26</f>
        <v>0</v>
      </c>
      <c r="I27" s="208">
        <f>+I7+I11+I21+I22+I24+I26</f>
        <v>0</v>
      </c>
      <c r="J27" s="212">
        <f t="shared" ref="J27" si="45">+J7+J11+J21+J22+J24+J26</f>
        <v>0</v>
      </c>
      <c r="K27" s="213">
        <f t="shared" ref="K27" si="46">+K7+K11+K21+K22+K24+K26</f>
        <v>0</v>
      </c>
      <c r="L27" s="208">
        <f>+L7+L11+L21+L22+L24+L26</f>
        <v>0</v>
      </c>
      <c r="M27" s="212">
        <f t="shared" ref="M27" si="47">+M7+M11+M21+M22+M24+M26</f>
        <v>0</v>
      </c>
      <c r="N27" s="213">
        <f t="shared" ref="N27" si="48">+N7+N11+N21+N22+N24+N26</f>
        <v>0</v>
      </c>
      <c r="O27" s="208">
        <f>+O7+O11+O21+O22+O24+O26</f>
        <v>0</v>
      </c>
      <c r="P27" s="212">
        <f t="shared" ref="P27" si="49">+P7+P11+P21+P22+P24+P26</f>
        <v>4</v>
      </c>
      <c r="Q27" s="213">
        <f t="shared" ref="Q27" si="50">+Q7+Q11+Q21+Q22+Q24+Q26</f>
        <v>4</v>
      </c>
      <c r="R27" s="208">
        <f>+R7+R11+R21+R22+R24+R26</f>
        <v>3454</v>
      </c>
      <c r="S27" s="212">
        <f t="shared" ref="S27:T27" si="51">+S7+S11+S21+S22+S24+S26</f>
        <v>3458</v>
      </c>
      <c r="T27" s="213">
        <f t="shared" si="51"/>
        <v>1687</v>
      </c>
    </row>
    <row r="28" spans="1:23" s="235" customFormat="1" ht="13.5" customHeight="1">
      <c r="A28" s="173" t="s">
        <v>189</v>
      </c>
      <c r="B28" s="94" t="s">
        <v>148</v>
      </c>
      <c r="C28" s="208"/>
      <c r="D28" s="137">
        <f>+'[4]4.SZ.TÁBL. ÓVODA'!$E28</f>
        <v>131</v>
      </c>
      <c r="E28" s="489">
        <v>131</v>
      </c>
      <c r="F28" s="208"/>
      <c r="G28" s="137">
        <f>+'[4]4.SZ.TÁBL. ÓVODA'!$H28</f>
        <v>101</v>
      </c>
      <c r="H28" s="489">
        <v>101</v>
      </c>
      <c r="I28" s="208"/>
      <c r="J28" s="137">
        <f>+'[4]4.SZ.TÁBL. ÓVODA'!$K28</f>
        <v>0</v>
      </c>
      <c r="K28" s="213"/>
      <c r="L28" s="208"/>
      <c r="M28" s="137">
        <f>+'[4]4.SZ.TÁBL. ÓVODA'!$N28</f>
        <v>0</v>
      </c>
      <c r="N28" s="213"/>
      <c r="O28" s="208"/>
      <c r="P28" s="137">
        <f>+'[4]4.SZ.TÁBL. ÓVODA'!$Q28</f>
        <v>0</v>
      </c>
      <c r="Q28" s="489"/>
      <c r="R28" s="143">
        <f>+C28+F28+I28+L28+O28</f>
        <v>0</v>
      </c>
      <c r="S28" s="488">
        <f t="shared" ref="S28:T28" si="52">+D28+G28+J28+M28+P28</f>
        <v>232</v>
      </c>
      <c r="T28" s="489">
        <f t="shared" si="52"/>
        <v>232</v>
      </c>
    </row>
    <row r="29" spans="1:23" s="235" customFormat="1" ht="13.5" customHeight="1">
      <c r="A29" s="173" t="s">
        <v>302</v>
      </c>
      <c r="B29" s="94" t="s">
        <v>303</v>
      </c>
      <c r="C29" s="208">
        <f t="shared" ref="C29:T29" si="53">+SUM(C30:C31)+SUM(C35:C35)</f>
        <v>29856</v>
      </c>
      <c r="D29" s="212">
        <f t="shared" si="53"/>
        <v>30342</v>
      </c>
      <c r="E29" s="213">
        <f t="shared" si="53"/>
        <v>22768</v>
      </c>
      <c r="F29" s="208">
        <f t="shared" si="53"/>
        <v>52215</v>
      </c>
      <c r="G29" s="212">
        <f t="shared" ref="G29" si="54">+SUM(G30:G31)+SUM(G35:G35)</f>
        <v>52576</v>
      </c>
      <c r="H29" s="213">
        <f t="shared" si="53"/>
        <v>39840</v>
      </c>
      <c r="I29" s="208">
        <f t="shared" si="53"/>
        <v>26647</v>
      </c>
      <c r="J29" s="212">
        <f t="shared" si="53"/>
        <v>26993</v>
      </c>
      <c r="K29" s="213">
        <f t="shared" si="53"/>
        <v>21251</v>
      </c>
      <c r="L29" s="208">
        <f t="shared" si="53"/>
        <v>49055</v>
      </c>
      <c r="M29" s="212">
        <f t="shared" ref="M29" si="55">+SUM(M30:M31)+SUM(M35:M35)</f>
        <v>49537</v>
      </c>
      <c r="N29" s="213">
        <f t="shared" si="53"/>
        <v>37330</v>
      </c>
      <c r="O29" s="208">
        <f t="shared" si="53"/>
        <v>10178</v>
      </c>
      <c r="P29" s="212">
        <f t="shared" si="53"/>
        <v>10308</v>
      </c>
      <c r="Q29" s="213">
        <f t="shared" si="53"/>
        <v>8338</v>
      </c>
      <c r="R29" s="208">
        <f t="shared" si="53"/>
        <v>167951</v>
      </c>
      <c r="S29" s="212">
        <f t="shared" si="53"/>
        <v>169756</v>
      </c>
      <c r="T29" s="213">
        <f t="shared" si="53"/>
        <v>129527</v>
      </c>
      <c r="U29" s="2"/>
      <c r="W29" s="290"/>
    </row>
    <row r="30" spans="1:23" ht="13.5" customHeight="1">
      <c r="A30" s="194"/>
      <c r="B30" s="120" t="s">
        <v>334</v>
      </c>
      <c r="C30" s="192">
        <f>+'[5]4.SZ.TÁBL. ÓVODA'!$C30</f>
        <v>29856</v>
      </c>
      <c r="D30" s="137">
        <f>+'[4]4.SZ.TÁBL. ÓVODA'!$E30</f>
        <v>30342</v>
      </c>
      <c r="E30" s="138">
        <f>+'5.SZ.TÁBL. ÓVODAI NORMATÍVA'!C47</f>
        <v>22708</v>
      </c>
      <c r="F30" s="192">
        <f>+'[5]4.SZ.TÁBL. ÓVODA'!$F30</f>
        <v>50936</v>
      </c>
      <c r="G30" s="137">
        <f>+'[4]4.SZ.TÁBL. ÓVODA'!$H30</f>
        <v>51297</v>
      </c>
      <c r="H30" s="138">
        <f>+'5.SZ.TÁBL. ÓVODAI NORMATÍVA'!E47</f>
        <v>38691</v>
      </c>
      <c r="I30" s="192">
        <f>+'[5]4.SZ.TÁBL. ÓVODA'!$I30</f>
        <v>26647</v>
      </c>
      <c r="J30" s="137">
        <f>+'[4]4.SZ.TÁBL. ÓVODA'!$K30</f>
        <v>26993</v>
      </c>
      <c r="K30" s="138">
        <f>+'5.SZ.TÁBL. ÓVODAI NORMATÍVA'!G47</f>
        <v>20549</v>
      </c>
      <c r="L30" s="192">
        <f>+'[5]4.SZ.TÁBL. ÓVODA'!$L30</f>
        <v>49055</v>
      </c>
      <c r="M30" s="137">
        <f>+'[4]4.SZ.TÁBL. ÓVODA'!$N30</f>
        <v>49537</v>
      </c>
      <c r="N30" s="138">
        <f>+'5.SZ.TÁBL. ÓVODAI NORMATÍVA'!I47</f>
        <v>37330</v>
      </c>
      <c r="O30" s="192">
        <f>+'[5]4.SZ.TÁBL. ÓVODA'!$O30</f>
        <v>5114</v>
      </c>
      <c r="P30" s="137">
        <f>+'[4]4.SZ.TÁBL. ÓVODA'!$Q30</f>
        <v>5244</v>
      </c>
      <c r="Q30" s="138">
        <f>+'5.SZ.TÁBL. ÓVODAI NORMATÍVA'!K47</f>
        <v>3936</v>
      </c>
      <c r="R30" s="192">
        <f t="shared" ref="R30:R34" si="56">+C30+F30+I30+L30+O30</f>
        <v>161608</v>
      </c>
      <c r="S30" s="191">
        <f t="shared" ref="S30:S34" si="57">+D30+G30+J30+M30+P30</f>
        <v>163413</v>
      </c>
      <c r="T30" s="193">
        <f t="shared" ref="T30:T34" si="58">+E30+H30+K30+N30+Q30</f>
        <v>123214</v>
      </c>
    </row>
    <row r="31" spans="1:23" ht="13.5" customHeight="1">
      <c r="A31" s="195"/>
      <c r="B31" s="121" t="s">
        <v>335</v>
      </c>
      <c r="C31" s="143">
        <f t="shared" ref="C31:Q31" si="59">+SUM(C32:C34)</f>
        <v>0</v>
      </c>
      <c r="D31" s="137">
        <f t="shared" si="59"/>
        <v>0</v>
      </c>
      <c r="E31" s="138">
        <f t="shared" si="59"/>
        <v>0</v>
      </c>
      <c r="F31" s="143">
        <f t="shared" ref="F31" si="60">+SUM(F32:F34)</f>
        <v>1279</v>
      </c>
      <c r="G31" s="137">
        <f t="shared" ref="G31" si="61">+SUM(G32:G34)</f>
        <v>1279</v>
      </c>
      <c r="H31" s="138">
        <f t="shared" si="59"/>
        <v>959</v>
      </c>
      <c r="I31" s="143">
        <f t="shared" ref="I31" si="62">+SUM(I32:I34)</f>
        <v>0</v>
      </c>
      <c r="J31" s="137">
        <f t="shared" ref="J31" si="63">+SUM(J32:J34)</f>
        <v>0</v>
      </c>
      <c r="K31" s="138">
        <f t="shared" si="59"/>
        <v>0</v>
      </c>
      <c r="L31" s="143">
        <f t="shared" ref="L31" si="64">+SUM(L32:L34)</f>
        <v>0</v>
      </c>
      <c r="M31" s="137">
        <f t="shared" ref="M31" si="65">+SUM(M32:M34)</f>
        <v>0</v>
      </c>
      <c r="N31" s="138">
        <f t="shared" si="59"/>
        <v>0</v>
      </c>
      <c r="O31" s="143">
        <f t="shared" ref="O31" si="66">+SUM(O32:O34)</f>
        <v>5064</v>
      </c>
      <c r="P31" s="137">
        <f t="shared" ref="P31" si="67">+SUM(P32:P34)</f>
        <v>5064</v>
      </c>
      <c r="Q31" s="138">
        <f t="shared" si="59"/>
        <v>3835</v>
      </c>
      <c r="R31" s="143">
        <f t="shared" si="56"/>
        <v>6343</v>
      </c>
      <c r="S31" s="137">
        <f t="shared" si="57"/>
        <v>6343</v>
      </c>
      <c r="T31" s="138">
        <f t="shared" si="58"/>
        <v>4794</v>
      </c>
    </row>
    <row r="32" spans="1:23" s="202" customFormat="1" ht="13.5" customHeight="1">
      <c r="A32" s="196"/>
      <c r="B32" s="294" t="s">
        <v>4</v>
      </c>
      <c r="C32" s="143">
        <f>+'[5]4.SZ.TÁBL. ÓVODA'!$C32</f>
        <v>0</v>
      </c>
      <c r="D32" s="137">
        <f>+'[4]4.SZ.TÁBL. ÓVODA'!$E32</f>
        <v>0</v>
      </c>
      <c r="E32" s="138"/>
      <c r="F32" s="143">
        <f>+'[5]4.SZ.TÁBL. ÓVODA'!$F32</f>
        <v>1279</v>
      </c>
      <c r="G32" s="137">
        <f>+'[4]4.SZ.TÁBL. ÓVODA'!$H32</f>
        <v>1279</v>
      </c>
      <c r="H32" s="138">
        <v>959</v>
      </c>
      <c r="I32" s="143">
        <f>+'[5]4.SZ.TÁBL. ÓVODA'!$I32</f>
        <v>0</v>
      </c>
      <c r="J32" s="137">
        <f>+'[4]4.SZ.TÁBL. ÓVODA'!$K32</f>
        <v>0</v>
      </c>
      <c r="K32" s="138"/>
      <c r="L32" s="143">
        <f>+'[5]4.SZ.TÁBL. ÓVODA'!$L32</f>
        <v>0</v>
      </c>
      <c r="M32" s="137">
        <f>+'[4]4.SZ.TÁBL. ÓVODA'!$N32</f>
        <v>0</v>
      </c>
      <c r="N32" s="138"/>
      <c r="O32" s="143">
        <f>+'[5]4.SZ.TÁBL. ÓVODA'!$O32</f>
        <v>2030</v>
      </c>
      <c r="P32" s="137">
        <f>+'[4]4.SZ.TÁBL. ÓVODA'!$Q32</f>
        <v>2030</v>
      </c>
      <c r="Q32" s="138">
        <v>1523</v>
      </c>
      <c r="R32" s="200">
        <f t="shared" si="56"/>
        <v>3309</v>
      </c>
      <c r="S32" s="198">
        <f t="shared" si="57"/>
        <v>3309</v>
      </c>
      <c r="T32" s="201">
        <f t="shared" si="58"/>
        <v>2482</v>
      </c>
    </row>
    <row r="33" spans="1:20" s="202" customFormat="1" ht="13.5" customHeight="1">
      <c r="A33" s="196"/>
      <c r="B33" s="294" t="s">
        <v>6</v>
      </c>
      <c r="C33" s="143">
        <f>+'[5]4.SZ.TÁBL. ÓVODA'!$C33</f>
        <v>0</v>
      </c>
      <c r="D33" s="137">
        <f>+'[4]4.SZ.TÁBL. ÓVODA'!$E33</f>
        <v>0</v>
      </c>
      <c r="E33" s="138"/>
      <c r="F33" s="143">
        <f>+'[5]4.SZ.TÁBL. ÓVODA'!$F33</f>
        <v>0</v>
      </c>
      <c r="G33" s="137">
        <f>+'[4]4.SZ.TÁBL. ÓVODA'!$H33</f>
        <v>0</v>
      </c>
      <c r="H33" s="138"/>
      <c r="I33" s="143">
        <f>+'[5]4.SZ.TÁBL. ÓVODA'!$I33</f>
        <v>0</v>
      </c>
      <c r="J33" s="137">
        <f>+'[4]4.SZ.TÁBL. ÓVODA'!$K33</f>
        <v>0</v>
      </c>
      <c r="K33" s="138"/>
      <c r="L33" s="143">
        <f>+'[5]4.SZ.TÁBL. ÓVODA'!$L33</f>
        <v>0</v>
      </c>
      <c r="M33" s="137">
        <f>+'[4]4.SZ.TÁBL. ÓVODA'!$N33</f>
        <v>0</v>
      </c>
      <c r="N33" s="138"/>
      <c r="O33" s="143">
        <f>+'[5]4.SZ.TÁBL. ÓVODA'!$O33</f>
        <v>1004</v>
      </c>
      <c r="P33" s="137">
        <f>+'[4]4.SZ.TÁBL. ÓVODA'!$Q33</f>
        <v>1004</v>
      </c>
      <c r="Q33" s="138">
        <v>790</v>
      </c>
      <c r="R33" s="200">
        <f t="shared" si="56"/>
        <v>1004</v>
      </c>
      <c r="S33" s="198">
        <f t="shared" si="57"/>
        <v>1004</v>
      </c>
      <c r="T33" s="201">
        <f t="shared" si="58"/>
        <v>790</v>
      </c>
    </row>
    <row r="34" spans="1:20" s="202" customFormat="1" ht="13.5" customHeight="1">
      <c r="A34" s="522"/>
      <c r="B34" s="295" t="s">
        <v>10</v>
      </c>
      <c r="C34" s="143">
        <f>+'[5]4.SZ.TÁBL. ÓVODA'!$C34</f>
        <v>0</v>
      </c>
      <c r="D34" s="137">
        <f>+'[4]4.SZ.TÁBL. ÓVODA'!$E34</f>
        <v>0</v>
      </c>
      <c r="E34" s="161"/>
      <c r="F34" s="143">
        <f>+'[5]4.SZ.TÁBL. ÓVODA'!$F34</f>
        <v>0</v>
      </c>
      <c r="G34" s="137">
        <f>+'[4]4.SZ.TÁBL. ÓVODA'!$H34</f>
        <v>0</v>
      </c>
      <c r="H34" s="161"/>
      <c r="I34" s="143">
        <f>+'[5]4.SZ.TÁBL. ÓVODA'!$I34</f>
        <v>0</v>
      </c>
      <c r="J34" s="137">
        <f>+'[4]4.SZ.TÁBL. ÓVODA'!$K34</f>
        <v>0</v>
      </c>
      <c r="K34" s="161"/>
      <c r="L34" s="143">
        <f>+'[5]4.SZ.TÁBL. ÓVODA'!$L34</f>
        <v>0</v>
      </c>
      <c r="M34" s="137">
        <f>+'[4]4.SZ.TÁBL. ÓVODA'!$N34</f>
        <v>0</v>
      </c>
      <c r="N34" s="161"/>
      <c r="O34" s="143">
        <f>+'[5]4.SZ.TÁBL. ÓVODA'!$O34</f>
        <v>2030</v>
      </c>
      <c r="P34" s="137">
        <f>+'[4]4.SZ.TÁBL. ÓVODA'!$Q34</f>
        <v>2030</v>
      </c>
      <c r="Q34" s="161">
        <v>1522</v>
      </c>
      <c r="R34" s="209">
        <f t="shared" si="56"/>
        <v>2030</v>
      </c>
      <c r="S34" s="210">
        <f t="shared" si="57"/>
        <v>2030</v>
      </c>
      <c r="T34" s="211">
        <f t="shared" si="58"/>
        <v>1522</v>
      </c>
    </row>
    <row r="35" spans="1:20" s="202" customFormat="1" ht="13.5" customHeight="1">
      <c r="A35" s="660"/>
      <c r="B35" s="164" t="s">
        <v>513</v>
      </c>
      <c r="C35" s="160"/>
      <c r="D35" s="156"/>
      <c r="E35" s="161">
        <v>60</v>
      </c>
      <c r="F35" s="160"/>
      <c r="G35" s="156"/>
      <c r="H35" s="161">
        <v>190</v>
      </c>
      <c r="I35" s="160"/>
      <c r="J35" s="156"/>
      <c r="K35" s="161">
        <v>702</v>
      </c>
      <c r="L35" s="160"/>
      <c r="M35" s="156"/>
      <c r="N35" s="161"/>
      <c r="O35" s="160"/>
      <c r="P35" s="156"/>
      <c r="Q35" s="161">
        <v>567</v>
      </c>
      <c r="R35" s="160"/>
      <c r="S35" s="156"/>
      <c r="T35" s="161">
        <f t="shared" ref="T35" si="68">+E35+H35+K35+N35+Q35</f>
        <v>1519</v>
      </c>
    </row>
    <row r="36" spans="1:20" s="235" customFormat="1" ht="13.5" customHeight="1" thickBot="1">
      <c r="A36" s="206" t="s">
        <v>190</v>
      </c>
      <c r="B36" s="207" t="s">
        <v>149</v>
      </c>
      <c r="C36" s="216">
        <f>SUM(C28:C29)</f>
        <v>29856</v>
      </c>
      <c r="D36" s="217">
        <f t="shared" ref="D36:E36" si="69">SUM(D28:D29)</f>
        <v>30473</v>
      </c>
      <c r="E36" s="218">
        <f t="shared" si="69"/>
        <v>22899</v>
      </c>
      <c r="F36" s="216">
        <f>SUM(F28:F29)</f>
        <v>52215</v>
      </c>
      <c r="G36" s="217">
        <f t="shared" ref="G36" si="70">SUM(G28:G29)</f>
        <v>52677</v>
      </c>
      <c r="H36" s="218">
        <f>SUM(H28:H29)</f>
        <v>39941</v>
      </c>
      <c r="I36" s="216">
        <f>SUM(I28:I29)</f>
        <v>26647</v>
      </c>
      <c r="J36" s="217">
        <f t="shared" ref="J36" si="71">SUM(J28:J29)</f>
        <v>26993</v>
      </c>
      <c r="K36" s="218">
        <f t="shared" ref="K36" si="72">SUM(K28:K29)</f>
        <v>21251</v>
      </c>
      <c r="L36" s="216">
        <f>SUM(L28:L29)</f>
        <v>49055</v>
      </c>
      <c r="M36" s="217">
        <f t="shared" ref="M36" si="73">SUM(M28:M29)</f>
        <v>49537</v>
      </c>
      <c r="N36" s="218">
        <f t="shared" ref="N36" si="74">SUM(N28:N29)</f>
        <v>37330</v>
      </c>
      <c r="O36" s="216">
        <f>SUM(O28:O29)</f>
        <v>10178</v>
      </c>
      <c r="P36" s="217">
        <f t="shared" ref="P36" si="75">SUM(P28:P29)</f>
        <v>10308</v>
      </c>
      <c r="Q36" s="218">
        <f t="shared" ref="Q36" si="76">SUM(Q28:Q29)</f>
        <v>8338</v>
      </c>
      <c r="R36" s="216">
        <f>SUM(R28:R29)</f>
        <v>167951</v>
      </c>
      <c r="S36" s="217">
        <f t="shared" ref="S36" si="77">SUM(S28:S29)</f>
        <v>169988</v>
      </c>
      <c r="T36" s="218">
        <f>SUM(T28:T29)</f>
        <v>129759</v>
      </c>
    </row>
    <row r="37" spans="1:20" s="235" customFormat="1" ht="13.5" customHeight="1" thickBot="1">
      <c r="A37" s="897" t="s">
        <v>0</v>
      </c>
      <c r="B37" s="931"/>
      <c r="C37" s="219">
        <f t="shared" ref="C37:T37" si="78">+C27+C36</f>
        <v>33310</v>
      </c>
      <c r="D37" s="220">
        <f t="shared" si="78"/>
        <v>33927</v>
      </c>
      <c r="E37" s="221">
        <f t="shared" si="78"/>
        <v>24582</v>
      </c>
      <c r="F37" s="219">
        <f t="shared" si="78"/>
        <v>52215</v>
      </c>
      <c r="G37" s="220">
        <f t="shared" ref="G37" si="79">+G27+G36</f>
        <v>52677</v>
      </c>
      <c r="H37" s="221">
        <f t="shared" si="78"/>
        <v>39941</v>
      </c>
      <c r="I37" s="219">
        <f t="shared" si="78"/>
        <v>26647</v>
      </c>
      <c r="J37" s="220">
        <f t="shared" si="78"/>
        <v>26993</v>
      </c>
      <c r="K37" s="221">
        <f t="shared" si="78"/>
        <v>21251</v>
      </c>
      <c r="L37" s="219">
        <f t="shared" si="78"/>
        <v>49055</v>
      </c>
      <c r="M37" s="220">
        <f t="shared" ref="M37" si="80">+M27+M36</f>
        <v>49537</v>
      </c>
      <c r="N37" s="221">
        <f t="shared" si="78"/>
        <v>37330</v>
      </c>
      <c r="O37" s="219">
        <f t="shared" si="78"/>
        <v>10178</v>
      </c>
      <c r="P37" s="220">
        <f t="shared" si="78"/>
        <v>10312</v>
      </c>
      <c r="Q37" s="221">
        <f t="shared" si="78"/>
        <v>8342</v>
      </c>
      <c r="R37" s="219">
        <f t="shared" si="78"/>
        <v>171405</v>
      </c>
      <c r="S37" s="220">
        <f t="shared" si="78"/>
        <v>173446</v>
      </c>
      <c r="T37" s="221">
        <f t="shared" si="78"/>
        <v>131446</v>
      </c>
    </row>
    <row r="38" spans="1:20" ht="13.5" customHeight="1">
      <c r="A38" s="129" t="s">
        <v>208</v>
      </c>
      <c r="B38" s="175" t="s">
        <v>209</v>
      </c>
      <c r="C38" s="150">
        <f>+'[5]4.SZ.TÁBL. ÓVODA'!$C37</f>
        <v>16217</v>
      </c>
      <c r="D38" s="137">
        <f>+'[4]4.SZ.TÁBL. ÓVODA'!$E37</f>
        <v>15618</v>
      </c>
      <c r="E38" s="151">
        <v>11315</v>
      </c>
      <c r="F38" s="150">
        <f>+'[5]4.SZ.TÁBL. ÓVODA'!$F37</f>
        <v>32761</v>
      </c>
      <c r="G38" s="137">
        <f>+'[4]4.SZ.TÁBL. ÓVODA'!$H37</f>
        <v>32482</v>
      </c>
      <c r="H38" s="151">
        <v>22443</v>
      </c>
      <c r="I38" s="150">
        <f>+'[5]4.SZ.TÁBL. ÓVODA'!$I37</f>
        <v>16519</v>
      </c>
      <c r="J38" s="137">
        <f>+'[4]4.SZ.TÁBL. ÓVODA'!$K37</f>
        <v>16163</v>
      </c>
      <c r="K38" s="151">
        <v>12913</v>
      </c>
      <c r="L38" s="150">
        <f>+'[5]4.SZ.TÁBL. ÓVODA'!$L37</f>
        <v>28781</v>
      </c>
      <c r="M38" s="137">
        <f>+'[4]4.SZ.TÁBL. ÓVODA'!$N37</f>
        <v>28551</v>
      </c>
      <c r="N38" s="151">
        <v>22344</v>
      </c>
      <c r="O38" s="150">
        <f>+'[5]4.SZ.TÁBL. ÓVODA'!$O37</f>
        <v>5519</v>
      </c>
      <c r="P38" s="137">
        <f>+'[4]4.SZ.TÁBL. ÓVODA'!$Q37</f>
        <v>5373</v>
      </c>
      <c r="Q38" s="151">
        <v>4173</v>
      </c>
      <c r="R38" s="150">
        <f>+C38+F38+I38+L38+O38</f>
        <v>99797</v>
      </c>
      <c r="S38" s="146">
        <f t="shared" ref="S38:T51" si="81">+D38+G38+J38+M38+P38</f>
        <v>98187</v>
      </c>
      <c r="T38" s="151">
        <f t="shared" si="81"/>
        <v>73188</v>
      </c>
    </row>
    <row r="39" spans="1:20" ht="13.5" customHeight="1">
      <c r="A39" s="130" t="s">
        <v>210</v>
      </c>
      <c r="B39" s="176" t="s">
        <v>211</v>
      </c>
      <c r="C39" s="150">
        <f>+'[5]4.SZ.TÁBL. ÓVODA'!$C38</f>
        <v>0</v>
      </c>
      <c r="D39" s="137">
        <f>+'[4]4.SZ.TÁBL. ÓVODA'!$E38</f>
        <v>0</v>
      </c>
      <c r="E39" s="138"/>
      <c r="F39" s="150">
        <f>+'[5]4.SZ.TÁBL. ÓVODA'!$F38</f>
        <v>0</v>
      </c>
      <c r="G39" s="137">
        <f>+'[4]4.SZ.TÁBL. ÓVODA'!$H38</f>
        <v>0</v>
      </c>
      <c r="H39" s="138"/>
      <c r="I39" s="150">
        <f>+'[5]4.SZ.TÁBL. ÓVODA'!$I38</f>
        <v>0</v>
      </c>
      <c r="J39" s="137">
        <f>+'[4]4.SZ.TÁBL. ÓVODA'!$K38</f>
        <v>0</v>
      </c>
      <c r="K39" s="138"/>
      <c r="L39" s="150">
        <f>+'[5]4.SZ.TÁBL. ÓVODA'!$L38</f>
        <v>0</v>
      </c>
      <c r="M39" s="137">
        <f>+'[4]4.SZ.TÁBL. ÓVODA'!$N38</f>
        <v>0</v>
      </c>
      <c r="N39" s="138"/>
      <c r="O39" s="150">
        <f>+'[5]4.SZ.TÁBL. ÓVODA'!$O38</f>
        <v>0</v>
      </c>
      <c r="P39" s="137">
        <f>+'[4]4.SZ.TÁBL. ÓVODA'!$Q38</f>
        <v>0</v>
      </c>
      <c r="Q39" s="138"/>
      <c r="R39" s="150">
        <f t="shared" ref="R39:R55" si="82">+C39+F39+I39+L39+O39</f>
        <v>0</v>
      </c>
      <c r="S39" s="137">
        <f t="shared" si="81"/>
        <v>0</v>
      </c>
      <c r="T39" s="138">
        <f t="shared" si="81"/>
        <v>0</v>
      </c>
    </row>
    <row r="40" spans="1:20" ht="13.5" customHeight="1">
      <c r="A40" s="130" t="s">
        <v>212</v>
      </c>
      <c r="B40" s="176" t="s">
        <v>213</v>
      </c>
      <c r="C40" s="150">
        <f>+'[5]4.SZ.TÁBL. ÓVODA'!$C39</f>
        <v>0</v>
      </c>
      <c r="D40" s="137">
        <f>+'[4]4.SZ.TÁBL. ÓVODA'!$E39</f>
        <v>0</v>
      </c>
      <c r="E40" s="138"/>
      <c r="F40" s="150">
        <f>+'[5]4.SZ.TÁBL. ÓVODA'!$F39</f>
        <v>0</v>
      </c>
      <c r="G40" s="137">
        <f>+'[4]4.SZ.TÁBL. ÓVODA'!$H39</f>
        <v>0</v>
      </c>
      <c r="H40" s="138"/>
      <c r="I40" s="150">
        <f>+'[5]4.SZ.TÁBL. ÓVODA'!$I39</f>
        <v>0</v>
      </c>
      <c r="J40" s="137">
        <f>+'[4]4.SZ.TÁBL. ÓVODA'!$K39</f>
        <v>0</v>
      </c>
      <c r="K40" s="138"/>
      <c r="L40" s="150">
        <f>+'[5]4.SZ.TÁBL. ÓVODA'!$L39</f>
        <v>0</v>
      </c>
      <c r="M40" s="137">
        <f>+'[4]4.SZ.TÁBL. ÓVODA'!$N39</f>
        <v>0</v>
      </c>
      <c r="N40" s="138"/>
      <c r="O40" s="150">
        <f>+'[5]4.SZ.TÁBL. ÓVODA'!$O39</f>
        <v>0</v>
      </c>
      <c r="P40" s="137">
        <f>+'[4]4.SZ.TÁBL. ÓVODA'!$Q39</f>
        <v>0</v>
      </c>
      <c r="Q40" s="138"/>
      <c r="R40" s="150">
        <f t="shared" si="82"/>
        <v>0</v>
      </c>
      <c r="S40" s="137">
        <f t="shared" si="81"/>
        <v>0</v>
      </c>
      <c r="T40" s="138">
        <f t="shared" si="81"/>
        <v>0</v>
      </c>
    </row>
    <row r="41" spans="1:20" ht="13.5" customHeight="1">
      <c r="A41" s="130" t="s">
        <v>214</v>
      </c>
      <c r="B41" s="176" t="s">
        <v>215</v>
      </c>
      <c r="C41" s="150">
        <f>+'[5]4.SZ.TÁBL. ÓVODA'!$C40</f>
        <v>302</v>
      </c>
      <c r="D41" s="137">
        <f>+'[4]4.SZ.TÁBL. ÓVODA'!$E40</f>
        <v>554</v>
      </c>
      <c r="E41" s="138">
        <v>529</v>
      </c>
      <c r="F41" s="150">
        <f>+'[5]4.SZ.TÁBL. ÓVODA'!$F40</f>
        <v>665</v>
      </c>
      <c r="G41" s="137">
        <f>+'[4]4.SZ.TÁBL. ÓVODA'!$H40</f>
        <v>665</v>
      </c>
      <c r="H41" s="138">
        <v>217</v>
      </c>
      <c r="I41" s="150">
        <f>+'[5]4.SZ.TÁBL. ÓVODA'!$I40</f>
        <v>303</v>
      </c>
      <c r="J41" s="137">
        <f>+'[4]4.SZ.TÁBL. ÓVODA'!$K40</f>
        <v>643</v>
      </c>
      <c r="K41" s="138">
        <v>638</v>
      </c>
      <c r="L41" s="150">
        <f>+'[5]4.SZ.TÁBL. ÓVODA'!$L40</f>
        <v>605</v>
      </c>
      <c r="M41" s="137">
        <f>+'[4]4.SZ.TÁBL. ÓVODA'!$N40</f>
        <v>705</v>
      </c>
      <c r="N41" s="138">
        <v>678</v>
      </c>
      <c r="O41" s="150">
        <f>+'[5]4.SZ.TÁBL. ÓVODA'!$O40</f>
        <v>91</v>
      </c>
      <c r="P41" s="137">
        <f>+'[4]4.SZ.TÁBL. ÓVODA'!$Q40</f>
        <v>91</v>
      </c>
      <c r="Q41" s="138"/>
      <c r="R41" s="150">
        <f t="shared" si="82"/>
        <v>1966</v>
      </c>
      <c r="S41" s="137">
        <f t="shared" si="81"/>
        <v>2658</v>
      </c>
      <c r="T41" s="138">
        <f t="shared" si="81"/>
        <v>2062</v>
      </c>
    </row>
    <row r="42" spans="1:20" ht="13.5" customHeight="1">
      <c r="A42" s="130" t="s">
        <v>216</v>
      </c>
      <c r="B42" s="176" t="s">
        <v>217</v>
      </c>
      <c r="C42" s="150">
        <f>+'[5]4.SZ.TÁBL. ÓVODA'!$C41</f>
        <v>0</v>
      </c>
      <c r="D42" s="137">
        <f>+'[4]4.SZ.TÁBL. ÓVODA'!$E41</f>
        <v>0</v>
      </c>
      <c r="E42" s="138"/>
      <c r="F42" s="150">
        <f>+'[5]4.SZ.TÁBL. ÓVODA'!$F41</f>
        <v>0</v>
      </c>
      <c r="G42" s="137">
        <f>+'[4]4.SZ.TÁBL. ÓVODA'!$H41</f>
        <v>0</v>
      </c>
      <c r="H42" s="138"/>
      <c r="I42" s="150">
        <f>+'[5]4.SZ.TÁBL. ÓVODA'!$I41</f>
        <v>0</v>
      </c>
      <c r="J42" s="137">
        <f>+'[4]4.SZ.TÁBL. ÓVODA'!$K41</f>
        <v>0</v>
      </c>
      <c r="K42" s="138"/>
      <c r="L42" s="150">
        <f>+'[5]4.SZ.TÁBL. ÓVODA'!$L41</f>
        <v>0</v>
      </c>
      <c r="M42" s="137">
        <f>+'[4]4.SZ.TÁBL. ÓVODA'!$N41</f>
        <v>0</v>
      </c>
      <c r="N42" s="138"/>
      <c r="O42" s="150">
        <f>+'[5]4.SZ.TÁBL. ÓVODA'!$O41</f>
        <v>0</v>
      </c>
      <c r="P42" s="137">
        <f>+'[4]4.SZ.TÁBL. ÓVODA'!$Q41</f>
        <v>0</v>
      </c>
      <c r="Q42" s="138"/>
      <c r="R42" s="150">
        <f t="shared" si="82"/>
        <v>0</v>
      </c>
      <c r="S42" s="137">
        <f t="shared" si="81"/>
        <v>0</v>
      </c>
      <c r="T42" s="138">
        <f t="shared" si="81"/>
        <v>0</v>
      </c>
    </row>
    <row r="43" spans="1:20" ht="13.5" customHeight="1">
      <c r="A43" s="130" t="s">
        <v>218</v>
      </c>
      <c r="B43" s="176" t="s">
        <v>1</v>
      </c>
      <c r="C43" s="150">
        <f>+'[5]4.SZ.TÁBL. ÓVODA'!$C42</f>
        <v>0</v>
      </c>
      <c r="D43" s="137">
        <f>+'[4]4.SZ.TÁBL. ÓVODA'!$E42</f>
        <v>0</v>
      </c>
      <c r="E43" s="138"/>
      <c r="F43" s="150">
        <f>+'[5]4.SZ.TÁBL. ÓVODA'!$F42</f>
        <v>0</v>
      </c>
      <c r="G43" s="137">
        <f>+'[4]4.SZ.TÁBL. ÓVODA'!$H42</f>
        <v>0</v>
      </c>
      <c r="H43" s="138"/>
      <c r="I43" s="150">
        <f>+'[5]4.SZ.TÁBL. ÓVODA'!$I42</f>
        <v>0</v>
      </c>
      <c r="J43" s="137">
        <f>+'[4]4.SZ.TÁBL. ÓVODA'!$K42</f>
        <v>0</v>
      </c>
      <c r="K43" s="138"/>
      <c r="L43" s="150">
        <f>+'[5]4.SZ.TÁBL. ÓVODA'!$L42</f>
        <v>0</v>
      </c>
      <c r="M43" s="137">
        <f>+'[4]4.SZ.TÁBL. ÓVODA'!$N42</f>
        <v>0</v>
      </c>
      <c r="N43" s="138"/>
      <c r="O43" s="150">
        <f>+'[5]4.SZ.TÁBL. ÓVODA'!$O42</f>
        <v>0</v>
      </c>
      <c r="P43" s="137">
        <f>+'[4]4.SZ.TÁBL. ÓVODA'!$Q42</f>
        <v>0</v>
      </c>
      <c r="Q43" s="138"/>
      <c r="R43" s="150">
        <f t="shared" si="82"/>
        <v>0</v>
      </c>
      <c r="S43" s="137">
        <f t="shared" si="81"/>
        <v>0</v>
      </c>
      <c r="T43" s="138">
        <f t="shared" si="81"/>
        <v>0</v>
      </c>
    </row>
    <row r="44" spans="1:20" ht="13.5" customHeight="1">
      <c r="A44" s="130" t="s">
        <v>219</v>
      </c>
      <c r="B44" s="176" t="s">
        <v>220</v>
      </c>
      <c r="C44" s="150">
        <f>+'[5]4.SZ.TÁBL. ÓVODA'!$C43</f>
        <v>390</v>
      </c>
      <c r="D44" s="137">
        <f>+'[4]4.SZ.TÁBL. ÓVODA'!$E43</f>
        <v>390</v>
      </c>
      <c r="E44" s="138">
        <v>225</v>
      </c>
      <c r="F44" s="150">
        <f>+'[5]4.SZ.TÁBL. ÓVODA'!$F43</f>
        <v>792</v>
      </c>
      <c r="G44" s="137">
        <f>+'[4]4.SZ.TÁBL. ÓVODA'!$H43</f>
        <v>792</v>
      </c>
      <c r="H44" s="138">
        <v>488</v>
      </c>
      <c r="I44" s="150">
        <f>+'[5]4.SZ.TÁBL. ÓVODA'!$I43</f>
        <v>360</v>
      </c>
      <c r="J44" s="137">
        <f>+'[4]4.SZ.TÁBL. ÓVODA'!$K43</f>
        <v>360</v>
      </c>
      <c r="K44" s="138">
        <v>240</v>
      </c>
      <c r="L44" s="150">
        <f>+'[5]4.SZ.TÁBL. ÓVODA'!$L43</f>
        <v>720</v>
      </c>
      <c r="M44" s="137">
        <f>+'[4]4.SZ.TÁBL. ÓVODA'!$N43</f>
        <v>720</v>
      </c>
      <c r="N44" s="138">
        <v>475</v>
      </c>
      <c r="O44" s="150">
        <f>+'[5]4.SZ.TÁBL. ÓVODA'!$O43</f>
        <v>108</v>
      </c>
      <c r="P44" s="137">
        <f>+'[4]4.SZ.TÁBL. ÓVODA'!$Q43</f>
        <v>108</v>
      </c>
      <c r="Q44" s="138">
        <v>72</v>
      </c>
      <c r="R44" s="150">
        <f t="shared" si="82"/>
        <v>2370</v>
      </c>
      <c r="S44" s="137">
        <f t="shared" si="81"/>
        <v>2370</v>
      </c>
      <c r="T44" s="138">
        <f t="shared" si="81"/>
        <v>1500</v>
      </c>
    </row>
    <row r="45" spans="1:20" ht="13.5" customHeight="1">
      <c r="A45" s="130" t="s">
        <v>221</v>
      </c>
      <c r="B45" s="176" t="s">
        <v>222</v>
      </c>
      <c r="C45" s="150">
        <f>+'[5]4.SZ.TÁBL. ÓVODA'!$C44</f>
        <v>0</v>
      </c>
      <c r="D45" s="137">
        <f>+'[4]4.SZ.TÁBL. ÓVODA'!$E44</f>
        <v>0</v>
      </c>
      <c r="E45" s="138"/>
      <c r="F45" s="150">
        <f>+'[5]4.SZ.TÁBL. ÓVODA'!$F44</f>
        <v>0</v>
      </c>
      <c r="G45" s="137">
        <f>+'[4]4.SZ.TÁBL. ÓVODA'!$H44</f>
        <v>0</v>
      </c>
      <c r="H45" s="138"/>
      <c r="I45" s="150">
        <f>+'[5]4.SZ.TÁBL. ÓVODA'!$I44</f>
        <v>0</v>
      </c>
      <c r="J45" s="137">
        <f>+'[4]4.SZ.TÁBL. ÓVODA'!$K44</f>
        <v>0</v>
      </c>
      <c r="K45" s="138"/>
      <c r="L45" s="150">
        <f>+'[5]4.SZ.TÁBL. ÓVODA'!$L44</f>
        <v>0</v>
      </c>
      <c r="M45" s="137">
        <f>+'[4]4.SZ.TÁBL. ÓVODA'!$N44</f>
        <v>0</v>
      </c>
      <c r="N45" s="138"/>
      <c r="O45" s="150">
        <f>+'[5]4.SZ.TÁBL. ÓVODA'!$O44</f>
        <v>0</v>
      </c>
      <c r="P45" s="137">
        <f>+'[4]4.SZ.TÁBL. ÓVODA'!$Q44</f>
        <v>0</v>
      </c>
      <c r="Q45" s="138"/>
      <c r="R45" s="150">
        <f t="shared" si="82"/>
        <v>0</v>
      </c>
      <c r="S45" s="137">
        <f t="shared" si="81"/>
        <v>0</v>
      </c>
      <c r="T45" s="138">
        <f t="shared" si="81"/>
        <v>0</v>
      </c>
    </row>
    <row r="46" spans="1:20" ht="13.5" customHeight="1">
      <c r="A46" s="130" t="s">
        <v>223</v>
      </c>
      <c r="B46" s="176" t="s">
        <v>2</v>
      </c>
      <c r="C46" s="150">
        <f>+'[5]4.SZ.TÁBL. ÓVODA'!$C45</f>
        <v>117</v>
      </c>
      <c r="D46" s="137">
        <f>+'[4]4.SZ.TÁBL. ÓVODA'!$E45</f>
        <v>117</v>
      </c>
      <c r="E46" s="138"/>
      <c r="F46" s="150">
        <f>+'[5]4.SZ.TÁBL. ÓVODA'!$F45</f>
        <v>310</v>
      </c>
      <c r="G46" s="137">
        <f>+'[4]4.SZ.TÁBL. ÓVODA'!$H45</f>
        <v>310</v>
      </c>
      <c r="H46" s="138">
        <v>145</v>
      </c>
      <c r="I46" s="150">
        <f>+'[5]4.SZ.TÁBL. ÓVODA'!$I45</f>
        <v>99</v>
      </c>
      <c r="J46" s="137">
        <f>+'[4]4.SZ.TÁBL. ÓVODA'!$K45</f>
        <v>99</v>
      </c>
      <c r="K46" s="138">
        <v>59</v>
      </c>
      <c r="L46" s="150">
        <f>+'[5]4.SZ.TÁBL. ÓVODA'!$L45</f>
        <v>260</v>
      </c>
      <c r="M46" s="137">
        <f>+'[4]4.SZ.TÁBL. ÓVODA'!$N45</f>
        <v>260</v>
      </c>
      <c r="N46" s="138">
        <v>124</v>
      </c>
      <c r="O46" s="150">
        <f>+'[5]4.SZ.TÁBL. ÓVODA'!$O45</f>
        <v>52</v>
      </c>
      <c r="P46" s="137">
        <f>+'[4]4.SZ.TÁBL. ÓVODA'!$Q45</f>
        <v>52</v>
      </c>
      <c r="Q46" s="138"/>
      <c r="R46" s="150">
        <f t="shared" si="82"/>
        <v>838</v>
      </c>
      <c r="S46" s="137">
        <f t="shared" si="81"/>
        <v>838</v>
      </c>
      <c r="T46" s="138">
        <f t="shared" si="81"/>
        <v>328</v>
      </c>
    </row>
    <row r="47" spans="1:20" ht="13.5" customHeight="1">
      <c r="A47" s="130" t="s">
        <v>224</v>
      </c>
      <c r="B47" s="176" t="s">
        <v>225</v>
      </c>
      <c r="C47" s="150">
        <f>+'[5]4.SZ.TÁBL. ÓVODA'!$C46</f>
        <v>0</v>
      </c>
      <c r="D47" s="137">
        <f>+'[4]4.SZ.TÁBL. ÓVODA'!$E46</f>
        <v>0</v>
      </c>
      <c r="E47" s="138"/>
      <c r="F47" s="150">
        <f>+'[5]4.SZ.TÁBL. ÓVODA'!$F46</f>
        <v>0</v>
      </c>
      <c r="G47" s="137">
        <f>+'[4]4.SZ.TÁBL. ÓVODA'!$H46</f>
        <v>0</v>
      </c>
      <c r="H47" s="138"/>
      <c r="I47" s="150">
        <f>+'[5]4.SZ.TÁBL. ÓVODA'!$I46</f>
        <v>0</v>
      </c>
      <c r="J47" s="137">
        <f>+'[4]4.SZ.TÁBL. ÓVODA'!$K46</f>
        <v>0</v>
      </c>
      <c r="K47" s="138"/>
      <c r="L47" s="150">
        <f>+'[5]4.SZ.TÁBL. ÓVODA'!$L46</f>
        <v>0</v>
      </c>
      <c r="M47" s="137">
        <f>+'[4]4.SZ.TÁBL. ÓVODA'!$N46</f>
        <v>0</v>
      </c>
      <c r="N47" s="138"/>
      <c r="O47" s="150">
        <f>+'[5]4.SZ.TÁBL. ÓVODA'!$O46</f>
        <v>0</v>
      </c>
      <c r="P47" s="137">
        <f>+'[4]4.SZ.TÁBL. ÓVODA'!$Q46</f>
        <v>0</v>
      </c>
      <c r="Q47" s="138"/>
      <c r="R47" s="150">
        <f t="shared" si="82"/>
        <v>0</v>
      </c>
      <c r="S47" s="137">
        <f t="shared" si="81"/>
        <v>0</v>
      </c>
      <c r="T47" s="138">
        <f t="shared" si="81"/>
        <v>0</v>
      </c>
    </row>
    <row r="48" spans="1:20" ht="13.5" customHeight="1">
      <c r="A48" s="130" t="s">
        <v>226</v>
      </c>
      <c r="B48" s="176" t="s">
        <v>227</v>
      </c>
      <c r="C48" s="150">
        <f>+'[5]4.SZ.TÁBL. ÓVODA'!$C47</f>
        <v>0</v>
      </c>
      <c r="D48" s="137">
        <f>+'[4]4.SZ.TÁBL. ÓVODA'!$E47</f>
        <v>0</v>
      </c>
      <c r="E48" s="138"/>
      <c r="F48" s="150">
        <f>+'[5]4.SZ.TÁBL. ÓVODA'!$F47</f>
        <v>0</v>
      </c>
      <c r="G48" s="137">
        <f>+'[4]4.SZ.TÁBL. ÓVODA'!$H47</f>
        <v>0</v>
      </c>
      <c r="H48" s="138"/>
      <c r="I48" s="150">
        <f>+'[5]4.SZ.TÁBL. ÓVODA'!$I47</f>
        <v>0</v>
      </c>
      <c r="J48" s="137">
        <f>+'[4]4.SZ.TÁBL. ÓVODA'!$K47</f>
        <v>0</v>
      </c>
      <c r="K48" s="138"/>
      <c r="L48" s="150">
        <f>+'[5]4.SZ.TÁBL. ÓVODA'!$L47</f>
        <v>0</v>
      </c>
      <c r="M48" s="137">
        <f>+'[4]4.SZ.TÁBL. ÓVODA'!$N47</f>
        <v>0</v>
      </c>
      <c r="N48" s="138"/>
      <c r="O48" s="150">
        <f>+'[5]4.SZ.TÁBL. ÓVODA'!$O47</f>
        <v>0</v>
      </c>
      <c r="P48" s="137">
        <f>+'[4]4.SZ.TÁBL. ÓVODA'!$Q47</f>
        <v>0</v>
      </c>
      <c r="Q48" s="138"/>
      <c r="R48" s="150">
        <f t="shared" si="82"/>
        <v>0</v>
      </c>
      <c r="S48" s="137">
        <f t="shared" si="81"/>
        <v>0</v>
      </c>
      <c r="T48" s="138">
        <f t="shared" si="81"/>
        <v>0</v>
      </c>
    </row>
    <row r="49" spans="1:20" ht="13.5" customHeight="1">
      <c r="A49" s="130" t="s">
        <v>228</v>
      </c>
      <c r="B49" s="176" t="s">
        <v>229</v>
      </c>
      <c r="C49" s="150">
        <f>+'[5]4.SZ.TÁBL. ÓVODA'!$C48</f>
        <v>0</v>
      </c>
      <c r="D49" s="137">
        <f>+'[4]4.SZ.TÁBL. ÓVODA'!$E48</f>
        <v>0</v>
      </c>
      <c r="E49" s="138"/>
      <c r="F49" s="150">
        <f>+'[5]4.SZ.TÁBL. ÓVODA'!$F48</f>
        <v>0</v>
      </c>
      <c r="G49" s="137">
        <f>+'[4]4.SZ.TÁBL. ÓVODA'!$H48</f>
        <v>0</v>
      </c>
      <c r="H49" s="138"/>
      <c r="I49" s="150">
        <f>+'[5]4.SZ.TÁBL. ÓVODA'!$I48</f>
        <v>0</v>
      </c>
      <c r="J49" s="137">
        <f>+'[4]4.SZ.TÁBL. ÓVODA'!$K48</f>
        <v>0</v>
      </c>
      <c r="K49" s="138"/>
      <c r="L49" s="150">
        <f>+'[5]4.SZ.TÁBL. ÓVODA'!$L48</f>
        <v>0</v>
      </c>
      <c r="M49" s="137">
        <f>+'[4]4.SZ.TÁBL. ÓVODA'!$N48</f>
        <v>0</v>
      </c>
      <c r="N49" s="138"/>
      <c r="O49" s="150">
        <f>+'[5]4.SZ.TÁBL. ÓVODA'!$O48</f>
        <v>0</v>
      </c>
      <c r="P49" s="137">
        <f>+'[4]4.SZ.TÁBL. ÓVODA'!$Q48</f>
        <v>0</v>
      </c>
      <c r="Q49" s="138"/>
      <c r="R49" s="150">
        <f t="shared" si="82"/>
        <v>0</v>
      </c>
      <c r="S49" s="137">
        <f t="shared" si="81"/>
        <v>0</v>
      </c>
      <c r="T49" s="138">
        <f t="shared" si="81"/>
        <v>0</v>
      </c>
    </row>
    <row r="50" spans="1:20" ht="13.5" customHeight="1">
      <c r="A50" s="130" t="s">
        <v>230</v>
      </c>
      <c r="B50" s="176" t="s">
        <v>424</v>
      </c>
      <c r="C50" s="150">
        <f>+'[5]4.SZ.TÁBL. ÓVODA'!$C49</f>
        <v>0</v>
      </c>
      <c r="D50" s="137">
        <f>+'[4]4.SZ.TÁBL. ÓVODA'!$E49</f>
        <v>424</v>
      </c>
      <c r="E50" s="138">
        <v>400</v>
      </c>
      <c r="F50" s="150">
        <f>+'[5]4.SZ.TÁBL. ÓVODA'!$F49</f>
        <v>0</v>
      </c>
      <c r="G50" s="137">
        <f>+'[4]4.SZ.TÁBL. ÓVODA'!$H49</f>
        <v>524</v>
      </c>
      <c r="H50" s="138">
        <v>515</v>
      </c>
      <c r="I50" s="150">
        <f>+'[5]4.SZ.TÁBL. ÓVODA'!$I49</f>
        <v>0</v>
      </c>
      <c r="J50" s="137">
        <f>+'[4]4.SZ.TÁBL. ÓVODA'!$K49</f>
        <v>281</v>
      </c>
      <c r="K50" s="138">
        <v>266</v>
      </c>
      <c r="L50" s="150">
        <f>+'[5]4.SZ.TÁBL. ÓVODA'!$L49</f>
        <v>0</v>
      </c>
      <c r="M50" s="137">
        <f>+'[4]4.SZ.TÁBL. ÓVODA'!$N49</f>
        <v>386</v>
      </c>
      <c r="N50" s="138">
        <v>381</v>
      </c>
      <c r="O50" s="150">
        <f>+'[5]4.SZ.TÁBL. ÓVODA'!$O49</f>
        <v>0</v>
      </c>
      <c r="P50" s="137">
        <f>+'[4]4.SZ.TÁBL. ÓVODA'!$Q49</f>
        <v>250</v>
      </c>
      <c r="Q50" s="138">
        <v>242</v>
      </c>
      <c r="R50" s="150">
        <f t="shared" si="82"/>
        <v>0</v>
      </c>
      <c r="S50" s="137">
        <f t="shared" si="81"/>
        <v>1865</v>
      </c>
      <c r="T50" s="138">
        <f t="shared" si="81"/>
        <v>1804</v>
      </c>
    </row>
    <row r="51" spans="1:20" ht="13.5" customHeight="1">
      <c r="A51" s="131" t="s">
        <v>230</v>
      </c>
      <c r="B51" s="177" t="s">
        <v>231</v>
      </c>
      <c r="C51" s="150">
        <f>+'[5]4.SZ.TÁBL. ÓVODA'!$C50</f>
        <v>0</v>
      </c>
      <c r="D51" s="137">
        <f>+'[4]4.SZ.TÁBL. ÓVODA'!$E50</f>
        <v>0</v>
      </c>
      <c r="E51" s="161"/>
      <c r="F51" s="150">
        <f>+'[5]4.SZ.TÁBL. ÓVODA'!$F50</f>
        <v>0</v>
      </c>
      <c r="G51" s="137">
        <f>+'[4]4.SZ.TÁBL. ÓVODA'!$H50</f>
        <v>0</v>
      </c>
      <c r="H51" s="161"/>
      <c r="I51" s="150">
        <f>+'[5]4.SZ.TÁBL. ÓVODA'!$I50</f>
        <v>0</v>
      </c>
      <c r="J51" s="137">
        <f>+'[4]4.SZ.TÁBL. ÓVODA'!$K50</f>
        <v>0</v>
      </c>
      <c r="K51" s="161"/>
      <c r="L51" s="150">
        <f>+'[5]4.SZ.TÁBL. ÓVODA'!$L50</f>
        <v>0</v>
      </c>
      <c r="M51" s="137">
        <f>+'[4]4.SZ.TÁBL. ÓVODA'!$N50</f>
        <v>0</v>
      </c>
      <c r="N51" s="161"/>
      <c r="O51" s="150">
        <f>+'[5]4.SZ.TÁBL. ÓVODA'!$O50</f>
        <v>0</v>
      </c>
      <c r="P51" s="137">
        <f>+'[4]4.SZ.TÁBL. ÓVODA'!$Q50</f>
        <v>0</v>
      </c>
      <c r="Q51" s="161"/>
      <c r="R51" s="150">
        <f t="shared" si="82"/>
        <v>0</v>
      </c>
      <c r="S51" s="156">
        <f t="shared" si="81"/>
        <v>0</v>
      </c>
      <c r="T51" s="161">
        <f t="shared" si="81"/>
        <v>0</v>
      </c>
    </row>
    <row r="52" spans="1:20" s="235" customFormat="1" ht="13.5" customHeight="1">
      <c r="A52" s="132" t="s">
        <v>192</v>
      </c>
      <c r="B52" s="178" t="s">
        <v>150</v>
      </c>
      <c r="C52" s="208">
        <f>SUM(C38:C51)</f>
        <v>17026</v>
      </c>
      <c r="D52" s="212">
        <f t="shared" ref="D52:E52" si="83">SUM(D38:D51)</f>
        <v>17103</v>
      </c>
      <c r="E52" s="213">
        <f t="shared" si="83"/>
        <v>12469</v>
      </c>
      <c r="F52" s="208">
        <f>SUM(F38:F51)</f>
        <v>34528</v>
      </c>
      <c r="G52" s="212">
        <f t="shared" ref="G52" si="84">SUM(G38:G51)</f>
        <v>34773</v>
      </c>
      <c r="H52" s="213">
        <f t="shared" ref="H52" si="85">SUM(H38:H51)</f>
        <v>23808</v>
      </c>
      <c r="I52" s="208">
        <f>SUM(I38:I51)</f>
        <v>17281</v>
      </c>
      <c r="J52" s="212">
        <f t="shared" ref="J52" si="86">SUM(J38:J51)</f>
        <v>17546</v>
      </c>
      <c r="K52" s="213">
        <f t="shared" ref="K52" si="87">SUM(K38:K51)</f>
        <v>14116</v>
      </c>
      <c r="L52" s="208">
        <f>SUM(L38:L51)</f>
        <v>30366</v>
      </c>
      <c r="M52" s="212">
        <f t="shared" ref="M52" si="88">SUM(M38:M51)</f>
        <v>30622</v>
      </c>
      <c r="N52" s="213">
        <f t="shared" ref="N52" si="89">SUM(N38:N51)</f>
        <v>24002</v>
      </c>
      <c r="O52" s="208">
        <f>SUM(O38:O51)</f>
        <v>5770</v>
      </c>
      <c r="P52" s="212">
        <f t="shared" ref="P52" si="90">SUM(P38:P51)</f>
        <v>5874</v>
      </c>
      <c r="Q52" s="213">
        <f t="shared" ref="Q52" si="91">SUM(Q38:Q51)</f>
        <v>4487</v>
      </c>
      <c r="R52" s="208">
        <f>SUM(R38:R51)</f>
        <v>104971</v>
      </c>
      <c r="S52" s="212">
        <f t="shared" ref="S52:T52" si="92">SUM(S38:S51)</f>
        <v>105918</v>
      </c>
      <c r="T52" s="213">
        <f t="shared" si="92"/>
        <v>78882</v>
      </c>
    </row>
    <row r="53" spans="1:20" ht="13.5" customHeight="1">
      <c r="A53" s="129" t="s">
        <v>232</v>
      </c>
      <c r="B53" s="175" t="s">
        <v>233</v>
      </c>
      <c r="C53" s="150">
        <f>+'[5]4.SZ.TÁBL. ÓVODA'!$C52</f>
        <v>0</v>
      </c>
      <c r="D53" s="137">
        <f>+'[4]4.SZ.TÁBL. ÓVODA'!$E52</f>
        <v>0</v>
      </c>
      <c r="E53" s="151"/>
      <c r="F53" s="150">
        <f>+'[5]4.SZ.TÁBL. ÓVODA'!$F52</f>
        <v>0</v>
      </c>
      <c r="G53" s="137">
        <f>+'[4]4.SZ.TÁBL. ÓVODA'!$H52</f>
        <v>0</v>
      </c>
      <c r="H53" s="151"/>
      <c r="I53" s="150">
        <f>+'[5]4.SZ.TÁBL. ÓVODA'!$I52</f>
        <v>0</v>
      </c>
      <c r="J53" s="137">
        <f>+'[4]4.SZ.TÁBL. ÓVODA'!$K52</f>
        <v>0</v>
      </c>
      <c r="K53" s="151"/>
      <c r="L53" s="150">
        <f>+'[5]4.SZ.TÁBL. ÓVODA'!$L52</f>
        <v>0</v>
      </c>
      <c r="M53" s="137">
        <f>+'[4]4.SZ.TÁBL. ÓVODA'!$N52</f>
        <v>0</v>
      </c>
      <c r="N53" s="151"/>
      <c r="O53" s="150">
        <f>+'[5]4.SZ.TÁBL. ÓVODA'!$O52</f>
        <v>0</v>
      </c>
      <c r="P53" s="137">
        <f>+'[4]4.SZ.TÁBL. ÓVODA'!$Q52</f>
        <v>0</v>
      </c>
      <c r="Q53" s="151"/>
      <c r="R53" s="150">
        <f t="shared" si="82"/>
        <v>0</v>
      </c>
      <c r="S53" s="146">
        <f t="shared" ref="S53:S55" si="93">+D53+G53+J53+M53+P53</f>
        <v>0</v>
      </c>
      <c r="T53" s="151">
        <f t="shared" ref="T53:T55" si="94">+E53+H53+K53+N53+Q53</f>
        <v>0</v>
      </c>
    </row>
    <row r="54" spans="1:20" ht="13.5" customHeight="1">
      <c r="A54" s="130" t="s">
        <v>234</v>
      </c>
      <c r="B54" s="176" t="s">
        <v>235</v>
      </c>
      <c r="C54" s="150">
        <f>+'[5]4.SZ.TÁBL. ÓVODA'!$C53</f>
        <v>182</v>
      </c>
      <c r="D54" s="137">
        <f>+'[4]4.SZ.TÁBL. ÓVODA'!$E53</f>
        <v>482</v>
      </c>
      <c r="E54" s="138">
        <v>458</v>
      </c>
      <c r="F54" s="150">
        <f>+'[5]4.SZ.TÁBL. ÓVODA'!$F53</f>
        <v>1022</v>
      </c>
      <c r="G54" s="137">
        <f>+'[4]4.SZ.TÁBL. ÓVODA'!$H53</f>
        <v>1022</v>
      </c>
      <c r="H54" s="138">
        <v>215</v>
      </c>
      <c r="I54" s="150">
        <f>+'[5]4.SZ.TÁBL. ÓVODA'!$I53</f>
        <v>0</v>
      </c>
      <c r="J54" s="137">
        <f>+'[4]4.SZ.TÁBL. ÓVODA'!$K53</f>
        <v>0</v>
      </c>
      <c r="K54" s="138"/>
      <c r="L54" s="150">
        <f>+'[5]4.SZ.TÁBL. ÓVODA'!$L53</f>
        <v>1680</v>
      </c>
      <c r="M54" s="137">
        <f>+'[4]4.SZ.TÁBL. ÓVODA'!$N53</f>
        <v>1680</v>
      </c>
      <c r="N54" s="138">
        <v>152</v>
      </c>
      <c r="O54" s="150">
        <f>+'[5]4.SZ.TÁBL. ÓVODA'!$O53</f>
        <v>0</v>
      </c>
      <c r="P54" s="137">
        <f>+'[4]4.SZ.TÁBL. ÓVODA'!$Q53</f>
        <v>0</v>
      </c>
      <c r="Q54" s="138"/>
      <c r="R54" s="150">
        <f t="shared" si="82"/>
        <v>2884</v>
      </c>
      <c r="S54" s="137">
        <f t="shared" si="93"/>
        <v>3184</v>
      </c>
      <c r="T54" s="138">
        <f t="shared" si="94"/>
        <v>825</v>
      </c>
    </row>
    <row r="55" spans="1:20" ht="13.5" customHeight="1">
      <c r="A55" s="131" t="s">
        <v>236</v>
      </c>
      <c r="B55" s="177" t="s">
        <v>237</v>
      </c>
      <c r="C55" s="150">
        <f>+'[5]4.SZ.TÁBL. ÓVODA'!$C54</f>
        <v>20</v>
      </c>
      <c r="D55" s="137">
        <f>+'[4]4.SZ.TÁBL. ÓVODA'!$E54</f>
        <v>20</v>
      </c>
      <c r="E55" s="161"/>
      <c r="F55" s="150">
        <f>+'[5]4.SZ.TÁBL. ÓVODA'!$F54</f>
        <v>20</v>
      </c>
      <c r="G55" s="137">
        <f>+'[4]4.SZ.TÁBL. ÓVODA'!$H54</f>
        <v>20</v>
      </c>
      <c r="H55" s="161"/>
      <c r="I55" s="150">
        <f>+'[5]4.SZ.TÁBL. ÓVODA'!$I54</f>
        <v>0</v>
      </c>
      <c r="J55" s="137">
        <f>+'[4]4.SZ.TÁBL. ÓVODA'!$K54</f>
        <v>0</v>
      </c>
      <c r="K55" s="161"/>
      <c r="L55" s="150">
        <f>+'[5]4.SZ.TÁBL. ÓVODA'!$L54</f>
        <v>0</v>
      </c>
      <c r="M55" s="137">
        <f>+'[4]4.SZ.TÁBL. ÓVODA'!$N54</f>
        <v>0</v>
      </c>
      <c r="N55" s="161"/>
      <c r="O55" s="150">
        <f>+'[5]4.SZ.TÁBL. ÓVODA'!$O54</f>
        <v>20</v>
      </c>
      <c r="P55" s="137">
        <f>+'[4]4.SZ.TÁBL. ÓVODA'!$Q54</f>
        <v>20</v>
      </c>
      <c r="Q55" s="161">
        <v>13</v>
      </c>
      <c r="R55" s="150">
        <f t="shared" si="82"/>
        <v>60</v>
      </c>
      <c r="S55" s="156">
        <f t="shared" si="93"/>
        <v>60</v>
      </c>
      <c r="T55" s="161">
        <f t="shared" si="94"/>
        <v>13</v>
      </c>
    </row>
    <row r="56" spans="1:20" s="235" customFormat="1" ht="13.5" customHeight="1">
      <c r="A56" s="132" t="s">
        <v>193</v>
      </c>
      <c r="B56" s="178" t="s">
        <v>151</v>
      </c>
      <c r="C56" s="208">
        <f>SUM(C53:C55)</f>
        <v>202</v>
      </c>
      <c r="D56" s="212">
        <f t="shared" ref="D56:E56" si="95">SUM(D53:D55)</f>
        <v>502</v>
      </c>
      <c r="E56" s="213">
        <f t="shared" si="95"/>
        <v>458</v>
      </c>
      <c r="F56" s="208">
        <f>SUM(F53:F55)</f>
        <v>1042</v>
      </c>
      <c r="G56" s="212">
        <f t="shared" ref="G56" si="96">SUM(G53:G55)</f>
        <v>1042</v>
      </c>
      <c r="H56" s="213">
        <f t="shared" ref="H56" si="97">SUM(H53:H55)</f>
        <v>215</v>
      </c>
      <c r="I56" s="208">
        <f>SUM(I53:I55)</f>
        <v>0</v>
      </c>
      <c r="J56" s="212">
        <f t="shared" ref="J56" si="98">SUM(J53:J55)</f>
        <v>0</v>
      </c>
      <c r="K56" s="213">
        <f t="shared" ref="K56" si="99">SUM(K53:K55)</f>
        <v>0</v>
      </c>
      <c r="L56" s="208">
        <f>SUM(L53:L55)</f>
        <v>1680</v>
      </c>
      <c r="M56" s="212">
        <f t="shared" ref="M56" si="100">SUM(M53:M55)</f>
        <v>1680</v>
      </c>
      <c r="N56" s="213">
        <f t="shared" ref="N56" si="101">SUM(N53:N55)</f>
        <v>152</v>
      </c>
      <c r="O56" s="208">
        <f>SUM(O53:O55)</f>
        <v>20</v>
      </c>
      <c r="P56" s="212">
        <f t="shared" ref="P56" si="102">SUM(P53:P55)</f>
        <v>20</v>
      </c>
      <c r="Q56" s="213">
        <f t="shared" ref="Q56" si="103">SUM(Q53:Q55)</f>
        <v>13</v>
      </c>
      <c r="R56" s="208">
        <f>SUM(R53:R55)</f>
        <v>2944</v>
      </c>
      <c r="S56" s="212">
        <f t="shared" ref="S56:T56" si="104">SUM(S53:S55)</f>
        <v>3244</v>
      </c>
      <c r="T56" s="213">
        <f t="shared" si="104"/>
        <v>838</v>
      </c>
    </row>
    <row r="57" spans="1:20" s="235" customFormat="1" ht="13.5" customHeight="1">
      <c r="A57" s="132" t="s">
        <v>194</v>
      </c>
      <c r="B57" s="178" t="s">
        <v>152</v>
      </c>
      <c r="C57" s="208">
        <f>+C52+C56</f>
        <v>17228</v>
      </c>
      <c r="D57" s="212">
        <f t="shared" ref="D57:E57" si="105">+D52+D56</f>
        <v>17605</v>
      </c>
      <c r="E57" s="213">
        <f t="shared" si="105"/>
        <v>12927</v>
      </c>
      <c r="F57" s="208">
        <f>+F52+F56</f>
        <v>35570</v>
      </c>
      <c r="G57" s="212">
        <f t="shared" ref="G57" si="106">+G52+G56</f>
        <v>35815</v>
      </c>
      <c r="H57" s="213">
        <f t="shared" ref="H57" si="107">+H52+H56</f>
        <v>24023</v>
      </c>
      <c r="I57" s="208">
        <f>+I52+I56</f>
        <v>17281</v>
      </c>
      <c r="J57" s="212">
        <f t="shared" ref="J57" si="108">+J52+J56</f>
        <v>17546</v>
      </c>
      <c r="K57" s="213">
        <f t="shared" ref="K57" si="109">+K52+K56</f>
        <v>14116</v>
      </c>
      <c r="L57" s="208">
        <f>+L52+L56</f>
        <v>32046</v>
      </c>
      <c r="M57" s="212">
        <f t="shared" ref="M57" si="110">+M52+M56</f>
        <v>32302</v>
      </c>
      <c r="N57" s="213">
        <f t="shared" ref="N57" si="111">+N52+N56</f>
        <v>24154</v>
      </c>
      <c r="O57" s="208">
        <f>+O52+O56</f>
        <v>5790</v>
      </c>
      <c r="P57" s="212">
        <f t="shared" ref="P57" si="112">+P52+P56</f>
        <v>5894</v>
      </c>
      <c r="Q57" s="213">
        <f t="shared" ref="Q57" si="113">+Q52+Q56</f>
        <v>4500</v>
      </c>
      <c r="R57" s="208">
        <f>+R52+R56</f>
        <v>107915</v>
      </c>
      <c r="S57" s="212">
        <f t="shared" ref="S57:T57" si="114">+S52+S56</f>
        <v>109162</v>
      </c>
      <c r="T57" s="213">
        <f t="shared" si="114"/>
        <v>79720</v>
      </c>
    </row>
    <row r="58" spans="1:20" s="235" customFormat="1" ht="13.5" customHeight="1">
      <c r="A58" s="132" t="s">
        <v>195</v>
      </c>
      <c r="B58" s="178" t="s">
        <v>153</v>
      </c>
      <c r="C58" s="208">
        <f>SUM(C59:C63)</f>
        <v>4817</v>
      </c>
      <c r="D58" s="212">
        <f t="shared" ref="D58:E58" si="115">SUM(D59:D63)</f>
        <v>4911</v>
      </c>
      <c r="E58" s="213">
        <f t="shared" si="115"/>
        <v>3305</v>
      </c>
      <c r="F58" s="208">
        <f>SUM(F59:F63)</f>
        <v>9916</v>
      </c>
      <c r="G58" s="212">
        <f t="shared" ref="G58" si="116">SUM(G59:G63)</f>
        <v>9992</v>
      </c>
      <c r="H58" s="213">
        <f t="shared" ref="H58" si="117">SUM(H59:H63)</f>
        <v>5919</v>
      </c>
      <c r="I58" s="208">
        <f>SUM(I59:I63)</f>
        <v>4817</v>
      </c>
      <c r="J58" s="212">
        <f t="shared" ref="J58" si="118">SUM(J59:J63)</f>
        <v>4869</v>
      </c>
      <c r="K58" s="213">
        <f t="shared" ref="K58" si="119">SUM(K59:K63)</f>
        <v>3650</v>
      </c>
      <c r="L58" s="208">
        <f>SUM(L59:L63)</f>
        <v>8938</v>
      </c>
      <c r="M58" s="212">
        <f t="shared" ref="M58" si="120">SUM(M59:M63)</f>
        <v>9137</v>
      </c>
      <c r="N58" s="213">
        <f t="shared" ref="N58" si="121">SUM(N59:N63)</f>
        <v>6524</v>
      </c>
      <c r="O58" s="208">
        <f>SUM(O59:O63)</f>
        <v>1607</v>
      </c>
      <c r="P58" s="212">
        <f t="shared" ref="P58" si="122">SUM(P59:P63)</f>
        <v>1635</v>
      </c>
      <c r="Q58" s="213">
        <f t="shared" ref="Q58" si="123">SUM(Q59:Q63)</f>
        <v>1167</v>
      </c>
      <c r="R58" s="208">
        <f>SUM(R59:R63)</f>
        <v>30095</v>
      </c>
      <c r="S58" s="212">
        <f t="shared" ref="S58:T58" si="124">SUM(S59:S63)</f>
        <v>30544</v>
      </c>
      <c r="T58" s="213">
        <f t="shared" si="124"/>
        <v>20565</v>
      </c>
    </row>
    <row r="59" spans="1:20" s="202" customFormat="1" ht="13.5" customHeight="1">
      <c r="A59" s="133" t="s">
        <v>195</v>
      </c>
      <c r="B59" s="179" t="s">
        <v>296</v>
      </c>
      <c r="C59" s="150">
        <f>+'[5]4.SZ.TÁBL. ÓVODA'!$C58</f>
        <v>4509</v>
      </c>
      <c r="D59" s="137">
        <f>+'[4]4.SZ.TÁBL. ÓVODA'!$E58</f>
        <v>4598</v>
      </c>
      <c r="E59" s="151">
        <v>3100</v>
      </c>
      <c r="F59" s="150">
        <f>+'[5]4.SZ.TÁBL. ÓVODA'!$F58</f>
        <v>9301</v>
      </c>
      <c r="G59" s="137">
        <f>+'[4]4.SZ.TÁBL. ÓVODA'!$H58</f>
        <v>9377</v>
      </c>
      <c r="H59" s="151">
        <v>5485</v>
      </c>
      <c r="I59" s="150">
        <f>+'[5]4.SZ.TÁBL. ÓVODA'!$I58</f>
        <v>4542</v>
      </c>
      <c r="J59" s="137">
        <f>+'[4]4.SZ.TÁBL. ÓVODA'!$K58</f>
        <v>4587</v>
      </c>
      <c r="K59" s="151">
        <v>3450</v>
      </c>
      <c r="L59" s="150">
        <f>+'[5]4.SZ.TÁBL. ÓVODA'!$L58</f>
        <v>8388</v>
      </c>
      <c r="M59" s="137">
        <f>+'[4]4.SZ.TÁBL. ÓVODA'!$N58</f>
        <v>8463</v>
      </c>
      <c r="N59" s="151">
        <v>5918</v>
      </c>
      <c r="O59" s="150">
        <f>+'[5]4.SZ.TÁBL. ÓVODA'!$O58</f>
        <v>1515</v>
      </c>
      <c r="P59" s="137">
        <f>+'[4]4.SZ.TÁBL. ÓVODA'!$Q58</f>
        <v>1543</v>
      </c>
      <c r="Q59" s="151">
        <v>1104</v>
      </c>
      <c r="R59" s="223">
        <f t="shared" ref="R59:R88" si="125">+C59+F59+I59+L59+O59</f>
        <v>28255</v>
      </c>
      <c r="S59" s="224">
        <f t="shared" ref="S59:S66" si="126">+D59+G59+J59+M59+P59</f>
        <v>28568</v>
      </c>
      <c r="T59" s="225">
        <f t="shared" ref="T59:T66" si="127">+E59+H59+K59+N59+Q59</f>
        <v>19057</v>
      </c>
    </row>
    <row r="60" spans="1:20" s="202" customFormat="1" ht="13.5" customHeight="1">
      <c r="A60" s="134" t="s">
        <v>195</v>
      </c>
      <c r="B60" s="180" t="s">
        <v>297</v>
      </c>
      <c r="C60" s="150">
        <f>+'[5]4.SZ.TÁBL. ÓVODA'!$C59</f>
        <v>159</v>
      </c>
      <c r="D60" s="137">
        <f>+'[4]4.SZ.TÁBL. ÓVODA'!$E59</f>
        <v>159</v>
      </c>
      <c r="E60" s="138">
        <v>120</v>
      </c>
      <c r="F60" s="150">
        <f>+'[5]4.SZ.TÁBL. ÓVODA'!$F59</f>
        <v>322</v>
      </c>
      <c r="G60" s="137">
        <f>+'[4]4.SZ.TÁBL. ÓVODA'!$H59</f>
        <v>322</v>
      </c>
      <c r="H60" s="138">
        <v>243</v>
      </c>
      <c r="I60" s="150">
        <f>+'[5]4.SZ.TÁBL. ÓVODA'!$I59</f>
        <v>146</v>
      </c>
      <c r="J60" s="137">
        <f>+'[4]4.SZ.TÁBL. ÓVODA'!$K59</f>
        <v>146</v>
      </c>
      <c r="K60" s="138">
        <v>108</v>
      </c>
      <c r="L60" s="150">
        <f>+'[5]4.SZ.TÁBL. ÓVODA'!$L59</f>
        <v>293</v>
      </c>
      <c r="M60" s="137">
        <f>+'[4]4.SZ.TÁBL. ÓVODA'!$N59</f>
        <v>293</v>
      </c>
      <c r="N60" s="138">
        <v>220</v>
      </c>
      <c r="O60" s="150">
        <f>+'[5]4.SZ.TÁBL. ÓVODA'!$O59</f>
        <v>44</v>
      </c>
      <c r="P60" s="137">
        <f>+'[4]4.SZ.TÁBL. ÓVODA'!$Q59</f>
        <v>44</v>
      </c>
      <c r="Q60" s="138">
        <v>33</v>
      </c>
      <c r="R60" s="223">
        <f t="shared" si="125"/>
        <v>964</v>
      </c>
      <c r="S60" s="198">
        <f t="shared" si="126"/>
        <v>964</v>
      </c>
      <c r="T60" s="201">
        <f t="shared" si="127"/>
        <v>724</v>
      </c>
    </row>
    <row r="61" spans="1:20" s="202" customFormat="1" ht="13.5" customHeight="1">
      <c r="A61" s="134" t="s">
        <v>195</v>
      </c>
      <c r="B61" s="180" t="s">
        <v>298</v>
      </c>
      <c r="C61" s="150">
        <f>+'[5]4.SZ.TÁBL. ÓVODA'!$C60</f>
        <v>71</v>
      </c>
      <c r="D61" s="137">
        <f>+'[4]4.SZ.TÁBL. ÓVODA'!$E60</f>
        <v>71</v>
      </c>
      <c r="E61" s="138">
        <v>37</v>
      </c>
      <c r="F61" s="150">
        <f>+'[5]4.SZ.TÁBL. ÓVODA'!$F60</f>
        <v>138</v>
      </c>
      <c r="G61" s="137">
        <f>+'[4]4.SZ.TÁBL. ÓVODA'!$H60</f>
        <v>138</v>
      </c>
      <c r="H61" s="138">
        <v>83</v>
      </c>
      <c r="I61" s="150">
        <f>+'[5]4.SZ.TÁBL. ÓVODA'!$I60</f>
        <v>60</v>
      </c>
      <c r="J61" s="137">
        <f>+'[4]4.SZ.TÁBL. ÓVODA'!$K60</f>
        <v>60</v>
      </c>
      <c r="K61" s="138">
        <v>40</v>
      </c>
      <c r="L61" s="150">
        <f>+'[5]4.SZ.TÁBL. ÓVODA'!$L60</f>
        <v>120</v>
      </c>
      <c r="M61" s="137">
        <f>+'[4]4.SZ.TÁBL. ÓVODA'!$N60</f>
        <v>120</v>
      </c>
      <c r="N61" s="138">
        <v>79</v>
      </c>
      <c r="O61" s="150">
        <f>+'[5]4.SZ.TÁBL. ÓVODA'!$O60</f>
        <v>24</v>
      </c>
      <c r="P61" s="137">
        <f>+'[4]4.SZ.TÁBL. ÓVODA'!$Q60</f>
        <v>24</v>
      </c>
      <c r="Q61" s="138">
        <v>12</v>
      </c>
      <c r="R61" s="223">
        <f t="shared" si="125"/>
        <v>413</v>
      </c>
      <c r="S61" s="198">
        <f t="shared" si="126"/>
        <v>413</v>
      </c>
      <c r="T61" s="201">
        <f t="shared" si="127"/>
        <v>251</v>
      </c>
    </row>
    <row r="62" spans="1:20" s="202" customFormat="1" ht="13.5" customHeight="1">
      <c r="A62" s="134" t="s">
        <v>195</v>
      </c>
      <c r="B62" s="107" t="s">
        <v>429</v>
      </c>
      <c r="C62" s="150">
        <f>+'[5]4.SZ.TÁBL. ÓVODA'!$C61</f>
        <v>0</v>
      </c>
      <c r="D62" s="137">
        <f>+'[4]4.SZ.TÁBL. ÓVODA'!$E61</f>
        <v>5</v>
      </c>
      <c r="E62" s="138">
        <v>6</v>
      </c>
      <c r="F62" s="150">
        <f>+'[5]4.SZ.TÁBL. ÓVODA'!$F61</f>
        <v>0</v>
      </c>
      <c r="G62" s="137">
        <f>+'[4]4.SZ.TÁBL. ÓVODA'!$H61</f>
        <v>0</v>
      </c>
      <c r="H62" s="138">
        <v>14</v>
      </c>
      <c r="I62" s="150">
        <f>+'[5]4.SZ.TÁBL. ÓVODA'!$I61</f>
        <v>0</v>
      </c>
      <c r="J62" s="137">
        <f>+'[4]4.SZ.TÁBL. ÓVODA'!$K61</f>
        <v>7</v>
      </c>
      <c r="K62" s="138">
        <v>6</v>
      </c>
      <c r="L62" s="150">
        <f>+'[5]4.SZ.TÁBL. ÓVODA'!$L61</f>
        <v>0</v>
      </c>
      <c r="M62" s="137">
        <f>+'[4]4.SZ.TÁBL. ÓVODA'!$N61</f>
        <v>124</v>
      </c>
      <c r="N62" s="138">
        <v>216</v>
      </c>
      <c r="O62" s="150">
        <f>+'[5]4.SZ.TÁBL. ÓVODA'!$O61</f>
        <v>0</v>
      </c>
      <c r="P62" s="137">
        <f>+'[4]4.SZ.TÁBL. ÓVODA'!$Q61</f>
        <v>0</v>
      </c>
      <c r="Q62" s="138">
        <v>4</v>
      </c>
      <c r="R62" s="223">
        <f t="shared" si="125"/>
        <v>0</v>
      </c>
      <c r="S62" s="198">
        <f t="shared" si="126"/>
        <v>136</v>
      </c>
      <c r="T62" s="201">
        <f t="shared" si="127"/>
        <v>246</v>
      </c>
    </row>
    <row r="63" spans="1:20" s="202" customFormat="1" ht="13.5" customHeight="1">
      <c r="A63" s="134" t="s">
        <v>195</v>
      </c>
      <c r="B63" s="180" t="s">
        <v>299</v>
      </c>
      <c r="C63" s="150">
        <f>+'[5]4.SZ.TÁBL. ÓVODA'!$C62</f>
        <v>78</v>
      </c>
      <c r="D63" s="137">
        <f>+'[4]4.SZ.TÁBL. ÓVODA'!$E62</f>
        <v>78</v>
      </c>
      <c r="E63" s="138">
        <v>42</v>
      </c>
      <c r="F63" s="150">
        <f>+'[5]4.SZ.TÁBL. ÓVODA'!$F62</f>
        <v>155</v>
      </c>
      <c r="G63" s="137">
        <f>+'[4]4.SZ.TÁBL. ÓVODA'!$H62</f>
        <v>155</v>
      </c>
      <c r="H63" s="138">
        <v>94</v>
      </c>
      <c r="I63" s="150">
        <f>+'[5]4.SZ.TÁBL. ÓVODA'!$I62</f>
        <v>69</v>
      </c>
      <c r="J63" s="137">
        <f>+'[4]4.SZ.TÁBL. ÓVODA'!$K62</f>
        <v>69</v>
      </c>
      <c r="K63" s="138">
        <v>46</v>
      </c>
      <c r="L63" s="150">
        <f>+'[5]4.SZ.TÁBL. ÓVODA'!$L62</f>
        <v>137</v>
      </c>
      <c r="M63" s="137">
        <f>+'[4]4.SZ.TÁBL. ÓVODA'!$N62</f>
        <v>137</v>
      </c>
      <c r="N63" s="138">
        <v>91</v>
      </c>
      <c r="O63" s="150">
        <f>+'[5]4.SZ.TÁBL. ÓVODA'!$O62</f>
        <v>24</v>
      </c>
      <c r="P63" s="137">
        <f>+'[4]4.SZ.TÁBL. ÓVODA'!$Q62</f>
        <v>24</v>
      </c>
      <c r="Q63" s="138">
        <v>14</v>
      </c>
      <c r="R63" s="223">
        <f t="shared" si="125"/>
        <v>463</v>
      </c>
      <c r="S63" s="198">
        <f t="shared" si="126"/>
        <v>463</v>
      </c>
      <c r="T63" s="201">
        <f t="shared" si="127"/>
        <v>287</v>
      </c>
    </row>
    <row r="64" spans="1:20" ht="13.5" customHeight="1">
      <c r="A64" s="129" t="s">
        <v>238</v>
      </c>
      <c r="B64" s="175" t="s">
        <v>239</v>
      </c>
      <c r="C64" s="150">
        <f>+'[5]4.SZ.TÁBL. ÓVODA'!$C63</f>
        <v>291</v>
      </c>
      <c r="D64" s="137">
        <f>+'[4]4.SZ.TÁBL. ÓVODA'!$E63</f>
        <v>291</v>
      </c>
      <c r="E64" s="151">
        <v>48</v>
      </c>
      <c r="F64" s="150">
        <f>+'[5]4.SZ.TÁBL. ÓVODA'!$F63</f>
        <v>531</v>
      </c>
      <c r="G64" s="137">
        <f>+'[4]4.SZ.TÁBL. ÓVODA'!$H63</f>
        <v>531</v>
      </c>
      <c r="H64" s="151">
        <v>180</v>
      </c>
      <c r="I64" s="150">
        <f>+'[5]4.SZ.TÁBL. ÓVODA'!$I63</f>
        <v>0</v>
      </c>
      <c r="J64" s="137">
        <f>+'[4]4.SZ.TÁBL. ÓVODA'!$K63</f>
        <v>0</v>
      </c>
      <c r="K64" s="151"/>
      <c r="L64" s="150">
        <f>+'[5]4.SZ.TÁBL. ÓVODA'!$L63</f>
        <v>0</v>
      </c>
      <c r="M64" s="137">
        <f>+'[4]4.SZ.TÁBL. ÓVODA'!$N63</f>
        <v>0</v>
      </c>
      <c r="N64" s="151"/>
      <c r="O64" s="150">
        <f>+'[5]4.SZ.TÁBL. ÓVODA'!$O63</f>
        <v>92</v>
      </c>
      <c r="P64" s="137">
        <f>+'[4]4.SZ.TÁBL. ÓVODA'!$Q63</f>
        <v>94</v>
      </c>
      <c r="Q64" s="151">
        <v>48</v>
      </c>
      <c r="R64" s="150">
        <f t="shared" si="125"/>
        <v>914</v>
      </c>
      <c r="S64" s="146">
        <f t="shared" si="126"/>
        <v>916</v>
      </c>
      <c r="T64" s="151">
        <f t="shared" si="127"/>
        <v>276</v>
      </c>
    </row>
    <row r="65" spans="1:20" ht="13.5" customHeight="1">
      <c r="A65" s="130" t="s">
        <v>240</v>
      </c>
      <c r="B65" s="176" t="s">
        <v>241</v>
      </c>
      <c r="C65" s="150">
        <f>+'[5]4.SZ.TÁBL. ÓVODA'!$C64</f>
        <v>290</v>
      </c>
      <c r="D65" s="137">
        <f>+'[4]4.SZ.TÁBL. ÓVODA'!$E64</f>
        <v>290</v>
      </c>
      <c r="E65" s="138">
        <v>68</v>
      </c>
      <c r="F65" s="150">
        <f>+'[5]4.SZ.TÁBL. ÓVODA'!$F64</f>
        <v>441</v>
      </c>
      <c r="G65" s="137">
        <f>+'[4]4.SZ.TÁBL. ÓVODA'!$H64</f>
        <v>481</v>
      </c>
      <c r="H65" s="138">
        <v>220</v>
      </c>
      <c r="I65" s="150">
        <f>+'[5]4.SZ.TÁBL. ÓVODA'!$I64</f>
        <v>0</v>
      </c>
      <c r="J65" s="137">
        <f>+'[4]4.SZ.TÁBL. ÓVODA'!$K64</f>
        <v>0</v>
      </c>
      <c r="K65" s="138"/>
      <c r="L65" s="150">
        <f>+'[5]4.SZ.TÁBL. ÓVODA'!$L64</f>
        <v>0</v>
      </c>
      <c r="M65" s="137">
        <f>+'[4]4.SZ.TÁBL. ÓVODA'!$N64</f>
        <v>0</v>
      </c>
      <c r="N65" s="138"/>
      <c r="O65" s="150">
        <f>+'[5]4.SZ.TÁBL. ÓVODA'!$O64</f>
        <v>240</v>
      </c>
      <c r="P65" s="137">
        <f>+'[4]4.SZ.TÁBL. ÓVODA'!$Q64</f>
        <v>240</v>
      </c>
      <c r="Q65" s="138">
        <v>83</v>
      </c>
      <c r="R65" s="143">
        <f t="shared" si="125"/>
        <v>971</v>
      </c>
      <c r="S65" s="137">
        <f t="shared" si="126"/>
        <v>1011</v>
      </c>
      <c r="T65" s="138">
        <f t="shared" si="127"/>
        <v>371</v>
      </c>
    </row>
    <row r="66" spans="1:20" ht="13.5" customHeight="1">
      <c r="A66" s="131" t="s">
        <v>242</v>
      </c>
      <c r="B66" s="177" t="s">
        <v>243</v>
      </c>
      <c r="C66" s="150">
        <f>+'[5]4.SZ.TÁBL. ÓVODA'!$C65</f>
        <v>0</v>
      </c>
      <c r="D66" s="137">
        <f>+'[4]4.SZ.TÁBL. ÓVODA'!$E65</f>
        <v>0</v>
      </c>
      <c r="E66" s="161"/>
      <c r="F66" s="150">
        <f>+'[5]4.SZ.TÁBL. ÓVODA'!$F65</f>
        <v>0</v>
      </c>
      <c r="G66" s="137">
        <f>+'[4]4.SZ.TÁBL. ÓVODA'!$H65</f>
        <v>0</v>
      </c>
      <c r="H66" s="161"/>
      <c r="I66" s="150">
        <f>+'[5]4.SZ.TÁBL. ÓVODA'!$I65</f>
        <v>0</v>
      </c>
      <c r="J66" s="137">
        <f>+'[4]4.SZ.TÁBL. ÓVODA'!$K65</f>
        <v>0</v>
      </c>
      <c r="K66" s="161"/>
      <c r="L66" s="150">
        <f>+'[5]4.SZ.TÁBL. ÓVODA'!$L65</f>
        <v>0</v>
      </c>
      <c r="M66" s="137">
        <f>+'[4]4.SZ.TÁBL. ÓVODA'!$N65</f>
        <v>0</v>
      </c>
      <c r="N66" s="161"/>
      <c r="O66" s="150">
        <f>+'[5]4.SZ.TÁBL. ÓVODA'!$O65</f>
        <v>0</v>
      </c>
      <c r="P66" s="137">
        <f>+'[4]4.SZ.TÁBL. ÓVODA'!$Q65</f>
        <v>0</v>
      </c>
      <c r="Q66" s="161"/>
      <c r="R66" s="160">
        <f t="shared" si="125"/>
        <v>0</v>
      </c>
      <c r="S66" s="156">
        <f t="shared" si="126"/>
        <v>0</v>
      </c>
      <c r="T66" s="161">
        <f t="shared" si="127"/>
        <v>0</v>
      </c>
    </row>
    <row r="67" spans="1:20" s="235" customFormat="1" ht="13.5" customHeight="1">
      <c r="A67" s="132" t="s">
        <v>196</v>
      </c>
      <c r="B67" s="178" t="s">
        <v>154</v>
      </c>
      <c r="C67" s="208">
        <f>SUM(C64:C66)</f>
        <v>581</v>
      </c>
      <c r="D67" s="212">
        <f>SUM(D64:D66)</f>
        <v>581</v>
      </c>
      <c r="E67" s="213">
        <f>SUM(E64:E66)</f>
        <v>116</v>
      </c>
      <c r="F67" s="208">
        <f>SUM(F64:F66)</f>
        <v>972</v>
      </c>
      <c r="G67" s="212">
        <f>SUM(G64:G66)</f>
        <v>1012</v>
      </c>
      <c r="H67" s="213">
        <f t="shared" ref="H67" si="128">SUM(H64:H66)</f>
        <v>400</v>
      </c>
      <c r="I67" s="208">
        <f>SUM(I64:I66)</f>
        <v>0</v>
      </c>
      <c r="J67" s="212">
        <f>SUM(J64:J66)</f>
        <v>0</v>
      </c>
      <c r="K67" s="213">
        <f t="shared" ref="K67" si="129">SUM(K64:K66)</f>
        <v>0</v>
      </c>
      <c r="L67" s="208">
        <f>SUM(L64:L66)</f>
        <v>0</v>
      </c>
      <c r="M67" s="212">
        <f>SUM(M64:M66)</f>
        <v>0</v>
      </c>
      <c r="N67" s="213">
        <f t="shared" ref="N67" si="130">SUM(N64:N66)</f>
        <v>0</v>
      </c>
      <c r="O67" s="208">
        <f>SUM(O64:O66)</f>
        <v>332</v>
      </c>
      <c r="P67" s="212">
        <f>SUM(P64:P66)</f>
        <v>334</v>
      </c>
      <c r="Q67" s="213">
        <f t="shared" ref="Q67" si="131">SUM(Q64:Q66)</f>
        <v>131</v>
      </c>
      <c r="R67" s="208">
        <f>SUM(R64:R66)</f>
        <v>1885</v>
      </c>
      <c r="S67" s="212">
        <f t="shared" ref="S67:T67" si="132">SUM(S64:S66)</f>
        <v>1927</v>
      </c>
      <c r="T67" s="213">
        <f t="shared" si="132"/>
        <v>647</v>
      </c>
    </row>
    <row r="68" spans="1:20" ht="13.5" customHeight="1">
      <c r="A68" s="129" t="s">
        <v>244</v>
      </c>
      <c r="B68" s="175" t="s">
        <v>245</v>
      </c>
      <c r="C68" s="150">
        <f>+'[5]4.SZ.TÁBL. ÓVODA'!$C67</f>
        <v>0</v>
      </c>
      <c r="D68" s="137">
        <f>+'[4]4.SZ.TÁBL. ÓVODA'!$E67</f>
        <v>0</v>
      </c>
      <c r="E68" s="151"/>
      <c r="F68" s="150">
        <f>+'[5]4.SZ.TÁBL. ÓVODA'!$F67</f>
        <v>0</v>
      </c>
      <c r="G68" s="137">
        <f>+'[4]4.SZ.TÁBL. ÓVODA'!$H67</f>
        <v>0</v>
      </c>
      <c r="H68" s="151"/>
      <c r="I68" s="150">
        <f>+'[5]4.SZ.TÁBL. ÓVODA'!$I67</f>
        <v>0</v>
      </c>
      <c r="J68" s="137">
        <f>+'[4]4.SZ.TÁBL. ÓVODA'!$K67</f>
        <v>0</v>
      </c>
      <c r="K68" s="151"/>
      <c r="L68" s="150">
        <f>+'[5]4.SZ.TÁBL. ÓVODA'!$L67</f>
        <v>0</v>
      </c>
      <c r="M68" s="137">
        <f>+'[4]4.SZ.TÁBL. ÓVODA'!$N67</f>
        <v>0</v>
      </c>
      <c r="N68" s="151"/>
      <c r="O68" s="150">
        <f>+'[5]4.SZ.TÁBL. ÓVODA'!$O67</f>
        <v>180</v>
      </c>
      <c r="P68" s="137">
        <f>+'[4]4.SZ.TÁBL. ÓVODA'!$Q67</f>
        <v>180</v>
      </c>
      <c r="Q68" s="151">
        <v>135</v>
      </c>
      <c r="R68" s="150">
        <f t="shared" si="125"/>
        <v>180</v>
      </c>
      <c r="S68" s="146">
        <f t="shared" ref="S68:S69" si="133">+D68+G68+J68+M68+P68</f>
        <v>180</v>
      </c>
      <c r="T68" s="151">
        <f t="shared" ref="T68:T69" si="134">+E68+H68+K68+N68+Q68</f>
        <v>135</v>
      </c>
    </row>
    <row r="69" spans="1:20" ht="13.5" customHeight="1">
      <c r="A69" s="131" t="s">
        <v>246</v>
      </c>
      <c r="B69" s="177" t="s">
        <v>247</v>
      </c>
      <c r="C69" s="150">
        <f>+'[5]4.SZ.TÁBL. ÓVODA'!$C68</f>
        <v>150</v>
      </c>
      <c r="D69" s="137">
        <f>+'[4]4.SZ.TÁBL. ÓVODA'!$E68</f>
        <v>150</v>
      </c>
      <c r="E69" s="161">
        <v>134</v>
      </c>
      <c r="F69" s="150">
        <f>+'[5]4.SZ.TÁBL. ÓVODA'!$F68</f>
        <v>140</v>
      </c>
      <c r="G69" s="137">
        <f>+'[4]4.SZ.TÁBL. ÓVODA'!$H68</f>
        <v>140</v>
      </c>
      <c r="H69" s="161">
        <v>95</v>
      </c>
      <c r="I69" s="150">
        <f>+'[5]4.SZ.TÁBL. ÓVODA'!$I68</f>
        <v>40</v>
      </c>
      <c r="J69" s="137">
        <f>+'[4]4.SZ.TÁBL. ÓVODA'!$K68</f>
        <v>40</v>
      </c>
      <c r="K69" s="161">
        <v>26</v>
      </c>
      <c r="L69" s="150">
        <f>+'[5]4.SZ.TÁBL. ÓVODA'!$L68</f>
        <v>40</v>
      </c>
      <c r="M69" s="137">
        <f>+'[4]4.SZ.TÁBL. ÓVODA'!$N68</f>
        <v>40</v>
      </c>
      <c r="N69" s="161">
        <v>25</v>
      </c>
      <c r="O69" s="150">
        <f>+'[5]4.SZ.TÁBL. ÓVODA'!$O68</f>
        <v>50</v>
      </c>
      <c r="P69" s="137">
        <f>+'[4]4.SZ.TÁBL. ÓVODA'!$Q68</f>
        <v>50</v>
      </c>
      <c r="Q69" s="161">
        <v>41</v>
      </c>
      <c r="R69" s="160">
        <f t="shared" si="125"/>
        <v>420</v>
      </c>
      <c r="S69" s="156">
        <f t="shared" si="133"/>
        <v>420</v>
      </c>
      <c r="T69" s="161">
        <f t="shared" si="134"/>
        <v>321</v>
      </c>
    </row>
    <row r="70" spans="1:20" s="235" customFormat="1" ht="13.5" customHeight="1">
      <c r="A70" s="132" t="s">
        <v>197</v>
      </c>
      <c r="B70" s="178" t="s">
        <v>155</v>
      </c>
      <c r="C70" s="208">
        <f>SUM(C68:C69)</f>
        <v>150</v>
      </c>
      <c r="D70" s="212">
        <f t="shared" ref="D70:E70" si="135">SUM(D68:D69)</f>
        <v>150</v>
      </c>
      <c r="E70" s="213">
        <f t="shared" si="135"/>
        <v>134</v>
      </c>
      <c r="F70" s="208">
        <f>SUM(F68:F69)</f>
        <v>140</v>
      </c>
      <c r="G70" s="212">
        <f t="shared" ref="G70" si="136">SUM(G68:G69)</f>
        <v>140</v>
      </c>
      <c r="H70" s="213">
        <f t="shared" ref="H70" si="137">SUM(H68:H69)</f>
        <v>95</v>
      </c>
      <c r="I70" s="208">
        <f>SUM(I68:I69)</f>
        <v>40</v>
      </c>
      <c r="J70" s="212">
        <f t="shared" ref="J70" si="138">SUM(J68:J69)</f>
        <v>40</v>
      </c>
      <c r="K70" s="213">
        <f t="shared" ref="K70" si="139">SUM(K68:K69)</f>
        <v>26</v>
      </c>
      <c r="L70" s="208">
        <f>SUM(L68:L69)</f>
        <v>40</v>
      </c>
      <c r="M70" s="212">
        <f t="shared" ref="M70" si="140">SUM(M68:M69)</f>
        <v>40</v>
      </c>
      <c r="N70" s="213">
        <f t="shared" ref="N70" si="141">SUM(N68:N69)</f>
        <v>25</v>
      </c>
      <c r="O70" s="208">
        <f>SUM(O68:O69)</f>
        <v>230</v>
      </c>
      <c r="P70" s="212">
        <f t="shared" ref="P70" si="142">SUM(P68:P69)</f>
        <v>230</v>
      </c>
      <c r="Q70" s="213">
        <f t="shared" ref="Q70" si="143">SUM(Q68:Q69)</f>
        <v>176</v>
      </c>
      <c r="R70" s="208">
        <f>SUM(R68:R69)</f>
        <v>600</v>
      </c>
      <c r="S70" s="212">
        <f t="shared" ref="S70:T70" si="144">SUM(S68:S69)</f>
        <v>600</v>
      </c>
      <c r="T70" s="213">
        <f t="shared" si="144"/>
        <v>456</v>
      </c>
    </row>
    <row r="71" spans="1:20" ht="13.5" customHeight="1">
      <c r="A71" s="129" t="s">
        <v>248</v>
      </c>
      <c r="B71" s="175" t="s">
        <v>249</v>
      </c>
      <c r="C71" s="150">
        <f>+'[5]4.SZ.TÁBL. ÓVODA'!$C70</f>
        <v>865</v>
      </c>
      <c r="D71" s="137">
        <f>+'[4]4.SZ.TÁBL. ÓVODA'!$E70</f>
        <v>865</v>
      </c>
      <c r="E71" s="151">
        <v>499</v>
      </c>
      <c r="F71" s="150">
        <f>+'[5]4.SZ.TÁBL. ÓVODA'!$F70</f>
        <v>2300</v>
      </c>
      <c r="G71" s="137">
        <f>+'[4]4.SZ.TÁBL. ÓVODA'!$H70</f>
        <v>2401</v>
      </c>
      <c r="H71" s="151">
        <v>1613</v>
      </c>
      <c r="I71" s="150">
        <f>+'[5]4.SZ.TÁBL. ÓVODA'!$I70</f>
        <v>0</v>
      </c>
      <c r="J71" s="137">
        <f>+'[4]4.SZ.TÁBL. ÓVODA'!$K70</f>
        <v>0</v>
      </c>
      <c r="K71" s="151"/>
      <c r="L71" s="150">
        <f>+'[5]4.SZ.TÁBL. ÓVODA'!$L70</f>
        <v>0</v>
      </c>
      <c r="M71" s="137">
        <f>+'[4]4.SZ.TÁBL. ÓVODA'!$N70</f>
        <v>0</v>
      </c>
      <c r="N71" s="151"/>
      <c r="O71" s="150">
        <f>+'[5]4.SZ.TÁBL. ÓVODA'!$O70</f>
        <v>0</v>
      </c>
      <c r="P71" s="137">
        <f>+'[4]4.SZ.TÁBL. ÓVODA'!$Q70</f>
        <v>0</v>
      </c>
      <c r="Q71" s="151"/>
      <c r="R71" s="150">
        <f t="shared" si="125"/>
        <v>3165</v>
      </c>
      <c r="S71" s="146">
        <f t="shared" ref="S71:S74" si="145">+D71+G71+J71+M71+P71</f>
        <v>3266</v>
      </c>
      <c r="T71" s="151">
        <f t="shared" ref="T71:T74" si="146">+E71+H71+K71+N71+Q71</f>
        <v>2112</v>
      </c>
    </row>
    <row r="72" spans="1:20" ht="13.5" customHeight="1">
      <c r="A72" s="130" t="s">
        <v>250</v>
      </c>
      <c r="B72" s="176" t="s">
        <v>3</v>
      </c>
      <c r="C72" s="150">
        <f>+'[5]4.SZ.TÁBL. ÓVODA'!$C71</f>
        <v>6230</v>
      </c>
      <c r="D72" s="137">
        <f>+'[4]4.SZ.TÁBL. ÓVODA'!$E71</f>
        <v>6230</v>
      </c>
      <c r="E72" s="138">
        <v>2938</v>
      </c>
      <c r="F72" s="150">
        <f>+'[5]4.SZ.TÁBL. ÓVODA'!$F71</f>
        <v>0</v>
      </c>
      <c r="G72" s="137">
        <f>+'[4]4.SZ.TÁBL. ÓVODA'!$H71</f>
        <v>0</v>
      </c>
      <c r="H72" s="138"/>
      <c r="I72" s="150">
        <f>+'[5]4.SZ.TÁBL. ÓVODA'!$I71</f>
        <v>0</v>
      </c>
      <c r="J72" s="137">
        <f>+'[4]4.SZ.TÁBL. ÓVODA'!$K71</f>
        <v>0</v>
      </c>
      <c r="K72" s="138"/>
      <c r="L72" s="150">
        <f>+'[5]4.SZ.TÁBL. ÓVODA'!$L71</f>
        <v>0</v>
      </c>
      <c r="M72" s="137">
        <f>+'[4]4.SZ.TÁBL. ÓVODA'!$N71</f>
        <v>0</v>
      </c>
      <c r="N72" s="138"/>
      <c r="O72" s="150">
        <f>+'[5]4.SZ.TÁBL. ÓVODA'!$O71</f>
        <v>0</v>
      </c>
      <c r="P72" s="137">
        <f>+'[4]4.SZ.TÁBL. ÓVODA'!$Q71</f>
        <v>0</v>
      </c>
      <c r="Q72" s="138"/>
      <c r="R72" s="143">
        <f t="shared" si="125"/>
        <v>6230</v>
      </c>
      <c r="S72" s="137">
        <f t="shared" si="145"/>
        <v>6230</v>
      </c>
      <c r="T72" s="138">
        <f t="shared" si="146"/>
        <v>2938</v>
      </c>
    </row>
    <row r="73" spans="1:20" ht="13.5" customHeight="1">
      <c r="A73" s="130" t="s">
        <v>251</v>
      </c>
      <c r="B73" s="176" t="s">
        <v>252</v>
      </c>
      <c r="C73" s="150">
        <f>+'[5]4.SZ.TÁBL. ÓVODA'!$C72</f>
        <v>0</v>
      </c>
      <c r="D73" s="137">
        <f>+'[4]4.SZ.TÁBL. ÓVODA'!$E72</f>
        <v>0</v>
      </c>
      <c r="E73" s="138"/>
      <c r="F73" s="150">
        <f>+'[5]4.SZ.TÁBL. ÓVODA'!$F72</f>
        <v>0</v>
      </c>
      <c r="G73" s="137">
        <f>+'[4]4.SZ.TÁBL. ÓVODA'!$H72</f>
        <v>0</v>
      </c>
      <c r="H73" s="138"/>
      <c r="I73" s="150">
        <f>+'[5]4.SZ.TÁBL. ÓVODA'!$I72</f>
        <v>0</v>
      </c>
      <c r="J73" s="137">
        <f>+'[4]4.SZ.TÁBL. ÓVODA'!$K72</f>
        <v>0</v>
      </c>
      <c r="K73" s="138"/>
      <c r="L73" s="150">
        <f>+'[5]4.SZ.TÁBL. ÓVODA'!$L72</f>
        <v>0</v>
      </c>
      <c r="M73" s="137">
        <f>+'[4]4.SZ.TÁBL. ÓVODA'!$N72</f>
        <v>0</v>
      </c>
      <c r="N73" s="138"/>
      <c r="O73" s="150">
        <f>+'[5]4.SZ.TÁBL. ÓVODA'!$O72</f>
        <v>0</v>
      </c>
      <c r="P73" s="137">
        <f>+'[4]4.SZ.TÁBL. ÓVODA'!$Q72</f>
        <v>0</v>
      </c>
      <c r="Q73" s="138"/>
      <c r="R73" s="143">
        <f t="shared" si="125"/>
        <v>0</v>
      </c>
      <c r="S73" s="137">
        <f t="shared" si="145"/>
        <v>0</v>
      </c>
      <c r="T73" s="138">
        <f t="shared" si="146"/>
        <v>0</v>
      </c>
    </row>
    <row r="74" spans="1:20" ht="13.5" customHeight="1">
      <c r="A74" s="130" t="s">
        <v>253</v>
      </c>
      <c r="B74" s="176" t="s">
        <v>254</v>
      </c>
      <c r="C74" s="150">
        <f>+'[5]4.SZ.TÁBL. ÓVODA'!$C73</f>
        <v>250</v>
      </c>
      <c r="D74" s="137">
        <f>+'[4]4.SZ.TÁBL. ÓVODA'!$E73</f>
        <v>250</v>
      </c>
      <c r="E74" s="138">
        <v>62</v>
      </c>
      <c r="F74" s="150">
        <f>+'[5]4.SZ.TÁBL. ÓVODA'!$F73</f>
        <v>643</v>
      </c>
      <c r="G74" s="137">
        <f>+'[4]4.SZ.TÁBL. ÓVODA'!$H73</f>
        <v>273</v>
      </c>
      <c r="H74" s="138">
        <v>31</v>
      </c>
      <c r="I74" s="150">
        <f>+'[5]4.SZ.TÁBL. ÓVODA'!$I73</f>
        <v>0</v>
      </c>
      <c r="J74" s="137">
        <f>+'[4]4.SZ.TÁBL. ÓVODA'!$K73</f>
        <v>0</v>
      </c>
      <c r="K74" s="138"/>
      <c r="L74" s="150">
        <f>+'[5]4.SZ.TÁBL. ÓVODA'!$L73</f>
        <v>0</v>
      </c>
      <c r="M74" s="137">
        <f>+'[4]4.SZ.TÁBL. ÓVODA'!$N73</f>
        <v>0</v>
      </c>
      <c r="N74" s="138"/>
      <c r="O74" s="150">
        <f>+'[5]4.SZ.TÁBL. ÓVODA'!$O73</f>
        <v>100</v>
      </c>
      <c r="P74" s="137">
        <f>+'[4]4.SZ.TÁBL. ÓVODA'!$Q73</f>
        <v>100</v>
      </c>
      <c r="Q74" s="138">
        <v>53</v>
      </c>
      <c r="R74" s="143">
        <f t="shared" si="125"/>
        <v>993</v>
      </c>
      <c r="S74" s="137">
        <f t="shared" si="145"/>
        <v>623</v>
      </c>
      <c r="T74" s="138">
        <f t="shared" si="146"/>
        <v>146</v>
      </c>
    </row>
    <row r="75" spans="1:20" ht="13.5" customHeight="1">
      <c r="A75" s="130" t="s">
        <v>255</v>
      </c>
      <c r="B75" s="176" t="s">
        <v>256</v>
      </c>
      <c r="C75" s="150">
        <f>+'[5]4.SZ.TÁBL. ÓVODA'!$C74</f>
        <v>0</v>
      </c>
      <c r="D75" s="137">
        <f>+'[4]4.SZ.TÁBL. ÓVODA'!$E74</f>
        <v>0</v>
      </c>
      <c r="E75" s="138"/>
      <c r="F75" s="150">
        <f>+'[5]4.SZ.TÁBL. ÓVODA'!$F74</f>
        <v>0</v>
      </c>
      <c r="G75" s="137">
        <f>+'[4]4.SZ.TÁBL. ÓVODA'!$H74</f>
        <v>0</v>
      </c>
      <c r="H75" s="138"/>
      <c r="I75" s="150">
        <f>+'[5]4.SZ.TÁBL. ÓVODA'!$I74</f>
        <v>0</v>
      </c>
      <c r="J75" s="137">
        <f>+'[4]4.SZ.TÁBL. ÓVODA'!$K74</f>
        <v>0</v>
      </c>
      <c r="K75" s="138"/>
      <c r="L75" s="150">
        <f>+'[5]4.SZ.TÁBL. ÓVODA'!$L74</f>
        <v>0</v>
      </c>
      <c r="M75" s="137">
        <f>+'[4]4.SZ.TÁBL. ÓVODA'!$N74</f>
        <v>0</v>
      </c>
      <c r="N75" s="138"/>
      <c r="O75" s="150">
        <f>+'[5]4.SZ.TÁBL. ÓVODA'!$O74</f>
        <v>0</v>
      </c>
      <c r="P75" s="137">
        <f>+'[4]4.SZ.TÁBL. ÓVODA'!$Q74</f>
        <v>0</v>
      </c>
      <c r="Q75" s="138"/>
      <c r="R75" s="143">
        <f>SUM(R76:R77)</f>
        <v>0</v>
      </c>
      <c r="S75" s="137">
        <f t="shared" ref="S75:T75" si="147">SUM(S76:S77)</f>
        <v>0</v>
      </c>
      <c r="T75" s="138">
        <f t="shared" si="147"/>
        <v>0</v>
      </c>
    </row>
    <row r="76" spans="1:20" s="202" customFormat="1" ht="13.5" customHeight="1">
      <c r="A76" s="134" t="s">
        <v>255</v>
      </c>
      <c r="B76" s="180" t="s">
        <v>300</v>
      </c>
      <c r="C76" s="150">
        <f>+'[5]4.SZ.TÁBL. ÓVODA'!$C75</f>
        <v>0</v>
      </c>
      <c r="D76" s="137">
        <f>+'[4]4.SZ.TÁBL. ÓVODA'!$E75</f>
        <v>0</v>
      </c>
      <c r="E76" s="138"/>
      <c r="F76" s="150">
        <f>+'[5]4.SZ.TÁBL. ÓVODA'!$F75</f>
        <v>0</v>
      </c>
      <c r="G76" s="137">
        <f>+'[4]4.SZ.TÁBL. ÓVODA'!$H75</f>
        <v>0</v>
      </c>
      <c r="H76" s="138"/>
      <c r="I76" s="150">
        <f>+'[5]4.SZ.TÁBL. ÓVODA'!$I75</f>
        <v>0</v>
      </c>
      <c r="J76" s="137">
        <f>+'[4]4.SZ.TÁBL. ÓVODA'!$K75</f>
        <v>0</v>
      </c>
      <c r="K76" s="138"/>
      <c r="L76" s="150">
        <f>+'[5]4.SZ.TÁBL. ÓVODA'!$L75</f>
        <v>0</v>
      </c>
      <c r="M76" s="137">
        <f>+'[4]4.SZ.TÁBL. ÓVODA'!$N75</f>
        <v>0</v>
      </c>
      <c r="N76" s="138"/>
      <c r="O76" s="150">
        <f>+'[5]4.SZ.TÁBL. ÓVODA'!$O75</f>
        <v>0</v>
      </c>
      <c r="P76" s="137">
        <f>+'[4]4.SZ.TÁBL. ÓVODA'!$Q75</f>
        <v>0</v>
      </c>
      <c r="Q76" s="138"/>
      <c r="R76" s="143">
        <f t="shared" si="125"/>
        <v>0</v>
      </c>
      <c r="S76" s="137">
        <f t="shared" ref="S76:S79" si="148">+D76+G76+J76+M76+P76</f>
        <v>0</v>
      </c>
      <c r="T76" s="138">
        <f t="shared" ref="T76:T79" si="149">+E76+H76+K76+N76+Q76</f>
        <v>0</v>
      </c>
    </row>
    <row r="77" spans="1:20" s="202" customFormat="1" ht="13.5" customHeight="1">
      <c r="A77" s="134" t="s">
        <v>255</v>
      </c>
      <c r="B77" s="180" t="s">
        <v>301</v>
      </c>
      <c r="C77" s="150">
        <f>+'[5]4.SZ.TÁBL. ÓVODA'!$C76</f>
        <v>0</v>
      </c>
      <c r="D77" s="137">
        <f>+'[4]4.SZ.TÁBL. ÓVODA'!$E76</f>
        <v>0</v>
      </c>
      <c r="E77" s="138"/>
      <c r="F77" s="150">
        <f>+'[5]4.SZ.TÁBL. ÓVODA'!$F76</f>
        <v>0</v>
      </c>
      <c r="G77" s="137">
        <f>+'[4]4.SZ.TÁBL. ÓVODA'!$H76</f>
        <v>0</v>
      </c>
      <c r="H77" s="138"/>
      <c r="I77" s="150">
        <f>+'[5]4.SZ.TÁBL. ÓVODA'!$I76</f>
        <v>0</v>
      </c>
      <c r="J77" s="137">
        <f>+'[4]4.SZ.TÁBL. ÓVODA'!$K76</f>
        <v>0</v>
      </c>
      <c r="K77" s="138"/>
      <c r="L77" s="150">
        <f>+'[5]4.SZ.TÁBL. ÓVODA'!$L76</f>
        <v>0</v>
      </c>
      <c r="M77" s="137">
        <f>+'[4]4.SZ.TÁBL. ÓVODA'!$N76</f>
        <v>0</v>
      </c>
      <c r="N77" s="138"/>
      <c r="O77" s="150">
        <f>+'[5]4.SZ.TÁBL. ÓVODA'!$O76</f>
        <v>0</v>
      </c>
      <c r="P77" s="137">
        <f>+'[4]4.SZ.TÁBL. ÓVODA'!$Q76</f>
        <v>0</v>
      </c>
      <c r="Q77" s="138"/>
      <c r="R77" s="143">
        <f t="shared" si="125"/>
        <v>0</v>
      </c>
      <c r="S77" s="137">
        <f t="shared" si="148"/>
        <v>0</v>
      </c>
      <c r="T77" s="138">
        <f t="shared" si="149"/>
        <v>0</v>
      </c>
    </row>
    <row r="78" spans="1:20" ht="13.5" customHeight="1">
      <c r="A78" s="130" t="s">
        <v>257</v>
      </c>
      <c r="B78" s="176" t="s">
        <v>258</v>
      </c>
      <c r="C78" s="150">
        <f>+'[5]4.SZ.TÁBL. ÓVODA'!$C77</f>
        <v>474</v>
      </c>
      <c r="D78" s="137">
        <f>+'[4]4.SZ.TÁBL. ÓVODA'!$E77</f>
        <v>474</v>
      </c>
      <c r="E78" s="138">
        <v>320</v>
      </c>
      <c r="F78" s="150">
        <f>+'[5]4.SZ.TÁBL. ÓVODA'!$F77</f>
        <v>646</v>
      </c>
      <c r="G78" s="137">
        <f>+'[4]4.SZ.TÁBL. ÓVODA'!$H77</f>
        <v>646</v>
      </c>
      <c r="H78" s="138">
        <v>174</v>
      </c>
      <c r="I78" s="150">
        <f>+'[5]4.SZ.TÁBL. ÓVODA'!$I77</f>
        <v>0</v>
      </c>
      <c r="J78" s="137">
        <f>+'[4]4.SZ.TÁBL. ÓVODA'!$K77</f>
        <v>19</v>
      </c>
      <c r="K78" s="138">
        <v>19</v>
      </c>
      <c r="L78" s="150">
        <f>+'[5]4.SZ.TÁBL. ÓVODA'!$L77</f>
        <v>192</v>
      </c>
      <c r="M78" s="137">
        <f>+'[4]4.SZ.TÁBL. ÓVODA'!$N77</f>
        <v>142</v>
      </c>
      <c r="N78" s="138">
        <v>107</v>
      </c>
      <c r="O78" s="150">
        <f>+'[5]4.SZ.TÁBL. ÓVODA'!$O77</f>
        <v>250</v>
      </c>
      <c r="P78" s="137">
        <f>+'[4]4.SZ.TÁBL. ÓVODA'!$Q77</f>
        <v>250</v>
      </c>
      <c r="Q78" s="138">
        <v>5</v>
      </c>
      <c r="R78" s="143">
        <f t="shared" si="125"/>
        <v>1562</v>
      </c>
      <c r="S78" s="137">
        <f t="shared" si="148"/>
        <v>1531</v>
      </c>
      <c r="T78" s="138">
        <f t="shared" si="149"/>
        <v>625</v>
      </c>
    </row>
    <row r="79" spans="1:20" ht="13.5" customHeight="1">
      <c r="A79" s="131" t="s">
        <v>259</v>
      </c>
      <c r="B79" s="177" t="s">
        <v>260</v>
      </c>
      <c r="C79" s="150">
        <f>+'[5]4.SZ.TÁBL. ÓVODA'!$C78</f>
        <v>120</v>
      </c>
      <c r="D79" s="137">
        <f>+'[4]4.SZ.TÁBL. ÓVODA'!$E78</f>
        <v>120</v>
      </c>
      <c r="E79" s="161">
        <v>70</v>
      </c>
      <c r="F79" s="150">
        <f>+'[5]4.SZ.TÁBL. ÓVODA'!$F78</f>
        <v>235</v>
      </c>
      <c r="G79" s="137">
        <f>+'[4]4.SZ.TÁBL. ÓVODA'!$H78</f>
        <v>235</v>
      </c>
      <c r="H79" s="161">
        <v>161</v>
      </c>
      <c r="I79" s="150">
        <f>+'[5]4.SZ.TÁBL. ÓVODA'!$I78</f>
        <v>0</v>
      </c>
      <c r="J79" s="137">
        <f>+'[4]4.SZ.TÁBL. ÓVODA'!$K78</f>
        <v>17</v>
      </c>
      <c r="K79" s="161">
        <v>17</v>
      </c>
      <c r="L79" s="150">
        <f>+'[5]4.SZ.TÁBL. ÓVODA'!$L78</f>
        <v>0</v>
      </c>
      <c r="M79" s="137">
        <f>+'[4]4.SZ.TÁBL. ÓVODA'!$N78</f>
        <v>31</v>
      </c>
      <c r="N79" s="161">
        <v>31</v>
      </c>
      <c r="O79" s="150">
        <f>+'[5]4.SZ.TÁBL. ÓVODA'!$O78</f>
        <v>1300</v>
      </c>
      <c r="P79" s="137">
        <f>+'[4]4.SZ.TÁBL. ÓVODA'!$Q78</f>
        <v>1300</v>
      </c>
      <c r="Q79" s="161">
        <v>370</v>
      </c>
      <c r="R79" s="160">
        <f t="shared" si="125"/>
        <v>1655</v>
      </c>
      <c r="S79" s="156">
        <f t="shared" si="148"/>
        <v>1703</v>
      </c>
      <c r="T79" s="161">
        <f t="shared" si="149"/>
        <v>649</v>
      </c>
    </row>
    <row r="80" spans="1:20" s="235" customFormat="1" ht="13.5" customHeight="1">
      <c r="A80" s="132" t="s">
        <v>198</v>
      </c>
      <c r="B80" s="178" t="s">
        <v>156</v>
      </c>
      <c r="C80" s="208">
        <f>SUM(C71:C79)-SUM(C76:C77)</f>
        <v>7939</v>
      </c>
      <c r="D80" s="212">
        <f t="shared" ref="D80:E80" si="150">SUM(D71:D79)-SUM(D76:D77)</f>
        <v>7939</v>
      </c>
      <c r="E80" s="213">
        <f t="shared" si="150"/>
        <v>3889</v>
      </c>
      <c r="F80" s="208">
        <f>SUM(F71:F79)-SUM(F76:F77)</f>
        <v>3824</v>
      </c>
      <c r="G80" s="212">
        <f t="shared" ref="G80" si="151">SUM(G71:G79)-SUM(G76:G77)</f>
        <v>3555</v>
      </c>
      <c r="H80" s="213">
        <f t="shared" ref="H80" si="152">SUM(H71:H79)-SUM(H76:H77)</f>
        <v>1979</v>
      </c>
      <c r="I80" s="208">
        <f>SUM(I71:I79)-SUM(I76:I77)</f>
        <v>0</v>
      </c>
      <c r="J80" s="212">
        <f t="shared" ref="J80" si="153">SUM(J71:J79)-SUM(J76:J77)</f>
        <v>36</v>
      </c>
      <c r="K80" s="213">
        <f t="shared" ref="K80" si="154">SUM(K71:K79)-SUM(K76:K77)</f>
        <v>36</v>
      </c>
      <c r="L80" s="208">
        <f>SUM(L71:L79)-SUM(L76:L77)</f>
        <v>192</v>
      </c>
      <c r="M80" s="212">
        <f t="shared" ref="M80" si="155">SUM(M71:M79)-SUM(M76:M77)</f>
        <v>173</v>
      </c>
      <c r="N80" s="213">
        <f t="shared" ref="N80" si="156">SUM(N71:N79)-SUM(N76:N77)</f>
        <v>138</v>
      </c>
      <c r="O80" s="208">
        <f>SUM(O71:O79)-SUM(O76:O77)</f>
        <v>1650</v>
      </c>
      <c r="P80" s="212">
        <f t="shared" ref="P80" si="157">SUM(P71:P79)-SUM(P76:P77)</f>
        <v>1650</v>
      </c>
      <c r="Q80" s="213">
        <f t="shared" ref="Q80" si="158">SUM(Q71:Q79)-SUM(Q76:Q77)</f>
        <v>428</v>
      </c>
      <c r="R80" s="208">
        <f>SUM(R71:R79)-SUM(R76:R77)</f>
        <v>13605</v>
      </c>
      <c r="S80" s="212">
        <f t="shared" ref="S80:T80" si="159">SUM(S71:S79)-SUM(S76:S77)</f>
        <v>13353</v>
      </c>
      <c r="T80" s="213">
        <f t="shared" si="159"/>
        <v>6470</v>
      </c>
    </row>
    <row r="81" spans="1:20" ht="13.5" customHeight="1">
      <c r="A81" s="129" t="s">
        <v>261</v>
      </c>
      <c r="B81" s="175" t="s">
        <v>262</v>
      </c>
      <c r="C81" s="150">
        <f>+'[5]4.SZ.TÁBL. ÓVODA'!$C80</f>
        <v>50</v>
      </c>
      <c r="D81" s="137">
        <f>+'[4]4.SZ.TÁBL. ÓVODA'!$E80</f>
        <v>50</v>
      </c>
      <c r="E81" s="151">
        <v>28</v>
      </c>
      <c r="F81" s="150">
        <f>+'[5]4.SZ.TÁBL. ÓVODA'!$F80</f>
        <v>50</v>
      </c>
      <c r="G81" s="137">
        <f>+'[4]4.SZ.TÁBL. ÓVODA'!$H80</f>
        <v>50</v>
      </c>
      <c r="H81" s="151">
        <v>32</v>
      </c>
      <c r="I81" s="150">
        <f>+'[5]4.SZ.TÁBL. ÓVODA'!$I80</f>
        <v>0</v>
      </c>
      <c r="J81" s="137">
        <f>+'[4]4.SZ.TÁBL. ÓVODA'!$K80</f>
        <v>2</v>
      </c>
      <c r="K81" s="151">
        <v>2</v>
      </c>
      <c r="L81" s="150">
        <f>+'[5]4.SZ.TÁBL. ÓVODA'!$L80</f>
        <v>0</v>
      </c>
      <c r="M81" s="137">
        <f>+'[4]4.SZ.TÁBL. ÓVODA'!$N80</f>
        <v>19</v>
      </c>
      <c r="N81" s="151">
        <v>18</v>
      </c>
      <c r="O81" s="150">
        <f>+'[5]4.SZ.TÁBL. ÓVODA'!$O80</f>
        <v>50</v>
      </c>
      <c r="P81" s="137">
        <f>+'[4]4.SZ.TÁBL. ÓVODA'!$Q80</f>
        <v>80</v>
      </c>
      <c r="Q81" s="151">
        <v>70</v>
      </c>
      <c r="R81" s="150">
        <f t="shared" si="125"/>
        <v>150</v>
      </c>
      <c r="S81" s="146">
        <f t="shared" ref="S81:S82" si="160">+D81+G81+J81+M81+P81</f>
        <v>201</v>
      </c>
      <c r="T81" s="151">
        <f t="shared" ref="T81:T82" si="161">+E81+H81+K81+N81+Q81</f>
        <v>150</v>
      </c>
    </row>
    <row r="82" spans="1:20" ht="13.5" customHeight="1">
      <c r="A82" s="131" t="s">
        <v>263</v>
      </c>
      <c r="B82" s="177" t="s">
        <v>264</v>
      </c>
      <c r="C82" s="150">
        <f>+'[5]4.SZ.TÁBL. ÓVODA'!$C81</f>
        <v>0</v>
      </c>
      <c r="D82" s="137">
        <f>+'[4]4.SZ.TÁBL. ÓVODA'!$E81</f>
        <v>0</v>
      </c>
      <c r="E82" s="161"/>
      <c r="F82" s="150">
        <f>+'[5]4.SZ.TÁBL. ÓVODA'!$F81</f>
        <v>0</v>
      </c>
      <c r="G82" s="137">
        <f>+'[4]4.SZ.TÁBL. ÓVODA'!$H81</f>
        <v>0</v>
      </c>
      <c r="H82" s="161"/>
      <c r="I82" s="150">
        <f>+'[5]4.SZ.TÁBL. ÓVODA'!$I81</f>
        <v>0</v>
      </c>
      <c r="J82" s="137">
        <f>+'[4]4.SZ.TÁBL. ÓVODA'!$K81</f>
        <v>0</v>
      </c>
      <c r="K82" s="161"/>
      <c r="L82" s="150">
        <f>+'[5]4.SZ.TÁBL. ÓVODA'!$L81</f>
        <v>0</v>
      </c>
      <c r="M82" s="137">
        <f>+'[4]4.SZ.TÁBL. ÓVODA'!$N81</f>
        <v>0</v>
      </c>
      <c r="N82" s="161"/>
      <c r="O82" s="150">
        <f>+'[5]4.SZ.TÁBL. ÓVODA'!$O81</f>
        <v>0</v>
      </c>
      <c r="P82" s="137">
        <f>+'[4]4.SZ.TÁBL. ÓVODA'!$Q81</f>
        <v>0</v>
      </c>
      <c r="Q82" s="161"/>
      <c r="R82" s="160">
        <f t="shared" si="125"/>
        <v>0</v>
      </c>
      <c r="S82" s="156">
        <f t="shared" si="160"/>
        <v>0</v>
      </c>
      <c r="T82" s="161">
        <f t="shared" si="161"/>
        <v>0</v>
      </c>
    </row>
    <row r="83" spans="1:20" s="235" customFormat="1" ht="13.5" customHeight="1">
      <c r="A83" s="132" t="s">
        <v>199</v>
      </c>
      <c r="B83" s="178" t="s">
        <v>157</v>
      </c>
      <c r="C83" s="208">
        <f>SUM(C81:C82)</f>
        <v>50</v>
      </c>
      <c r="D83" s="212">
        <f t="shared" ref="D83:E83" si="162">SUM(D81:D82)</f>
        <v>50</v>
      </c>
      <c r="E83" s="213">
        <f t="shared" si="162"/>
        <v>28</v>
      </c>
      <c r="F83" s="208">
        <f>SUM(F81:F82)</f>
        <v>50</v>
      </c>
      <c r="G83" s="212">
        <f t="shared" ref="G83" si="163">SUM(G81:G82)</f>
        <v>50</v>
      </c>
      <c r="H83" s="213">
        <f t="shared" ref="H83" si="164">SUM(H81:H82)</f>
        <v>32</v>
      </c>
      <c r="I83" s="208">
        <f>SUM(I81:I82)</f>
        <v>0</v>
      </c>
      <c r="J83" s="212">
        <f t="shared" ref="J83" si="165">SUM(J81:J82)</f>
        <v>2</v>
      </c>
      <c r="K83" s="213">
        <f t="shared" ref="K83" si="166">SUM(K81:K82)</f>
        <v>2</v>
      </c>
      <c r="L83" s="208">
        <f>SUM(L81:L82)</f>
        <v>0</v>
      </c>
      <c r="M83" s="212">
        <f t="shared" ref="M83" si="167">SUM(M81:M82)</f>
        <v>19</v>
      </c>
      <c r="N83" s="213">
        <f t="shared" ref="N83" si="168">SUM(N81:N82)</f>
        <v>18</v>
      </c>
      <c r="O83" s="208">
        <f>SUM(O81:O82)</f>
        <v>50</v>
      </c>
      <c r="P83" s="212">
        <f t="shared" ref="P83" si="169">SUM(P81:P82)</f>
        <v>80</v>
      </c>
      <c r="Q83" s="213">
        <f t="shared" ref="Q83" si="170">SUM(Q81:Q82)</f>
        <v>70</v>
      </c>
      <c r="R83" s="208">
        <f>SUM(R81:R82)</f>
        <v>150</v>
      </c>
      <c r="S83" s="212">
        <f t="shared" ref="S83:T83" si="171">SUM(S81:S82)</f>
        <v>201</v>
      </c>
      <c r="T83" s="213">
        <f t="shared" si="171"/>
        <v>150</v>
      </c>
    </row>
    <row r="84" spans="1:20" ht="13.5" customHeight="1">
      <c r="A84" s="129" t="s">
        <v>265</v>
      </c>
      <c r="B84" s="175" t="s">
        <v>266</v>
      </c>
      <c r="C84" s="150">
        <f>+'[5]4.SZ.TÁBL. ÓVODA'!$C83</f>
        <v>2387</v>
      </c>
      <c r="D84" s="137">
        <f>+'[4]4.SZ.TÁBL. ÓVODA'!$E83</f>
        <v>2387</v>
      </c>
      <c r="E84" s="151">
        <v>1020</v>
      </c>
      <c r="F84" s="150">
        <f>+'[5]4.SZ.TÁBL. ÓVODA'!$F83</f>
        <v>1362</v>
      </c>
      <c r="G84" s="137">
        <f>+'[4]4.SZ.TÁBL. ÓVODA'!$H83</f>
        <v>1262</v>
      </c>
      <c r="H84" s="151">
        <v>608</v>
      </c>
      <c r="I84" s="150">
        <f>+'[5]4.SZ.TÁBL. ÓVODA'!$I83</f>
        <v>11</v>
      </c>
      <c r="J84" s="137">
        <f>+'[4]4.SZ.TÁBL. ÓVODA'!$K83</f>
        <v>21</v>
      </c>
      <c r="K84" s="151">
        <v>17</v>
      </c>
      <c r="L84" s="150">
        <f>+'[5]4.SZ.TÁBL. ÓVODA'!$L83</f>
        <v>63</v>
      </c>
      <c r="M84" s="137">
        <f>+'[4]4.SZ.TÁBL. ÓVODA'!$N83</f>
        <v>63</v>
      </c>
      <c r="N84" s="151">
        <v>20</v>
      </c>
      <c r="O84" s="150">
        <f>+'[5]4.SZ.TÁBL. ÓVODA'!$O83</f>
        <v>613</v>
      </c>
      <c r="P84" s="137">
        <f>+'[4]4.SZ.TÁBL. ÓVODA'!$Q83</f>
        <v>583</v>
      </c>
      <c r="Q84" s="151">
        <v>62</v>
      </c>
      <c r="R84" s="150">
        <f t="shared" si="125"/>
        <v>4436</v>
      </c>
      <c r="S84" s="146">
        <f t="shared" ref="S84:S88" si="172">+D84+G84+J84+M84+P84</f>
        <v>4316</v>
      </c>
      <c r="T84" s="151">
        <f t="shared" ref="T84:T88" si="173">+E84+H84+K84+N84+Q84</f>
        <v>1727</v>
      </c>
    </row>
    <row r="85" spans="1:20" ht="13.5" customHeight="1">
      <c r="A85" s="130" t="s">
        <v>267</v>
      </c>
      <c r="B85" s="176" t="s">
        <v>268</v>
      </c>
      <c r="C85" s="150">
        <f>+'[5]4.SZ.TÁBL. ÓVODA'!$C84</f>
        <v>0</v>
      </c>
      <c r="D85" s="137">
        <f>+'[4]4.SZ.TÁBL. ÓVODA'!$E84</f>
        <v>0</v>
      </c>
      <c r="E85" s="138"/>
      <c r="F85" s="150">
        <f>+'[5]4.SZ.TÁBL. ÓVODA'!$F84</f>
        <v>0</v>
      </c>
      <c r="G85" s="137">
        <f>+'[4]4.SZ.TÁBL. ÓVODA'!$H84</f>
        <v>0</v>
      </c>
      <c r="H85" s="138"/>
      <c r="I85" s="150">
        <f>+'[5]4.SZ.TÁBL. ÓVODA'!$I84</f>
        <v>0</v>
      </c>
      <c r="J85" s="137">
        <f>+'[4]4.SZ.TÁBL. ÓVODA'!$K84</f>
        <v>0</v>
      </c>
      <c r="K85" s="138"/>
      <c r="L85" s="150">
        <f>+'[5]4.SZ.TÁBL. ÓVODA'!$L84</f>
        <v>0</v>
      </c>
      <c r="M85" s="137">
        <f>+'[4]4.SZ.TÁBL. ÓVODA'!$N84</f>
        <v>0</v>
      </c>
      <c r="N85" s="138"/>
      <c r="O85" s="150">
        <f>+'[5]4.SZ.TÁBL. ÓVODA'!$O84</f>
        <v>0</v>
      </c>
      <c r="P85" s="137">
        <f>+'[4]4.SZ.TÁBL. ÓVODA'!$Q84</f>
        <v>0</v>
      </c>
      <c r="Q85" s="138"/>
      <c r="R85" s="143">
        <f t="shared" si="125"/>
        <v>0</v>
      </c>
      <c r="S85" s="137">
        <f t="shared" si="172"/>
        <v>0</v>
      </c>
      <c r="T85" s="138">
        <f t="shared" si="173"/>
        <v>0</v>
      </c>
    </row>
    <row r="86" spans="1:20" ht="13.5" customHeight="1">
      <c r="A86" s="130" t="s">
        <v>269</v>
      </c>
      <c r="B86" s="176" t="s">
        <v>270</v>
      </c>
      <c r="C86" s="150">
        <f>+'[5]4.SZ.TÁBL. ÓVODA'!$C85</f>
        <v>0</v>
      </c>
      <c r="D86" s="137">
        <f>+'[4]4.SZ.TÁBL. ÓVODA'!$E85</f>
        <v>0</v>
      </c>
      <c r="E86" s="138"/>
      <c r="F86" s="150">
        <f>+'[5]4.SZ.TÁBL. ÓVODA'!$F85</f>
        <v>0</v>
      </c>
      <c r="G86" s="137">
        <f>+'[4]4.SZ.TÁBL. ÓVODA'!$H85</f>
        <v>0</v>
      </c>
      <c r="H86" s="138"/>
      <c r="I86" s="150">
        <f>+'[5]4.SZ.TÁBL. ÓVODA'!$I85</f>
        <v>0</v>
      </c>
      <c r="J86" s="137">
        <f>+'[4]4.SZ.TÁBL. ÓVODA'!$K85</f>
        <v>0</v>
      </c>
      <c r="K86" s="138"/>
      <c r="L86" s="150">
        <f>+'[5]4.SZ.TÁBL. ÓVODA'!$L85</f>
        <v>0</v>
      </c>
      <c r="M86" s="137">
        <f>+'[4]4.SZ.TÁBL. ÓVODA'!$N85</f>
        <v>0</v>
      </c>
      <c r="N86" s="138"/>
      <c r="O86" s="150">
        <f>+'[5]4.SZ.TÁBL. ÓVODA'!$O85</f>
        <v>0</v>
      </c>
      <c r="P86" s="137">
        <f>+'[4]4.SZ.TÁBL. ÓVODA'!$Q85</f>
        <v>0</v>
      </c>
      <c r="Q86" s="138"/>
      <c r="R86" s="143">
        <f t="shared" si="125"/>
        <v>0</v>
      </c>
      <c r="S86" s="137">
        <f t="shared" si="172"/>
        <v>0</v>
      </c>
      <c r="T86" s="138">
        <f t="shared" si="173"/>
        <v>0</v>
      </c>
    </row>
    <row r="87" spans="1:20" ht="13.5" customHeight="1">
      <c r="A87" s="130" t="s">
        <v>271</v>
      </c>
      <c r="B87" s="176" t="s">
        <v>272</v>
      </c>
      <c r="C87" s="150">
        <f>+'[5]4.SZ.TÁBL. ÓVODA'!$C86</f>
        <v>0</v>
      </c>
      <c r="D87" s="137">
        <f>+'[4]4.SZ.TÁBL. ÓVODA'!$E86</f>
        <v>0</v>
      </c>
      <c r="E87" s="138"/>
      <c r="F87" s="150">
        <f>+'[5]4.SZ.TÁBL. ÓVODA'!$F86</f>
        <v>0</v>
      </c>
      <c r="G87" s="137">
        <f>+'[4]4.SZ.TÁBL. ÓVODA'!$H86</f>
        <v>0</v>
      </c>
      <c r="H87" s="138"/>
      <c r="I87" s="150">
        <f>+'[5]4.SZ.TÁBL. ÓVODA'!$I86</f>
        <v>0</v>
      </c>
      <c r="J87" s="137">
        <f>+'[4]4.SZ.TÁBL. ÓVODA'!$K86</f>
        <v>0</v>
      </c>
      <c r="K87" s="138"/>
      <c r="L87" s="150">
        <f>+'[5]4.SZ.TÁBL. ÓVODA'!$L86</f>
        <v>0</v>
      </c>
      <c r="M87" s="137">
        <f>+'[4]4.SZ.TÁBL. ÓVODA'!$N86</f>
        <v>0</v>
      </c>
      <c r="N87" s="138"/>
      <c r="O87" s="150">
        <f>+'[5]4.SZ.TÁBL. ÓVODA'!$O86</f>
        <v>0</v>
      </c>
      <c r="P87" s="137">
        <f>+'[4]4.SZ.TÁBL. ÓVODA'!$Q86</f>
        <v>0</v>
      </c>
      <c r="Q87" s="138"/>
      <c r="R87" s="143">
        <f t="shared" si="125"/>
        <v>0</v>
      </c>
      <c r="S87" s="137">
        <f t="shared" si="172"/>
        <v>0</v>
      </c>
      <c r="T87" s="138">
        <f t="shared" si="173"/>
        <v>0</v>
      </c>
    </row>
    <row r="88" spans="1:20" ht="13.5" customHeight="1">
      <c r="A88" s="131" t="s">
        <v>273</v>
      </c>
      <c r="B88" s="177" t="s">
        <v>21</v>
      </c>
      <c r="C88" s="150">
        <f>+'[5]4.SZ.TÁBL. ÓVODA'!$C87</f>
        <v>0</v>
      </c>
      <c r="D88" s="137">
        <f>+'[4]4.SZ.TÁBL. ÓVODA'!$E87</f>
        <v>0</v>
      </c>
      <c r="E88" s="161"/>
      <c r="F88" s="150">
        <f>+'[5]4.SZ.TÁBL. ÓVODA'!$F87</f>
        <v>0</v>
      </c>
      <c r="G88" s="137">
        <f>+'[4]4.SZ.TÁBL. ÓVODA'!$H87</f>
        <v>0</v>
      </c>
      <c r="H88" s="161"/>
      <c r="I88" s="150">
        <f>+'[5]4.SZ.TÁBL. ÓVODA'!$I87</f>
        <v>0</v>
      </c>
      <c r="J88" s="137">
        <f>+'[4]4.SZ.TÁBL. ÓVODA'!$K87</f>
        <v>0</v>
      </c>
      <c r="K88" s="161"/>
      <c r="L88" s="150">
        <f>+'[5]4.SZ.TÁBL. ÓVODA'!$L87</f>
        <v>0</v>
      </c>
      <c r="M88" s="137">
        <f>+'[4]4.SZ.TÁBL. ÓVODA'!$N87</f>
        <v>0</v>
      </c>
      <c r="N88" s="161"/>
      <c r="O88" s="150">
        <f>+'[5]4.SZ.TÁBL. ÓVODA'!$O87</f>
        <v>0</v>
      </c>
      <c r="P88" s="137">
        <f>+'[4]4.SZ.TÁBL. ÓVODA'!$Q87</f>
        <v>0</v>
      </c>
      <c r="Q88" s="161"/>
      <c r="R88" s="160">
        <f t="shared" si="125"/>
        <v>0</v>
      </c>
      <c r="S88" s="156">
        <f t="shared" si="172"/>
        <v>0</v>
      </c>
      <c r="T88" s="161">
        <f t="shared" si="173"/>
        <v>0</v>
      </c>
    </row>
    <row r="89" spans="1:20" s="235" customFormat="1" ht="13.5" customHeight="1">
      <c r="A89" s="132" t="s">
        <v>200</v>
      </c>
      <c r="B89" s="178" t="s">
        <v>158</v>
      </c>
      <c r="C89" s="208">
        <f>SUM(C84:C88)</f>
        <v>2387</v>
      </c>
      <c r="D89" s="212">
        <f t="shared" ref="D89:E89" si="174">SUM(D84:D88)</f>
        <v>2387</v>
      </c>
      <c r="E89" s="213">
        <f t="shared" si="174"/>
        <v>1020</v>
      </c>
      <c r="F89" s="208">
        <f>SUM(F84:F88)</f>
        <v>1362</v>
      </c>
      <c r="G89" s="212">
        <f t="shared" ref="G89" si="175">SUM(G84:G88)</f>
        <v>1262</v>
      </c>
      <c r="H89" s="213">
        <f t="shared" ref="H89" si="176">SUM(H84:H88)</f>
        <v>608</v>
      </c>
      <c r="I89" s="208">
        <f>SUM(I84:I88)</f>
        <v>11</v>
      </c>
      <c r="J89" s="212">
        <f t="shared" ref="J89" si="177">SUM(J84:J88)</f>
        <v>21</v>
      </c>
      <c r="K89" s="213">
        <f t="shared" ref="K89" si="178">SUM(K84:K88)</f>
        <v>17</v>
      </c>
      <c r="L89" s="208">
        <f>SUM(L84:L88)</f>
        <v>63</v>
      </c>
      <c r="M89" s="212">
        <f t="shared" ref="M89" si="179">SUM(M84:M88)</f>
        <v>63</v>
      </c>
      <c r="N89" s="213">
        <f t="shared" ref="N89" si="180">SUM(N84:N88)</f>
        <v>20</v>
      </c>
      <c r="O89" s="208">
        <f>SUM(O84:O88)</f>
        <v>613</v>
      </c>
      <c r="P89" s="212">
        <f t="shared" ref="P89" si="181">SUM(P84:P88)</f>
        <v>583</v>
      </c>
      <c r="Q89" s="213">
        <f t="shared" ref="Q89" si="182">SUM(Q84:Q88)</f>
        <v>62</v>
      </c>
      <c r="R89" s="208">
        <f>SUM(R84:R88)</f>
        <v>4436</v>
      </c>
      <c r="S89" s="212">
        <f t="shared" ref="S89:T89" si="183">SUM(S84:S88)</f>
        <v>4316</v>
      </c>
      <c r="T89" s="213">
        <f t="shared" si="183"/>
        <v>1727</v>
      </c>
    </row>
    <row r="90" spans="1:20" s="235" customFormat="1" ht="13.5" customHeight="1">
      <c r="A90" s="132" t="s">
        <v>201</v>
      </c>
      <c r="B90" s="178" t="s">
        <v>159</v>
      </c>
      <c r="C90" s="208">
        <f>+C67+C70+C80+C83+C89</f>
        <v>11107</v>
      </c>
      <c r="D90" s="212">
        <f t="shared" ref="D90:E90" si="184">+D67+D70+D80+D83+D89</f>
        <v>11107</v>
      </c>
      <c r="E90" s="213">
        <f t="shared" si="184"/>
        <v>5187</v>
      </c>
      <c r="F90" s="208">
        <f>+F67+F70+F80+F83+F89</f>
        <v>6348</v>
      </c>
      <c r="G90" s="212">
        <f t="shared" ref="G90" si="185">+G67+G70+G80+G83+G89</f>
        <v>6019</v>
      </c>
      <c r="H90" s="213">
        <f t="shared" ref="H90" si="186">+H67+H70+H80+H83+H89</f>
        <v>3114</v>
      </c>
      <c r="I90" s="208">
        <f>+I67+I70+I80+I83+I89</f>
        <v>51</v>
      </c>
      <c r="J90" s="212">
        <f t="shared" ref="J90" si="187">+J67+J70+J80+J83+J89</f>
        <v>99</v>
      </c>
      <c r="K90" s="213">
        <f t="shared" ref="K90" si="188">+K67+K70+K80+K83+K89</f>
        <v>81</v>
      </c>
      <c r="L90" s="208">
        <f>+L67+L70+L80+L83+L89</f>
        <v>295</v>
      </c>
      <c r="M90" s="212">
        <f t="shared" ref="M90" si="189">+M67+M70+M80+M83+M89</f>
        <v>295</v>
      </c>
      <c r="N90" s="213">
        <f t="shared" ref="N90" si="190">+N67+N70+N80+N83+N89</f>
        <v>201</v>
      </c>
      <c r="O90" s="208">
        <f>+O67+O70+O80+O83+O89</f>
        <v>2875</v>
      </c>
      <c r="P90" s="212">
        <f t="shared" ref="P90" si="191">+P67+P70+P80+P83+P89</f>
        <v>2877</v>
      </c>
      <c r="Q90" s="213">
        <f t="shared" ref="Q90" si="192">+Q67+Q70+Q80+Q83+Q89</f>
        <v>867</v>
      </c>
      <c r="R90" s="208">
        <f>+R67+R70+R80+R83+R89</f>
        <v>20676</v>
      </c>
      <c r="S90" s="212">
        <f t="shared" ref="S90:T90" si="193">+S67+S70+S80+S83+S89</f>
        <v>20397</v>
      </c>
      <c r="T90" s="213">
        <f t="shared" si="193"/>
        <v>9450</v>
      </c>
    </row>
    <row r="91" spans="1:20" ht="13.5" customHeight="1">
      <c r="A91" s="129" t="s">
        <v>425</v>
      </c>
      <c r="B91" s="232" t="s">
        <v>426</v>
      </c>
      <c r="C91" s="150"/>
      <c r="D91" s="137">
        <f>+'[4]4.SZ.TÁBL. ÓVODA'!$E90</f>
        <v>15</v>
      </c>
      <c r="E91" s="151">
        <v>14</v>
      </c>
      <c r="F91" s="150"/>
      <c r="G91" s="137">
        <f>+'[4]4.SZ.TÁBL. ÓVODA'!$H90</f>
        <v>0</v>
      </c>
      <c r="H91" s="151"/>
      <c r="I91" s="150"/>
      <c r="J91" s="137">
        <f>+'[4]4.SZ.TÁBL. ÓVODA'!$K90</f>
        <v>29</v>
      </c>
      <c r="K91" s="151">
        <v>29</v>
      </c>
      <c r="L91" s="150"/>
      <c r="M91" s="137">
        <f>+'[4]4.SZ.TÁBL. ÓVODA'!$N90</f>
        <v>27</v>
      </c>
      <c r="N91" s="151">
        <v>27</v>
      </c>
      <c r="O91" s="150"/>
      <c r="P91" s="137">
        <f>+'[4]4.SZ.TÁBL. ÓVODA'!$Q90</f>
        <v>0</v>
      </c>
      <c r="Q91" s="151"/>
      <c r="R91" s="150">
        <f t="shared" ref="R91" si="194">+C91+F91+I91+L91+O91</f>
        <v>0</v>
      </c>
      <c r="S91" s="146">
        <f t="shared" ref="S91" si="195">+D91+G91+J91+M91+P91</f>
        <v>71</v>
      </c>
      <c r="T91" s="151">
        <f t="shared" ref="T91" si="196">+E91+H91+K91+N91+Q91</f>
        <v>70</v>
      </c>
    </row>
    <row r="92" spans="1:20" ht="13.5" customHeight="1">
      <c r="A92" s="129" t="s">
        <v>345</v>
      </c>
      <c r="B92" s="127" t="s">
        <v>346</v>
      </c>
      <c r="C92" s="150">
        <f>+'[5]4.SZ.TÁBL. ÓVODA'!$C90</f>
        <v>0</v>
      </c>
      <c r="D92" s="137">
        <f>+'[4]4.SZ.TÁBL. ÓVODA'!$E91</f>
        <v>131</v>
      </c>
      <c r="E92" s="151">
        <v>131</v>
      </c>
      <c r="F92" s="150">
        <f>+'[5]4.SZ.TÁBL. ÓVODA'!$F90</f>
        <v>0</v>
      </c>
      <c r="G92" s="137">
        <f>+'[4]4.SZ.TÁBL. ÓVODA'!$H91</f>
        <v>0</v>
      </c>
      <c r="H92" s="151"/>
      <c r="I92" s="150">
        <f>+'[5]4.SZ.TÁBL. ÓVODA'!$I90</f>
        <v>4498</v>
      </c>
      <c r="J92" s="137">
        <f>+'[4]4.SZ.TÁBL. ÓVODA'!$K91</f>
        <v>4450</v>
      </c>
      <c r="K92" s="151">
        <v>3375</v>
      </c>
      <c r="L92" s="150">
        <f>+'[5]4.SZ.TÁBL. ÓVODA'!$L90</f>
        <v>7776</v>
      </c>
      <c r="M92" s="137">
        <f>+'[4]4.SZ.TÁBL. ÓVODA'!$N91</f>
        <v>7776</v>
      </c>
      <c r="N92" s="151">
        <v>5832</v>
      </c>
      <c r="O92" s="150">
        <f>+'[5]4.SZ.TÁBL. ÓVODA'!$O90</f>
        <v>0</v>
      </c>
      <c r="P92" s="137">
        <f>+'[4]4.SZ.TÁBL. ÓVODA'!$Q91</f>
        <v>0</v>
      </c>
      <c r="Q92" s="151">
        <f>+SUM(Q93:Q93)</f>
        <v>0</v>
      </c>
      <c r="R92" s="150">
        <f t="shared" ref="R92:R96" si="197">+C92+F92+I92+L92+O92</f>
        <v>12274</v>
      </c>
      <c r="S92" s="146">
        <f t="shared" ref="S92:S96" si="198">+D92+G92+J92+M92+P92</f>
        <v>12357</v>
      </c>
      <c r="T92" s="151">
        <f t="shared" ref="T92:T96" si="199">+E92+H92+K92+N92+Q92</f>
        <v>9338</v>
      </c>
    </row>
    <row r="93" spans="1:20" s="202" customFormat="1" ht="13.5" customHeight="1">
      <c r="A93" s="135" t="s">
        <v>345</v>
      </c>
      <c r="B93" s="128" t="s">
        <v>130</v>
      </c>
      <c r="C93" s="160">
        <f>+'[5]4.SZ.TÁBL. ÓVODA'!$C91</f>
        <v>0</v>
      </c>
      <c r="D93" s="137">
        <f>+'[4]4.SZ.TÁBL. ÓVODA'!$E92</f>
        <v>131</v>
      </c>
      <c r="E93" s="161">
        <v>131</v>
      </c>
      <c r="F93" s="160">
        <f>+'[5]4.SZ.TÁBL. ÓVODA'!$F91</f>
        <v>0</v>
      </c>
      <c r="G93" s="137">
        <f>+'[4]4.SZ.TÁBL. ÓVODA'!$H92</f>
        <v>0</v>
      </c>
      <c r="H93" s="161"/>
      <c r="I93" s="160">
        <f>+'[5]4.SZ.TÁBL. ÓVODA'!$I91</f>
        <v>4498</v>
      </c>
      <c r="J93" s="137">
        <f>+'[4]4.SZ.TÁBL. ÓVODA'!$K92</f>
        <v>4450</v>
      </c>
      <c r="K93" s="161">
        <v>3375</v>
      </c>
      <c r="L93" s="160">
        <f>+'[5]4.SZ.TÁBL. ÓVODA'!$L91</f>
        <v>7776</v>
      </c>
      <c r="M93" s="137">
        <f>+'[4]4.SZ.TÁBL. ÓVODA'!$N92</f>
        <v>7776</v>
      </c>
      <c r="N93" s="161">
        <v>5832</v>
      </c>
      <c r="O93" s="160">
        <f>+'[5]4.SZ.TÁBL. ÓVODA'!$O91</f>
        <v>0</v>
      </c>
      <c r="P93" s="137">
        <f>+'[4]4.SZ.TÁBL. ÓVODA'!$Q92</f>
        <v>0</v>
      </c>
      <c r="Q93" s="161"/>
      <c r="R93" s="160">
        <f t="shared" ref="R93" si="200">+C93+F93+I93+L93+O93</f>
        <v>12274</v>
      </c>
      <c r="S93" s="156">
        <f t="shared" si="198"/>
        <v>12357</v>
      </c>
      <c r="T93" s="161">
        <f t="shared" si="199"/>
        <v>9338</v>
      </c>
    </row>
    <row r="94" spans="1:20" ht="13.5" customHeight="1">
      <c r="A94" s="479" t="s">
        <v>347</v>
      </c>
      <c r="B94" s="480" t="s">
        <v>348</v>
      </c>
      <c r="C94" s="160">
        <f>+'[5]4.SZ.TÁBL. ÓVODA'!$C92</f>
        <v>0</v>
      </c>
      <c r="D94" s="137">
        <f>+'[4]4.SZ.TÁBL. ÓVODA'!$E93</f>
        <v>0</v>
      </c>
      <c r="E94" s="161"/>
      <c r="F94" s="160">
        <f>+'[5]4.SZ.TÁBL. ÓVODA'!$F92</f>
        <v>0</v>
      </c>
      <c r="G94" s="137">
        <f>+'[4]4.SZ.TÁBL. ÓVODA'!$H93</f>
        <v>0</v>
      </c>
      <c r="H94" s="161"/>
      <c r="I94" s="160">
        <f>+'[5]4.SZ.TÁBL. ÓVODA'!$I92</f>
        <v>0</v>
      </c>
      <c r="J94" s="137">
        <f>+'[4]4.SZ.TÁBL. ÓVODA'!$K93</f>
        <v>0</v>
      </c>
      <c r="K94" s="161"/>
      <c r="L94" s="160">
        <f>+'[5]4.SZ.TÁBL. ÓVODA'!$L92</f>
        <v>0</v>
      </c>
      <c r="M94" s="137">
        <f>+'[4]4.SZ.TÁBL. ÓVODA'!$N93</f>
        <v>0</v>
      </c>
      <c r="N94" s="161"/>
      <c r="O94" s="160">
        <f>+'[5]4.SZ.TÁBL. ÓVODA'!$O92</f>
        <v>0</v>
      </c>
      <c r="P94" s="137">
        <f>+'[4]4.SZ.TÁBL. ÓVODA'!$Q93</f>
        <v>0</v>
      </c>
      <c r="Q94" s="161"/>
      <c r="R94" s="160">
        <f t="shared" si="197"/>
        <v>0</v>
      </c>
      <c r="S94" s="156">
        <f t="shared" si="198"/>
        <v>0</v>
      </c>
      <c r="T94" s="161">
        <f t="shared" si="199"/>
        <v>0</v>
      </c>
    </row>
    <row r="95" spans="1:20" s="202" customFormat="1" ht="13.5" customHeight="1">
      <c r="A95" s="351"/>
      <c r="B95" s="352" t="s">
        <v>387</v>
      </c>
      <c r="C95" s="160">
        <f>+'[5]4.SZ.TÁBL. ÓVODA'!$C93</f>
        <v>0</v>
      </c>
      <c r="D95" s="137">
        <f>+'[4]4.SZ.TÁBL. ÓVODA'!$E94</f>
        <v>0</v>
      </c>
      <c r="E95" s="138"/>
      <c r="F95" s="160">
        <f>+'[5]4.SZ.TÁBL. ÓVODA'!$F93</f>
        <v>0</v>
      </c>
      <c r="G95" s="137">
        <f>+'[4]4.SZ.TÁBL. ÓVODA'!$H94</f>
        <v>0</v>
      </c>
      <c r="H95" s="138"/>
      <c r="I95" s="160">
        <f>+'[5]4.SZ.TÁBL. ÓVODA'!$I93</f>
        <v>0</v>
      </c>
      <c r="J95" s="137">
        <f>+'[4]4.SZ.TÁBL. ÓVODA'!$K94</f>
        <v>0</v>
      </c>
      <c r="K95" s="138"/>
      <c r="L95" s="160">
        <f>+'[5]4.SZ.TÁBL. ÓVODA'!$L93</f>
        <v>0</v>
      </c>
      <c r="M95" s="137">
        <f>+'[4]4.SZ.TÁBL. ÓVODA'!$N94</f>
        <v>0</v>
      </c>
      <c r="N95" s="138"/>
      <c r="O95" s="160">
        <f>+'[5]4.SZ.TÁBL. ÓVODA'!$O93</f>
        <v>0</v>
      </c>
      <c r="P95" s="137">
        <f>+'[4]4.SZ.TÁBL. ÓVODA'!$Q94</f>
        <v>0</v>
      </c>
      <c r="Q95" s="138"/>
      <c r="R95" s="209">
        <f t="shared" si="197"/>
        <v>0</v>
      </c>
      <c r="S95" s="198">
        <f t="shared" si="198"/>
        <v>0</v>
      </c>
      <c r="T95" s="201">
        <f t="shared" si="199"/>
        <v>0</v>
      </c>
    </row>
    <row r="96" spans="1:20" s="202" customFormat="1" ht="13.5" customHeight="1">
      <c r="A96" s="353"/>
      <c r="B96" s="352" t="s">
        <v>388</v>
      </c>
      <c r="C96" s="160">
        <f>+'[5]4.SZ.TÁBL. ÓVODA'!$C94</f>
        <v>0</v>
      </c>
      <c r="D96" s="137">
        <f>+'[4]4.SZ.TÁBL. ÓVODA'!$E95</f>
        <v>0</v>
      </c>
      <c r="E96" s="186"/>
      <c r="F96" s="160">
        <f>+'[5]4.SZ.TÁBL. ÓVODA'!$F94</f>
        <v>0</v>
      </c>
      <c r="G96" s="137">
        <f>+'[4]4.SZ.TÁBL. ÓVODA'!$H95</f>
        <v>0</v>
      </c>
      <c r="H96" s="186"/>
      <c r="I96" s="160">
        <f>+'[5]4.SZ.TÁBL. ÓVODA'!$I94</f>
        <v>0</v>
      </c>
      <c r="J96" s="137">
        <f>+'[4]4.SZ.TÁBL. ÓVODA'!$K95</f>
        <v>0</v>
      </c>
      <c r="K96" s="186"/>
      <c r="L96" s="160">
        <f>+'[5]4.SZ.TÁBL. ÓVODA'!$L94</f>
        <v>0</v>
      </c>
      <c r="M96" s="137">
        <f>+'[4]4.SZ.TÁBL. ÓVODA'!$N95</f>
        <v>0</v>
      </c>
      <c r="N96" s="186"/>
      <c r="O96" s="160">
        <f>+'[5]4.SZ.TÁBL. ÓVODA'!$O94</f>
        <v>0</v>
      </c>
      <c r="P96" s="137">
        <f>+'[4]4.SZ.TÁBL. ÓVODA'!$Q95</f>
        <v>0</v>
      </c>
      <c r="Q96" s="186"/>
      <c r="R96" s="209">
        <f t="shared" si="197"/>
        <v>0</v>
      </c>
      <c r="S96" s="203">
        <f t="shared" si="198"/>
        <v>0</v>
      </c>
      <c r="T96" s="205">
        <f t="shared" si="199"/>
        <v>0</v>
      </c>
    </row>
    <row r="97" spans="1:20" s="235" customFormat="1" ht="13.5" customHeight="1">
      <c r="A97" s="132" t="s">
        <v>202</v>
      </c>
      <c r="B97" s="178" t="s">
        <v>160</v>
      </c>
      <c r="C97" s="208">
        <f t="shared" ref="C97:T97" si="201">+C92+C94+C91</f>
        <v>0</v>
      </c>
      <c r="D97" s="212">
        <f t="shared" si="201"/>
        <v>146</v>
      </c>
      <c r="E97" s="213">
        <f t="shared" si="201"/>
        <v>145</v>
      </c>
      <c r="F97" s="208">
        <f t="shared" si="201"/>
        <v>0</v>
      </c>
      <c r="G97" s="212">
        <f t="shared" ref="G97" si="202">+G92+G94+G91</f>
        <v>0</v>
      </c>
      <c r="H97" s="213">
        <f t="shared" si="201"/>
        <v>0</v>
      </c>
      <c r="I97" s="208">
        <f t="shared" si="201"/>
        <v>4498</v>
      </c>
      <c r="J97" s="212">
        <f t="shared" si="201"/>
        <v>4479</v>
      </c>
      <c r="K97" s="213">
        <f t="shared" si="201"/>
        <v>3404</v>
      </c>
      <c r="L97" s="208">
        <f t="shared" si="201"/>
        <v>7776</v>
      </c>
      <c r="M97" s="212">
        <f t="shared" ref="M97" si="203">+M92+M94+M91</f>
        <v>7803</v>
      </c>
      <c r="N97" s="213">
        <f t="shared" si="201"/>
        <v>5859</v>
      </c>
      <c r="O97" s="208">
        <f t="shared" si="201"/>
        <v>0</v>
      </c>
      <c r="P97" s="212">
        <f t="shared" si="201"/>
        <v>0</v>
      </c>
      <c r="Q97" s="213">
        <f t="shared" si="201"/>
        <v>0</v>
      </c>
      <c r="R97" s="208">
        <f t="shared" si="201"/>
        <v>12274</v>
      </c>
      <c r="S97" s="212">
        <f t="shared" si="201"/>
        <v>12428</v>
      </c>
      <c r="T97" s="213">
        <f t="shared" si="201"/>
        <v>9408</v>
      </c>
    </row>
    <row r="98" spans="1:20" ht="13.5" customHeight="1">
      <c r="A98" s="129" t="s">
        <v>274</v>
      </c>
      <c r="B98" s="175" t="s">
        <v>275</v>
      </c>
      <c r="C98" s="160">
        <f>+'[5]4.SZ.TÁBL. ÓVODA'!$C96</f>
        <v>0</v>
      </c>
      <c r="D98" s="137">
        <f>+'[4]4.SZ.TÁBL. ÓVODA'!$E97</f>
        <v>0</v>
      </c>
      <c r="E98" s="151"/>
      <c r="F98" s="160">
        <f>+'[5]4.SZ.TÁBL. ÓVODA'!$F96</f>
        <v>0</v>
      </c>
      <c r="G98" s="137">
        <f>+'[4]4.SZ.TÁBL. ÓVODA'!$H97</f>
        <v>0</v>
      </c>
      <c r="H98" s="151"/>
      <c r="I98" s="160">
        <f>+'[5]4.SZ.TÁBL. ÓVODA'!$I96</f>
        <v>0</v>
      </c>
      <c r="J98" s="137">
        <f>+'[4]4.SZ.TÁBL. ÓVODA'!$K97</f>
        <v>0</v>
      </c>
      <c r="K98" s="151"/>
      <c r="L98" s="160">
        <f>+'[5]4.SZ.TÁBL. ÓVODA'!$L96</f>
        <v>0</v>
      </c>
      <c r="M98" s="137">
        <f>+'[4]4.SZ.TÁBL. ÓVODA'!$N97</f>
        <v>0</v>
      </c>
      <c r="N98" s="151"/>
      <c r="O98" s="160">
        <f>+'[5]4.SZ.TÁBL. ÓVODA'!$O96</f>
        <v>0</v>
      </c>
      <c r="P98" s="137">
        <f>+'[4]4.SZ.TÁBL. ÓVODA'!$Q97</f>
        <v>0</v>
      </c>
      <c r="Q98" s="151"/>
      <c r="R98" s="150">
        <f t="shared" ref="R98:R104" si="204">+C98+F98+I98+L98+O98</f>
        <v>0</v>
      </c>
      <c r="S98" s="146">
        <f t="shared" ref="S98:S104" si="205">+D98+G98+J98+M98+P98</f>
        <v>0</v>
      </c>
      <c r="T98" s="151">
        <f t="shared" ref="T98:T104" si="206">+E98+H98+K98+N98+Q98</f>
        <v>0</v>
      </c>
    </row>
    <row r="99" spans="1:20" ht="13.5" customHeight="1">
      <c r="A99" s="130" t="s">
        <v>276</v>
      </c>
      <c r="B99" s="176" t="s">
        <v>277</v>
      </c>
      <c r="C99" s="160">
        <f>+'[5]4.SZ.TÁBL. ÓVODA'!$C97</f>
        <v>0</v>
      </c>
      <c r="D99" s="137">
        <f>+'[4]4.SZ.TÁBL. ÓVODA'!$E98</f>
        <v>0</v>
      </c>
      <c r="E99" s="138"/>
      <c r="F99" s="160">
        <f>+'[5]4.SZ.TÁBL. ÓVODA'!$F97</f>
        <v>0</v>
      </c>
      <c r="G99" s="137">
        <f>+'[4]4.SZ.TÁBL. ÓVODA'!$H98</f>
        <v>0</v>
      </c>
      <c r="H99" s="138"/>
      <c r="I99" s="160">
        <f>+'[5]4.SZ.TÁBL. ÓVODA'!$I97</f>
        <v>0</v>
      </c>
      <c r="J99" s="137">
        <f>+'[4]4.SZ.TÁBL. ÓVODA'!$K98</f>
        <v>0</v>
      </c>
      <c r="K99" s="138"/>
      <c r="L99" s="160">
        <f>+'[5]4.SZ.TÁBL. ÓVODA'!$L97</f>
        <v>0</v>
      </c>
      <c r="M99" s="137">
        <f>+'[4]4.SZ.TÁBL. ÓVODA'!$N98</f>
        <v>0</v>
      </c>
      <c r="N99" s="138"/>
      <c r="O99" s="160">
        <f>+'[5]4.SZ.TÁBL. ÓVODA'!$O97</f>
        <v>0</v>
      </c>
      <c r="P99" s="137">
        <f>+'[4]4.SZ.TÁBL. ÓVODA'!$Q98</f>
        <v>0</v>
      </c>
      <c r="Q99" s="138"/>
      <c r="R99" s="143">
        <f t="shared" si="204"/>
        <v>0</v>
      </c>
      <c r="S99" s="137">
        <f t="shared" si="205"/>
        <v>0</v>
      </c>
      <c r="T99" s="138">
        <f t="shared" si="206"/>
        <v>0</v>
      </c>
    </row>
    <row r="100" spans="1:20" ht="13.5" customHeight="1">
      <c r="A100" s="130" t="s">
        <v>278</v>
      </c>
      <c r="B100" s="176" t="s">
        <v>279</v>
      </c>
      <c r="C100" s="160">
        <f>+'[5]4.SZ.TÁBL. ÓVODA'!$C98</f>
        <v>0</v>
      </c>
      <c r="D100" s="137">
        <f>+'[4]4.SZ.TÁBL. ÓVODA'!$E99</f>
        <v>0</v>
      </c>
      <c r="E100" s="138"/>
      <c r="F100" s="160">
        <f>+'[5]4.SZ.TÁBL. ÓVODA'!$F98</f>
        <v>0</v>
      </c>
      <c r="G100" s="137">
        <f>+'[4]4.SZ.TÁBL. ÓVODA'!$H99</f>
        <v>0</v>
      </c>
      <c r="H100" s="138"/>
      <c r="I100" s="160">
        <f>+'[5]4.SZ.TÁBL. ÓVODA'!$I98</f>
        <v>0</v>
      </c>
      <c r="J100" s="137">
        <f>+'[4]4.SZ.TÁBL. ÓVODA'!$K99</f>
        <v>0</v>
      </c>
      <c r="K100" s="138"/>
      <c r="L100" s="160">
        <f>+'[5]4.SZ.TÁBL. ÓVODA'!$L98</f>
        <v>0</v>
      </c>
      <c r="M100" s="137">
        <f>+'[4]4.SZ.TÁBL. ÓVODA'!$N99</f>
        <v>0</v>
      </c>
      <c r="N100" s="138"/>
      <c r="O100" s="160">
        <f>+'[5]4.SZ.TÁBL. ÓVODA'!$O98</f>
        <v>0</v>
      </c>
      <c r="P100" s="137">
        <f>+'[4]4.SZ.TÁBL. ÓVODA'!$Q99</f>
        <v>0</v>
      </c>
      <c r="Q100" s="138"/>
      <c r="R100" s="143">
        <f t="shared" si="204"/>
        <v>0</v>
      </c>
      <c r="S100" s="137">
        <f t="shared" si="205"/>
        <v>0</v>
      </c>
      <c r="T100" s="138">
        <f t="shared" si="206"/>
        <v>0</v>
      </c>
    </row>
    <row r="101" spans="1:20" ht="13.5" customHeight="1">
      <c r="A101" s="130" t="s">
        <v>280</v>
      </c>
      <c r="B101" s="176" t="s">
        <v>281</v>
      </c>
      <c r="C101" s="160">
        <f>+'[5]4.SZ.TÁBL. ÓVODA'!$C99</f>
        <v>0</v>
      </c>
      <c r="D101" s="137">
        <f>+'[4]4.SZ.TÁBL. ÓVODA'!$E100</f>
        <v>0</v>
      </c>
      <c r="E101" s="138"/>
      <c r="F101" s="160">
        <f>+'[5]4.SZ.TÁBL. ÓVODA'!$F99</f>
        <v>300</v>
      </c>
      <c r="G101" s="137">
        <f>+'[4]4.SZ.TÁBL. ÓVODA'!$H100</f>
        <v>670</v>
      </c>
      <c r="H101" s="138">
        <v>386</v>
      </c>
      <c r="I101" s="160">
        <f>+'[5]4.SZ.TÁBL. ÓVODA'!$I99</f>
        <v>0</v>
      </c>
      <c r="J101" s="137">
        <f>+'[4]4.SZ.TÁBL. ÓVODA'!$K100</f>
        <v>0</v>
      </c>
      <c r="K101" s="138"/>
      <c r="L101" s="160">
        <f>+'[5]4.SZ.TÁBL. ÓVODA'!$L99</f>
        <v>0</v>
      </c>
      <c r="M101" s="137">
        <f>+'[4]4.SZ.TÁBL. ÓVODA'!$N100</f>
        <v>0</v>
      </c>
      <c r="N101" s="138"/>
      <c r="O101" s="160">
        <f>+'[5]4.SZ.TÁBL. ÓVODA'!$O99</f>
        <v>50</v>
      </c>
      <c r="P101" s="137">
        <f>+'[4]4.SZ.TÁBL. ÓVODA'!$Q100</f>
        <v>50</v>
      </c>
      <c r="Q101" s="138"/>
      <c r="R101" s="143">
        <f t="shared" si="204"/>
        <v>350</v>
      </c>
      <c r="S101" s="137">
        <f t="shared" si="205"/>
        <v>720</v>
      </c>
      <c r="T101" s="138">
        <f t="shared" si="206"/>
        <v>386</v>
      </c>
    </row>
    <row r="102" spans="1:20" ht="13.5" customHeight="1">
      <c r="A102" s="130" t="s">
        <v>282</v>
      </c>
      <c r="B102" s="176" t="s">
        <v>283</v>
      </c>
      <c r="C102" s="160">
        <f>+'[5]4.SZ.TÁBL. ÓVODA'!$C100</f>
        <v>0</v>
      </c>
      <c r="D102" s="137">
        <f>+'[4]4.SZ.TÁBL. ÓVODA'!$E101</f>
        <v>0</v>
      </c>
      <c r="E102" s="138"/>
      <c r="F102" s="160">
        <f>+'[5]4.SZ.TÁBL. ÓVODA'!$F100</f>
        <v>0</v>
      </c>
      <c r="G102" s="137">
        <f>+'[4]4.SZ.TÁBL. ÓVODA'!$H101</f>
        <v>0</v>
      </c>
      <c r="H102" s="138"/>
      <c r="I102" s="160">
        <f>+'[5]4.SZ.TÁBL. ÓVODA'!$I100</f>
        <v>0</v>
      </c>
      <c r="J102" s="137">
        <f>+'[4]4.SZ.TÁBL. ÓVODA'!$K101</f>
        <v>0</v>
      </c>
      <c r="K102" s="138"/>
      <c r="L102" s="160">
        <f>+'[5]4.SZ.TÁBL. ÓVODA'!$L100</f>
        <v>0</v>
      </c>
      <c r="M102" s="137">
        <f>+'[4]4.SZ.TÁBL. ÓVODA'!$N101</f>
        <v>0</v>
      </c>
      <c r="N102" s="138"/>
      <c r="O102" s="160">
        <f>+'[5]4.SZ.TÁBL. ÓVODA'!$O100</f>
        <v>0</v>
      </c>
      <c r="P102" s="137">
        <f>+'[4]4.SZ.TÁBL. ÓVODA'!$Q101</f>
        <v>0</v>
      </c>
      <c r="Q102" s="138"/>
      <c r="R102" s="143">
        <f t="shared" si="204"/>
        <v>0</v>
      </c>
      <c r="S102" s="137">
        <f t="shared" si="205"/>
        <v>0</v>
      </c>
      <c r="T102" s="138">
        <f t="shared" si="206"/>
        <v>0</v>
      </c>
    </row>
    <row r="103" spans="1:20" ht="13.5" customHeight="1">
      <c r="A103" s="130" t="s">
        <v>284</v>
      </c>
      <c r="B103" s="176" t="s">
        <v>285</v>
      </c>
      <c r="C103" s="160">
        <f>+'[5]4.SZ.TÁBL. ÓVODA'!$C101</f>
        <v>0</v>
      </c>
      <c r="D103" s="137">
        <f>+'[4]4.SZ.TÁBL. ÓVODA'!$E102</f>
        <v>0</v>
      </c>
      <c r="E103" s="138"/>
      <c r="F103" s="160">
        <f>+'[5]4.SZ.TÁBL. ÓVODA'!$F101</f>
        <v>0</v>
      </c>
      <c r="G103" s="137">
        <f>+'[4]4.SZ.TÁBL. ÓVODA'!$H102</f>
        <v>0</v>
      </c>
      <c r="H103" s="138"/>
      <c r="I103" s="160">
        <f>+'[5]4.SZ.TÁBL. ÓVODA'!$I101</f>
        <v>0</v>
      </c>
      <c r="J103" s="137">
        <f>+'[4]4.SZ.TÁBL. ÓVODA'!$K102</f>
        <v>0</v>
      </c>
      <c r="K103" s="138"/>
      <c r="L103" s="160">
        <f>+'[5]4.SZ.TÁBL. ÓVODA'!$L101</f>
        <v>0</v>
      </c>
      <c r="M103" s="137">
        <f>+'[4]4.SZ.TÁBL. ÓVODA'!$N102</f>
        <v>0</v>
      </c>
      <c r="N103" s="138"/>
      <c r="O103" s="160">
        <f>+'[5]4.SZ.TÁBL. ÓVODA'!$O101</f>
        <v>0</v>
      </c>
      <c r="P103" s="137">
        <f>+'[4]4.SZ.TÁBL. ÓVODA'!$Q102</f>
        <v>0</v>
      </c>
      <c r="Q103" s="138"/>
      <c r="R103" s="143">
        <f t="shared" si="204"/>
        <v>0</v>
      </c>
      <c r="S103" s="137">
        <f t="shared" si="205"/>
        <v>0</v>
      </c>
      <c r="T103" s="138">
        <f t="shared" si="206"/>
        <v>0</v>
      </c>
    </row>
    <row r="104" spans="1:20" ht="13.5" customHeight="1">
      <c r="A104" s="131" t="s">
        <v>286</v>
      </c>
      <c r="B104" s="177" t="s">
        <v>287</v>
      </c>
      <c r="C104" s="160">
        <f>+'[5]4.SZ.TÁBL. ÓVODA'!$C102</f>
        <v>0</v>
      </c>
      <c r="D104" s="137">
        <f>+'[4]4.SZ.TÁBL. ÓVODA'!$E103</f>
        <v>0</v>
      </c>
      <c r="E104" s="161"/>
      <c r="F104" s="160">
        <f>+'[5]4.SZ.TÁBL. ÓVODA'!$F102</f>
        <v>81</v>
      </c>
      <c r="G104" s="137">
        <f>+'[4]4.SZ.TÁBL. ÓVODA'!$H103</f>
        <v>181</v>
      </c>
      <c r="H104" s="161">
        <v>99</v>
      </c>
      <c r="I104" s="160">
        <f>+'[5]4.SZ.TÁBL. ÓVODA'!$I102</f>
        <v>0</v>
      </c>
      <c r="J104" s="137">
        <f>+'[4]4.SZ.TÁBL. ÓVODA'!$K103</f>
        <v>0</v>
      </c>
      <c r="K104" s="161"/>
      <c r="L104" s="160">
        <f>+'[5]4.SZ.TÁBL. ÓVODA'!$L102</f>
        <v>0</v>
      </c>
      <c r="M104" s="137">
        <f>+'[4]4.SZ.TÁBL. ÓVODA'!$N103</f>
        <v>0</v>
      </c>
      <c r="N104" s="161"/>
      <c r="O104" s="160">
        <f>+'[5]4.SZ.TÁBL. ÓVODA'!$O102</f>
        <v>14</v>
      </c>
      <c r="P104" s="137">
        <f>+'[4]4.SZ.TÁBL. ÓVODA'!$Q103</f>
        <v>14</v>
      </c>
      <c r="Q104" s="161"/>
      <c r="R104" s="160">
        <f t="shared" si="204"/>
        <v>95</v>
      </c>
      <c r="S104" s="156">
        <f t="shared" si="205"/>
        <v>195</v>
      </c>
      <c r="T104" s="161">
        <f t="shared" si="206"/>
        <v>99</v>
      </c>
    </row>
    <row r="105" spans="1:20" s="235" customFormat="1" ht="13.5" customHeight="1">
      <c r="A105" s="132" t="s">
        <v>203</v>
      </c>
      <c r="B105" s="178" t="s">
        <v>116</v>
      </c>
      <c r="C105" s="208">
        <f>SUM(C98:C104)</f>
        <v>0</v>
      </c>
      <c r="D105" s="212">
        <f t="shared" ref="D105:E105" si="207">SUM(D98:D104)</f>
        <v>0</v>
      </c>
      <c r="E105" s="213">
        <f t="shared" si="207"/>
        <v>0</v>
      </c>
      <c r="F105" s="208">
        <f>SUM(F98:F104)</f>
        <v>381</v>
      </c>
      <c r="G105" s="212">
        <f t="shared" ref="G105" si="208">SUM(G98:G104)</f>
        <v>851</v>
      </c>
      <c r="H105" s="213">
        <f t="shared" ref="H105" si="209">SUM(H98:H104)</f>
        <v>485</v>
      </c>
      <c r="I105" s="208">
        <f>SUM(I98:I104)</f>
        <v>0</v>
      </c>
      <c r="J105" s="212">
        <f t="shared" ref="J105" si="210">SUM(J98:J104)</f>
        <v>0</v>
      </c>
      <c r="K105" s="213">
        <f t="shared" ref="K105" si="211">SUM(K98:K104)</f>
        <v>0</v>
      </c>
      <c r="L105" s="208">
        <f>SUM(L98:L104)</f>
        <v>0</v>
      </c>
      <c r="M105" s="212">
        <f t="shared" ref="M105" si="212">SUM(M98:M104)</f>
        <v>0</v>
      </c>
      <c r="N105" s="213">
        <f t="shared" ref="N105" si="213">SUM(N98:N104)</f>
        <v>0</v>
      </c>
      <c r="O105" s="208">
        <f>SUM(O98:O104)</f>
        <v>64</v>
      </c>
      <c r="P105" s="212">
        <f t="shared" ref="P105" si="214">SUM(P98:P104)</f>
        <v>64</v>
      </c>
      <c r="Q105" s="213">
        <f t="shared" ref="Q105" si="215">SUM(Q98:Q104)</f>
        <v>0</v>
      </c>
      <c r="R105" s="208">
        <f>SUM(R98:R104)</f>
        <v>445</v>
      </c>
      <c r="S105" s="212">
        <f t="shared" ref="S105:T105" si="216">SUM(S98:S104)</f>
        <v>915</v>
      </c>
      <c r="T105" s="213">
        <f t="shared" si="216"/>
        <v>485</v>
      </c>
    </row>
    <row r="106" spans="1:20" ht="13.5" customHeight="1">
      <c r="A106" s="129" t="s">
        <v>288</v>
      </c>
      <c r="B106" s="175" t="s">
        <v>289</v>
      </c>
      <c r="C106" s="160">
        <f>+'[5]4.SZ.TÁBL. ÓVODA'!$C104</f>
        <v>0</v>
      </c>
      <c r="D106" s="137">
        <f>+'[4]4.SZ.TÁBL. ÓVODA'!$E105</f>
        <v>0</v>
      </c>
      <c r="E106" s="151"/>
      <c r="F106" s="160">
        <f>+'[5]4.SZ.TÁBL. ÓVODA'!$F104</f>
        <v>0</v>
      </c>
      <c r="G106" s="137">
        <f>+'[4]4.SZ.TÁBL. ÓVODA'!$H105</f>
        <v>0</v>
      </c>
      <c r="H106" s="151"/>
      <c r="I106" s="160">
        <f>+'[5]4.SZ.TÁBL. ÓVODA'!$I104</f>
        <v>0</v>
      </c>
      <c r="J106" s="137">
        <f>+'[4]4.SZ.TÁBL. ÓVODA'!$K105</f>
        <v>0</v>
      </c>
      <c r="K106" s="151"/>
      <c r="L106" s="160">
        <f>+'[5]4.SZ.TÁBL. ÓVODA'!$L104</f>
        <v>0</v>
      </c>
      <c r="M106" s="137">
        <f>+'[4]4.SZ.TÁBL. ÓVODA'!$N105</f>
        <v>0</v>
      </c>
      <c r="N106" s="151"/>
      <c r="O106" s="160">
        <f>+'[5]4.SZ.TÁBL. ÓVODA'!$O104</f>
        <v>0</v>
      </c>
      <c r="P106" s="137">
        <f>+'[4]4.SZ.TÁBL. ÓVODA'!$Q105</f>
        <v>0</v>
      </c>
      <c r="Q106" s="151"/>
      <c r="R106" s="150">
        <f t="shared" ref="R106:R109" si="217">+C106+F106+I106+L106+O106</f>
        <v>0</v>
      </c>
      <c r="S106" s="146">
        <f t="shared" ref="S106:S109" si="218">+D106+G106+J106+M106+P106</f>
        <v>0</v>
      </c>
      <c r="T106" s="151">
        <f t="shared" ref="T106:T109" si="219">+E106+H106+K106+N106+Q106</f>
        <v>0</v>
      </c>
    </row>
    <row r="107" spans="1:20" ht="13.5" customHeight="1">
      <c r="A107" s="130" t="s">
        <v>290</v>
      </c>
      <c r="B107" s="176" t="s">
        <v>291</v>
      </c>
      <c r="C107" s="160">
        <f>+'[5]4.SZ.TÁBL. ÓVODA'!$C105</f>
        <v>0</v>
      </c>
      <c r="D107" s="137">
        <f>+'[4]4.SZ.TÁBL. ÓVODA'!$E106</f>
        <v>0</v>
      </c>
      <c r="E107" s="138"/>
      <c r="F107" s="160">
        <f>+'[5]4.SZ.TÁBL. ÓVODA'!$F105</f>
        <v>0</v>
      </c>
      <c r="G107" s="137">
        <f>+'[4]4.SZ.TÁBL. ÓVODA'!$H106</f>
        <v>0</v>
      </c>
      <c r="H107" s="138"/>
      <c r="I107" s="160">
        <f>+'[5]4.SZ.TÁBL. ÓVODA'!$I105</f>
        <v>0</v>
      </c>
      <c r="J107" s="137">
        <f>+'[4]4.SZ.TÁBL. ÓVODA'!$K106</f>
        <v>0</v>
      </c>
      <c r="K107" s="138"/>
      <c r="L107" s="160">
        <f>+'[5]4.SZ.TÁBL. ÓVODA'!$L105</f>
        <v>0</v>
      </c>
      <c r="M107" s="137">
        <f>+'[4]4.SZ.TÁBL. ÓVODA'!$N106</f>
        <v>0</v>
      </c>
      <c r="N107" s="138"/>
      <c r="O107" s="160">
        <f>+'[5]4.SZ.TÁBL. ÓVODA'!$O105</f>
        <v>0</v>
      </c>
      <c r="P107" s="137">
        <f>+'[4]4.SZ.TÁBL. ÓVODA'!$Q106</f>
        <v>0</v>
      </c>
      <c r="Q107" s="138"/>
      <c r="R107" s="143">
        <f t="shared" si="217"/>
        <v>0</v>
      </c>
      <c r="S107" s="137">
        <f t="shared" si="218"/>
        <v>0</v>
      </c>
      <c r="T107" s="138">
        <f t="shared" si="219"/>
        <v>0</v>
      </c>
    </row>
    <row r="108" spans="1:20" ht="13.5" customHeight="1">
      <c r="A108" s="130" t="s">
        <v>292</v>
      </c>
      <c r="B108" s="176" t="s">
        <v>293</v>
      </c>
      <c r="C108" s="160">
        <f>+'[5]4.SZ.TÁBL. ÓVODA'!$C106</f>
        <v>0</v>
      </c>
      <c r="D108" s="137">
        <f>+'[4]4.SZ.TÁBL. ÓVODA'!$E107</f>
        <v>0</v>
      </c>
      <c r="E108" s="138"/>
      <c r="F108" s="160">
        <f>+'[5]4.SZ.TÁBL. ÓVODA'!$F106</f>
        <v>0</v>
      </c>
      <c r="G108" s="137">
        <f>+'[4]4.SZ.TÁBL. ÓVODA'!$H107</f>
        <v>0</v>
      </c>
      <c r="H108" s="138"/>
      <c r="I108" s="160">
        <f>+'[5]4.SZ.TÁBL. ÓVODA'!$I106</f>
        <v>0</v>
      </c>
      <c r="J108" s="137">
        <f>+'[4]4.SZ.TÁBL. ÓVODA'!$K107</f>
        <v>0</v>
      </c>
      <c r="K108" s="138"/>
      <c r="L108" s="160">
        <f>+'[5]4.SZ.TÁBL. ÓVODA'!$L106</f>
        <v>0</v>
      </c>
      <c r="M108" s="137">
        <f>+'[4]4.SZ.TÁBL. ÓVODA'!$N107</f>
        <v>0</v>
      </c>
      <c r="N108" s="138"/>
      <c r="O108" s="160">
        <f>+'[5]4.SZ.TÁBL. ÓVODA'!$O106</f>
        <v>0</v>
      </c>
      <c r="P108" s="137">
        <f>+'[4]4.SZ.TÁBL. ÓVODA'!$Q107</f>
        <v>0</v>
      </c>
      <c r="Q108" s="138"/>
      <c r="R108" s="143">
        <f t="shared" si="217"/>
        <v>0</v>
      </c>
      <c r="S108" s="137">
        <f t="shared" si="218"/>
        <v>0</v>
      </c>
      <c r="T108" s="138">
        <f t="shared" si="219"/>
        <v>0</v>
      </c>
    </row>
    <row r="109" spans="1:20" ht="13.5" customHeight="1">
      <c r="A109" s="131" t="s">
        <v>294</v>
      </c>
      <c r="B109" s="177" t="s">
        <v>295</v>
      </c>
      <c r="C109" s="160">
        <f>+'[5]4.SZ.TÁBL. ÓVODA'!$C107</f>
        <v>0</v>
      </c>
      <c r="D109" s="137">
        <f>+'[4]4.SZ.TÁBL. ÓVODA'!$E108</f>
        <v>0</v>
      </c>
      <c r="E109" s="161"/>
      <c r="F109" s="160">
        <f>+'[5]4.SZ.TÁBL. ÓVODA'!$F107</f>
        <v>0</v>
      </c>
      <c r="G109" s="137">
        <f>+'[4]4.SZ.TÁBL. ÓVODA'!$H108</f>
        <v>0</v>
      </c>
      <c r="H109" s="161"/>
      <c r="I109" s="160">
        <f>+'[5]4.SZ.TÁBL. ÓVODA'!$I107</f>
        <v>0</v>
      </c>
      <c r="J109" s="137">
        <f>+'[4]4.SZ.TÁBL. ÓVODA'!$K108</f>
        <v>0</v>
      </c>
      <c r="K109" s="161"/>
      <c r="L109" s="160">
        <f>+'[5]4.SZ.TÁBL. ÓVODA'!$L107</f>
        <v>0</v>
      </c>
      <c r="M109" s="137">
        <f>+'[4]4.SZ.TÁBL. ÓVODA'!$N108</f>
        <v>0</v>
      </c>
      <c r="N109" s="161"/>
      <c r="O109" s="160">
        <f>+'[5]4.SZ.TÁBL. ÓVODA'!$O107</f>
        <v>0</v>
      </c>
      <c r="P109" s="137">
        <f>+'[4]4.SZ.TÁBL. ÓVODA'!$Q108</f>
        <v>0</v>
      </c>
      <c r="Q109" s="161"/>
      <c r="R109" s="160">
        <f t="shared" si="217"/>
        <v>0</v>
      </c>
      <c r="S109" s="156">
        <f t="shared" si="218"/>
        <v>0</v>
      </c>
      <c r="T109" s="161">
        <f t="shared" si="219"/>
        <v>0</v>
      </c>
    </row>
    <row r="110" spans="1:20" s="235" customFormat="1" ht="13.5" customHeight="1">
      <c r="A110" s="132" t="s">
        <v>204</v>
      </c>
      <c r="B110" s="178" t="s">
        <v>161</v>
      </c>
      <c r="C110" s="208">
        <f>SUM(C106:C109)</f>
        <v>0</v>
      </c>
      <c r="D110" s="212">
        <f t="shared" ref="D110:E110" si="220">SUM(D106:D109)</f>
        <v>0</v>
      </c>
      <c r="E110" s="213">
        <f t="shared" si="220"/>
        <v>0</v>
      </c>
      <c r="F110" s="208">
        <f>SUM(F106:F109)</f>
        <v>0</v>
      </c>
      <c r="G110" s="212">
        <f t="shared" ref="G110" si="221">SUM(G106:G109)</f>
        <v>0</v>
      </c>
      <c r="H110" s="213">
        <f t="shared" ref="H110" si="222">SUM(H106:H109)</f>
        <v>0</v>
      </c>
      <c r="I110" s="208">
        <f>SUM(I106:I109)</f>
        <v>0</v>
      </c>
      <c r="J110" s="212">
        <f t="shared" ref="J110" si="223">SUM(J106:J109)</f>
        <v>0</v>
      </c>
      <c r="K110" s="213">
        <f t="shared" ref="K110" si="224">SUM(K106:K109)</f>
        <v>0</v>
      </c>
      <c r="L110" s="208">
        <f>SUM(L106:L109)</f>
        <v>0</v>
      </c>
      <c r="M110" s="212">
        <f t="shared" ref="M110" si="225">SUM(M106:M109)</f>
        <v>0</v>
      </c>
      <c r="N110" s="213">
        <f t="shared" ref="N110" si="226">SUM(N106:N109)</f>
        <v>0</v>
      </c>
      <c r="O110" s="208">
        <f>SUM(O106:O109)</f>
        <v>0</v>
      </c>
      <c r="P110" s="212">
        <f t="shared" ref="P110" si="227">SUM(P106:P109)</f>
        <v>0</v>
      </c>
      <c r="Q110" s="213">
        <f t="shared" ref="Q110" si="228">SUM(Q106:Q109)</f>
        <v>0</v>
      </c>
      <c r="R110" s="208">
        <f>SUM(R106:R109)</f>
        <v>0</v>
      </c>
      <c r="S110" s="212">
        <f t="shared" ref="S110:T110" si="229">SUM(S106:S109)</f>
        <v>0</v>
      </c>
      <c r="T110" s="213">
        <f t="shared" si="229"/>
        <v>0</v>
      </c>
    </row>
    <row r="111" spans="1:20" s="235" customFormat="1" ht="13.5" customHeight="1">
      <c r="A111" s="132" t="s">
        <v>205</v>
      </c>
      <c r="B111" s="178" t="s">
        <v>162</v>
      </c>
      <c r="C111" s="160">
        <f>+'[5]4.SZ.TÁBL. ÓVODA'!$C109</f>
        <v>0</v>
      </c>
      <c r="D111" s="212"/>
      <c r="E111" s="213"/>
      <c r="F111" s="160">
        <f>+'[5]4.SZ.TÁBL. ÓVODA'!$F109</f>
        <v>0</v>
      </c>
      <c r="G111" s="212"/>
      <c r="H111" s="213"/>
      <c r="I111" s="160">
        <f>+'[5]4.SZ.TÁBL. ÓVODA'!$I109</f>
        <v>0</v>
      </c>
      <c r="J111" s="212"/>
      <c r="K111" s="213"/>
      <c r="L111" s="160">
        <f>+'[5]4.SZ.TÁBL. ÓVODA'!$L109</f>
        <v>0</v>
      </c>
      <c r="M111" s="212"/>
      <c r="N111" s="213"/>
      <c r="O111" s="160">
        <f>+'[5]4.SZ.TÁBL. ÓVODA'!$O109</f>
        <v>0</v>
      </c>
      <c r="P111" s="212"/>
      <c r="Q111" s="489"/>
      <c r="R111" s="163">
        <f t="shared" ref="R111" si="230">+C111+F111+I111+L111+O111</f>
        <v>0</v>
      </c>
      <c r="S111" s="488">
        <f t="shared" ref="S111" si="231">+D111+G111+J111+M111+P111</f>
        <v>0</v>
      </c>
      <c r="T111" s="489">
        <f t="shared" ref="T111" si="232">+E111+H111+K111+N111+Q111</f>
        <v>0</v>
      </c>
    </row>
    <row r="112" spans="1:20" s="235" customFormat="1" ht="13.5" customHeight="1">
      <c r="A112" s="136" t="s">
        <v>206</v>
      </c>
      <c r="B112" s="178" t="s">
        <v>163</v>
      </c>
      <c r="C112" s="208">
        <f t="shared" ref="C112:T112" si="233">+C57+C58+C90+C97+C105+C110+C111</f>
        <v>33152</v>
      </c>
      <c r="D112" s="212">
        <f t="shared" si="233"/>
        <v>33769</v>
      </c>
      <c r="E112" s="213">
        <f t="shared" si="233"/>
        <v>21564</v>
      </c>
      <c r="F112" s="208">
        <f t="shared" si="233"/>
        <v>52215</v>
      </c>
      <c r="G112" s="212">
        <f t="shared" ref="G112" si="234">+G57+G58+G90+G97+G105+G110+G111</f>
        <v>52677</v>
      </c>
      <c r="H112" s="213">
        <f t="shared" si="233"/>
        <v>33541</v>
      </c>
      <c r="I112" s="208">
        <f t="shared" si="233"/>
        <v>26647</v>
      </c>
      <c r="J112" s="212">
        <f t="shared" si="233"/>
        <v>26993</v>
      </c>
      <c r="K112" s="213">
        <f t="shared" si="233"/>
        <v>21251</v>
      </c>
      <c r="L112" s="208">
        <f t="shared" si="233"/>
        <v>49055</v>
      </c>
      <c r="M112" s="212">
        <f t="shared" ref="M112" si="235">+M57+M58+M90+M97+M105+M110+M111</f>
        <v>49537</v>
      </c>
      <c r="N112" s="213">
        <f t="shared" si="233"/>
        <v>36738</v>
      </c>
      <c r="O112" s="208">
        <f t="shared" si="233"/>
        <v>10336</v>
      </c>
      <c r="P112" s="212">
        <f t="shared" si="233"/>
        <v>10470</v>
      </c>
      <c r="Q112" s="213">
        <f t="shared" si="233"/>
        <v>6534</v>
      </c>
      <c r="R112" s="208">
        <f t="shared" si="233"/>
        <v>171405</v>
      </c>
      <c r="S112" s="212">
        <f t="shared" si="233"/>
        <v>173446</v>
      </c>
      <c r="T112" s="213">
        <f t="shared" si="233"/>
        <v>119628</v>
      </c>
    </row>
    <row r="113" spans="1:20" s="235" customFormat="1" ht="13.5" customHeight="1" thickBot="1">
      <c r="A113" s="174" t="s">
        <v>207</v>
      </c>
      <c r="B113" s="181" t="s">
        <v>164</v>
      </c>
      <c r="C113" s="226"/>
      <c r="D113" s="227"/>
      <c r="E113" s="228"/>
      <c r="F113" s="226"/>
      <c r="G113" s="227"/>
      <c r="H113" s="228"/>
      <c r="I113" s="226"/>
      <c r="J113" s="227"/>
      <c r="K113" s="228"/>
      <c r="L113" s="226"/>
      <c r="M113" s="227"/>
      <c r="N113" s="228"/>
      <c r="O113" s="226"/>
      <c r="P113" s="227"/>
      <c r="Q113" s="228"/>
      <c r="R113" s="171">
        <f t="shared" ref="R113" si="236">+C113+F113+I113+L113+O113</f>
        <v>0</v>
      </c>
      <c r="S113" s="167">
        <f t="shared" ref="S113" si="237">+D113+G113+J113+M113+P113</f>
        <v>0</v>
      </c>
      <c r="T113" s="172">
        <f t="shared" ref="T113" si="238">+E113+H113+K113+N113+Q113</f>
        <v>0</v>
      </c>
    </row>
    <row r="114" spans="1:20" s="235" customFormat="1" ht="13.5" customHeight="1" thickBot="1">
      <c r="A114" s="899" t="s">
        <v>330</v>
      </c>
      <c r="B114" s="900"/>
      <c r="C114" s="219">
        <f>SUM(C112:C113)</f>
        <v>33152</v>
      </c>
      <c r="D114" s="220">
        <f t="shared" ref="D114:E114" si="239">SUM(D112:D113)</f>
        <v>33769</v>
      </c>
      <c r="E114" s="221">
        <f t="shared" si="239"/>
        <v>21564</v>
      </c>
      <c r="F114" s="219">
        <f>SUM(F112:F113)</f>
        <v>52215</v>
      </c>
      <c r="G114" s="220">
        <f t="shared" ref="G114" si="240">SUM(G112:G113)</f>
        <v>52677</v>
      </c>
      <c r="H114" s="221">
        <f t="shared" ref="H114" si="241">SUM(H112:H113)</f>
        <v>33541</v>
      </c>
      <c r="I114" s="219">
        <f>SUM(I112:I113)</f>
        <v>26647</v>
      </c>
      <c r="J114" s="220">
        <f t="shared" ref="J114" si="242">SUM(J112:J113)</f>
        <v>26993</v>
      </c>
      <c r="K114" s="221">
        <f t="shared" ref="K114" si="243">SUM(K112:K113)</f>
        <v>21251</v>
      </c>
      <c r="L114" s="219">
        <f>SUM(L112:L113)</f>
        <v>49055</v>
      </c>
      <c r="M114" s="220">
        <f t="shared" ref="M114" si="244">SUM(M112:M113)</f>
        <v>49537</v>
      </c>
      <c r="N114" s="221">
        <f t="shared" ref="N114" si="245">SUM(N112:N113)</f>
        <v>36738</v>
      </c>
      <c r="O114" s="219">
        <f>SUM(O112:O113)</f>
        <v>10336</v>
      </c>
      <c r="P114" s="220">
        <f t="shared" ref="P114" si="246">SUM(P112:P113)</f>
        <v>10470</v>
      </c>
      <c r="Q114" s="221">
        <f t="shared" ref="Q114" si="247">SUM(Q112:Q113)</f>
        <v>6534</v>
      </c>
      <c r="R114" s="219">
        <f>SUM(R112:R113)</f>
        <v>171405</v>
      </c>
      <c r="S114" s="220">
        <f t="shared" ref="S114:T114" si="248">SUM(S112:S113)</f>
        <v>173446</v>
      </c>
      <c r="T114" s="221">
        <f t="shared" si="248"/>
        <v>119628</v>
      </c>
    </row>
    <row r="115" spans="1:20" ht="13.5" customHeight="1" thickBot="1">
      <c r="J115" s="33"/>
      <c r="K115" s="33"/>
      <c r="M115" s="33"/>
      <c r="N115" s="33"/>
      <c r="R115" s="33"/>
      <c r="S115" s="33"/>
      <c r="T115" s="33"/>
    </row>
    <row r="116" spans="1:20" s="235" customFormat="1" ht="13.5" customHeight="1" thickBot="1">
      <c r="A116" s="897" t="s">
        <v>349</v>
      </c>
      <c r="B116" s="931"/>
      <c r="C116" s="219">
        <f t="shared" ref="C116:T116" si="249">+C37-C114</f>
        <v>158</v>
      </c>
      <c r="D116" s="220">
        <f t="shared" si="249"/>
        <v>158</v>
      </c>
      <c r="E116" s="221">
        <f t="shared" si="249"/>
        <v>3018</v>
      </c>
      <c r="F116" s="219">
        <f t="shared" si="249"/>
        <v>0</v>
      </c>
      <c r="G116" s="220">
        <f t="shared" si="249"/>
        <v>0</v>
      </c>
      <c r="H116" s="221">
        <f t="shared" si="249"/>
        <v>6400</v>
      </c>
      <c r="I116" s="219">
        <f t="shared" si="249"/>
        <v>0</v>
      </c>
      <c r="J116" s="220">
        <f t="shared" si="249"/>
        <v>0</v>
      </c>
      <c r="K116" s="221">
        <f t="shared" si="249"/>
        <v>0</v>
      </c>
      <c r="L116" s="219">
        <f t="shared" si="249"/>
        <v>0</v>
      </c>
      <c r="M116" s="220">
        <f t="shared" si="249"/>
        <v>0</v>
      </c>
      <c r="N116" s="221">
        <f t="shared" si="249"/>
        <v>592</v>
      </c>
      <c r="O116" s="219">
        <f t="shared" si="249"/>
        <v>-158</v>
      </c>
      <c r="P116" s="220">
        <f t="shared" si="249"/>
        <v>-158</v>
      </c>
      <c r="Q116" s="221">
        <f t="shared" si="249"/>
        <v>1808</v>
      </c>
      <c r="R116" s="219">
        <f t="shared" si="249"/>
        <v>0</v>
      </c>
      <c r="S116" s="220">
        <f t="shared" si="249"/>
        <v>0</v>
      </c>
      <c r="T116" s="221">
        <f t="shared" si="249"/>
        <v>11818</v>
      </c>
    </row>
    <row r="117" spans="1:20" ht="13.5" customHeight="1"/>
    <row r="118" spans="1:20" ht="13.5" customHeight="1">
      <c r="B118" s="32" t="s">
        <v>343</v>
      </c>
      <c r="C118" s="243">
        <f>(+C90-C89)*0.27</f>
        <v>2354.4</v>
      </c>
      <c r="F118" s="243">
        <f>(+F90-F89)*0.27</f>
        <v>1346.22</v>
      </c>
      <c r="I118" s="243">
        <f>(+I90-I89)*0.27</f>
        <v>10.8</v>
      </c>
      <c r="L118" s="243">
        <f>(+L90-L89)*0.27</f>
        <v>62.64</v>
      </c>
      <c r="O118" s="243">
        <f>(+O90-O89)*0.27</f>
        <v>610.74</v>
      </c>
    </row>
    <row r="119" spans="1:20" ht="13.5" customHeight="1">
      <c r="B119" s="32" t="s">
        <v>339</v>
      </c>
      <c r="C119" s="33">
        <v>2058</v>
      </c>
      <c r="F119" s="243">
        <v>1510</v>
      </c>
      <c r="I119" s="33">
        <v>11</v>
      </c>
      <c r="L119" s="33">
        <v>11</v>
      </c>
      <c r="O119" s="33">
        <v>446</v>
      </c>
    </row>
    <row r="120" spans="1:20" ht="13.5" customHeight="1">
      <c r="B120" s="32" t="s">
        <v>344</v>
      </c>
      <c r="C120" s="243">
        <f>+SUM(C98:C103)*0.27</f>
        <v>0</v>
      </c>
      <c r="F120" s="243">
        <f>+SUM(F98:F103)*0.27</f>
        <v>81</v>
      </c>
      <c r="I120" s="243">
        <f>+SUM(I98:I103)*0.27</f>
        <v>0</v>
      </c>
      <c r="L120" s="243">
        <f>+SUM(L98:L103)*0.27</f>
        <v>0</v>
      </c>
      <c r="O120" s="243">
        <f>+SUM(O98:O103)*0.27</f>
        <v>13.5</v>
      </c>
    </row>
    <row r="121" spans="1:20" ht="13.5" customHeight="1">
      <c r="B121" s="32" t="s">
        <v>339</v>
      </c>
      <c r="C121" s="33">
        <v>189</v>
      </c>
      <c r="F121" s="33">
        <v>81</v>
      </c>
      <c r="O121" s="33">
        <v>14</v>
      </c>
    </row>
    <row r="123" spans="1:20">
      <c r="B123" s="32" t="s">
        <v>350</v>
      </c>
      <c r="N123" s="33"/>
      <c r="O123" s="33">
        <v>5943</v>
      </c>
      <c r="Q123" s="34" t="s">
        <v>339</v>
      </c>
      <c r="T123" s="2"/>
    </row>
    <row r="124" spans="1:20">
      <c r="B124" s="32" t="s">
        <v>391</v>
      </c>
      <c r="N124" s="33">
        <v>4</v>
      </c>
      <c r="O124" s="355">
        <f>+N124/N128</f>
        <v>0.33333333333333331</v>
      </c>
      <c r="P124" s="246">
        <f>+O123*O124</f>
        <v>1981</v>
      </c>
      <c r="Q124" s="240">
        <v>1981</v>
      </c>
      <c r="T124" s="2"/>
    </row>
    <row r="125" spans="1:20">
      <c r="B125" s="32" t="s">
        <v>392</v>
      </c>
      <c r="N125" s="33">
        <v>2</v>
      </c>
      <c r="O125" s="355">
        <f>+N125/N128</f>
        <v>0.16666666666666666</v>
      </c>
      <c r="P125" s="246">
        <f>+O123*O125</f>
        <v>990.5</v>
      </c>
      <c r="Q125" s="240">
        <v>990</v>
      </c>
      <c r="T125" s="2"/>
    </row>
    <row r="126" spans="1:20">
      <c r="B126" s="32" t="s">
        <v>393</v>
      </c>
      <c r="N126" s="33">
        <v>4</v>
      </c>
      <c r="O126" s="355">
        <f>+N126/N128</f>
        <v>0.33333333333333331</v>
      </c>
      <c r="P126" s="246">
        <f>+O123*O126</f>
        <v>1981</v>
      </c>
      <c r="Q126" s="240">
        <v>1981</v>
      </c>
      <c r="T126" s="2"/>
    </row>
    <row r="127" spans="1:20">
      <c r="B127" s="32" t="s">
        <v>394</v>
      </c>
      <c r="N127" s="33">
        <v>2</v>
      </c>
      <c r="O127" s="355">
        <f>+N127/N128</f>
        <v>0.16666666666666666</v>
      </c>
      <c r="P127" s="246">
        <f>+O123*O127</f>
        <v>990.5</v>
      </c>
      <c r="Q127" s="240">
        <v>991</v>
      </c>
      <c r="T127" s="2"/>
    </row>
    <row r="128" spans="1:20">
      <c r="N128" s="33">
        <f>SUM(N124:N127)</f>
        <v>12</v>
      </c>
      <c r="O128" s="355">
        <f>SUM(O124:O127)</f>
        <v>0.99999999999999989</v>
      </c>
      <c r="P128" s="246">
        <f>SUM(P124:P127)</f>
        <v>5943</v>
      </c>
      <c r="Q128" s="240">
        <f>SUM(Q124:Q127)</f>
        <v>5943</v>
      </c>
      <c r="T128" s="2"/>
    </row>
  </sheetData>
  <mergeCells count="11">
    <mergeCell ref="R1:T1"/>
    <mergeCell ref="L1:N1"/>
    <mergeCell ref="O1:Q1"/>
    <mergeCell ref="A114:B114"/>
    <mergeCell ref="A116:B116"/>
    <mergeCell ref="A37:B37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&amp;R4. sz. táblázat
ÓVODA
Adatok: eFt</oddHeader>
    <oddFooter>&amp;L&amp;F&amp;R&amp;P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AI94"/>
  <sheetViews>
    <sheetView topLeftCell="A29" zoomScaleSheetLayoutView="85" workbookViewId="0">
      <selection activeCell="L47" sqref="L47"/>
    </sheetView>
  </sheetViews>
  <sheetFormatPr defaultColWidth="8.85546875" defaultRowHeight="12.75"/>
  <cols>
    <col min="1" max="1" width="33.42578125" style="15" customWidth="1"/>
    <col min="2" max="4" width="11.85546875" style="14" customWidth="1"/>
    <col min="5" max="5" width="11.85546875" style="296" customWidth="1"/>
    <col min="6" max="13" width="11.85546875" style="15" customWidth="1"/>
    <col min="14" max="14" width="8.28515625" style="15" customWidth="1"/>
    <col min="15" max="15" width="11.5703125" style="15" customWidth="1"/>
    <col min="16" max="16" width="16.5703125" style="15" hidden="1" customWidth="1"/>
    <col min="17" max="17" width="19" style="15" hidden="1" customWidth="1"/>
    <col min="18" max="18" width="14.42578125" style="13" hidden="1" customWidth="1"/>
    <col min="19" max="19" width="14.85546875" style="13" hidden="1" customWidth="1"/>
    <col min="20" max="20" width="15.85546875" style="13" hidden="1" customWidth="1"/>
    <col min="21" max="21" width="14.7109375" style="14" hidden="1" customWidth="1"/>
    <col min="22" max="22" width="13.28515625" style="14" hidden="1" customWidth="1"/>
    <col min="23" max="23" width="10.140625" style="15" bestFit="1" customWidth="1"/>
    <col min="24" max="24" width="5.85546875" style="15" customWidth="1"/>
    <col min="25" max="25" width="11.140625" style="15" bestFit="1" customWidth="1"/>
    <col min="26" max="26" width="10" style="15" bestFit="1" customWidth="1"/>
    <col min="27" max="27" width="8.85546875" style="15"/>
    <col min="28" max="28" width="10.7109375" style="15" customWidth="1"/>
    <col min="29" max="16384" width="8.85546875" style="15"/>
  </cols>
  <sheetData>
    <row r="1" spans="1:31" hidden="1">
      <c r="A1" s="35"/>
      <c r="B1" s="22"/>
      <c r="C1" s="22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8"/>
      <c r="S1" s="298"/>
      <c r="T1" s="298"/>
      <c r="U1" s="299"/>
      <c r="V1" s="299"/>
      <c r="AE1" s="14"/>
    </row>
    <row r="2" spans="1:31" hidden="1">
      <c r="A2" s="35" t="s">
        <v>96</v>
      </c>
      <c r="B2" s="22">
        <v>4012000</v>
      </c>
      <c r="C2" s="22"/>
      <c r="E2" s="14"/>
      <c r="F2" s="296"/>
      <c r="W2" s="14"/>
      <c r="X2" s="14"/>
      <c r="Y2" s="14"/>
    </row>
    <row r="3" spans="1:31" hidden="1">
      <c r="A3" s="35"/>
      <c r="B3" s="22"/>
      <c r="C3" s="22"/>
      <c r="E3" s="14"/>
      <c r="F3" s="296"/>
      <c r="W3" s="14"/>
      <c r="X3" s="14"/>
      <c r="Y3" s="14"/>
    </row>
    <row r="4" spans="1:31" hidden="1">
      <c r="A4" s="35"/>
      <c r="B4" s="22"/>
      <c r="C4" s="22"/>
      <c r="D4" s="15"/>
      <c r="E4" s="15"/>
      <c r="F4" s="296"/>
      <c r="G4" s="944"/>
      <c r="H4" s="944"/>
      <c r="I4" s="944"/>
      <c r="J4" s="944"/>
      <c r="K4" s="944"/>
      <c r="L4" s="944"/>
      <c r="M4" s="944"/>
      <c r="N4" s="300"/>
      <c r="O4" s="300"/>
      <c r="P4" s="300"/>
      <c r="Q4" s="300"/>
      <c r="Y4" s="14"/>
    </row>
    <row r="5" spans="1:31" hidden="1">
      <c r="A5" s="301" t="s">
        <v>306</v>
      </c>
      <c r="B5" s="14" t="s">
        <v>17</v>
      </c>
      <c r="C5" s="15" t="s">
        <v>78</v>
      </c>
      <c r="D5" s="15" t="s">
        <v>77</v>
      </c>
      <c r="E5" s="15" t="s">
        <v>86</v>
      </c>
      <c r="F5" s="296" t="s">
        <v>87</v>
      </c>
      <c r="G5" s="15" t="s">
        <v>88</v>
      </c>
      <c r="H5" s="76" t="s">
        <v>90</v>
      </c>
      <c r="I5" s="15" t="s">
        <v>91</v>
      </c>
      <c r="J5" s="300" t="s">
        <v>93</v>
      </c>
      <c r="K5" s="15" t="s">
        <v>94</v>
      </c>
      <c r="L5" s="301" t="s">
        <v>92</v>
      </c>
      <c r="M5" s="300" t="s">
        <v>95</v>
      </c>
      <c r="N5" s="300" t="s">
        <v>97</v>
      </c>
      <c r="O5" s="300"/>
      <c r="P5" s="300"/>
      <c r="Q5" s="300"/>
    </row>
    <row r="6" spans="1:31" hidden="1">
      <c r="A6" s="15" t="s">
        <v>38</v>
      </c>
      <c r="B6" s="14">
        <v>57</v>
      </c>
      <c r="C6" s="15">
        <v>1</v>
      </c>
      <c r="D6" s="15"/>
      <c r="E6" s="15">
        <f>+B6+C6+(D6*2)</f>
        <v>58</v>
      </c>
      <c r="F6" s="14">
        <v>20</v>
      </c>
      <c r="G6" s="15">
        <v>1.62</v>
      </c>
      <c r="H6" s="15">
        <v>1</v>
      </c>
      <c r="I6" s="15">
        <v>22</v>
      </c>
      <c r="J6" s="302">
        <f>H6*(1-I6/(H6*32))</f>
        <v>0.3125</v>
      </c>
      <c r="K6" s="302">
        <f>+E6/F6*G6</f>
        <v>4.6980000000000004</v>
      </c>
      <c r="L6" s="302">
        <f>+J6+K6</f>
        <v>5.0105000000000004</v>
      </c>
      <c r="M6" s="302">
        <v>5</v>
      </c>
      <c r="N6" s="14">
        <f>+M6*$B$2*(8/12)</f>
        <v>13373333.333333332</v>
      </c>
    </row>
    <row r="7" spans="1:31" hidden="1">
      <c r="A7" s="15" t="s">
        <v>39</v>
      </c>
      <c r="B7" s="14">
        <v>92</v>
      </c>
      <c r="C7" s="15"/>
      <c r="D7" s="15">
        <v>1</v>
      </c>
      <c r="E7" s="15">
        <f>+B7+C7+(D7*2)</f>
        <v>94</v>
      </c>
      <c r="F7" s="14">
        <v>20</v>
      </c>
      <c r="G7" s="15">
        <v>1.62</v>
      </c>
      <c r="H7" s="15">
        <v>2</v>
      </c>
      <c r="I7" s="15">
        <f>22+22</f>
        <v>44</v>
      </c>
      <c r="J7" s="302">
        <f>H7*(1-I7/(H7*32))</f>
        <v>0.625</v>
      </c>
      <c r="K7" s="302">
        <f>+E7/F7*G7</f>
        <v>7.6140000000000008</v>
      </c>
      <c r="L7" s="302">
        <f t="shared" ref="L7:L11" si="0">+J7+K7</f>
        <v>8.2390000000000008</v>
      </c>
      <c r="M7" s="302">
        <v>8.1999999999999993</v>
      </c>
      <c r="N7" s="14">
        <f t="shared" ref="N7:N11" si="1">+M7*$B$2*(8/12)</f>
        <v>21932266.666666664</v>
      </c>
    </row>
    <row r="8" spans="1:31" hidden="1">
      <c r="A8" s="15" t="s">
        <v>40</v>
      </c>
      <c r="B8" s="14">
        <v>55</v>
      </c>
      <c r="C8" s="15">
        <v>1</v>
      </c>
      <c r="D8" s="15"/>
      <c r="E8" s="15">
        <f>+B8+C8+(D8*2)</f>
        <v>56</v>
      </c>
      <c r="F8" s="14">
        <v>20</v>
      </c>
      <c r="G8" s="15">
        <v>1.62</v>
      </c>
      <c r="H8" s="15">
        <v>1</v>
      </c>
      <c r="I8" s="15">
        <v>22</v>
      </c>
      <c r="J8" s="302">
        <f>H8*(1-I8/(H8*32))</f>
        <v>0.3125</v>
      </c>
      <c r="K8" s="302">
        <f>+E8/F8*G8</f>
        <v>4.5359999999999996</v>
      </c>
      <c r="L8" s="302">
        <f t="shared" si="0"/>
        <v>4.8484999999999996</v>
      </c>
      <c r="M8" s="302">
        <v>4.9000000000000004</v>
      </c>
      <c r="N8" s="14">
        <f t="shared" si="1"/>
        <v>13105866.666666666</v>
      </c>
    </row>
    <row r="9" spans="1:31" hidden="1">
      <c r="A9" s="15" t="s">
        <v>41</v>
      </c>
      <c r="B9" s="14">
        <v>88</v>
      </c>
      <c r="C9" s="15">
        <v>1</v>
      </c>
      <c r="D9" s="15">
        <v>1</v>
      </c>
      <c r="E9" s="15">
        <f>+B9+C9+(D9*2)</f>
        <v>91</v>
      </c>
      <c r="F9" s="14">
        <v>20</v>
      </c>
      <c r="G9" s="15">
        <v>1.62</v>
      </c>
      <c r="H9" s="15">
        <v>1</v>
      </c>
      <c r="I9" s="15">
        <v>22</v>
      </c>
      <c r="J9" s="302">
        <f>H9*(1-I9/(H9*32))</f>
        <v>0.3125</v>
      </c>
      <c r="K9" s="302">
        <f>+E9/F9*G9</f>
        <v>7.3710000000000004</v>
      </c>
      <c r="L9" s="302">
        <f t="shared" si="0"/>
        <v>7.6835000000000004</v>
      </c>
      <c r="M9" s="302">
        <v>7.7</v>
      </c>
      <c r="N9" s="14">
        <f t="shared" si="1"/>
        <v>20594933.333333332</v>
      </c>
    </row>
    <row r="10" spans="1:31" hidden="1">
      <c r="A10" s="15" t="s">
        <v>89</v>
      </c>
      <c r="B10" s="296"/>
      <c r="C10" s="15"/>
      <c r="D10" s="15"/>
      <c r="E10" s="15">
        <v>0</v>
      </c>
      <c r="F10" s="14">
        <v>0</v>
      </c>
      <c r="G10" s="15">
        <v>0</v>
      </c>
      <c r="H10" s="15">
        <v>1</v>
      </c>
      <c r="I10" s="14">
        <v>8</v>
      </c>
      <c r="J10" s="302">
        <f>H10*(1-I10/(H10*32))</f>
        <v>0.75</v>
      </c>
      <c r="K10" s="302">
        <v>0</v>
      </c>
      <c r="L10" s="302">
        <f t="shared" si="0"/>
        <v>0.75</v>
      </c>
      <c r="M10" s="302">
        <v>0.8</v>
      </c>
      <c r="N10" s="14">
        <f t="shared" si="1"/>
        <v>2139733.333333333</v>
      </c>
      <c r="O10" s="14"/>
      <c r="P10" s="14"/>
      <c r="Q10" s="14"/>
    </row>
    <row r="11" spans="1:31" hidden="1">
      <c r="A11" s="15" t="s">
        <v>76</v>
      </c>
      <c r="B11" s="14">
        <f>+SUM(B6:B9)</f>
        <v>292</v>
      </c>
      <c r="C11" s="14">
        <f>+SUM(C6:C9)</f>
        <v>3</v>
      </c>
      <c r="D11" s="14">
        <f>+SUM(D6:D9)</f>
        <v>2</v>
      </c>
      <c r="E11" s="14">
        <f>SUM(E6:E9)</f>
        <v>299</v>
      </c>
      <c r="F11" s="14">
        <v>20</v>
      </c>
      <c r="G11" s="15">
        <v>1.62</v>
      </c>
      <c r="H11" s="14">
        <f>SUM(H6:H10)</f>
        <v>6</v>
      </c>
      <c r="I11" s="14">
        <f>SUM(I6:I10)</f>
        <v>118</v>
      </c>
      <c r="J11" s="296">
        <f>SUM(J6:J10)</f>
        <v>2.3125</v>
      </c>
      <c r="K11" s="302">
        <f>SUM(K6:K10)</f>
        <v>24.219000000000001</v>
      </c>
      <c r="L11" s="303">
        <f t="shared" si="0"/>
        <v>26.531500000000001</v>
      </c>
      <c r="M11" s="302">
        <f>SUM(M6:M10)</f>
        <v>26.6</v>
      </c>
      <c r="N11" s="14">
        <f t="shared" si="1"/>
        <v>71146133.333333328</v>
      </c>
      <c r="O11" s="14"/>
      <c r="P11" s="14"/>
      <c r="Q11" s="14"/>
      <c r="W11" s="14"/>
    </row>
    <row r="12" spans="1:31" hidden="1">
      <c r="C12" s="15"/>
      <c r="D12" s="15"/>
      <c r="E12" s="15"/>
      <c r="F12" s="296"/>
      <c r="Q12" s="944"/>
      <c r="R12" s="944"/>
      <c r="S12" s="944"/>
      <c r="T12" s="944"/>
      <c r="U12" s="944"/>
      <c r="V12" s="944"/>
      <c r="W12" s="944"/>
      <c r="X12" s="944"/>
      <c r="Y12" s="944"/>
      <c r="Z12" s="944"/>
      <c r="AA12" s="944"/>
      <c r="AB12" s="944"/>
    </row>
    <row r="13" spans="1:31" hidden="1">
      <c r="A13" s="301" t="s">
        <v>307</v>
      </c>
      <c r="C13" s="15"/>
      <c r="D13" s="15"/>
      <c r="E13" s="15"/>
      <c r="F13" s="296"/>
      <c r="Q13" s="14"/>
      <c r="R13" s="15"/>
      <c r="S13" s="15"/>
      <c r="T13" s="296"/>
      <c r="U13" s="15"/>
      <c r="V13" s="76"/>
      <c r="X13" s="300"/>
      <c r="Z13" s="301"/>
      <c r="AA13" s="300"/>
      <c r="AB13" s="300"/>
    </row>
    <row r="14" spans="1:31" hidden="1">
      <c r="A14" s="15" t="s">
        <v>38</v>
      </c>
      <c r="B14" s="14">
        <v>56</v>
      </c>
      <c r="C14" s="15">
        <v>1</v>
      </c>
      <c r="D14" s="15"/>
      <c r="E14" s="15">
        <f>+B14+C14+(D14*2)</f>
        <v>57</v>
      </c>
      <c r="F14" s="14">
        <v>20</v>
      </c>
      <c r="G14" s="15">
        <v>1.62</v>
      </c>
      <c r="H14" s="15">
        <v>1</v>
      </c>
      <c r="I14" s="15">
        <v>22</v>
      </c>
      <c r="J14" s="302">
        <f t="shared" ref="J14:J18" si="2">H14*(1-I14/(H14*32))</f>
        <v>0.3125</v>
      </c>
      <c r="K14" s="302">
        <f>+E14/F14*G14</f>
        <v>4.6170000000000009</v>
      </c>
      <c r="L14" s="302">
        <f t="shared" ref="L14:L18" si="3">+K14+J14</f>
        <v>4.9295000000000009</v>
      </c>
      <c r="M14" s="13">
        <v>4.9000000000000004</v>
      </c>
      <c r="N14" s="14">
        <f t="shared" ref="N14:N18" si="4">+M14*$B$2*(4/12)</f>
        <v>6552933.333333333</v>
      </c>
      <c r="Q14" s="14"/>
      <c r="R14" s="15"/>
      <c r="S14" s="15"/>
      <c r="T14" s="14"/>
      <c r="U14" s="15"/>
      <c r="V14" s="15"/>
      <c r="X14" s="302"/>
      <c r="Y14" s="302"/>
      <c r="Z14" s="302"/>
      <c r="AB14" s="14"/>
    </row>
    <row r="15" spans="1:31" hidden="1">
      <c r="A15" s="15" t="s">
        <v>39</v>
      </c>
      <c r="B15" s="14">
        <v>96</v>
      </c>
      <c r="C15" s="15"/>
      <c r="D15" s="15">
        <v>1</v>
      </c>
      <c r="E15" s="15">
        <f>+B15+C15+(D15*2)</f>
        <v>98</v>
      </c>
      <c r="F15" s="14">
        <v>20</v>
      </c>
      <c r="G15" s="15">
        <v>1.62</v>
      </c>
      <c r="H15" s="15">
        <v>2</v>
      </c>
      <c r="I15" s="15">
        <f>22+22</f>
        <v>44</v>
      </c>
      <c r="J15" s="302">
        <f t="shared" si="2"/>
        <v>0.625</v>
      </c>
      <c r="K15" s="302">
        <f>+E15/F15*G15</f>
        <v>7.9380000000000015</v>
      </c>
      <c r="L15" s="302">
        <f t="shared" si="3"/>
        <v>8.5630000000000024</v>
      </c>
      <c r="M15" s="13">
        <v>8.6</v>
      </c>
      <c r="N15" s="14">
        <f t="shared" si="4"/>
        <v>11501066.666666666</v>
      </c>
      <c r="Q15" s="14"/>
      <c r="R15" s="15"/>
      <c r="S15" s="15"/>
      <c r="T15" s="14"/>
      <c r="U15" s="15"/>
      <c r="V15" s="15"/>
      <c r="X15" s="302"/>
      <c r="Y15" s="302"/>
      <c r="Z15" s="302"/>
      <c r="AB15" s="14"/>
    </row>
    <row r="16" spans="1:31" hidden="1">
      <c r="A16" s="15" t="s">
        <v>40</v>
      </c>
      <c r="B16" s="14">
        <v>56</v>
      </c>
      <c r="C16" s="15">
        <v>1</v>
      </c>
      <c r="D16" s="15"/>
      <c r="E16" s="15">
        <f>+B16+C16+(D16*2)</f>
        <v>57</v>
      </c>
      <c r="F16" s="14">
        <v>20</v>
      </c>
      <c r="G16" s="15">
        <v>1.62</v>
      </c>
      <c r="H16" s="15">
        <v>1</v>
      </c>
      <c r="I16" s="15">
        <v>22</v>
      </c>
      <c r="J16" s="302">
        <f t="shared" si="2"/>
        <v>0.3125</v>
      </c>
      <c r="K16" s="302">
        <f>+E16/F16*G16</f>
        <v>4.6170000000000009</v>
      </c>
      <c r="L16" s="302">
        <f t="shared" si="3"/>
        <v>4.9295000000000009</v>
      </c>
      <c r="M16" s="13">
        <v>4.9000000000000004</v>
      </c>
      <c r="N16" s="14">
        <f t="shared" si="4"/>
        <v>6552933.333333333</v>
      </c>
      <c r="Q16" s="14"/>
      <c r="R16" s="15"/>
      <c r="S16" s="15"/>
      <c r="T16" s="14"/>
      <c r="U16" s="15"/>
      <c r="V16" s="15"/>
      <c r="X16" s="302"/>
      <c r="Y16" s="302"/>
      <c r="Z16" s="302"/>
      <c r="AB16" s="14"/>
    </row>
    <row r="17" spans="1:29" hidden="1">
      <c r="A17" s="15" t="s">
        <v>41</v>
      </c>
      <c r="B17" s="14">
        <v>87</v>
      </c>
      <c r="C17" s="15">
        <v>1</v>
      </c>
      <c r="D17" s="15">
        <v>1</v>
      </c>
      <c r="E17" s="15">
        <f>+B17+C17+(D17*2)</f>
        <v>90</v>
      </c>
      <c r="F17" s="14">
        <v>20</v>
      </c>
      <c r="G17" s="15">
        <v>1.62</v>
      </c>
      <c r="H17" s="15">
        <v>1</v>
      </c>
      <c r="I17" s="15">
        <v>22</v>
      </c>
      <c r="J17" s="302">
        <f t="shared" si="2"/>
        <v>0.3125</v>
      </c>
      <c r="K17" s="302">
        <f>+E17/F17*G17</f>
        <v>7.2900000000000009</v>
      </c>
      <c r="L17" s="302">
        <f t="shared" si="3"/>
        <v>7.6025000000000009</v>
      </c>
      <c r="M17" s="13">
        <v>7.6</v>
      </c>
      <c r="N17" s="14">
        <f t="shared" si="4"/>
        <v>10163733.333333332</v>
      </c>
      <c r="Q17" s="14"/>
      <c r="R17" s="15"/>
      <c r="S17" s="15"/>
      <c r="T17" s="14"/>
      <c r="U17" s="15"/>
      <c r="V17" s="15"/>
      <c r="X17" s="302"/>
      <c r="Y17" s="302"/>
      <c r="Z17" s="302"/>
      <c r="AB17" s="14"/>
    </row>
    <row r="18" spans="1:29" hidden="1">
      <c r="A18" s="15" t="s">
        <v>89</v>
      </c>
      <c r="C18" s="15"/>
      <c r="D18" s="15"/>
      <c r="E18" s="15"/>
      <c r="F18" s="14"/>
      <c r="H18" s="15">
        <v>1</v>
      </c>
      <c r="I18" s="15">
        <v>8</v>
      </c>
      <c r="J18" s="302">
        <f t="shared" si="2"/>
        <v>0.75</v>
      </c>
      <c r="K18" s="302">
        <v>0</v>
      </c>
      <c r="L18" s="302">
        <f t="shared" si="3"/>
        <v>0.75</v>
      </c>
      <c r="M18" s="13">
        <v>0.8</v>
      </c>
      <c r="N18" s="14">
        <f t="shared" si="4"/>
        <v>1069866.6666666665</v>
      </c>
      <c r="Q18" s="14"/>
      <c r="R18" s="15"/>
      <c r="S18" s="15"/>
      <c r="T18" s="14"/>
      <c r="U18" s="15"/>
      <c r="V18" s="15"/>
      <c r="X18" s="302"/>
      <c r="Y18" s="302"/>
      <c r="Z18" s="302"/>
      <c r="AB18" s="14"/>
    </row>
    <row r="19" spans="1:29" hidden="1">
      <c r="A19" s="15" t="s">
        <v>76</v>
      </c>
      <c r="B19" s="14">
        <f>+SUM(B14:B17)</f>
        <v>295</v>
      </c>
      <c r="C19" s="14">
        <f>+SUM(C14:C17)</f>
        <v>3</v>
      </c>
      <c r="D19" s="14">
        <f>+SUM(D14:D17)</f>
        <v>2</v>
      </c>
      <c r="E19" s="14">
        <f>SUM(E14:E17)</f>
        <v>302</v>
      </c>
      <c r="F19" s="14">
        <v>20</v>
      </c>
      <c r="G19" s="15">
        <v>1.62</v>
      </c>
      <c r="H19" s="15">
        <f t="shared" ref="H19:N19" si="5">SUM(H14:H18)</f>
        <v>6</v>
      </c>
      <c r="I19" s="15">
        <f t="shared" si="5"/>
        <v>118</v>
      </c>
      <c r="J19" s="296">
        <f t="shared" si="5"/>
        <v>2.3125</v>
      </c>
      <c r="K19" s="302">
        <f t="shared" si="5"/>
        <v>24.462000000000003</v>
      </c>
      <c r="L19" s="302">
        <f t="shared" si="5"/>
        <v>26.774500000000003</v>
      </c>
      <c r="M19" s="13">
        <f t="shared" si="5"/>
        <v>26.8</v>
      </c>
      <c r="N19" s="14">
        <f t="shared" si="5"/>
        <v>35840533.333333328</v>
      </c>
      <c r="Q19" s="14"/>
      <c r="R19" s="14"/>
      <c r="S19" s="14"/>
      <c r="T19" s="14"/>
      <c r="U19" s="15"/>
      <c r="V19" s="15"/>
      <c r="X19" s="296"/>
      <c r="Y19" s="302"/>
      <c r="Z19" s="302"/>
      <c r="AB19" s="14"/>
    </row>
    <row r="20" spans="1:29" ht="10.15" hidden="1" customHeight="1">
      <c r="D20" s="15"/>
      <c r="E20" s="15"/>
      <c r="F20" s="296"/>
      <c r="S20" s="14"/>
      <c r="T20" s="14"/>
    </row>
    <row r="21" spans="1:29" ht="17.25" hidden="1" customHeight="1">
      <c r="A21" s="304" t="s">
        <v>308</v>
      </c>
      <c r="B21" s="14">
        <v>34400</v>
      </c>
      <c r="D21" s="15"/>
      <c r="E21" s="15"/>
      <c r="F21" s="296"/>
      <c r="S21" s="14"/>
      <c r="T21" s="14"/>
    </row>
    <row r="22" spans="1:29" hidden="1">
      <c r="A22" s="301" t="s">
        <v>307</v>
      </c>
      <c r="C22" s="15"/>
      <c r="D22" s="15"/>
      <c r="E22" s="15"/>
      <c r="F22" s="296"/>
      <c r="Q22" s="14"/>
      <c r="R22" s="15"/>
      <c r="S22" s="15"/>
      <c r="T22" s="296"/>
      <c r="U22" s="15"/>
      <c r="V22" s="76"/>
      <c r="X22" s="300"/>
      <c r="Z22" s="301"/>
      <c r="AA22" s="300"/>
      <c r="AB22" s="300"/>
    </row>
    <row r="23" spans="1:29" hidden="1">
      <c r="A23" s="15" t="s">
        <v>38</v>
      </c>
      <c r="B23" s="14">
        <v>56</v>
      </c>
      <c r="C23" s="15">
        <v>1</v>
      </c>
      <c r="D23" s="15"/>
      <c r="E23" s="15">
        <f>+B23+C23+(D23*2)</f>
        <v>57</v>
      </c>
      <c r="F23" s="14">
        <v>20</v>
      </c>
      <c r="G23" s="15">
        <v>1.62</v>
      </c>
      <c r="H23" s="15">
        <v>1</v>
      </c>
      <c r="I23" s="15">
        <v>22</v>
      </c>
      <c r="J23" s="302">
        <f t="shared" ref="J23:J27" si="6">H23*(1-I23/(H23*32))</f>
        <v>0.3125</v>
      </c>
      <c r="K23" s="302">
        <f>+E23/F23*G23</f>
        <v>4.6170000000000009</v>
      </c>
      <c r="L23" s="302">
        <f t="shared" ref="L23:L27" si="7">+K23+J23</f>
        <v>4.9295000000000009</v>
      </c>
      <c r="M23" s="13">
        <v>4.9000000000000004</v>
      </c>
      <c r="N23" s="14">
        <f>+M23*$B$21</f>
        <v>168560</v>
      </c>
      <c r="R23" s="15"/>
      <c r="S23" s="15"/>
      <c r="T23" s="15"/>
      <c r="U23" s="15"/>
      <c r="V23" s="15"/>
      <c r="Y23" s="302"/>
      <c r="Z23" s="302"/>
      <c r="AA23" s="302"/>
      <c r="AC23" s="14"/>
    </row>
    <row r="24" spans="1:29" hidden="1">
      <c r="A24" s="15" t="s">
        <v>39</v>
      </c>
      <c r="B24" s="14">
        <v>96</v>
      </c>
      <c r="C24" s="15"/>
      <c r="D24" s="15">
        <v>1</v>
      </c>
      <c r="E24" s="15">
        <f>+B24+C24+(D24*2)</f>
        <v>98</v>
      </c>
      <c r="F24" s="14">
        <v>20</v>
      </c>
      <c r="G24" s="15">
        <v>1.62</v>
      </c>
      <c r="H24" s="15">
        <v>2</v>
      </c>
      <c r="I24" s="15">
        <f>22+22</f>
        <v>44</v>
      </c>
      <c r="J24" s="302">
        <f t="shared" si="6"/>
        <v>0.625</v>
      </c>
      <c r="K24" s="302">
        <f>+E24/F24*G24</f>
        <v>7.9380000000000015</v>
      </c>
      <c r="L24" s="302">
        <f t="shared" si="7"/>
        <v>8.5630000000000024</v>
      </c>
      <c r="M24" s="13">
        <v>8.6</v>
      </c>
      <c r="N24" s="14">
        <f t="shared" ref="N24:N27" si="8">+M24*$B$21</f>
        <v>295840</v>
      </c>
      <c r="R24" s="15"/>
      <c r="S24" s="15"/>
      <c r="T24" s="15"/>
      <c r="U24" s="15"/>
      <c r="V24" s="15"/>
      <c r="Y24" s="302"/>
      <c r="Z24" s="302"/>
      <c r="AA24" s="302"/>
      <c r="AC24" s="14"/>
    </row>
    <row r="25" spans="1:29" hidden="1">
      <c r="A25" s="15" t="s">
        <v>40</v>
      </c>
      <c r="B25" s="14">
        <v>56</v>
      </c>
      <c r="C25" s="15">
        <v>1</v>
      </c>
      <c r="D25" s="15"/>
      <c r="E25" s="15">
        <f>+B25+C25+(D25*2)</f>
        <v>57</v>
      </c>
      <c r="F25" s="14">
        <v>20</v>
      </c>
      <c r="G25" s="15">
        <v>1.62</v>
      </c>
      <c r="H25" s="15">
        <v>1</v>
      </c>
      <c r="I25" s="15">
        <v>22</v>
      </c>
      <c r="J25" s="302">
        <f t="shared" si="6"/>
        <v>0.3125</v>
      </c>
      <c r="K25" s="302">
        <f>+E25/F25*G25</f>
        <v>4.6170000000000009</v>
      </c>
      <c r="L25" s="302">
        <f t="shared" si="7"/>
        <v>4.9295000000000009</v>
      </c>
      <c r="M25" s="13">
        <v>4.9000000000000004</v>
      </c>
      <c r="N25" s="14">
        <f t="shared" si="8"/>
        <v>168560</v>
      </c>
      <c r="R25" s="15"/>
      <c r="S25" s="15"/>
      <c r="T25" s="15"/>
      <c r="U25" s="15"/>
      <c r="V25" s="15"/>
      <c r="Y25" s="302"/>
      <c r="Z25" s="302"/>
      <c r="AA25" s="302"/>
      <c r="AC25" s="14"/>
    </row>
    <row r="26" spans="1:29" hidden="1">
      <c r="A26" s="15" t="s">
        <v>41</v>
      </c>
      <c r="B26" s="14">
        <v>87</v>
      </c>
      <c r="C26" s="15">
        <v>1</v>
      </c>
      <c r="D26" s="15">
        <v>1</v>
      </c>
      <c r="E26" s="15">
        <f>+B26+C26+(D26*2)</f>
        <v>90</v>
      </c>
      <c r="F26" s="14">
        <v>20</v>
      </c>
      <c r="G26" s="15">
        <v>1.62</v>
      </c>
      <c r="H26" s="15">
        <v>1</v>
      </c>
      <c r="I26" s="15">
        <v>22</v>
      </c>
      <c r="J26" s="302">
        <f t="shared" si="6"/>
        <v>0.3125</v>
      </c>
      <c r="K26" s="302">
        <f>+E26/F26*G26</f>
        <v>7.2900000000000009</v>
      </c>
      <c r="L26" s="302">
        <f t="shared" si="7"/>
        <v>7.6025000000000009</v>
      </c>
      <c r="M26" s="13">
        <v>7.6</v>
      </c>
      <c r="N26" s="14">
        <f t="shared" si="8"/>
        <v>261440</v>
      </c>
      <c r="Q26" s="305"/>
      <c r="R26" s="305"/>
      <c r="S26" s="305"/>
      <c r="T26" s="305"/>
      <c r="U26" s="305"/>
      <c r="V26" s="306"/>
      <c r="Y26" s="302"/>
      <c r="Z26" s="302"/>
      <c r="AA26" s="302"/>
      <c r="AC26" s="14"/>
    </row>
    <row r="27" spans="1:29" hidden="1">
      <c r="A27" s="15" t="s">
        <v>89</v>
      </c>
      <c r="C27" s="15"/>
      <c r="D27" s="15"/>
      <c r="E27" s="15"/>
      <c r="F27" s="14"/>
      <c r="H27" s="15">
        <v>1</v>
      </c>
      <c r="I27" s="15">
        <v>8</v>
      </c>
      <c r="J27" s="302">
        <f t="shared" si="6"/>
        <v>0.75</v>
      </c>
      <c r="K27" s="302">
        <v>0</v>
      </c>
      <c r="L27" s="302">
        <f t="shared" si="7"/>
        <v>0.75</v>
      </c>
      <c r="M27" s="13">
        <v>0.8</v>
      </c>
      <c r="N27" s="14">
        <f t="shared" si="8"/>
        <v>27520</v>
      </c>
      <c r="R27" s="15"/>
      <c r="U27" s="13"/>
      <c r="Y27" s="302"/>
      <c r="Z27" s="302"/>
      <c r="AA27" s="302"/>
      <c r="AC27" s="14"/>
    </row>
    <row r="28" spans="1:29" hidden="1">
      <c r="A28" s="15" t="s">
        <v>76</v>
      </c>
      <c r="B28" s="14">
        <f>+SUM(B23:B26)</f>
        <v>295</v>
      </c>
      <c r="C28" s="14">
        <f>+SUM(C23:C26)</f>
        <v>3</v>
      </c>
      <c r="D28" s="14">
        <f>+SUM(D23:D26)</f>
        <v>2</v>
      </c>
      <c r="E28" s="14">
        <f>SUM(E23:E26)</f>
        <v>302</v>
      </c>
      <c r="F28" s="14">
        <v>20</v>
      </c>
      <c r="G28" s="15">
        <v>1.62</v>
      </c>
      <c r="H28" s="15">
        <f t="shared" ref="H28:N28" si="9">SUM(H23:H27)</f>
        <v>6</v>
      </c>
      <c r="I28" s="15">
        <f t="shared" si="9"/>
        <v>118</v>
      </c>
      <c r="J28" s="296">
        <f t="shared" si="9"/>
        <v>2.3125</v>
      </c>
      <c r="K28" s="302">
        <f t="shared" si="9"/>
        <v>24.462000000000003</v>
      </c>
      <c r="L28" s="302">
        <f t="shared" si="9"/>
        <v>26.774500000000003</v>
      </c>
      <c r="M28" s="13">
        <f t="shared" si="9"/>
        <v>26.8</v>
      </c>
      <c r="N28" s="14">
        <f t="shared" si="9"/>
        <v>921920</v>
      </c>
      <c r="R28" s="15"/>
      <c r="U28" s="13"/>
      <c r="Y28" s="296"/>
      <c r="Z28" s="302"/>
      <c r="AA28" s="302"/>
      <c r="AC28" s="14"/>
    </row>
    <row r="29" spans="1:29" ht="17.45" customHeight="1" thickBot="1">
      <c r="D29" s="15"/>
      <c r="E29" s="15"/>
      <c r="F29" s="296"/>
      <c r="R29" s="15"/>
      <c r="S29" s="15"/>
      <c r="T29" s="15"/>
      <c r="U29" s="15"/>
      <c r="V29" s="13"/>
    </row>
    <row r="30" spans="1:29" ht="24.75" customHeight="1">
      <c r="B30" s="938" t="s">
        <v>38</v>
      </c>
      <c r="C30" s="939"/>
      <c r="D30" s="940" t="s">
        <v>39</v>
      </c>
      <c r="E30" s="940"/>
      <c r="F30" s="941" t="s">
        <v>40</v>
      </c>
      <c r="G30" s="941"/>
      <c r="H30" s="940" t="s">
        <v>41</v>
      </c>
      <c r="I30" s="940"/>
      <c r="J30" s="940" t="s">
        <v>80</v>
      </c>
      <c r="K30" s="942"/>
      <c r="L30" s="950" t="s">
        <v>24</v>
      </c>
      <c r="M30" s="951"/>
      <c r="N30" s="952" t="s">
        <v>414</v>
      </c>
      <c r="P30" s="948" t="s">
        <v>309</v>
      </c>
      <c r="Q30" s="948"/>
      <c r="R30" s="944" t="s">
        <v>310</v>
      </c>
      <c r="S30" s="944"/>
      <c r="T30" s="944"/>
      <c r="U30" s="15"/>
      <c r="V30" s="949" t="s">
        <v>311</v>
      </c>
      <c r="W30" s="14"/>
    </row>
    <row r="31" spans="1:29" ht="27" customHeight="1" thickBot="1">
      <c r="A31" s="108"/>
      <c r="B31" s="446" t="s">
        <v>106</v>
      </c>
      <c r="C31" s="447" t="s">
        <v>126</v>
      </c>
      <c r="D31" s="447" t="s">
        <v>106</v>
      </c>
      <c r="E31" s="447" t="s">
        <v>126</v>
      </c>
      <c r="F31" s="447" t="s">
        <v>106</v>
      </c>
      <c r="G31" s="447" t="s">
        <v>126</v>
      </c>
      <c r="H31" s="447" t="s">
        <v>106</v>
      </c>
      <c r="I31" s="447" t="s">
        <v>126</v>
      </c>
      <c r="J31" s="447" t="s">
        <v>106</v>
      </c>
      <c r="K31" s="449" t="s">
        <v>126</v>
      </c>
      <c r="L31" s="446" t="s">
        <v>106</v>
      </c>
      <c r="M31" s="448" t="s">
        <v>126</v>
      </c>
      <c r="N31" s="953"/>
      <c r="P31" s="22">
        <v>1632000</v>
      </c>
      <c r="Q31" s="307" t="s">
        <v>20</v>
      </c>
      <c r="R31" s="15" t="s">
        <v>312</v>
      </c>
      <c r="S31" s="15" t="s">
        <v>313</v>
      </c>
      <c r="T31" s="15" t="s">
        <v>314</v>
      </c>
      <c r="U31" s="15" t="s">
        <v>315</v>
      </c>
      <c r="V31" s="949"/>
      <c r="W31" s="13"/>
      <c r="X31" s="13"/>
      <c r="Y31" s="14"/>
      <c r="Z31" s="14"/>
    </row>
    <row r="32" spans="1:29" ht="13.9" customHeight="1">
      <c r="A32" s="308" t="s">
        <v>492</v>
      </c>
      <c r="B32" s="309">
        <f>+'[4]5.SZ.TÁBL. ÓVODAI NORMATÍVA'!$D32</f>
        <v>11902400</v>
      </c>
      <c r="C32" s="309">
        <v>11902400</v>
      </c>
      <c r="D32" s="309">
        <f>+'[4]5.SZ.TÁBL. ÓVODAI NORMATÍVA'!$G32</f>
        <v>23528000</v>
      </c>
      <c r="E32" s="309">
        <v>23528000</v>
      </c>
      <c r="F32" s="309">
        <f>+'[4]5.SZ.TÁBL. ÓVODAI NORMATÍVA'!$J32</f>
        <v>13009600</v>
      </c>
      <c r="G32" s="309">
        <v>13009600</v>
      </c>
      <c r="H32" s="309">
        <f>+'[4]5.SZ.TÁBL. ÓVODAI NORMATÍVA'!$M32</f>
        <v>22420800</v>
      </c>
      <c r="I32" s="309">
        <v>22420800</v>
      </c>
      <c r="J32" s="309">
        <f>+'[4]5.SZ.TÁBL. ÓVODAI NORMATÍVA'!$P32</f>
        <v>2214400</v>
      </c>
      <c r="K32" s="317">
        <v>2214400</v>
      </c>
      <c r="L32" s="450">
        <f>+B32+D32+F32+H32+J32</f>
        <v>73075200</v>
      </c>
      <c r="M32" s="310">
        <f>+C32+E32+G32+I32+K32</f>
        <v>73075200</v>
      </c>
      <c r="N32" s="455">
        <f>+M32/L32</f>
        <v>1</v>
      </c>
      <c r="O32" s="22"/>
      <c r="P32" s="15" t="s">
        <v>38</v>
      </c>
      <c r="Q32" s="14">
        <f>+P31*V32</f>
        <v>1403520</v>
      </c>
      <c r="R32" s="15">
        <v>2</v>
      </c>
      <c r="S32" s="15">
        <v>18</v>
      </c>
      <c r="T32" s="15">
        <v>23</v>
      </c>
      <c r="U32" s="15">
        <f>SUM(R32:T32)</f>
        <v>43</v>
      </c>
      <c r="V32" s="302">
        <f>+U32/V37*V40</f>
        <v>0.86</v>
      </c>
      <c r="X32" s="13"/>
      <c r="Y32" s="13"/>
      <c r="Z32" s="13"/>
      <c r="AA32" s="14"/>
      <c r="AB32" s="14"/>
    </row>
    <row r="33" spans="1:35" ht="13.9" customHeight="1">
      <c r="A33" s="311" t="s">
        <v>493</v>
      </c>
      <c r="B33" s="309">
        <f>+'[4]5.SZ.TÁBL. ÓVODAI NORMATÍVA'!$D33</f>
        <v>6089600</v>
      </c>
      <c r="C33" s="312">
        <v>1522400</v>
      </c>
      <c r="D33" s="309">
        <f>+'[4]5.SZ.TÁBL. ÓVODAI NORMATÍVA'!$G33</f>
        <v>11210400</v>
      </c>
      <c r="E33" s="312">
        <v>2802600</v>
      </c>
      <c r="F33" s="309">
        <f>+'[4]5.SZ.TÁBL. ÓVODAI NORMATÍVA'!$J33</f>
        <v>5951200</v>
      </c>
      <c r="G33" s="312">
        <v>1487800</v>
      </c>
      <c r="H33" s="309">
        <f>+'[4]5.SZ.TÁBL. ÓVODAI NORMATÍVA'!$M33</f>
        <v>10795200</v>
      </c>
      <c r="I33" s="312">
        <v>2698800</v>
      </c>
      <c r="J33" s="309">
        <f>+'[4]5.SZ.TÁBL. ÓVODAI NORMATÍVA'!$P33</f>
        <v>1107200</v>
      </c>
      <c r="K33" s="319">
        <v>276800</v>
      </c>
      <c r="L33" s="450">
        <f>+B33+D33+F33+H33+J33</f>
        <v>35153600</v>
      </c>
      <c r="M33" s="310">
        <f>+C33+E33+G33+I33+K33</f>
        <v>8788400</v>
      </c>
      <c r="N33" s="456">
        <f t="shared" ref="N33:N44" si="10">+M33/L33</f>
        <v>0.25</v>
      </c>
      <c r="O33" s="22"/>
      <c r="P33" s="15" t="s">
        <v>76</v>
      </c>
      <c r="Q33" s="14">
        <f>SUM(Q32:Q32)</f>
        <v>1403520</v>
      </c>
      <c r="R33" s="14">
        <f>+SUM(R32:R32)</f>
        <v>2</v>
      </c>
      <c r="S33" s="14">
        <f>+SUM(S32:S32)</f>
        <v>18</v>
      </c>
      <c r="T33" s="14">
        <f>+SUM(T32:T32)</f>
        <v>23</v>
      </c>
      <c r="U33" s="14">
        <f>+SUM(U32:U32)</f>
        <v>43</v>
      </c>
      <c r="V33" s="296">
        <f>+SUM(V32:V32)</f>
        <v>0.86</v>
      </c>
      <c r="X33" s="13"/>
      <c r="Y33" s="13"/>
      <c r="Z33" s="13"/>
      <c r="AA33" s="14"/>
      <c r="AB33" s="14"/>
    </row>
    <row r="34" spans="1:35" ht="13.9" customHeight="1">
      <c r="A34" s="304" t="s">
        <v>71</v>
      </c>
      <c r="B34" s="313">
        <f>SUM(B32:B33)</f>
        <v>17992000</v>
      </c>
      <c r="C34" s="313">
        <f>SUM(C32:C33)</f>
        <v>13424800</v>
      </c>
      <c r="D34" s="313">
        <f>SUM(D32:D33)</f>
        <v>34738400</v>
      </c>
      <c r="E34" s="313">
        <f t="shared" ref="E34:K34" si="11">SUM(E32:E33)</f>
        <v>26330600</v>
      </c>
      <c r="F34" s="313">
        <f>SUM(F32:F33)</f>
        <v>18960800</v>
      </c>
      <c r="G34" s="313">
        <f t="shared" si="11"/>
        <v>14497400</v>
      </c>
      <c r="H34" s="313">
        <f>SUM(H32:H33)</f>
        <v>33216000</v>
      </c>
      <c r="I34" s="313">
        <f t="shared" si="11"/>
        <v>25119600</v>
      </c>
      <c r="J34" s="313">
        <f>SUM(J32:J33)</f>
        <v>3321600</v>
      </c>
      <c r="K34" s="315">
        <f t="shared" si="11"/>
        <v>2491200</v>
      </c>
      <c r="L34" s="451">
        <f>SUM(L32:L33)</f>
        <v>108228800</v>
      </c>
      <c r="M34" s="314">
        <f>SUM(M32:M33)</f>
        <v>81863600</v>
      </c>
      <c r="N34" s="454">
        <f>+M34/L34</f>
        <v>0.75639386189258317</v>
      </c>
      <c r="O34" s="22"/>
      <c r="Q34" s="14"/>
      <c r="R34" s="14"/>
      <c r="S34" s="14"/>
      <c r="T34" s="22"/>
      <c r="U34" s="15"/>
      <c r="V34" s="15"/>
      <c r="X34" s="13"/>
      <c r="Y34" s="13"/>
      <c r="Z34" s="13"/>
      <c r="AA34" s="14"/>
      <c r="AB34" s="14"/>
    </row>
    <row r="35" spans="1:35">
      <c r="A35" s="304" t="s">
        <v>308</v>
      </c>
      <c r="B35" s="313">
        <f>+'[4]5.SZ.TÁBL. ÓVODAI NORMATÍVA'!$D35</f>
        <v>154000</v>
      </c>
      <c r="C35" s="313">
        <v>51334</v>
      </c>
      <c r="D35" s="313">
        <f>+'[4]5.SZ.TÁBL. ÓVODAI NORMATÍVA'!$G35</f>
        <v>283500</v>
      </c>
      <c r="E35" s="313">
        <v>94500</v>
      </c>
      <c r="F35" s="313">
        <f>+'[4]5.SZ.TÁBL. ÓVODAI NORMATÍVA'!$J35</f>
        <v>150500</v>
      </c>
      <c r="G35" s="313">
        <v>50167</v>
      </c>
      <c r="H35" s="313">
        <f>+'[4]5.SZ.TÁBL. ÓVODAI NORMATÍVA'!$M35</f>
        <v>273000</v>
      </c>
      <c r="I35" s="313">
        <v>91000</v>
      </c>
      <c r="J35" s="313">
        <f>+'[4]5.SZ.TÁBL. ÓVODAI NORMATÍVA'!$P35</f>
        <v>28000</v>
      </c>
      <c r="K35" s="314">
        <v>9333</v>
      </c>
      <c r="L35" s="451">
        <f>+B35+D35+F35+H35+J35</f>
        <v>889000</v>
      </c>
      <c r="M35" s="314">
        <f t="shared" ref="M35:M38" si="12">+C35+E35+G35+I35+K35</f>
        <v>296334</v>
      </c>
      <c r="N35" s="454">
        <f t="shared" ref="N35:N36" si="13">+M35/L35</f>
        <v>0.33333408323959507</v>
      </c>
      <c r="O35" s="22"/>
      <c r="Q35" s="14"/>
      <c r="R35" s="14"/>
      <c r="S35" s="14"/>
      <c r="T35" s="22"/>
      <c r="U35" s="22" t="s">
        <v>316</v>
      </c>
      <c r="V35" s="22"/>
      <c r="X35" s="13"/>
      <c r="Y35" s="13"/>
      <c r="Z35" s="13"/>
      <c r="AA35" s="14"/>
      <c r="AB35" s="14"/>
    </row>
    <row r="36" spans="1:35">
      <c r="A36" s="648" t="s">
        <v>494</v>
      </c>
      <c r="B36" s="883">
        <f>+'[4]5.SZ.TÁBL. ÓVODAI NORMATÍVA'!$D36</f>
        <v>352000</v>
      </c>
      <c r="C36" s="313">
        <v>264001</v>
      </c>
      <c r="D36" s="883">
        <f>+'[4]5.SZ.TÁBL. ÓVODAI NORMATÍVA'!$G36</f>
        <v>352000</v>
      </c>
      <c r="E36" s="313">
        <v>264001</v>
      </c>
      <c r="F36" s="883">
        <f>+'[4]5.SZ.TÁBL. ÓVODAI NORMATÍVA'!$J36</f>
        <v>352000</v>
      </c>
      <c r="G36" s="313">
        <v>264000</v>
      </c>
      <c r="H36" s="883">
        <f>+'[4]5.SZ.TÁBL. ÓVODAI NORMATÍVA'!$M36</f>
        <v>352000</v>
      </c>
      <c r="I36" s="313">
        <v>264000</v>
      </c>
      <c r="J36" s="883">
        <f>+'[4]5.SZ.TÁBL. ÓVODAI NORMATÍVA'!$P36</f>
        <v>352000</v>
      </c>
      <c r="K36" s="314">
        <v>264001</v>
      </c>
      <c r="L36" s="451">
        <f>+B36+D36+F36+H36+J36</f>
        <v>1760000</v>
      </c>
      <c r="M36" s="314">
        <f t="shared" ref="M36" si="14">+C36+E36+G36+I36+K36</f>
        <v>1320003</v>
      </c>
      <c r="N36" s="454">
        <f t="shared" si="13"/>
        <v>0.75000170454545456</v>
      </c>
      <c r="O36" s="22"/>
      <c r="Q36" s="14"/>
      <c r="R36" s="14"/>
      <c r="S36" s="14"/>
      <c r="T36" s="22"/>
      <c r="U36" s="22" t="s">
        <v>316</v>
      </c>
      <c r="V36" s="22"/>
      <c r="X36" s="13"/>
      <c r="Y36" s="13"/>
      <c r="Z36" s="13"/>
      <c r="AA36" s="14"/>
      <c r="AB36" s="14"/>
    </row>
    <row r="37" spans="1:35" ht="13.9" customHeight="1">
      <c r="A37" s="316" t="s">
        <v>492</v>
      </c>
      <c r="B37" s="309">
        <f>+'[4]5.SZ.TÁBL. ÓVODAI NORMATÍVA'!$D37</f>
        <v>2400000</v>
      </c>
      <c r="C37" s="309">
        <v>2400000</v>
      </c>
      <c r="D37" s="309">
        <f>+'[4]5.SZ.TÁBL. ÓVODAI NORMATÍVA'!$G37</f>
        <v>6240000</v>
      </c>
      <c r="E37" s="309">
        <v>6240000</v>
      </c>
      <c r="F37" s="309">
        <f>+'[4]5.SZ.TÁBL. ÓVODAI NORMATÍVA'!$J37</f>
        <v>2400000</v>
      </c>
      <c r="G37" s="309">
        <v>2400000</v>
      </c>
      <c r="H37" s="309">
        <f>+'[4]5.SZ.TÁBL. ÓVODAI NORMATÍVA'!$M37</f>
        <v>6000000</v>
      </c>
      <c r="I37" s="309">
        <v>6000000</v>
      </c>
      <c r="J37" s="309">
        <f>+'[4]5.SZ.TÁBL. ÓVODAI NORMATÍVA'!$P37</f>
        <v>960000</v>
      </c>
      <c r="K37" s="317">
        <v>960000</v>
      </c>
      <c r="L37" s="450">
        <f>+B37+D37+F37+H37+J37</f>
        <v>18000000</v>
      </c>
      <c r="M37" s="310">
        <f t="shared" si="12"/>
        <v>18000000</v>
      </c>
      <c r="N37" s="455">
        <f t="shared" si="10"/>
        <v>1</v>
      </c>
      <c r="O37" s="22"/>
      <c r="Q37" s="14"/>
      <c r="R37" s="14"/>
      <c r="S37" s="14"/>
      <c r="T37" s="22"/>
      <c r="U37" s="22" t="s">
        <v>317</v>
      </c>
      <c r="V37" s="22">
        <v>60</v>
      </c>
      <c r="X37" s="13"/>
      <c r="Y37" s="13"/>
      <c r="Z37" s="13"/>
      <c r="AA37" s="14"/>
      <c r="AB37" s="14"/>
      <c r="AG37" s="318"/>
    </row>
    <row r="38" spans="1:35" ht="13.9" customHeight="1">
      <c r="A38" s="311" t="s">
        <v>493</v>
      </c>
      <c r="B38" s="309">
        <f>+'[4]5.SZ.TÁBL. ÓVODAI NORMATÍVA'!$D38</f>
        <v>1200000</v>
      </c>
      <c r="C38" s="312">
        <v>300000</v>
      </c>
      <c r="D38" s="309">
        <f>+'[4]5.SZ.TÁBL. ÓVODAI NORMATÍVA'!$G38</f>
        <v>3120000</v>
      </c>
      <c r="E38" s="312">
        <v>780000</v>
      </c>
      <c r="F38" s="309">
        <f>+'[4]5.SZ.TÁBL. ÓVODAI NORMATÍVA'!$J38</f>
        <v>1200000</v>
      </c>
      <c r="G38" s="312">
        <v>300000</v>
      </c>
      <c r="H38" s="309">
        <f>+'[4]5.SZ.TÁBL. ÓVODAI NORMATÍVA'!$M38</f>
        <v>3000000</v>
      </c>
      <c r="I38" s="312">
        <v>750000</v>
      </c>
      <c r="J38" s="309">
        <f>+'[4]5.SZ.TÁBL. ÓVODAI NORMATÍVA'!$P38</f>
        <v>480000</v>
      </c>
      <c r="K38" s="319">
        <v>120000</v>
      </c>
      <c r="L38" s="450">
        <f>+B38+D38+F38+H38+J38</f>
        <v>9000000</v>
      </c>
      <c r="M38" s="310">
        <f t="shared" si="12"/>
        <v>2250000</v>
      </c>
      <c r="N38" s="456">
        <f t="shared" si="10"/>
        <v>0.25</v>
      </c>
      <c r="O38" s="22"/>
      <c r="Q38" s="14"/>
      <c r="R38" s="14"/>
      <c r="S38" s="14"/>
      <c r="T38" s="22"/>
      <c r="U38" s="22"/>
      <c r="V38" s="22"/>
      <c r="W38" s="22"/>
      <c r="X38" s="13"/>
      <c r="Y38" s="13"/>
      <c r="Z38" s="13"/>
      <c r="AA38" s="320"/>
      <c r="AB38" s="300"/>
      <c r="AC38" s="320"/>
      <c r="AD38" s="300"/>
      <c r="AE38" s="320"/>
      <c r="AF38" s="300"/>
      <c r="AG38" s="320"/>
      <c r="AH38" s="300"/>
      <c r="AI38" s="320"/>
    </row>
    <row r="39" spans="1:35" ht="27" customHeight="1">
      <c r="A39" s="37" t="s">
        <v>72</v>
      </c>
      <c r="B39" s="313">
        <f>SUM(B37:B38)</f>
        <v>3600000</v>
      </c>
      <c r="C39" s="313">
        <f t="shared" ref="C39:K39" si="15">SUM(C37:C38)</f>
        <v>2700000</v>
      </c>
      <c r="D39" s="313">
        <f>SUM(D37:D38)</f>
        <v>9360000</v>
      </c>
      <c r="E39" s="313">
        <f t="shared" si="15"/>
        <v>7020000</v>
      </c>
      <c r="F39" s="313">
        <f>SUM(F37:F38)</f>
        <v>3600000</v>
      </c>
      <c r="G39" s="313">
        <f t="shared" si="15"/>
        <v>2700000</v>
      </c>
      <c r="H39" s="313">
        <f>SUM(H37:H38)</f>
        <v>9000000</v>
      </c>
      <c r="I39" s="313">
        <f t="shared" si="15"/>
        <v>6750000</v>
      </c>
      <c r="J39" s="313">
        <f>SUM(J37:J38)</f>
        <v>1440000</v>
      </c>
      <c r="K39" s="315">
        <f t="shared" si="15"/>
        <v>1080000</v>
      </c>
      <c r="L39" s="451">
        <f>SUM(L37:L38)</f>
        <v>27000000</v>
      </c>
      <c r="M39" s="314">
        <f>SUM(M37:M38)</f>
        <v>20250000</v>
      </c>
      <c r="N39" s="454">
        <f t="shared" si="10"/>
        <v>0.75</v>
      </c>
      <c r="O39" s="253"/>
      <c r="Q39" s="14"/>
      <c r="R39" s="14"/>
      <c r="S39" s="14"/>
      <c r="T39" s="22"/>
      <c r="U39" s="22" t="s">
        <v>318</v>
      </c>
      <c r="V39" s="22"/>
      <c r="W39" s="22"/>
      <c r="X39" s="22"/>
      <c r="Y39" s="13"/>
      <c r="Z39" s="13"/>
      <c r="AA39" s="321"/>
      <c r="AB39" s="22"/>
      <c r="AC39" s="22"/>
      <c r="AG39" s="318"/>
    </row>
    <row r="40" spans="1:35" ht="13.9" customHeight="1">
      <c r="A40" s="322" t="s">
        <v>492</v>
      </c>
      <c r="B40" s="309">
        <f>+'[4]5.SZ.TÁBL. ÓVODAI NORMATÍVA'!$D40</f>
        <v>2286666.6666666665</v>
      </c>
      <c r="C40" s="323">
        <v>2286666.67</v>
      </c>
      <c r="D40" s="309">
        <f>+'[4]5.SZ.TÁBL. ÓVODAI NORMATÍVA'!$G40</f>
        <v>4386666.666666666</v>
      </c>
      <c r="E40" s="323">
        <v>4386666.67</v>
      </c>
      <c r="F40" s="309">
        <f>+'[4]5.SZ.TÁBL. ÓVODAI NORMATÍVA'!$J40</f>
        <v>2566666.6666666665</v>
      </c>
      <c r="G40" s="323">
        <v>2566666.67</v>
      </c>
      <c r="H40" s="309">
        <f>+'[4]5.SZ.TÁBL. ÓVODAI NORMATÍVA'!$M40</f>
        <v>4386666.666666666</v>
      </c>
      <c r="I40" s="323">
        <v>4386666.67</v>
      </c>
      <c r="J40" s="309">
        <f>+'[4]5.SZ.TÁBL. ÓVODAI NORMATÍVA'!$P40</f>
        <v>0</v>
      </c>
      <c r="K40" s="324"/>
      <c r="L40" s="450">
        <f>+B40+D40+F40+H40+J40</f>
        <v>13626666.666666664</v>
      </c>
      <c r="M40" s="310">
        <f>+C40+E40+G40+I40+K40</f>
        <v>13626666.68</v>
      </c>
      <c r="N40" s="455">
        <f t="shared" si="10"/>
        <v>1.0000000009784737</v>
      </c>
      <c r="O40" s="253"/>
      <c r="Q40" s="14"/>
      <c r="R40" s="14"/>
      <c r="S40" s="14"/>
      <c r="T40" s="22"/>
      <c r="U40" s="22" t="s">
        <v>319</v>
      </c>
      <c r="V40" s="325">
        <v>1.2</v>
      </c>
      <c r="W40" s="22"/>
      <c r="X40" s="22"/>
      <c r="Y40" s="13"/>
      <c r="Z40" s="13"/>
      <c r="AA40" s="943"/>
      <c r="AB40" s="944"/>
      <c r="AC40" s="320"/>
      <c r="AD40" s="320"/>
      <c r="AE40" s="945"/>
      <c r="AF40" s="945"/>
      <c r="AG40" s="945"/>
      <c r="AH40" s="945"/>
    </row>
    <row r="41" spans="1:35" ht="15" customHeight="1">
      <c r="A41" s="311" t="s">
        <v>493</v>
      </c>
      <c r="B41" s="309">
        <f>+'[4]5.SZ.TÁBL. ÓVODAI NORMATÍVA'!$D41</f>
        <v>1166666.6666666665</v>
      </c>
      <c r="C41" s="312">
        <v>291667</v>
      </c>
      <c r="D41" s="309">
        <f>+'[4]5.SZ.TÁBL. ÓVODAI NORMATÍVA'!$G41</f>
        <v>2100000</v>
      </c>
      <c r="E41" s="312">
        <v>525000</v>
      </c>
      <c r="F41" s="309">
        <f>+'[4]5.SZ.TÁBL. ÓVODAI NORMATÍVA'!$J41</f>
        <v>1166666.6666666665</v>
      </c>
      <c r="G41" s="312">
        <v>291666</v>
      </c>
      <c r="H41" s="309">
        <f>+'[4]5.SZ.TÁBL. ÓVODAI NORMATÍVA'!$M41</f>
        <v>2100000</v>
      </c>
      <c r="I41" s="312">
        <v>525000</v>
      </c>
      <c r="J41" s="309">
        <f>+'[4]5.SZ.TÁBL. ÓVODAI NORMATÍVA'!$P41</f>
        <v>0</v>
      </c>
      <c r="K41" s="319"/>
      <c r="L41" s="450">
        <f>+B41+D41+F41+H41+J41</f>
        <v>6533333.333333333</v>
      </c>
      <c r="M41" s="310">
        <f>+C41+E41+G41+I41+K41</f>
        <v>1633333</v>
      </c>
      <c r="N41" s="456">
        <f t="shared" si="10"/>
        <v>0.24999994897959185</v>
      </c>
      <c r="O41" s="22"/>
      <c r="P41" s="253"/>
      <c r="Q41" s="13"/>
      <c r="W41" s="22"/>
      <c r="Y41" s="13"/>
      <c r="AA41" s="14"/>
      <c r="AB41" s="14"/>
      <c r="AC41" s="14"/>
      <c r="AD41" s="14"/>
      <c r="AF41" s="24"/>
      <c r="AG41" s="14"/>
    </row>
    <row r="42" spans="1:35" ht="13.9" customHeight="1">
      <c r="A42" s="304" t="s">
        <v>73</v>
      </c>
      <c r="B42" s="313">
        <f>SUM(B40:B41)</f>
        <v>3453333.333333333</v>
      </c>
      <c r="C42" s="313">
        <f>SUM(C40:C41)</f>
        <v>2578333.67</v>
      </c>
      <c r="D42" s="313">
        <f>SUM(D40:D41)</f>
        <v>6486666.666666666</v>
      </c>
      <c r="E42" s="313">
        <f t="shared" ref="E42:I42" si="16">SUM(E40:E41)</f>
        <v>4911666.67</v>
      </c>
      <c r="F42" s="313">
        <f>SUM(F40:F41)</f>
        <v>3733333.333333333</v>
      </c>
      <c r="G42" s="313">
        <f t="shared" si="16"/>
        <v>2858332.67</v>
      </c>
      <c r="H42" s="313">
        <f>SUM(H40:H41)</f>
        <v>6486666.666666666</v>
      </c>
      <c r="I42" s="313">
        <f t="shared" si="16"/>
        <v>4911666.67</v>
      </c>
      <c r="J42" s="313">
        <f>SUM(J40:J41)</f>
        <v>0</v>
      </c>
      <c r="K42" s="315"/>
      <c r="L42" s="451">
        <f>SUM(L40:L41)</f>
        <v>20159999.999999996</v>
      </c>
      <c r="M42" s="314">
        <f>SUM(M40:M41)</f>
        <v>15259999.68</v>
      </c>
      <c r="N42" s="454">
        <f t="shared" si="10"/>
        <v>0.75694442857142874</v>
      </c>
      <c r="O42" s="22"/>
      <c r="P42" s="946" t="s">
        <v>320</v>
      </c>
      <c r="Q42" s="947" t="s">
        <v>321</v>
      </c>
      <c r="R42" s="947" t="s">
        <v>322</v>
      </c>
      <c r="S42" s="947" t="s">
        <v>323</v>
      </c>
      <c r="T42" s="947" t="s">
        <v>324</v>
      </c>
      <c r="U42" s="947" t="s">
        <v>325</v>
      </c>
      <c r="V42" s="947" t="s">
        <v>326</v>
      </c>
      <c r="W42" s="253"/>
      <c r="X42" s="14"/>
      <c r="Z42" s="14"/>
      <c r="AA42" s="14"/>
      <c r="AB42" s="14"/>
      <c r="AC42" s="14"/>
      <c r="AE42" s="14"/>
      <c r="AF42" s="14"/>
    </row>
    <row r="43" spans="1:35" ht="15" customHeight="1" thickBot="1">
      <c r="A43" s="326" t="s">
        <v>74</v>
      </c>
      <c r="B43" s="309">
        <f>+'[4]5.SZ.TÁBL. ÓVODAI NORMATÍVA'!$D43</f>
        <v>4458806.3595505618</v>
      </c>
      <c r="C43" s="327">
        <v>3388693</v>
      </c>
      <c r="D43" s="309">
        <f>+'[4]5.SZ.TÁBL. ÓVODAI NORMATÍVA'!$G43</f>
        <v>0</v>
      </c>
      <c r="E43" s="327"/>
      <c r="F43" s="309">
        <f>+'[4]5.SZ.TÁBL. ÓVODAI NORMATÍVA'!$J43</f>
        <v>0</v>
      </c>
      <c r="G43" s="327"/>
      <c r="H43" s="309">
        <f>+'[4]5.SZ.TÁBL. ÓVODAI NORMATÍVA'!$M43</f>
        <v>0</v>
      </c>
      <c r="I43" s="327"/>
      <c r="J43" s="309">
        <f>+'[4]5.SZ.TÁBL. ÓVODAI NORMATÍVA'!$P43</f>
        <v>0</v>
      </c>
      <c r="K43" s="328"/>
      <c r="L43" s="452">
        <f>+B43+D43+F43+H43+J43</f>
        <v>4458806.3595505618</v>
      </c>
      <c r="M43" s="329">
        <f>+C43+E43+G43+I43+K43</f>
        <v>3388693</v>
      </c>
      <c r="N43" s="457">
        <f t="shared" si="10"/>
        <v>0.7600000373960113</v>
      </c>
      <c r="O43" s="22"/>
      <c r="P43" s="946"/>
      <c r="Q43" s="947"/>
      <c r="R43" s="947"/>
      <c r="S43" s="947"/>
      <c r="T43" s="947"/>
      <c r="U43" s="947"/>
      <c r="V43" s="947"/>
      <c r="W43" s="14"/>
      <c r="X43" s="13"/>
      <c r="Z43" s="14"/>
      <c r="AA43" s="14"/>
      <c r="AB43" s="14"/>
      <c r="AC43" s="14"/>
      <c r="AD43" s="23"/>
      <c r="AE43" s="24"/>
      <c r="AF43" s="14"/>
    </row>
    <row r="44" spans="1:35" ht="28.5" customHeight="1" thickBot="1">
      <c r="A44" s="330" t="s">
        <v>75</v>
      </c>
      <c r="B44" s="331">
        <f>+B34+B35+B39+B42+B43+B36</f>
        <v>30010139.692883894</v>
      </c>
      <c r="C44" s="331">
        <f t="shared" ref="C44:K44" si="17">+C34+C35+C39+C42+C43+C36</f>
        <v>22407161.670000002</v>
      </c>
      <c r="D44" s="331">
        <f>+D34+D35+D39+D42+D43+D36</f>
        <v>51220566.666666664</v>
      </c>
      <c r="E44" s="331">
        <f t="shared" si="17"/>
        <v>38620767.670000002</v>
      </c>
      <c r="F44" s="331">
        <f>+F34+F35+F39+F42+F43+F36</f>
        <v>26796633.333333332</v>
      </c>
      <c r="G44" s="331">
        <f t="shared" si="17"/>
        <v>20369899.670000002</v>
      </c>
      <c r="H44" s="331">
        <f>+H34+H35+H39+H42+H43+H36</f>
        <v>49327666.666666664</v>
      </c>
      <c r="I44" s="331">
        <f t="shared" si="17"/>
        <v>37136266.670000002</v>
      </c>
      <c r="J44" s="331">
        <f>+J34+J35+J39+J42+J43+J36</f>
        <v>5141600</v>
      </c>
      <c r="K44" s="445">
        <f t="shared" si="17"/>
        <v>3844534</v>
      </c>
      <c r="L44" s="453">
        <f>+L34+L35+L39+L42+L43+L36</f>
        <v>162496606.35955057</v>
      </c>
      <c r="M44" s="332">
        <f>+M34+M35+M39+M42+M43+M36</f>
        <v>122378629.68000001</v>
      </c>
      <c r="N44" s="458">
        <f t="shared" si="10"/>
        <v>0.75311498757836881</v>
      </c>
      <c r="O44" s="13"/>
      <c r="P44" s="287" t="s">
        <v>38</v>
      </c>
      <c r="Q44" s="305">
        <v>7088378</v>
      </c>
      <c r="R44" s="305">
        <v>3308095.9999999995</v>
      </c>
      <c r="S44" s="305">
        <v>3863277.2111999993</v>
      </c>
      <c r="T44" s="305">
        <v>1403520</v>
      </c>
      <c r="U44" s="305">
        <v>1821580.7888000007</v>
      </c>
      <c r="V44" s="333">
        <v>1730501.7493600005</v>
      </c>
      <c r="W44" s="14">
        <v>122379</v>
      </c>
      <c r="X44" s="14"/>
      <c r="Y44" s="14"/>
      <c r="Z44" s="14"/>
      <c r="AB44" s="14"/>
      <c r="AC44" s="14"/>
    </row>
    <row r="45" spans="1:35" s="301" customFormat="1" ht="18" customHeight="1" thickBot="1">
      <c r="A45" s="330" t="s">
        <v>431</v>
      </c>
      <c r="B45" s="331">
        <f>+'[4]5.SZ.TÁBL. ÓVODAI NORMATÍVA'!$D45</f>
        <v>332000</v>
      </c>
      <c r="C45" s="506">
        <v>300863</v>
      </c>
      <c r="D45" s="331">
        <f>+'[4]5.SZ.TÁBL. ÓVODAI NORMATÍVA'!$G45</f>
        <v>77000</v>
      </c>
      <c r="E45" s="506">
        <v>70155</v>
      </c>
      <c r="F45" s="331">
        <f>+'[4]5.SZ.TÁBL. ÓVODAI NORMATÍVA'!$J45</f>
        <v>196000</v>
      </c>
      <c r="G45" s="506">
        <v>178816</v>
      </c>
      <c r="H45" s="331">
        <f>+'[4]5.SZ.TÁBL. ÓVODAI NORMATÍVA'!$M45</f>
        <v>209000</v>
      </c>
      <c r="I45" s="506">
        <v>193929</v>
      </c>
      <c r="J45" s="331">
        <f>+'[4]5.SZ.TÁBL. ÓVODAI NORMATÍVA'!$P45</f>
        <v>102000</v>
      </c>
      <c r="K45" s="507">
        <v>91643</v>
      </c>
      <c r="L45" s="520">
        <f>+B45+D45+F45+H45+J45</f>
        <v>916000</v>
      </c>
      <c r="M45" s="521">
        <f>+C45+E45+G45+I45+K45</f>
        <v>835406</v>
      </c>
      <c r="N45" s="508">
        <f t="shared" ref="N45" si="18">+M45/L45</f>
        <v>0.91201528384279473</v>
      </c>
      <c r="O45" s="253"/>
      <c r="P45" s="253"/>
      <c r="Q45" s="253"/>
      <c r="R45" s="342"/>
      <c r="S45" s="342"/>
      <c r="T45" s="342"/>
      <c r="U45" s="343"/>
      <c r="V45" s="343"/>
      <c r="W45" s="15">
        <v>835</v>
      </c>
    </row>
    <row r="46" spans="1:35" ht="24.75" customHeight="1" thickBot="1">
      <c r="A46" s="330" t="s">
        <v>432</v>
      </c>
      <c r="B46" s="884">
        <f>+SUM(B44:B45)</f>
        <v>30342139.692883894</v>
      </c>
      <c r="C46" s="506">
        <f t="shared" ref="C46:M46" si="19">+SUM(C44:C45)</f>
        <v>22708024.670000002</v>
      </c>
      <c r="D46" s="884">
        <f>+SUM(D44:D45)</f>
        <v>51297566.666666664</v>
      </c>
      <c r="E46" s="506">
        <f t="shared" si="19"/>
        <v>38690922.670000002</v>
      </c>
      <c r="F46" s="884">
        <f>+SUM(F44:F45)</f>
        <v>26992633.333333332</v>
      </c>
      <c r="G46" s="506">
        <f t="shared" si="19"/>
        <v>20548715.670000002</v>
      </c>
      <c r="H46" s="884">
        <f>+SUM(H44:H45)</f>
        <v>49536666.666666664</v>
      </c>
      <c r="I46" s="506">
        <f t="shared" si="19"/>
        <v>37330195.670000002</v>
      </c>
      <c r="J46" s="884">
        <f>+SUM(J44:J45)</f>
        <v>5243600</v>
      </c>
      <c r="K46" s="507">
        <f t="shared" si="19"/>
        <v>3936177</v>
      </c>
      <c r="L46" s="453">
        <f>+SUM(L44:L45)</f>
        <v>163412606.35955057</v>
      </c>
      <c r="M46" s="506">
        <f t="shared" si="19"/>
        <v>123214035.68000001</v>
      </c>
      <c r="N46" s="508">
        <f t="shared" ref="N46" si="20">+M46/L46</f>
        <v>0.75400569408272478</v>
      </c>
      <c r="O46" s="14"/>
      <c r="P46" s="253"/>
      <c r="Q46" s="253"/>
      <c r="S46" s="342"/>
      <c r="T46" s="342"/>
      <c r="U46" s="343"/>
      <c r="V46" s="343"/>
      <c r="W46" s="14">
        <f>SUM(W44:W45)</f>
        <v>123214</v>
      </c>
      <c r="X46" s="301"/>
    </row>
    <row r="47" spans="1:35" ht="28.5" customHeight="1">
      <c r="A47" s="2" t="s">
        <v>337</v>
      </c>
      <c r="B47" s="2"/>
      <c r="C47" s="22">
        <v>22708</v>
      </c>
      <c r="D47" s="22"/>
      <c r="E47" s="22">
        <v>38691</v>
      </c>
      <c r="F47" s="22"/>
      <c r="G47" s="22">
        <v>20549</v>
      </c>
      <c r="H47" s="22"/>
      <c r="I47" s="22">
        <v>37330</v>
      </c>
      <c r="J47" s="22"/>
      <c r="K47" s="22">
        <v>3936</v>
      </c>
      <c r="L47" s="22"/>
      <c r="M47" s="509">
        <f>+C47+E47+G47+I47+K47</f>
        <v>123214</v>
      </c>
      <c r="N47" s="22"/>
      <c r="O47" s="13"/>
      <c r="P47" s="287"/>
      <c r="Q47" s="305"/>
      <c r="R47" s="305"/>
      <c r="S47" s="305"/>
      <c r="T47" s="305"/>
      <c r="U47" s="305"/>
      <c r="V47" s="333"/>
      <c r="W47" s="14"/>
      <c r="X47" s="14"/>
      <c r="Y47" s="14"/>
      <c r="Z47" s="14"/>
      <c r="AB47" s="14"/>
      <c r="AC47" s="14"/>
    </row>
    <row r="48" spans="1:35" ht="13.9" customHeight="1">
      <c r="E48" s="14"/>
      <c r="F48" s="14"/>
      <c r="G48" s="14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5"/>
      <c r="S48" s="334"/>
      <c r="T48" s="14"/>
      <c r="V48" s="15"/>
      <c r="X48" s="13"/>
      <c r="Z48" s="14"/>
      <c r="AA48" s="14"/>
      <c r="AB48" s="14"/>
      <c r="AC48" s="14"/>
      <c r="AE48" s="14"/>
      <c r="AF48" s="14"/>
    </row>
    <row r="49" spans="1:28" ht="13.9" hidden="1" customHeight="1">
      <c r="A49" s="35" t="s">
        <v>103</v>
      </c>
      <c r="B49" s="14">
        <v>1800000</v>
      </c>
      <c r="E49" s="14"/>
      <c r="F49" s="14"/>
      <c r="G49" s="14"/>
      <c r="H49" s="22"/>
      <c r="I49" s="22"/>
      <c r="J49" s="22"/>
      <c r="K49" s="22"/>
      <c r="N49" s="22"/>
      <c r="O49" s="22"/>
      <c r="P49" s="22"/>
      <c r="Q49" s="22"/>
      <c r="R49" s="15"/>
      <c r="S49" s="334"/>
      <c r="T49" s="14"/>
      <c r="U49" s="320"/>
      <c r="V49" s="300"/>
      <c r="W49" s="14"/>
      <c r="X49" s="14"/>
      <c r="Z49" s="14"/>
      <c r="AA49" s="14"/>
    </row>
    <row r="50" spans="1:28" ht="13.9" hidden="1" customHeight="1">
      <c r="A50" s="301" t="s">
        <v>306</v>
      </c>
      <c r="B50" s="14" t="s">
        <v>100</v>
      </c>
      <c r="C50" s="320" t="s">
        <v>101</v>
      </c>
      <c r="D50" s="320" t="s">
        <v>102</v>
      </c>
      <c r="E50" s="300" t="s">
        <v>24</v>
      </c>
      <c r="F50" s="13" t="s">
        <v>104</v>
      </c>
      <c r="G50" s="13"/>
      <c r="H50" s="13"/>
      <c r="I50" s="943" t="s">
        <v>79</v>
      </c>
      <c r="J50" s="943"/>
      <c r="K50" s="253"/>
      <c r="L50" s="253"/>
      <c r="M50" s="14"/>
      <c r="N50" s="22"/>
      <c r="O50" s="22"/>
      <c r="P50" s="22"/>
      <c r="R50" s="334"/>
      <c r="S50" s="14"/>
      <c r="T50" s="14"/>
      <c r="U50" s="15"/>
      <c r="V50" s="15"/>
    </row>
    <row r="51" spans="1:28" ht="13.9" hidden="1" customHeight="1">
      <c r="A51" s="15" t="s">
        <v>38</v>
      </c>
      <c r="B51" s="296">
        <v>2</v>
      </c>
      <c r="C51" s="296"/>
      <c r="D51" s="296"/>
      <c r="E51" s="335">
        <f>SUM(B51:D51)</f>
        <v>2</v>
      </c>
      <c r="F51" s="14">
        <f>+E51*$B$49*(8/12)</f>
        <v>2400000</v>
      </c>
      <c r="G51" s="14"/>
      <c r="H51" s="14"/>
      <c r="I51" s="945">
        <v>56000</v>
      </c>
      <c r="J51" s="945"/>
      <c r="K51" s="14"/>
      <c r="L51" s="14"/>
      <c r="N51" s="22"/>
      <c r="O51" s="22"/>
      <c r="P51" s="22"/>
      <c r="R51" s="334"/>
      <c r="S51" s="14"/>
      <c r="T51" s="14"/>
      <c r="V51" s="15"/>
    </row>
    <row r="52" spans="1:28" ht="13.9" hidden="1" customHeight="1">
      <c r="A52" s="15" t="s">
        <v>39</v>
      </c>
      <c r="B52" s="296">
        <v>4</v>
      </c>
      <c r="C52" s="335">
        <v>0.5</v>
      </c>
      <c r="E52" s="335">
        <f>SUM(B52:D52)</f>
        <v>4.5</v>
      </c>
      <c r="F52" s="14">
        <f t="shared" ref="F52:F55" si="21">+E52*$B$49*(8/12)</f>
        <v>5400000</v>
      </c>
      <c r="G52" s="22"/>
      <c r="H52" s="22"/>
      <c r="O52" s="22"/>
      <c r="P52" s="22"/>
      <c r="Q52" s="22"/>
      <c r="S52" s="334"/>
      <c r="T52" s="14"/>
      <c r="V52" s="15"/>
      <c r="AB52" s="14"/>
    </row>
    <row r="53" spans="1:28" ht="13.9" hidden="1" customHeight="1">
      <c r="A53" s="15" t="s">
        <v>40</v>
      </c>
      <c r="B53" s="296">
        <v>2</v>
      </c>
      <c r="C53" s="335"/>
      <c r="E53" s="335">
        <f>SUM(B53:D53)</f>
        <v>2</v>
      </c>
      <c r="F53" s="14">
        <f t="shared" si="21"/>
        <v>2400000</v>
      </c>
      <c r="G53" s="22"/>
      <c r="H53" s="22"/>
      <c r="I53" s="22" t="s">
        <v>98</v>
      </c>
      <c r="J53" s="14" t="s">
        <v>20</v>
      </c>
      <c r="K53" s="14"/>
      <c r="N53" s="13"/>
      <c r="O53" s="22"/>
      <c r="P53" s="22"/>
      <c r="Q53" s="22"/>
      <c r="S53" s="334"/>
      <c r="T53" s="14"/>
      <c r="V53" s="15"/>
    </row>
    <row r="54" spans="1:28" ht="13.9" hidden="1" customHeight="1">
      <c r="A54" s="15" t="s">
        <v>41</v>
      </c>
      <c r="B54" s="296">
        <v>4</v>
      </c>
      <c r="C54" s="335"/>
      <c r="E54" s="335">
        <f>SUM(B54:D54)</f>
        <v>4</v>
      </c>
      <c r="F54" s="14">
        <f t="shared" si="21"/>
        <v>4800000</v>
      </c>
      <c r="G54" s="14"/>
      <c r="H54" s="14"/>
      <c r="I54" s="15" t="s">
        <v>38</v>
      </c>
      <c r="J54" s="14">
        <f>+B6*(8/12)*$I$51</f>
        <v>2128000</v>
      </c>
      <c r="K54" s="14"/>
      <c r="L54" s="13"/>
      <c r="M54" s="13"/>
      <c r="N54" s="13"/>
      <c r="O54" s="22"/>
      <c r="P54" s="22"/>
      <c r="Q54" s="22"/>
      <c r="S54" s="334"/>
      <c r="T54" s="14"/>
      <c r="V54" s="15"/>
    </row>
    <row r="55" spans="1:28" ht="13.9" hidden="1" customHeight="1">
      <c r="A55" s="15" t="s">
        <v>89</v>
      </c>
      <c r="B55" s="296">
        <v>0</v>
      </c>
      <c r="C55" s="335">
        <v>0.5</v>
      </c>
      <c r="E55" s="335">
        <f>SUM(B55:D55)</f>
        <v>0.5</v>
      </c>
      <c r="F55" s="14">
        <f t="shared" si="21"/>
        <v>600000</v>
      </c>
      <c r="G55" s="14"/>
      <c r="H55" s="14"/>
      <c r="I55" s="15" t="s">
        <v>39</v>
      </c>
      <c r="J55" s="14">
        <f>+B7*(8/12)*$I$51</f>
        <v>3434666.6666666665</v>
      </c>
      <c r="K55" s="14"/>
      <c r="L55" s="13"/>
      <c r="M55" s="13"/>
      <c r="N55" s="22"/>
      <c r="O55" s="22"/>
      <c r="P55" s="13"/>
      <c r="Q55" s="334"/>
      <c r="R55" s="320"/>
      <c r="S55" s="300"/>
      <c r="T55" s="15"/>
    </row>
    <row r="56" spans="1:28" ht="13.9" hidden="1" customHeight="1">
      <c r="A56" s="15" t="s">
        <v>76</v>
      </c>
      <c r="B56" s="296">
        <f>SUM(B51:B55)</f>
        <v>12</v>
      </c>
      <c r="C56" s="335">
        <f t="shared" ref="C56:D56" si="22">SUM(C51:C55)</f>
        <v>1</v>
      </c>
      <c r="D56" s="335">
        <f t="shared" si="22"/>
        <v>0</v>
      </c>
      <c r="E56" s="335">
        <f>SUM(E51:E55)</f>
        <v>13</v>
      </c>
      <c r="F56" s="14">
        <f>SUM(F51:F55)</f>
        <v>15600000</v>
      </c>
      <c r="G56" s="14"/>
      <c r="H56" s="14"/>
      <c r="I56" s="15" t="s">
        <v>40</v>
      </c>
      <c r="J56" s="14">
        <f>+B8*(8/12)*$I$51</f>
        <v>2053333.3333333333</v>
      </c>
      <c r="K56" s="14"/>
      <c r="L56" s="22"/>
      <c r="M56" s="22"/>
      <c r="N56" s="22"/>
      <c r="O56" s="22"/>
      <c r="Q56" s="334"/>
      <c r="R56" s="14"/>
      <c r="S56" s="15"/>
      <c r="T56" s="15"/>
      <c r="V56" s="15"/>
    </row>
    <row r="57" spans="1:28" ht="13.9" hidden="1" customHeight="1">
      <c r="E57" s="15"/>
      <c r="I57" s="15" t="s">
        <v>41</v>
      </c>
      <c r="J57" s="14">
        <f>+B9*(8/12)*$I$51</f>
        <v>3285333.333333333</v>
      </c>
      <c r="K57" s="14"/>
      <c r="L57" s="22"/>
      <c r="M57" s="22"/>
      <c r="N57" s="22"/>
      <c r="O57" s="13"/>
      <c r="Q57" s="334"/>
      <c r="R57" s="14"/>
      <c r="S57" s="14"/>
      <c r="T57" s="15"/>
      <c r="V57" s="15"/>
    </row>
    <row r="58" spans="1:28" ht="13.9" hidden="1" customHeight="1">
      <c r="A58" s="301" t="s">
        <v>307</v>
      </c>
      <c r="B58" s="320" t="s">
        <v>100</v>
      </c>
      <c r="C58" s="320" t="s">
        <v>101</v>
      </c>
      <c r="D58" s="320" t="s">
        <v>102</v>
      </c>
      <c r="E58" s="300" t="s">
        <v>24</v>
      </c>
      <c r="F58" s="300" t="s">
        <v>104</v>
      </c>
      <c r="G58" s="300"/>
      <c r="H58" s="300"/>
      <c r="I58" s="15" t="s">
        <v>76</v>
      </c>
      <c r="J58" s="14">
        <f>SUM(J54:J57)</f>
        <v>10901333.333333332</v>
      </c>
      <c r="K58" s="14"/>
      <c r="L58" s="22"/>
      <c r="M58" s="22"/>
      <c r="N58" s="22"/>
      <c r="O58" s="13"/>
      <c r="Q58" s="334"/>
      <c r="R58" s="14"/>
      <c r="S58" s="14"/>
      <c r="T58" s="15"/>
      <c r="U58" s="15"/>
      <c r="V58" s="15"/>
    </row>
    <row r="59" spans="1:28" ht="13.9" hidden="1" customHeight="1">
      <c r="A59" s="15" t="s">
        <v>38</v>
      </c>
      <c r="B59" s="296">
        <v>2</v>
      </c>
      <c r="C59" s="296"/>
      <c r="D59" s="336"/>
      <c r="E59" s="335">
        <f>SUM(B59:D59)</f>
        <v>2</v>
      </c>
      <c r="F59" s="14">
        <f>+E59*$B$49*(4/12)</f>
        <v>1200000</v>
      </c>
      <c r="G59" s="14"/>
      <c r="H59" s="14"/>
      <c r="I59" s="22"/>
      <c r="J59" s="14"/>
      <c r="K59" s="14"/>
      <c r="L59" s="22"/>
      <c r="M59" s="22"/>
      <c r="N59" s="22"/>
      <c r="O59" s="13"/>
      <c r="R59" s="15"/>
      <c r="S59" s="15"/>
      <c r="T59" s="15"/>
      <c r="U59" s="15"/>
      <c r="V59" s="15"/>
    </row>
    <row r="60" spans="1:28" ht="13.9" hidden="1" customHeight="1">
      <c r="A60" s="15" t="s">
        <v>39</v>
      </c>
      <c r="B60" s="296">
        <v>4</v>
      </c>
      <c r="C60" s="335">
        <v>0.5</v>
      </c>
      <c r="D60" s="336"/>
      <c r="E60" s="335">
        <f>SUM(B60:D60)</f>
        <v>4.5</v>
      </c>
      <c r="F60" s="14">
        <f t="shared" ref="F60:F63" si="23">+E60*$B$49*(4/12)</f>
        <v>2700000</v>
      </c>
      <c r="G60" s="14"/>
      <c r="H60" s="14"/>
      <c r="I60" s="22" t="s">
        <v>99</v>
      </c>
      <c r="J60" s="14"/>
      <c r="K60" s="14"/>
      <c r="L60" s="337"/>
      <c r="M60" s="22"/>
      <c r="N60" s="22"/>
      <c r="O60" s="13"/>
      <c r="P60" s="334"/>
      <c r="Q60" s="14"/>
      <c r="R60" s="15"/>
      <c r="S60" s="15"/>
      <c r="T60" s="15"/>
      <c r="U60" s="15"/>
      <c r="V60" s="15"/>
    </row>
    <row r="61" spans="1:28" ht="13.9" hidden="1" customHeight="1">
      <c r="A61" s="15" t="s">
        <v>40</v>
      </c>
      <c r="B61" s="296">
        <v>2</v>
      </c>
      <c r="C61" s="335"/>
      <c r="D61" s="335"/>
      <c r="E61" s="335">
        <f>SUM(B61:D61)</f>
        <v>2</v>
      </c>
      <c r="F61" s="14">
        <f t="shared" si="23"/>
        <v>1200000</v>
      </c>
      <c r="G61" s="14"/>
      <c r="H61" s="14"/>
      <c r="I61" s="15" t="s">
        <v>38</v>
      </c>
      <c r="J61" s="14">
        <f>+B14*(4/12)*$I$51</f>
        <v>1045333.3333333333</v>
      </c>
      <c r="K61" s="14"/>
      <c r="L61" s="338"/>
      <c r="M61" s="22"/>
      <c r="N61" s="22"/>
      <c r="O61" s="14"/>
      <c r="P61" s="22"/>
      <c r="Q61" s="338"/>
      <c r="R61" s="22"/>
      <c r="S61" s="22"/>
      <c r="T61" s="14"/>
      <c r="U61" s="15"/>
      <c r="V61" s="15"/>
    </row>
    <row r="62" spans="1:28" ht="13.9" hidden="1" customHeight="1">
      <c r="A62" s="15" t="s">
        <v>41</v>
      </c>
      <c r="B62" s="296">
        <v>4</v>
      </c>
      <c r="C62" s="335"/>
      <c r="D62" s="335"/>
      <c r="E62" s="335">
        <f>SUM(B62:D62)</f>
        <v>4</v>
      </c>
      <c r="F62" s="14">
        <f t="shared" si="23"/>
        <v>2400000</v>
      </c>
      <c r="G62" s="14"/>
      <c r="I62" s="15" t="s">
        <v>39</v>
      </c>
      <c r="J62" s="14">
        <f>+B15*(4/12)*$I$51</f>
        <v>1792000</v>
      </c>
      <c r="K62" s="14"/>
      <c r="L62" s="338"/>
      <c r="M62" s="22"/>
      <c r="N62" s="22"/>
      <c r="P62" s="22"/>
      <c r="Q62" s="22"/>
      <c r="R62" s="22"/>
      <c r="S62" s="22"/>
      <c r="T62" s="22"/>
      <c r="U62" s="15"/>
      <c r="V62" s="15"/>
    </row>
    <row r="63" spans="1:28" ht="13.9" hidden="1" customHeight="1">
      <c r="A63" s="15" t="s">
        <v>89</v>
      </c>
      <c r="B63" s="296">
        <v>0</v>
      </c>
      <c r="C63" s="335">
        <v>0.5</v>
      </c>
      <c r="D63" s="335"/>
      <c r="E63" s="335">
        <f>SUM(B63:D63)</f>
        <v>0.5</v>
      </c>
      <c r="F63" s="14">
        <f t="shared" si="23"/>
        <v>300000</v>
      </c>
      <c r="G63" s="14"/>
      <c r="I63" s="15" t="s">
        <v>40</v>
      </c>
      <c r="J63" s="14">
        <f>+B16*(4/12)*$I$51</f>
        <v>1045333.3333333333</v>
      </c>
      <c r="K63" s="14"/>
      <c r="L63" s="338"/>
      <c r="M63" s="22"/>
      <c r="N63" s="22"/>
      <c r="O63" s="22"/>
      <c r="P63" s="22"/>
      <c r="Q63" s="22"/>
      <c r="R63" s="22"/>
      <c r="S63" s="22"/>
      <c r="T63" s="22"/>
      <c r="U63" s="15"/>
      <c r="V63" s="15"/>
    </row>
    <row r="64" spans="1:28" ht="13.9" hidden="1" customHeight="1">
      <c r="A64" s="15" t="s">
        <v>76</v>
      </c>
      <c r="B64" s="335">
        <f t="shared" ref="B64:D64" si="24">SUM(B59:B63)</f>
        <v>12</v>
      </c>
      <c r="C64" s="335">
        <f t="shared" si="24"/>
        <v>1</v>
      </c>
      <c r="D64" s="335">
        <f t="shared" si="24"/>
        <v>0</v>
      </c>
      <c r="E64" s="335">
        <f>SUM(E59:E63)</f>
        <v>13</v>
      </c>
      <c r="F64" s="14">
        <f>SUM(F59:F63)</f>
        <v>7800000</v>
      </c>
      <c r="G64" s="14"/>
      <c r="I64" s="15" t="s">
        <v>41</v>
      </c>
      <c r="J64" s="14">
        <f>+B17*(4/12)*$I$51</f>
        <v>1624000</v>
      </c>
      <c r="K64" s="14"/>
      <c r="L64" s="338"/>
      <c r="M64" s="22"/>
      <c r="N64" s="22"/>
      <c r="O64" s="253"/>
      <c r="P64" s="22"/>
      <c r="Q64" s="22"/>
      <c r="R64" s="22"/>
      <c r="S64" s="22"/>
      <c r="T64" s="14"/>
    </row>
    <row r="65" spans="1:32" ht="13.9" hidden="1" customHeight="1">
      <c r="A65" s="339"/>
      <c r="B65" s="296"/>
      <c r="D65" s="340"/>
      <c r="E65" s="341"/>
      <c r="F65" s="340"/>
      <c r="G65" s="340"/>
      <c r="H65" s="22"/>
      <c r="I65" s="15" t="s">
        <v>76</v>
      </c>
      <c r="J65" s="14">
        <f>SUM(J61:J64)</f>
        <v>5506666.666666666</v>
      </c>
      <c r="K65" s="14"/>
      <c r="L65" s="338"/>
      <c r="M65" s="22"/>
      <c r="N65" s="22"/>
      <c r="O65" s="253"/>
      <c r="P65" s="13"/>
      <c r="Q65" s="13"/>
      <c r="R65" s="15"/>
      <c r="S65" s="334"/>
      <c r="T65" s="342"/>
      <c r="U65" s="343"/>
      <c r="V65" s="301"/>
    </row>
    <row r="66" spans="1:32" ht="15" customHeight="1">
      <c r="A66" s="301"/>
      <c r="B66" s="296"/>
      <c r="E66" s="302"/>
      <c r="F66" s="14"/>
      <c r="G66" s="14"/>
      <c r="J66" s="22"/>
      <c r="M66" s="253"/>
      <c r="N66" s="253"/>
      <c r="O66" s="14"/>
      <c r="P66" s="253"/>
      <c r="Q66" s="253"/>
      <c r="S66" s="342"/>
      <c r="W66" s="301"/>
      <c r="Y66" s="301"/>
    </row>
    <row r="67" spans="1:32" ht="15" customHeight="1">
      <c r="A67" s="35"/>
      <c r="B67" s="344"/>
      <c r="C67" s="22"/>
      <c r="F67" s="14"/>
      <c r="G67" s="343"/>
      <c r="H67" s="22"/>
      <c r="I67" s="22"/>
      <c r="J67" s="22"/>
      <c r="M67" s="253"/>
      <c r="N67" s="253"/>
      <c r="O67" s="14"/>
      <c r="P67" s="253"/>
      <c r="Q67" s="253"/>
      <c r="W67" s="301"/>
      <c r="Y67" s="301"/>
    </row>
    <row r="68" spans="1:32">
      <c r="B68" s="296"/>
      <c r="F68" s="14"/>
      <c r="G68" s="14"/>
      <c r="H68" s="22"/>
      <c r="I68" s="253"/>
      <c r="J68" s="253"/>
      <c r="K68" s="253"/>
      <c r="L68" s="253"/>
      <c r="M68" s="253"/>
      <c r="N68" s="253"/>
      <c r="O68" s="14"/>
      <c r="P68" s="14"/>
      <c r="Q68" s="14"/>
      <c r="R68" s="342"/>
      <c r="X68" s="301"/>
      <c r="Y68" s="301"/>
    </row>
    <row r="69" spans="1:32">
      <c r="B69" s="296"/>
      <c r="F69" s="14"/>
      <c r="G69" s="14"/>
      <c r="H69" s="253"/>
      <c r="I69" s="253"/>
      <c r="J69" s="253"/>
      <c r="K69" s="253"/>
      <c r="L69" s="253"/>
      <c r="M69" s="14"/>
      <c r="N69" s="14"/>
      <c r="O69" s="14"/>
      <c r="P69" s="14"/>
      <c r="Q69" s="14"/>
      <c r="R69" s="342"/>
      <c r="Z69" s="301"/>
      <c r="AA69" s="301"/>
      <c r="AB69" s="301"/>
    </row>
    <row r="70" spans="1:32">
      <c r="B70" s="296"/>
      <c r="F70" s="14"/>
      <c r="G70" s="14"/>
      <c r="H70" s="253"/>
      <c r="I70" s="253"/>
      <c r="J70" s="253"/>
      <c r="K70" s="253"/>
      <c r="L70" s="253"/>
      <c r="M70" s="14"/>
      <c r="N70" s="14"/>
      <c r="O70" s="14"/>
      <c r="P70" s="14"/>
      <c r="Q70" s="14"/>
      <c r="Z70" s="301"/>
      <c r="AA70" s="301"/>
      <c r="AB70" s="301"/>
    </row>
    <row r="71" spans="1:32">
      <c r="B71" s="296"/>
      <c r="F71" s="14"/>
      <c r="G71" s="14"/>
      <c r="H71" s="253"/>
      <c r="I71" s="253"/>
      <c r="J71" s="253"/>
      <c r="K71" s="253"/>
      <c r="L71" s="253"/>
      <c r="M71" s="14"/>
      <c r="N71" s="14"/>
      <c r="O71" s="14"/>
      <c r="P71" s="14"/>
      <c r="Q71" s="14"/>
    </row>
    <row r="72" spans="1:32" s="301" customFormat="1">
      <c r="A72" s="339"/>
      <c r="B72" s="296"/>
      <c r="C72" s="14"/>
      <c r="D72" s="340"/>
      <c r="E72" s="345"/>
      <c r="F72" s="340"/>
      <c r="G72" s="340"/>
      <c r="H72" s="253"/>
      <c r="I72" s="14"/>
      <c r="J72" s="14"/>
      <c r="K72" s="14"/>
      <c r="L72" s="14"/>
      <c r="M72" s="14"/>
      <c r="N72" s="14"/>
      <c r="O72" s="14"/>
      <c r="P72" s="14"/>
      <c r="Q72" s="14"/>
      <c r="R72" s="13"/>
      <c r="S72" s="13"/>
      <c r="T72" s="13"/>
      <c r="U72" s="14"/>
      <c r="V72" s="14"/>
      <c r="W72" s="15"/>
      <c r="X72" s="15"/>
      <c r="Y72" s="15"/>
      <c r="Z72" s="15"/>
      <c r="AA72" s="15"/>
      <c r="AB72" s="15"/>
      <c r="AD72" s="15"/>
      <c r="AE72" s="15"/>
      <c r="AF72" s="15"/>
    </row>
    <row r="73" spans="1:32" s="301" customFormat="1">
      <c r="A73" s="15"/>
      <c r="B73" s="296"/>
      <c r="C73" s="14"/>
      <c r="D73" s="14"/>
      <c r="E73" s="296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3"/>
      <c r="S73" s="13"/>
      <c r="T73" s="13"/>
      <c r="U73" s="14"/>
      <c r="V73" s="14"/>
      <c r="W73" s="15"/>
      <c r="X73" s="15"/>
      <c r="Y73" s="15"/>
      <c r="Z73" s="15"/>
      <c r="AA73" s="15"/>
      <c r="AB73" s="15"/>
      <c r="AD73" s="15"/>
      <c r="AE73" s="15"/>
      <c r="AF73" s="15"/>
    </row>
    <row r="74" spans="1:32">
      <c r="A74" s="339"/>
      <c r="B74" s="296"/>
      <c r="D74" s="340"/>
      <c r="E74" s="345"/>
      <c r="F74" s="340"/>
      <c r="G74" s="340"/>
      <c r="H74" s="14"/>
      <c r="I74" s="14"/>
      <c r="J74" s="14"/>
      <c r="K74" s="14"/>
      <c r="L74" s="14"/>
      <c r="M74" s="14"/>
      <c r="N74" s="14"/>
      <c r="O74" s="14"/>
      <c r="P74" s="14"/>
      <c r="Q74" s="14"/>
      <c r="AD74" s="301"/>
      <c r="AE74" s="301"/>
      <c r="AF74" s="301"/>
    </row>
    <row r="75" spans="1:32">
      <c r="C75" s="320"/>
      <c r="E75" s="14"/>
      <c r="F75" s="14"/>
      <c r="G75" s="296"/>
      <c r="H75" s="14"/>
      <c r="I75" s="14"/>
      <c r="J75" s="14"/>
      <c r="K75" s="14"/>
      <c r="L75" s="14"/>
      <c r="M75" s="14"/>
      <c r="N75" s="14"/>
      <c r="O75" s="14"/>
      <c r="P75" s="14"/>
      <c r="Q75" s="14"/>
      <c r="AD75" s="301"/>
      <c r="AE75" s="301"/>
      <c r="AF75" s="301"/>
    </row>
    <row r="76" spans="1:32">
      <c r="H76" s="14"/>
      <c r="I76" s="14"/>
      <c r="J76" s="14"/>
      <c r="K76" s="14"/>
      <c r="L76" s="14"/>
      <c r="M76" s="14"/>
      <c r="N76" s="14"/>
      <c r="P76" s="14"/>
      <c r="Q76" s="14"/>
    </row>
    <row r="77" spans="1:32">
      <c r="H77" s="343"/>
      <c r="I77" s="296"/>
      <c r="J77" s="296"/>
      <c r="K77" s="296"/>
      <c r="L77" s="296"/>
      <c r="M77" s="14"/>
      <c r="N77" s="14"/>
      <c r="O77" s="345"/>
      <c r="P77" s="14"/>
      <c r="Q77" s="14"/>
      <c r="R77" s="14"/>
      <c r="S77" s="335"/>
      <c r="T77" s="14"/>
      <c r="V77" s="302"/>
      <c r="W77" s="14"/>
      <c r="X77" s="14"/>
      <c r="Y77" s="14"/>
      <c r="Z77" s="13"/>
      <c r="AA77" s="14"/>
      <c r="AD77" s="301"/>
      <c r="AE77" s="301"/>
      <c r="AF77" s="301"/>
    </row>
    <row r="78" spans="1:32">
      <c r="H78" s="29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335"/>
      <c r="T78" s="14"/>
      <c r="V78" s="302"/>
      <c r="W78" s="14"/>
      <c r="X78" s="14"/>
      <c r="Y78" s="14"/>
      <c r="Z78" s="13"/>
      <c r="AA78" s="14"/>
      <c r="AB78" s="339"/>
    </row>
    <row r="79" spans="1:32">
      <c r="H79" s="14"/>
      <c r="I79" s="14"/>
      <c r="J79" s="14"/>
      <c r="K79" s="14"/>
      <c r="L79" s="14"/>
      <c r="M79" s="14"/>
      <c r="N79" s="14"/>
      <c r="O79" s="340"/>
      <c r="P79" s="14"/>
      <c r="Q79" s="14"/>
      <c r="R79" s="14"/>
      <c r="S79" s="335"/>
      <c r="T79" s="340"/>
      <c r="U79" s="340"/>
      <c r="V79" s="341"/>
      <c r="W79" s="14"/>
      <c r="X79" s="14"/>
      <c r="Y79" s="14"/>
      <c r="Z79" s="13"/>
      <c r="AA79" s="14"/>
    </row>
    <row r="80" spans="1:32">
      <c r="H80" s="14"/>
      <c r="I80" s="14"/>
      <c r="J80" s="14"/>
      <c r="K80" s="14"/>
      <c r="L80" s="14"/>
      <c r="M80" s="14"/>
      <c r="N80" s="14"/>
      <c r="O80" s="296"/>
      <c r="P80" s="345"/>
      <c r="Q80" s="345"/>
      <c r="R80" s="340"/>
      <c r="S80" s="345"/>
      <c r="T80" s="14"/>
      <c r="W80" s="14"/>
      <c r="X80" s="14"/>
      <c r="Y80" s="14"/>
      <c r="Z80" s="13"/>
      <c r="AA80" s="14"/>
    </row>
    <row r="81" spans="1:32" s="339" customFormat="1">
      <c r="A81" s="15"/>
      <c r="B81" s="14"/>
      <c r="C81" s="14"/>
      <c r="D81" s="14"/>
      <c r="E81" s="296"/>
      <c r="F81" s="15"/>
      <c r="G81" s="15"/>
      <c r="H81" s="14"/>
      <c r="I81" s="345"/>
      <c r="J81" s="345"/>
      <c r="K81" s="345"/>
      <c r="L81" s="345"/>
      <c r="M81" s="345"/>
      <c r="N81" s="345"/>
      <c r="O81" s="15"/>
      <c r="P81" s="14"/>
      <c r="Q81" s="14"/>
      <c r="R81" s="14"/>
      <c r="S81" s="335"/>
      <c r="T81" s="340"/>
      <c r="U81" s="340"/>
      <c r="V81" s="345"/>
      <c r="W81" s="340"/>
      <c r="X81" s="340"/>
      <c r="Y81" s="345"/>
      <c r="Z81" s="340"/>
      <c r="AA81" s="340"/>
      <c r="AB81" s="15"/>
      <c r="AD81" s="15"/>
      <c r="AE81" s="15"/>
      <c r="AF81" s="15"/>
    </row>
    <row r="82" spans="1:32">
      <c r="H82" s="345"/>
      <c r="I82" s="296"/>
      <c r="J82" s="296"/>
      <c r="K82" s="296"/>
      <c r="L82" s="296"/>
      <c r="M82" s="14"/>
      <c r="N82" s="14"/>
      <c r="P82" s="340"/>
      <c r="Q82" s="340"/>
      <c r="R82" s="340"/>
      <c r="S82" s="345"/>
      <c r="T82" s="15"/>
      <c r="U82" s="15"/>
      <c r="W82" s="14"/>
      <c r="X82" s="14"/>
      <c r="Y82" s="14"/>
      <c r="Z82" s="13"/>
      <c r="AA82" s="343"/>
    </row>
    <row r="83" spans="1:32">
      <c r="H83" s="296"/>
      <c r="I83" s="345"/>
      <c r="J83" s="345"/>
      <c r="K83" s="345"/>
      <c r="L83" s="345"/>
      <c r="M83" s="340"/>
      <c r="N83" s="340"/>
      <c r="P83" s="296"/>
      <c r="Q83" s="296"/>
      <c r="R83" s="15"/>
      <c r="S83" s="15"/>
      <c r="W83" s="340"/>
      <c r="X83" s="340"/>
      <c r="Y83" s="345"/>
      <c r="Z83" s="340"/>
      <c r="AA83" s="340"/>
      <c r="AD83" s="339"/>
      <c r="AE83" s="339"/>
      <c r="AF83" s="339"/>
    </row>
    <row r="84" spans="1:32">
      <c r="H84" s="345"/>
      <c r="I84" s="296"/>
      <c r="J84" s="296"/>
      <c r="K84" s="296"/>
      <c r="L84" s="296"/>
      <c r="M84" s="296"/>
      <c r="N84" s="296"/>
      <c r="W84" s="14"/>
    </row>
    <row r="85" spans="1:32">
      <c r="H85" s="296"/>
    </row>
    <row r="89" spans="1:32">
      <c r="I89" s="35"/>
      <c r="J89" s="35"/>
      <c r="K89" s="35"/>
      <c r="L89" s="35"/>
    </row>
    <row r="90" spans="1:32">
      <c r="H90" s="346"/>
      <c r="I90" s="35"/>
      <c r="J90" s="35"/>
      <c r="K90" s="35"/>
      <c r="L90" s="35"/>
    </row>
    <row r="91" spans="1:32">
      <c r="H91" s="347"/>
      <c r="I91" s="35"/>
      <c r="J91" s="35"/>
      <c r="K91" s="35"/>
      <c r="L91" s="35"/>
    </row>
    <row r="92" spans="1:32">
      <c r="H92" s="347"/>
      <c r="I92" s="35"/>
      <c r="J92" s="35"/>
      <c r="K92" s="35"/>
      <c r="L92" s="35"/>
    </row>
    <row r="93" spans="1:32">
      <c r="H93" s="347"/>
      <c r="I93" s="35"/>
      <c r="J93" s="35"/>
      <c r="K93" s="35"/>
      <c r="L93" s="35"/>
    </row>
    <row r="94" spans="1:32">
      <c r="H94" s="348"/>
    </row>
  </sheetData>
  <mergeCells count="23">
    <mergeCell ref="P30:Q30"/>
    <mergeCell ref="G4:M4"/>
    <mergeCell ref="Q12:AB12"/>
    <mergeCell ref="R30:T30"/>
    <mergeCell ref="V30:V31"/>
    <mergeCell ref="L30:M30"/>
    <mergeCell ref="N30:N31"/>
    <mergeCell ref="AA40:AB40"/>
    <mergeCell ref="AE40:AH40"/>
    <mergeCell ref="I50:J50"/>
    <mergeCell ref="I51:J51"/>
    <mergeCell ref="P42:P43"/>
    <mergeCell ref="Q42:Q43"/>
    <mergeCell ref="R42:R43"/>
    <mergeCell ref="S42:S43"/>
    <mergeCell ref="T42:T43"/>
    <mergeCell ref="U42:U43"/>
    <mergeCell ref="V42:V43"/>
    <mergeCell ref="B30:C30"/>
    <mergeCell ref="D30:E30"/>
    <mergeCell ref="F30:G30"/>
    <mergeCell ref="H30:I30"/>
    <mergeCell ref="J30:K30"/>
  </mergeCells>
  <phoneticPr fontId="25" type="noConversion"/>
  <printOptions horizontalCentered="1"/>
  <pageMargins left="0.15748031496062992" right="0.15748031496062992" top="1.299212598425197" bottom="0.51181102362204722" header="0.35433070866141736" footer="0.15748031496062992"/>
  <pageSetup paperSize="9" scale="75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G121"/>
  <sheetViews>
    <sheetView zoomScaleSheetLayoutView="85" workbookViewId="0">
      <selection activeCell="C47" sqref="C47"/>
    </sheetView>
  </sheetViews>
  <sheetFormatPr defaultColWidth="8.85546875" defaultRowHeight="15"/>
  <cols>
    <col min="1" max="1" width="75.5703125" style="60" customWidth="1"/>
    <col min="2" max="2" width="12.42578125" style="61" customWidth="1"/>
    <col min="3" max="3" width="14.28515625" style="62" customWidth="1"/>
    <col min="4" max="4" width="14.28515625" style="41" customWidth="1"/>
    <col min="5" max="5" width="9.5703125" style="41" customWidth="1"/>
    <col min="6" max="6" width="11" style="41" customWidth="1"/>
    <col min="7" max="7" width="12.5703125" style="41" customWidth="1"/>
    <col min="8" max="16384" width="8.85546875" style="41"/>
  </cols>
  <sheetData>
    <row r="1" spans="1:7" ht="35.25" customHeight="1">
      <c r="A1" s="110"/>
      <c r="B1" s="111"/>
      <c r="C1" s="459" t="s">
        <v>430</v>
      </c>
      <c r="D1" s="466" t="s">
        <v>126</v>
      </c>
      <c r="E1" s="464" t="s">
        <v>414</v>
      </c>
      <c r="F1" s="40"/>
      <c r="G1" s="40"/>
    </row>
    <row r="2" spans="1:7" ht="28.5" customHeight="1">
      <c r="A2" s="109" t="s">
        <v>65</v>
      </c>
      <c r="B2" s="55"/>
      <c r="C2" s="461"/>
      <c r="D2" s="467"/>
      <c r="E2" s="465"/>
      <c r="F2" s="42"/>
      <c r="G2" s="42" t="s">
        <v>339</v>
      </c>
    </row>
    <row r="3" spans="1:7">
      <c r="A3" s="43" t="s">
        <v>68</v>
      </c>
      <c r="B3" s="44" t="s">
        <v>42</v>
      </c>
      <c r="C3" s="66">
        <f>+'[4]6.SZ.TÁBL. SZOCIÁLIS NORMATÍVA'!$D3</f>
        <v>7377415</v>
      </c>
      <c r="D3" s="468">
        <v>5606834</v>
      </c>
      <c r="E3" s="472">
        <f>+D3/C3</f>
        <v>0.75999981023163266</v>
      </c>
      <c r="F3" s="45"/>
      <c r="G3" s="45">
        <v>5607</v>
      </c>
    </row>
    <row r="4" spans="1:7">
      <c r="A4" s="43" t="s">
        <v>67</v>
      </c>
      <c r="B4" s="44" t="s">
        <v>42</v>
      </c>
      <c r="C4" s="66">
        <f>+'[4]6.SZ.TÁBL. SZOCIÁLIS NORMATÍVA'!$D4</f>
        <v>5603100</v>
      </c>
      <c r="D4" s="468">
        <v>4258355</v>
      </c>
      <c r="E4" s="472">
        <f t="shared" ref="E4:E47" si="0">+D4/C4</f>
        <v>0.75999982152736878</v>
      </c>
      <c r="F4" s="45"/>
      <c r="G4" s="45">
        <v>4258</v>
      </c>
    </row>
    <row r="5" spans="1:7">
      <c r="A5" s="46" t="s">
        <v>69</v>
      </c>
      <c r="B5" s="47" t="s">
        <v>42</v>
      </c>
      <c r="C5" s="66">
        <f>+'[4]6.SZ.TÁBL. SZOCIÁLIS NORMATÍVA'!$D5</f>
        <v>7377415</v>
      </c>
      <c r="D5" s="468">
        <v>5606835</v>
      </c>
      <c r="E5" s="472">
        <f t="shared" si="0"/>
        <v>0.75999994578046648</v>
      </c>
      <c r="F5" s="45"/>
      <c r="G5" s="45">
        <v>5607</v>
      </c>
    </row>
    <row r="6" spans="1:7">
      <c r="A6" s="46" t="s">
        <v>327</v>
      </c>
      <c r="B6" s="47" t="s">
        <v>42</v>
      </c>
      <c r="C6" s="66">
        <f>+'[4]6.SZ.TÁBL. SZOCIÁLIS NORMATÍVA'!$D6</f>
        <v>4437600</v>
      </c>
      <c r="D6" s="468">
        <v>3372575</v>
      </c>
      <c r="E6" s="472">
        <f t="shared" si="0"/>
        <v>0.75999977465296553</v>
      </c>
      <c r="F6" s="45"/>
      <c r="G6" s="45">
        <v>3372</v>
      </c>
    </row>
    <row r="7" spans="1:7">
      <c r="A7" s="46" t="s">
        <v>84</v>
      </c>
      <c r="B7" s="47" t="s">
        <v>42</v>
      </c>
      <c r="C7" s="66">
        <f>+'[4]6.SZ.TÁBL. SZOCIÁLIS NORMATÍVA'!$D7</f>
        <v>22431500</v>
      </c>
      <c r="D7" s="468">
        <v>17047940</v>
      </c>
      <c r="E7" s="472">
        <f t="shared" si="0"/>
        <v>0.76</v>
      </c>
      <c r="F7" s="45"/>
      <c r="G7" s="45">
        <v>17048</v>
      </c>
    </row>
    <row r="8" spans="1:7">
      <c r="A8" s="46" t="s">
        <v>85</v>
      </c>
      <c r="B8" s="47" t="s">
        <v>42</v>
      </c>
      <c r="C8" s="66">
        <f>+'[4]6.SZ.TÁBL. SZOCIÁLIS NORMATÍVA'!$D8</f>
        <v>1635000</v>
      </c>
      <c r="D8" s="468">
        <v>1242600</v>
      </c>
      <c r="E8" s="472">
        <f t="shared" si="0"/>
        <v>0.76</v>
      </c>
      <c r="F8" s="45"/>
      <c r="G8" s="45">
        <v>1243</v>
      </c>
    </row>
    <row r="9" spans="1:7">
      <c r="A9" s="49" t="s">
        <v>328</v>
      </c>
      <c r="B9" s="47" t="s">
        <v>43</v>
      </c>
      <c r="C9" s="66">
        <f>+'[4]6.SZ.TÁBL. SZOCIÁLIS NORMATÍVA'!$D9</f>
        <v>2500000</v>
      </c>
      <c r="D9" s="468">
        <v>1900000</v>
      </c>
      <c r="E9" s="472">
        <f t="shared" si="0"/>
        <v>0.76</v>
      </c>
      <c r="F9" s="45"/>
      <c r="G9" s="45">
        <v>1900</v>
      </c>
    </row>
    <row r="10" spans="1:7">
      <c r="A10" s="50" t="s">
        <v>329</v>
      </c>
      <c r="B10" s="51" t="s">
        <v>42</v>
      </c>
      <c r="C10" s="66">
        <f>+'[4]6.SZ.TÁBL. SZOCIÁLIS NORMATÍVA'!$D10</f>
        <v>1394640</v>
      </c>
      <c r="D10" s="469">
        <v>1059925</v>
      </c>
      <c r="E10" s="473">
        <f t="shared" si="0"/>
        <v>0.75999899615671429</v>
      </c>
      <c r="F10" s="45"/>
      <c r="G10" s="45">
        <v>1060</v>
      </c>
    </row>
    <row r="11" spans="1:7">
      <c r="A11" s="52" t="s">
        <v>66</v>
      </c>
      <c r="B11" s="56"/>
      <c r="C11" s="460">
        <f>SUM(C3:C10)</f>
        <v>52756670</v>
      </c>
      <c r="D11" s="460">
        <f>SUM(D3:D10)</f>
        <v>40095064</v>
      </c>
      <c r="E11" s="476">
        <f t="shared" si="0"/>
        <v>0.7599999014342641</v>
      </c>
      <c r="F11" s="53"/>
      <c r="G11" s="53">
        <f>SUM(G3:G10)</f>
        <v>40095</v>
      </c>
    </row>
    <row r="12" spans="1:7" ht="11.25" customHeight="1">
      <c r="A12" s="54"/>
      <c r="B12" s="55"/>
      <c r="C12" s="461"/>
      <c r="D12" s="467"/>
      <c r="E12" s="474"/>
      <c r="F12" s="45"/>
      <c r="G12" s="45"/>
    </row>
    <row r="13" spans="1:7" ht="14.45" customHeight="1">
      <c r="A13" s="46" t="s">
        <v>70</v>
      </c>
      <c r="B13" s="47"/>
      <c r="C13" s="70"/>
      <c r="D13" s="470"/>
      <c r="E13" s="472"/>
      <c r="F13" s="45"/>
      <c r="G13" s="45"/>
    </row>
    <row r="14" spans="1:7">
      <c r="A14" s="46" t="s">
        <v>44</v>
      </c>
      <c r="B14" s="47"/>
      <c r="C14" s="66">
        <f>+'[4]6.SZ.TÁBL. SZOCIÁLIS NORMATÍVA'!$D14</f>
        <v>8550000</v>
      </c>
      <c r="D14" s="470">
        <v>7161500</v>
      </c>
      <c r="E14" s="473">
        <f t="shared" si="0"/>
        <v>0.83760233918128657</v>
      </c>
      <c r="F14" s="45"/>
      <c r="G14" s="45">
        <v>7162</v>
      </c>
    </row>
    <row r="15" spans="1:7">
      <c r="A15" s="52" t="s">
        <v>81</v>
      </c>
      <c r="B15" s="56"/>
      <c r="C15" s="462">
        <f>+C14</f>
        <v>8550000</v>
      </c>
      <c r="D15" s="460">
        <f>+D14</f>
        <v>7161500</v>
      </c>
      <c r="E15" s="476">
        <f t="shared" si="0"/>
        <v>0.83760233918128657</v>
      </c>
      <c r="F15" s="53"/>
      <c r="G15" s="53"/>
    </row>
    <row r="16" spans="1:7" ht="11.25" customHeight="1">
      <c r="A16" s="510"/>
      <c r="B16" s="511"/>
      <c r="C16" s="512"/>
      <c r="D16" s="615"/>
      <c r="E16" s="514"/>
      <c r="F16" s="53"/>
      <c r="G16" s="53"/>
    </row>
    <row r="17" spans="1:7">
      <c r="A17" s="515" t="s">
        <v>422</v>
      </c>
      <c r="B17" s="516"/>
      <c r="C17" s="517"/>
      <c r="D17" s="616"/>
      <c r="E17" s="519"/>
      <c r="F17" s="53"/>
      <c r="G17" s="53"/>
    </row>
    <row r="18" spans="1:7">
      <c r="A18" s="46" t="s">
        <v>433</v>
      </c>
      <c r="B18" s="516"/>
      <c r="C18" s="66"/>
      <c r="D18" s="48"/>
      <c r="E18" s="472"/>
      <c r="F18" s="53"/>
      <c r="G18" s="45">
        <v>0</v>
      </c>
    </row>
    <row r="19" spans="1:7">
      <c r="A19" s="50" t="s">
        <v>434</v>
      </c>
      <c r="B19" s="516"/>
      <c r="C19" s="66">
        <f>+'[4]6.SZ.TÁBL. SZOCIÁLIS NORMATÍVA'!$D17</f>
        <v>19000</v>
      </c>
      <c r="D19" s="48">
        <v>19431</v>
      </c>
      <c r="E19" s="472">
        <f t="shared" si="0"/>
        <v>1.0226842105263159</v>
      </c>
      <c r="F19" s="53"/>
      <c r="G19" s="45">
        <v>19</v>
      </c>
    </row>
    <row r="20" spans="1:7">
      <c r="A20" s="46" t="s">
        <v>435</v>
      </c>
      <c r="B20" s="516"/>
      <c r="C20" s="66">
        <f>+'[4]6.SZ.TÁBL. SZOCIÁLIS NORMATÍVA'!$D18</f>
        <v>364000</v>
      </c>
      <c r="D20" s="48">
        <v>327343</v>
      </c>
      <c r="E20" s="472">
        <f t="shared" si="0"/>
        <v>0.89929395604395601</v>
      </c>
      <c r="F20" s="53"/>
      <c r="G20" s="45">
        <v>327</v>
      </c>
    </row>
    <row r="21" spans="1:7">
      <c r="A21" s="46" t="s">
        <v>436</v>
      </c>
      <c r="B21" s="516"/>
      <c r="C21" s="66">
        <f>+'[4]6.SZ.TÁBL. SZOCIÁLIS NORMATÍVA'!$D19</f>
        <v>757000</v>
      </c>
      <c r="D21" s="48">
        <v>681419</v>
      </c>
      <c r="E21" s="472">
        <f t="shared" si="0"/>
        <v>0.90015719947159845</v>
      </c>
      <c r="F21" s="53"/>
      <c r="G21" s="45">
        <v>682</v>
      </c>
    </row>
    <row r="22" spans="1:7">
      <c r="A22" s="43" t="s">
        <v>437</v>
      </c>
      <c r="B22" s="516"/>
      <c r="C22" s="66">
        <f>+'[4]6.SZ.TÁBL. SZOCIÁLIS NORMATÍVA'!$D20</f>
        <v>487000</v>
      </c>
      <c r="D22" s="48">
        <v>439230</v>
      </c>
      <c r="E22" s="472">
        <f t="shared" si="0"/>
        <v>0.90190965092402464</v>
      </c>
      <c r="F22" s="53"/>
      <c r="G22" s="45">
        <v>439</v>
      </c>
    </row>
    <row r="23" spans="1:7">
      <c r="A23" s="46" t="s">
        <v>44</v>
      </c>
      <c r="B23" s="516"/>
      <c r="C23" s="66">
        <f>+'[4]6.SZ.TÁBL. SZOCIÁLIS NORMATÍVA'!$D21</f>
        <v>296000</v>
      </c>
      <c r="D23" s="48">
        <v>266129</v>
      </c>
      <c r="E23" s="472">
        <f t="shared" si="0"/>
        <v>0.89908445945945947</v>
      </c>
      <c r="F23" s="53"/>
      <c r="G23" s="45">
        <v>266</v>
      </c>
    </row>
    <row r="24" spans="1:7">
      <c r="A24" s="49" t="s">
        <v>438</v>
      </c>
      <c r="B24" s="516"/>
      <c r="C24" s="66">
        <f>+'[4]6.SZ.TÁBL. SZOCIÁLIS NORMATÍVA'!$D22</f>
        <v>125000</v>
      </c>
      <c r="D24" s="48">
        <v>112395</v>
      </c>
      <c r="E24" s="472">
        <f t="shared" si="0"/>
        <v>0.89915999999999996</v>
      </c>
      <c r="F24" s="53"/>
      <c r="G24" s="45">
        <v>113</v>
      </c>
    </row>
    <row r="25" spans="1:7">
      <c r="A25" s="52" t="s">
        <v>439</v>
      </c>
      <c r="B25" s="56"/>
      <c r="C25" s="460">
        <f>+SUM(C18:C24)</f>
        <v>2048000</v>
      </c>
      <c r="D25" s="112">
        <f>+SUM(D18:D24)</f>
        <v>1845947</v>
      </c>
      <c r="E25" s="476">
        <f t="shared" ref="E25" si="1">+D25/C25</f>
        <v>0.90134130859374995</v>
      </c>
      <c r="F25" s="53"/>
      <c r="G25" s="53">
        <f>SUM(G18:G24)</f>
        <v>1846</v>
      </c>
    </row>
    <row r="26" spans="1:7" ht="11.25" customHeight="1">
      <c r="A26" s="510"/>
      <c r="B26" s="511"/>
      <c r="C26" s="512"/>
      <c r="D26" s="513"/>
      <c r="E26" s="514"/>
      <c r="F26" s="53"/>
      <c r="G26" s="53"/>
    </row>
    <row r="27" spans="1:7">
      <c r="A27" s="515" t="s">
        <v>440</v>
      </c>
      <c r="B27" s="516"/>
      <c r="C27" s="517"/>
      <c r="D27" s="518"/>
      <c r="E27" s="519"/>
      <c r="F27" s="53"/>
      <c r="G27" s="53"/>
    </row>
    <row r="28" spans="1:7">
      <c r="A28" s="46" t="s">
        <v>433</v>
      </c>
      <c r="B28" s="516"/>
      <c r="C28" s="70">
        <f>+'[4]6.SZ.TÁBL. SZOCIÁLIS NORMATÍVA'!$D25</f>
        <v>237000</v>
      </c>
      <c r="D28" s="48">
        <f>50292+67818+59055</f>
        <v>177165</v>
      </c>
      <c r="E28" s="472">
        <f t="shared" ref="E28:E35" si="2">+D28/C28</f>
        <v>0.74753164556962026</v>
      </c>
      <c r="F28" s="53"/>
      <c r="G28" s="45">
        <v>177</v>
      </c>
    </row>
    <row r="29" spans="1:7">
      <c r="A29" s="50" t="s">
        <v>434</v>
      </c>
      <c r="B29" s="516"/>
      <c r="C29" s="70">
        <f>+'[4]6.SZ.TÁBL. SZOCIÁLIS NORMATÍVA'!$D26</f>
        <v>214000</v>
      </c>
      <c r="D29" s="48">
        <f>15432+81153+60702</f>
        <v>157287</v>
      </c>
      <c r="E29" s="472">
        <f t="shared" si="2"/>
        <v>0.7349859813084112</v>
      </c>
      <c r="F29" s="53"/>
      <c r="G29" s="45">
        <v>157</v>
      </c>
    </row>
    <row r="30" spans="1:7">
      <c r="A30" s="46" t="s">
        <v>435</v>
      </c>
      <c r="B30" s="516"/>
      <c r="C30" s="70">
        <f>+'[4]6.SZ.TÁBL. SZOCIÁLIS NORMATÍVA'!$D27</f>
        <v>823000</v>
      </c>
      <c r="D30" s="48">
        <f>212393+167350+190866</f>
        <v>570609</v>
      </c>
      <c r="E30" s="472">
        <f t="shared" si="2"/>
        <v>0.69332806804374236</v>
      </c>
      <c r="F30" s="53"/>
      <c r="G30" s="45">
        <v>571</v>
      </c>
    </row>
    <row r="31" spans="1:7">
      <c r="A31" s="46" t="s">
        <v>436</v>
      </c>
      <c r="B31" s="516"/>
      <c r="C31" s="70">
        <f>+'[4]6.SZ.TÁBL. SZOCIÁLIS NORMATÍVA'!$D28</f>
        <v>1721000</v>
      </c>
      <c r="D31" s="48">
        <f>438432+416196+431385</f>
        <v>1286013</v>
      </c>
      <c r="E31" s="472">
        <f t="shared" si="2"/>
        <v>0.74724753050552006</v>
      </c>
      <c r="F31" s="53"/>
      <c r="G31" s="45">
        <v>1286</v>
      </c>
    </row>
    <row r="32" spans="1:7">
      <c r="A32" s="43" t="s">
        <v>437</v>
      </c>
      <c r="B32" s="516"/>
      <c r="C32" s="70">
        <f>+'[4]6.SZ.TÁBL. SZOCIÁLIS NORMATÍVA'!$D29</f>
        <v>608000</v>
      </c>
      <c r="D32" s="48">
        <f>128778+182245+150390</f>
        <v>461413</v>
      </c>
      <c r="E32" s="472">
        <f t="shared" si="2"/>
        <v>0.75890296052631578</v>
      </c>
      <c r="F32" s="53"/>
      <c r="G32" s="45">
        <v>461</v>
      </c>
    </row>
    <row r="33" spans="1:7">
      <c r="A33" s="46" t="s">
        <v>44</v>
      </c>
      <c r="B33" s="516"/>
      <c r="C33" s="70">
        <f>+'[4]6.SZ.TÁBL. SZOCIÁLIS NORMATÍVA'!$D30</f>
        <v>534000</v>
      </c>
      <c r="D33" s="48">
        <f>152019+109955+136017</f>
        <v>397991</v>
      </c>
      <c r="E33" s="472">
        <f t="shared" si="2"/>
        <v>0.74530149812734081</v>
      </c>
      <c r="F33" s="53"/>
      <c r="G33" s="45">
        <v>398</v>
      </c>
    </row>
    <row r="34" spans="1:7">
      <c r="A34" s="49" t="s">
        <v>438</v>
      </c>
      <c r="B34" s="516"/>
      <c r="C34" s="70">
        <f>+'[4]6.SZ.TÁBL. SZOCIÁLIS NORMATÍVA'!$D31</f>
        <v>73000</v>
      </c>
      <c r="D34" s="48">
        <f>41529+31147</f>
        <v>72676</v>
      </c>
      <c r="E34" s="472">
        <f t="shared" si="2"/>
        <v>0.99556164383561641</v>
      </c>
      <c r="F34" s="53"/>
      <c r="G34" s="45">
        <v>73</v>
      </c>
    </row>
    <row r="35" spans="1:7">
      <c r="A35" s="52" t="s">
        <v>441</v>
      </c>
      <c r="B35" s="56"/>
      <c r="C35" s="460">
        <f>+SUM(C28:C34)</f>
        <v>4210000</v>
      </c>
      <c r="D35" s="112">
        <f>+SUM(D28:D34)</f>
        <v>3123154</v>
      </c>
      <c r="E35" s="476">
        <f t="shared" si="2"/>
        <v>0.74184180522565324</v>
      </c>
      <c r="F35" s="53"/>
      <c r="G35" s="53">
        <f>SUM(G28:G34)</f>
        <v>3123</v>
      </c>
    </row>
    <row r="36" spans="1:7" ht="11.25" customHeight="1">
      <c r="A36" s="510"/>
      <c r="B36" s="511"/>
      <c r="C36" s="512"/>
      <c r="D36" s="513"/>
      <c r="E36" s="514"/>
      <c r="F36" s="53"/>
      <c r="G36" s="53"/>
    </row>
    <row r="37" spans="1:7">
      <c r="A37" s="515" t="s">
        <v>511</v>
      </c>
      <c r="B37" s="516"/>
      <c r="C37" s="517"/>
      <c r="D37" s="518"/>
      <c r="E37" s="519"/>
      <c r="F37" s="53"/>
      <c r="G37" s="53"/>
    </row>
    <row r="38" spans="1:7">
      <c r="A38" s="46" t="s">
        <v>433</v>
      </c>
      <c r="B38" s="516"/>
      <c r="C38" s="70">
        <f>+'[4]6.SZ.TÁBL. SZOCIÁLIS NORMATÍVA'!$D34</f>
        <v>52000</v>
      </c>
      <c r="D38" s="48">
        <f>41260+11140</f>
        <v>52400</v>
      </c>
      <c r="E38" s="472"/>
      <c r="F38" s="53"/>
      <c r="G38" s="45">
        <f>41+11</f>
        <v>52</v>
      </c>
    </row>
    <row r="39" spans="1:7">
      <c r="A39" s="50" t="s">
        <v>434</v>
      </c>
      <c r="B39" s="516"/>
      <c r="C39" s="70">
        <f>+'[4]6.SZ.TÁBL. SZOCIÁLIS NORMATÍVA'!$D35</f>
        <v>155000</v>
      </c>
      <c r="D39" s="48">
        <f>121985+32940</f>
        <v>154925</v>
      </c>
      <c r="E39" s="472"/>
      <c r="F39" s="53"/>
      <c r="G39" s="45">
        <f>122+33</f>
        <v>155</v>
      </c>
    </row>
    <row r="40" spans="1:7">
      <c r="A40" s="46" t="s">
        <v>435</v>
      </c>
      <c r="B40" s="516"/>
      <c r="C40" s="70">
        <f>+'[4]6.SZ.TÁBL. SZOCIÁLIS NORMATÍVA'!$D36</f>
        <v>926000</v>
      </c>
      <c r="D40" s="48">
        <f>728835+196790</f>
        <v>925625</v>
      </c>
      <c r="E40" s="472"/>
      <c r="F40" s="53"/>
      <c r="G40" s="45">
        <f>729+197</f>
        <v>926</v>
      </c>
    </row>
    <row r="41" spans="1:7">
      <c r="A41" s="46" t="s">
        <v>436</v>
      </c>
      <c r="B41" s="516"/>
      <c r="C41" s="70">
        <f>+'[4]6.SZ.TÁBL. SZOCIÁLIS NORMATÍVA'!$D37</f>
        <v>778000</v>
      </c>
      <c r="D41" s="48">
        <f>612575+165400</f>
        <v>777975</v>
      </c>
      <c r="E41" s="472"/>
      <c r="F41" s="53"/>
      <c r="G41" s="45">
        <f>613+165</f>
        <v>778</v>
      </c>
    </row>
    <row r="42" spans="1:7">
      <c r="A42" s="43" t="s">
        <v>437</v>
      </c>
      <c r="B42" s="516"/>
      <c r="C42" s="70">
        <f>+'[4]6.SZ.TÁBL. SZOCIÁLIS NORMATÍVA'!$D38</f>
        <v>517000</v>
      </c>
      <c r="D42" s="48">
        <f>407230+109950</f>
        <v>517180</v>
      </c>
      <c r="E42" s="472"/>
      <c r="F42" s="53"/>
      <c r="G42" s="45">
        <f>407+110</f>
        <v>517</v>
      </c>
    </row>
    <row r="43" spans="1:7">
      <c r="A43" s="46" t="s">
        <v>44</v>
      </c>
      <c r="B43" s="516"/>
      <c r="C43" s="70">
        <f>+'[4]6.SZ.TÁBL. SZOCIÁLIS NORMATÍVA'!$D39</f>
        <v>315000</v>
      </c>
      <c r="D43" s="48">
        <f>248310+67050</f>
        <v>315360</v>
      </c>
      <c r="E43" s="472"/>
      <c r="F43" s="53"/>
      <c r="G43" s="45">
        <f>248+67</f>
        <v>315</v>
      </c>
    </row>
    <row r="44" spans="1:7">
      <c r="A44" s="49" t="s">
        <v>438</v>
      </c>
      <c r="B44" s="516"/>
      <c r="C44" s="70">
        <f>+'[4]6.SZ.TÁBL. SZOCIÁLIS NORMATÍVA'!$D40</f>
        <v>0</v>
      </c>
      <c r="D44" s="48"/>
      <c r="E44" s="472"/>
      <c r="F44" s="53"/>
      <c r="G44" s="45"/>
    </row>
    <row r="45" spans="1:7">
      <c r="A45" s="52" t="s">
        <v>512</v>
      </c>
      <c r="B45" s="56"/>
      <c r="C45" s="460">
        <f>+SUM(C38:C44)</f>
        <v>2743000</v>
      </c>
      <c r="D45" s="112">
        <f>+SUM(D38:D44)</f>
        <v>2743465</v>
      </c>
      <c r="E45" s="476"/>
      <c r="F45" s="53"/>
      <c r="G45" s="53">
        <f>SUM(G38:G44)</f>
        <v>2743</v>
      </c>
    </row>
    <row r="46" spans="1:7" ht="15.75" thickBot="1">
      <c r="A46" s="50"/>
      <c r="B46" s="51"/>
      <c r="C46" s="36"/>
      <c r="D46" s="469"/>
      <c r="E46" s="475"/>
      <c r="F46" s="45"/>
      <c r="G46" s="45"/>
    </row>
    <row r="47" spans="1:7" s="57" customFormat="1" thickBot="1">
      <c r="A47" s="58" t="s">
        <v>45</v>
      </c>
      <c r="B47" s="59"/>
      <c r="C47" s="463">
        <f>+C11+C15+C25+C35+C45</f>
        <v>70307670</v>
      </c>
      <c r="D47" s="471">
        <f>+D11+D15+D25+D35+D45</f>
        <v>54969130</v>
      </c>
      <c r="E47" s="477">
        <f t="shared" si="0"/>
        <v>0.78183688920426464</v>
      </c>
      <c r="F47" s="53"/>
      <c r="G47" s="53">
        <f>+G11+G14+G25+G35+G45</f>
        <v>54969</v>
      </c>
    </row>
    <row r="48" spans="1:7">
      <c r="G48" s="45"/>
    </row>
    <row r="104" spans="1:3">
      <c r="A104" s="39"/>
      <c r="B104" s="63"/>
      <c r="C104" s="41"/>
    </row>
    <row r="117" spans="1:7">
      <c r="A117" s="64"/>
      <c r="B117" s="65"/>
      <c r="C117" s="66"/>
      <c r="D117" s="67"/>
      <c r="E117" s="67"/>
      <c r="F117" s="67"/>
      <c r="G117" s="67"/>
    </row>
    <row r="118" spans="1:7">
      <c r="A118" s="68"/>
      <c r="B118" s="69"/>
      <c r="C118" s="70"/>
      <c r="D118" s="71"/>
      <c r="E118" s="71"/>
      <c r="F118" s="71"/>
      <c r="G118" s="71"/>
    </row>
    <row r="119" spans="1:7">
      <c r="A119" s="68"/>
      <c r="B119" s="69"/>
      <c r="C119" s="70"/>
      <c r="D119" s="71"/>
      <c r="E119" s="71"/>
      <c r="F119" s="71"/>
      <c r="G119" s="71"/>
    </row>
    <row r="120" spans="1:7">
      <c r="A120" s="68"/>
      <c r="B120" s="69"/>
      <c r="C120" s="70"/>
      <c r="D120" s="71"/>
      <c r="E120" s="71"/>
      <c r="F120" s="71"/>
      <c r="G120" s="71"/>
    </row>
    <row r="121" spans="1:7">
      <c r="A121" s="72"/>
      <c r="B121" s="73"/>
      <c r="C121" s="74"/>
      <c r="D121" s="75"/>
      <c r="E121" s="75"/>
      <c r="F121" s="75"/>
      <c r="G121" s="75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76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T106"/>
  <sheetViews>
    <sheetView topLeftCell="A13" workbookViewId="0">
      <selection activeCell="D32" sqref="D32"/>
    </sheetView>
  </sheetViews>
  <sheetFormatPr defaultColWidth="8.85546875" defaultRowHeight="12.75"/>
  <cols>
    <col min="1" max="1" width="35.28515625" style="15" customWidth="1"/>
    <col min="2" max="16" width="11" style="15" customWidth="1"/>
    <col min="17" max="21" width="8.85546875" style="15"/>
    <col min="22" max="22" width="9.28515625" style="15" customWidth="1"/>
    <col min="23" max="16384" width="8.85546875" style="15"/>
  </cols>
  <sheetData>
    <row r="1" spans="1:20" s="669" customFormat="1" ht="66.75" customHeight="1">
      <c r="A1" s="581" t="s">
        <v>444</v>
      </c>
      <c r="B1" s="582" t="s">
        <v>498</v>
      </c>
      <c r="C1" s="582" t="s">
        <v>499</v>
      </c>
      <c r="D1" s="583" t="s">
        <v>445</v>
      </c>
      <c r="E1" s="584" t="s">
        <v>446</v>
      </c>
      <c r="F1" s="584" t="s">
        <v>447</v>
      </c>
      <c r="G1" s="584" t="s">
        <v>448</v>
      </c>
      <c r="H1" s="584" t="s">
        <v>449</v>
      </c>
      <c r="I1" s="584" t="s">
        <v>450</v>
      </c>
      <c r="J1" s="584" t="s">
        <v>451</v>
      </c>
      <c r="K1" s="585" t="s">
        <v>452</v>
      </c>
      <c r="L1" s="585" t="s">
        <v>453</v>
      </c>
      <c r="M1" s="585" t="s">
        <v>454</v>
      </c>
      <c r="N1" s="585" t="s">
        <v>455</v>
      </c>
      <c r="O1" s="585" t="s">
        <v>456</v>
      </c>
      <c r="P1" s="589" t="s">
        <v>457</v>
      </c>
    </row>
    <row r="2" spans="1:20" s="672" customFormat="1">
      <c r="A2" s="670" t="s">
        <v>458</v>
      </c>
      <c r="B2" s="398">
        <v>10260000</v>
      </c>
      <c r="C2" s="398">
        <v>10260000</v>
      </c>
      <c r="D2" s="586">
        <v>0</v>
      </c>
      <c r="E2" s="586">
        <v>1140200</v>
      </c>
      <c r="F2" s="586">
        <v>1631800</v>
      </c>
      <c r="G2" s="586">
        <v>214900</v>
      </c>
      <c r="H2" s="586">
        <v>621900</v>
      </c>
      <c r="I2" s="586">
        <v>297900</v>
      </c>
      <c r="J2" s="586">
        <v>557600</v>
      </c>
      <c r="K2" s="586">
        <v>1285600</v>
      </c>
      <c r="L2" s="586">
        <v>1372000</v>
      </c>
      <c r="M2" s="586"/>
      <c r="N2" s="586"/>
      <c r="O2" s="586"/>
      <c r="P2" s="590">
        <f>+SUM(D2:O2)</f>
        <v>7121900</v>
      </c>
      <c r="Q2" s="671"/>
      <c r="T2" s="673"/>
    </row>
    <row r="3" spans="1:20" s="672" customFormat="1">
      <c r="A3" s="674" t="s">
        <v>459</v>
      </c>
      <c r="B3" s="398">
        <v>2722000</v>
      </c>
      <c r="C3" s="398">
        <v>2722000</v>
      </c>
      <c r="D3" s="586">
        <v>0</v>
      </c>
      <c r="E3" s="586">
        <v>316400</v>
      </c>
      <c r="F3" s="586">
        <v>413700</v>
      </c>
      <c r="G3" s="586">
        <v>72700</v>
      </c>
      <c r="H3" s="586">
        <v>170600</v>
      </c>
      <c r="I3" s="586">
        <v>92500</v>
      </c>
      <c r="J3" s="586">
        <v>155100</v>
      </c>
      <c r="K3" s="586">
        <v>330300</v>
      </c>
      <c r="L3" s="586">
        <v>351200</v>
      </c>
      <c r="M3" s="586"/>
      <c r="N3" s="586"/>
      <c r="O3" s="586"/>
      <c r="P3" s="590">
        <f t="shared" ref="P3:P21" si="0">+SUM(D3:O3)</f>
        <v>1902500</v>
      </c>
      <c r="Q3" s="671"/>
      <c r="T3" s="673"/>
    </row>
    <row r="4" spans="1:20" s="672" customFormat="1">
      <c r="A4" s="674" t="s">
        <v>460</v>
      </c>
      <c r="B4" s="398">
        <v>6301000</v>
      </c>
      <c r="C4" s="398">
        <v>6301000</v>
      </c>
      <c r="D4" s="586">
        <v>0</v>
      </c>
      <c r="E4" s="586">
        <v>911900</v>
      </c>
      <c r="F4" s="586">
        <v>763100</v>
      </c>
      <c r="G4" s="586">
        <v>393800</v>
      </c>
      <c r="H4" s="586">
        <v>457600</v>
      </c>
      <c r="I4" s="586">
        <v>431500</v>
      </c>
      <c r="J4" s="586">
        <v>343400</v>
      </c>
      <c r="K4" s="586">
        <v>463300</v>
      </c>
      <c r="L4" s="586">
        <v>617000</v>
      </c>
      <c r="M4" s="586"/>
      <c r="N4" s="586"/>
      <c r="O4" s="586"/>
      <c r="P4" s="590">
        <f>+SUM(D4:O4)</f>
        <v>4381600</v>
      </c>
      <c r="Q4" s="671"/>
      <c r="T4" s="673"/>
    </row>
    <row r="5" spans="1:20" s="672" customFormat="1">
      <c r="A5" s="674" t="s">
        <v>461</v>
      </c>
      <c r="B5" s="398">
        <v>3008000</v>
      </c>
      <c r="C5" s="398">
        <v>3008000</v>
      </c>
      <c r="D5" s="586">
        <v>0</v>
      </c>
      <c r="E5" s="586">
        <v>534100</v>
      </c>
      <c r="F5" s="586">
        <v>292700</v>
      </c>
      <c r="G5" s="586">
        <v>156500</v>
      </c>
      <c r="H5" s="586">
        <v>272900</v>
      </c>
      <c r="I5" s="586">
        <v>185400</v>
      </c>
      <c r="J5" s="586">
        <v>231300</v>
      </c>
      <c r="K5" s="586">
        <v>185500</v>
      </c>
      <c r="L5" s="586">
        <v>241400</v>
      </c>
      <c r="M5" s="586"/>
      <c r="N5" s="586"/>
      <c r="O5" s="586"/>
      <c r="P5" s="590">
        <f>+SUM(D5:O5)</f>
        <v>2099800</v>
      </c>
      <c r="Q5" s="671"/>
      <c r="T5" s="673"/>
    </row>
    <row r="6" spans="1:20" s="672" customFormat="1">
      <c r="A6" s="674" t="s">
        <v>462</v>
      </c>
      <c r="B6" s="398">
        <v>0</v>
      </c>
      <c r="C6" s="398">
        <v>0</v>
      </c>
      <c r="D6" s="586">
        <v>0</v>
      </c>
      <c r="E6" s="586">
        <v>0</v>
      </c>
      <c r="F6" s="586">
        <v>0</v>
      </c>
      <c r="G6" s="586">
        <v>0</v>
      </c>
      <c r="H6" s="586">
        <v>0</v>
      </c>
      <c r="I6" s="586">
        <v>0</v>
      </c>
      <c r="J6" s="586">
        <v>0</v>
      </c>
      <c r="K6" s="586">
        <v>0</v>
      </c>
      <c r="L6" s="586">
        <v>0</v>
      </c>
      <c r="M6" s="586"/>
      <c r="N6" s="586"/>
      <c r="O6" s="586"/>
      <c r="P6" s="590">
        <f>+SUM(D6:O6)</f>
        <v>0</v>
      </c>
      <c r="Q6" s="671"/>
      <c r="T6" s="673"/>
    </row>
    <row r="7" spans="1:20" s="672" customFormat="1">
      <c r="A7" s="674" t="s">
        <v>463</v>
      </c>
      <c r="B7" s="398">
        <v>0</v>
      </c>
      <c r="C7" s="398">
        <v>0</v>
      </c>
      <c r="D7" s="586">
        <v>0</v>
      </c>
      <c r="E7" s="586">
        <v>0</v>
      </c>
      <c r="F7" s="586">
        <v>0</v>
      </c>
      <c r="G7" s="586">
        <v>0</v>
      </c>
      <c r="H7" s="586">
        <v>0</v>
      </c>
      <c r="I7" s="586">
        <v>0</v>
      </c>
      <c r="J7" s="586">
        <v>0</v>
      </c>
      <c r="K7" s="586">
        <v>0</v>
      </c>
      <c r="L7" s="586">
        <v>0</v>
      </c>
      <c r="M7" s="586"/>
      <c r="N7" s="586"/>
      <c r="O7" s="586"/>
      <c r="P7" s="590">
        <f t="shared" si="0"/>
        <v>0</v>
      </c>
      <c r="Q7" s="671"/>
      <c r="T7" s="673"/>
    </row>
    <row r="8" spans="1:20" s="672" customFormat="1">
      <c r="A8" s="674" t="s">
        <v>464</v>
      </c>
      <c r="B8" s="398">
        <v>5064000</v>
      </c>
      <c r="C8" s="398">
        <v>5064000</v>
      </c>
      <c r="D8" s="586">
        <v>0</v>
      </c>
      <c r="E8" s="586">
        <v>884900</v>
      </c>
      <c r="F8" s="586">
        <v>548300</v>
      </c>
      <c r="G8" s="586">
        <v>377400</v>
      </c>
      <c r="H8" s="586">
        <v>462800</v>
      </c>
      <c r="I8" s="586">
        <v>379100</v>
      </c>
      <c r="J8" s="586">
        <v>338300</v>
      </c>
      <c r="K8" s="586">
        <v>338300</v>
      </c>
      <c r="L8" s="586">
        <v>505800</v>
      </c>
      <c r="M8" s="586"/>
      <c r="N8" s="586"/>
      <c r="O8" s="586"/>
      <c r="P8" s="590">
        <f>+SUM(D8:O8)</f>
        <v>3834900</v>
      </c>
      <c r="Q8" s="671"/>
      <c r="T8" s="673"/>
    </row>
    <row r="9" spans="1:20" s="672" customFormat="1">
      <c r="A9" s="674" t="s">
        <v>465</v>
      </c>
      <c r="B9" s="398">
        <v>1279000</v>
      </c>
      <c r="C9" s="398">
        <v>1279000</v>
      </c>
      <c r="D9" s="586">
        <v>0</v>
      </c>
      <c r="E9" s="586">
        <v>213200</v>
      </c>
      <c r="F9" s="586">
        <v>213200</v>
      </c>
      <c r="G9" s="586">
        <v>0</v>
      </c>
      <c r="H9" s="586">
        <v>106600</v>
      </c>
      <c r="I9" s="586">
        <v>106600</v>
      </c>
      <c r="J9" s="586">
        <v>106600</v>
      </c>
      <c r="K9" s="586">
        <v>106600</v>
      </c>
      <c r="L9" s="586">
        <v>106600</v>
      </c>
      <c r="M9" s="586"/>
      <c r="N9" s="586"/>
      <c r="O9" s="586"/>
      <c r="P9" s="590">
        <f>+SUM(D9:O9)</f>
        <v>959400</v>
      </c>
      <c r="Q9" s="671"/>
      <c r="T9" s="673"/>
    </row>
    <row r="10" spans="1:20" s="672" customFormat="1">
      <c r="A10" s="675" t="s">
        <v>466</v>
      </c>
      <c r="B10" s="398">
        <v>2602000</v>
      </c>
      <c r="C10" s="398">
        <v>2602000</v>
      </c>
      <c r="D10" s="586">
        <v>0</v>
      </c>
      <c r="E10" s="586">
        <v>572600</v>
      </c>
      <c r="F10" s="586">
        <v>259300</v>
      </c>
      <c r="G10" s="586">
        <v>21700</v>
      </c>
      <c r="H10" s="586">
        <v>325300</v>
      </c>
      <c r="I10" s="586">
        <v>86700</v>
      </c>
      <c r="J10" s="586">
        <v>325300</v>
      </c>
      <c r="K10" s="586">
        <v>195200</v>
      </c>
      <c r="L10" s="586">
        <v>195200</v>
      </c>
      <c r="M10" s="586"/>
      <c r="N10" s="586"/>
      <c r="O10" s="586"/>
      <c r="P10" s="590">
        <f t="shared" si="0"/>
        <v>1981300</v>
      </c>
      <c r="Q10" s="671"/>
      <c r="T10" s="673"/>
    </row>
    <row r="11" spans="1:20" s="672" customFormat="1">
      <c r="A11" s="675" t="s">
        <v>500</v>
      </c>
      <c r="B11" s="398">
        <v>7894000</v>
      </c>
      <c r="C11" s="398">
        <v>7894000</v>
      </c>
      <c r="D11" s="586">
        <v>0</v>
      </c>
      <c r="E11" s="586">
        <v>1337400</v>
      </c>
      <c r="F11" s="586">
        <v>846600</v>
      </c>
      <c r="G11" s="586">
        <v>307400</v>
      </c>
      <c r="H11" s="586">
        <v>721500</v>
      </c>
      <c r="I11" s="586">
        <v>391700</v>
      </c>
      <c r="J11" s="586">
        <v>656100</v>
      </c>
      <c r="K11" s="586">
        <v>494300</v>
      </c>
      <c r="L11" s="586">
        <v>582200</v>
      </c>
      <c r="M11" s="586"/>
      <c r="N11" s="586"/>
      <c r="O11" s="586"/>
      <c r="P11" s="590">
        <f t="shared" si="0"/>
        <v>5337200</v>
      </c>
      <c r="Q11" s="671"/>
      <c r="T11" s="673"/>
    </row>
    <row r="12" spans="1:20" s="672" customFormat="1">
      <c r="A12" s="675" t="s">
        <v>467</v>
      </c>
      <c r="B12" s="398">
        <v>5534000</v>
      </c>
      <c r="C12" s="398">
        <v>5534000</v>
      </c>
      <c r="D12" s="586">
        <v>0</v>
      </c>
      <c r="E12" s="586">
        <v>937700</v>
      </c>
      <c r="F12" s="586">
        <v>593700</v>
      </c>
      <c r="G12" s="586">
        <v>215500</v>
      </c>
      <c r="H12" s="586">
        <v>505700</v>
      </c>
      <c r="I12" s="586">
        <v>274900</v>
      </c>
      <c r="J12" s="586">
        <v>459900</v>
      </c>
      <c r="K12" s="586">
        <v>346600</v>
      </c>
      <c r="L12" s="586">
        <v>408200</v>
      </c>
      <c r="M12" s="586"/>
      <c r="N12" s="586"/>
      <c r="O12" s="586"/>
      <c r="P12" s="590">
        <f t="shared" si="0"/>
        <v>3742200</v>
      </c>
      <c r="Q12" s="671"/>
      <c r="T12" s="673"/>
    </row>
    <row r="13" spans="1:20" s="672" customFormat="1">
      <c r="A13" s="675" t="s">
        <v>501</v>
      </c>
      <c r="B13" s="398">
        <v>818000</v>
      </c>
      <c r="C13" s="398">
        <v>818000</v>
      </c>
      <c r="D13" s="586">
        <v>0</v>
      </c>
      <c r="E13" s="586">
        <v>138400</v>
      </c>
      <c r="F13" s="586">
        <v>87700</v>
      </c>
      <c r="G13" s="586">
        <v>31900</v>
      </c>
      <c r="H13" s="586">
        <v>74800</v>
      </c>
      <c r="I13" s="586">
        <v>40500</v>
      </c>
      <c r="J13" s="586">
        <v>68000</v>
      </c>
      <c r="K13" s="586">
        <v>51200</v>
      </c>
      <c r="L13" s="586">
        <v>60400</v>
      </c>
      <c r="M13" s="586"/>
      <c r="N13" s="586"/>
      <c r="O13" s="586"/>
      <c r="P13" s="590">
        <f t="shared" si="0"/>
        <v>552900</v>
      </c>
      <c r="Q13" s="671"/>
      <c r="T13" s="673"/>
    </row>
    <row r="14" spans="1:20" s="672" customFormat="1">
      <c r="A14" s="675" t="s">
        <v>502</v>
      </c>
      <c r="B14" s="398">
        <v>2867000</v>
      </c>
      <c r="C14" s="398">
        <v>2867000</v>
      </c>
      <c r="D14" s="586">
        <v>0</v>
      </c>
      <c r="E14" s="586">
        <v>487000</v>
      </c>
      <c r="F14" s="586">
        <v>318100</v>
      </c>
      <c r="G14" s="586">
        <v>91700</v>
      </c>
      <c r="H14" s="586">
        <v>265400</v>
      </c>
      <c r="I14" s="586">
        <v>127300</v>
      </c>
      <c r="J14" s="586">
        <v>238000</v>
      </c>
      <c r="K14" s="586">
        <v>170200</v>
      </c>
      <c r="L14" s="586">
        <v>207100</v>
      </c>
      <c r="M14" s="586"/>
      <c r="N14" s="586"/>
      <c r="O14" s="586"/>
      <c r="P14" s="590">
        <f t="shared" si="0"/>
        <v>1904800</v>
      </c>
      <c r="Q14" s="671"/>
      <c r="T14" s="673"/>
    </row>
    <row r="15" spans="1:20" s="672" customFormat="1">
      <c r="A15" s="675" t="s">
        <v>468</v>
      </c>
      <c r="B15" s="398">
        <v>1732000</v>
      </c>
      <c r="C15" s="398">
        <v>1732000</v>
      </c>
      <c r="D15" s="586">
        <v>0</v>
      </c>
      <c r="E15" s="586">
        <v>288700</v>
      </c>
      <c r="F15" s="586">
        <v>288800</v>
      </c>
      <c r="G15" s="586">
        <v>0</v>
      </c>
      <c r="H15" s="586">
        <v>144400</v>
      </c>
      <c r="I15" s="586">
        <v>144400</v>
      </c>
      <c r="J15" s="586">
        <v>144400</v>
      </c>
      <c r="K15" s="586">
        <v>144400</v>
      </c>
      <c r="L15" s="586">
        <v>144400</v>
      </c>
      <c r="M15" s="586"/>
      <c r="N15" s="586"/>
      <c r="O15" s="586"/>
      <c r="P15" s="590">
        <f t="shared" si="0"/>
        <v>1299500</v>
      </c>
      <c r="Q15" s="671"/>
      <c r="T15" s="673"/>
    </row>
    <row r="16" spans="1:20" s="672" customFormat="1">
      <c r="A16" s="674" t="s">
        <v>469</v>
      </c>
      <c r="B16" s="398">
        <v>0</v>
      </c>
      <c r="C16" s="398">
        <v>0</v>
      </c>
      <c r="D16" s="586">
        <v>0</v>
      </c>
      <c r="E16" s="586">
        <v>0</v>
      </c>
      <c r="F16" s="586">
        <v>0</v>
      </c>
      <c r="G16" s="586">
        <v>0</v>
      </c>
      <c r="H16" s="586">
        <v>0</v>
      </c>
      <c r="I16" s="586">
        <v>0</v>
      </c>
      <c r="J16" s="586">
        <v>0</v>
      </c>
      <c r="K16" s="586">
        <v>0</v>
      </c>
      <c r="L16" s="586">
        <v>0</v>
      </c>
      <c r="M16" s="586"/>
      <c r="N16" s="586"/>
      <c r="O16" s="586"/>
      <c r="P16" s="590">
        <f t="shared" si="0"/>
        <v>0</v>
      </c>
      <c r="Q16" s="671"/>
      <c r="T16" s="673"/>
    </row>
    <row r="17" spans="1:20" s="672" customFormat="1">
      <c r="A17" s="675" t="s">
        <v>503</v>
      </c>
      <c r="B17" s="403">
        <v>0</v>
      </c>
      <c r="C17" s="403">
        <v>81000</v>
      </c>
      <c r="D17" s="586">
        <v>0</v>
      </c>
      <c r="E17" s="586">
        <v>0</v>
      </c>
      <c r="F17" s="586">
        <v>0</v>
      </c>
      <c r="G17" s="586">
        <v>0</v>
      </c>
      <c r="H17" s="586">
        <v>0</v>
      </c>
      <c r="I17" s="586">
        <v>0</v>
      </c>
      <c r="J17" s="586">
        <v>0</v>
      </c>
      <c r="K17" s="586">
        <v>0</v>
      </c>
      <c r="L17" s="586">
        <v>0</v>
      </c>
      <c r="M17" s="676"/>
      <c r="N17" s="676"/>
      <c r="O17" s="676"/>
      <c r="P17" s="590">
        <f t="shared" si="0"/>
        <v>0</v>
      </c>
      <c r="Q17" s="671"/>
      <c r="T17" s="673"/>
    </row>
    <row r="18" spans="1:20" s="672" customFormat="1">
      <c r="A18" s="675" t="s">
        <v>423</v>
      </c>
      <c r="B18" s="398">
        <v>0</v>
      </c>
      <c r="C18" s="398">
        <v>3123000</v>
      </c>
      <c r="D18" s="586">
        <v>1038875</v>
      </c>
      <c r="E18" s="586">
        <v>0</v>
      </c>
      <c r="F18" s="586">
        <v>0</v>
      </c>
      <c r="G18" s="586">
        <v>1055864</v>
      </c>
      <c r="H18" s="586">
        <v>0</v>
      </c>
      <c r="I18" s="586">
        <v>0</v>
      </c>
      <c r="J18" s="586">
        <v>1028415</v>
      </c>
      <c r="K18" s="586">
        <v>0</v>
      </c>
      <c r="L18" s="586">
        <v>0</v>
      </c>
      <c r="M18" s="586"/>
      <c r="N18" s="586"/>
      <c r="O18" s="586"/>
      <c r="P18" s="590">
        <f t="shared" si="0"/>
        <v>3123154</v>
      </c>
      <c r="Q18" s="671"/>
      <c r="T18" s="673"/>
    </row>
    <row r="19" spans="1:20" s="672" customFormat="1">
      <c r="A19" s="675" t="s">
        <v>510</v>
      </c>
      <c r="B19" s="398">
        <v>0</v>
      </c>
      <c r="C19" s="398">
        <v>0</v>
      </c>
      <c r="D19" s="586">
        <v>0</v>
      </c>
      <c r="E19" s="586">
        <v>0</v>
      </c>
      <c r="F19" s="586">
        <v>0</v>
      </c>
      <c r="G19" s="586">
        <v>0</v>
      </c>
      <c r="H19" s="586">
        <v>0</v>
      </c>
      <c r="I19" s="586">
        <v>0</v>
      </c>
      <c r="J19" s="586">
        <v>0</v>
      </c>
      <c r="K19" s="586">
        <v>2743465</v>
      </c>
      <c r="L19" s="586">
        <v>0</v>
      </c>
      <c r="M19" s="586"/>
      <c r="N19" s="586"/>
      <c r="O19" s="586"/>
      <c r="P19" s="590">
        <f t="shared" si="0"/>
        <v>2743465</v>
      </c>
      <c r="Q19" s="671"/>
      <c r="T19" s="673"/>
    </row>
    <row r="20" spans="1:20" s="672" customFormat="1">
      <c r="A20" s="674" t="s">
        <v>470</v>
      </c>
      <c r="B20" s="398">
        <v>8550000</v>
      </c>
      <c r="C20" s="398">
        <v>8550000</v>
      </c>
      <c r="D20" s="586">
        <v>0</v>
      </c>
      <c r="E20" s="586">
        <v>4386500</v>
      </c>
      <c r="F20" s="586">
        <v>0</v>
      </c>
      <c r="G20" s="586">
        <v>0</v>
      </c>
      <c r="H20" s="586">
        <v>0</v>
      </c>
      <c r="I20" s="586">
        <v>0</v>
      </c>
      <c r="J20" s="586">
        <v>2775000</v>
      </c>
      <c r="K20" s="586">
        <v>0</v>
      </c>
      <c r="L20" s="586">
        <v>0</v>
      </c>
      <c r="M20" s="586"/>
      <c r="N20" s="586"/>
      <c r="O20" s="586"/>
      <c r="P20" s="590">
        <f t="shared" si="0"/>
        <v>7161500</v>
      </c>
      <c r="Q20" s="671"/>
      <c r="T20" s="673"/>
    </row>
    <row r="21" spans="1:20" s="672" customFormat="1">
      <c r="A21" s="677" t="s">
        <v>471</v>
      </c>
      <c r="B21" s="398">
        <v>215253000</v>
      </c>
      <c r="C21" s="398">
        <v>217056000</v>
      </c>
      <c r="D21" s="586">
        <v>24087021</v>
      </c>
      <c r="E21" s="586">
        <v>17744487</v>
      </c>
      <c r="F21" s="586">
        <v>17597882</v>
      </c>
      <c r="G21" s="586">
        <v>17581626</v>
      </c>
      <c r="H21" s="586">
        <v>17581626</v>
      </c>
      <c r="I21" s="586">
        <v>17581626</v>
      </c>
      <c r="J21" s="586">
        <v>17581626</v>
      </c>
      <c r="K21" s="586">
        <v>17580737</v>
      </c>
      <c r="L21" s="586">
        <v>17984580</v>
      </c>
      <c r="M21" s="586"/>
      <c r="N21" s="586"/>
      <c r="O21" s="586"/>
      <c r="P21" s="694">
        <f t="shared" si="0"/>
        <v>165321211</v>
      </c>
      <c r="Q21" s="671"/>
      <c r="T21" s="673"/>
    </row>
    <row r="22" spans="1:20" s="672" customFormat="1" ht="13.5" thickBot="1">
      <c r="A22" s="678" t="s">
        <v>24</v>
      </c>
      <c r="B22" s="587">
        <f t="shared" ref="B22:P22" si="1">SUM(B2:B21)</f>
        <v>273884000</v>
      </c>
      <c r="C22" s="587">
        <f t="shared" si="1"/>
        <v>278891000</v>
      </c>
      <c r="D22" s="679">
        <f t="shared" si="1"/>
        <v>25125896</v>
      </c>
      <c r="E22" s="588">
        <f t="shared" si="1"/>
        <v>29893487</v>
      </c>
      <c r="F22" s="588">
        <f t="shared" si="1"/>
        <v>23854882</v>
      </c>
      <c r="G22" s="588">
        <f t="shared" si="1"/>
        <v>20520990</v>
      </c>
      <c r="H22" s="588">
        <f t="shared" si="1"/>
        <v>21711126</v>
      </c>
      <c r="I22" s="588">
        <f t="shared" si="1"/>
        <v>20140126</v>
      </c>
      <c r="J22" s="588">
        <f t="shared" si="1"/>
        <v>25009041</v>
      </c>
      <c r="K22" s="588">
        <f t="shared" si="1"/>
        <v>24435702</v>
      </c>
      <c r="L22" s="588">
        <f t="shared" si="1"/>
        <v>22776080</v>
      </c>
      <c r="M22" s="588">
        <f t="shared" si="1"/>
        <v>0</v>
      </c>
      <c r="N22" s="588">
        <f t="shared" si="1"/>
        <v>0</v>
      </c>
      <c r="O22" s="588">
        <f t="shared" si="1"/>
        <v>0</v>
      </c>
      <c r="P22" s="591">
        <f t="shared" si="1"/>
        <v>213467330</v>
      </c>
    </row>
    <row r="23" spans="1:20" s="672" customFormat="1"/>
    <row r="24" spans="1:20" s="672" customFormat="1" ht="13.5" thickBot="1"/>
    <row r="25" spans="1:20" s="672" customFormat="1" ht="38.25">
      <c r="A25" s="581" t="s">
        <v>444</v>
      </c>
      <c r="B25" s="582" t="s">
        <v>498</v>
      </c>
      <c r="C25" s="582" t="s">
        <v>499</v>
      </c>
      <c r="D25" s="583" t="s">
        <v>445</v>
      </c>
      <c r="E25" s="584" t="s">
        <v>446</v>
      </c>
      <c r="F25" s="584" t="s">
        <v>447</v>
      </c>
      <c r="G25" s="584" t="s">
        <v>448</v>
      </c>
      <c r="H25" s="584" t="s">
        <v>449</v>
      </c>
      <c r="I25" s="584" t="s">
        <v>450</v>
      </c>
      <c r="J25" s="584" t="s">
        <v>451</v>
      </c>
      <c r="K25" s="585" t="s">
        <v>452</v>
      </c>
      <c r="L25" s="585" t="s">
        <v>453</v>
      </c>
      <c r="M25" s="585" t="s">
        <v>454</v>
      </c>
      <c r="N25" s="585" t="s">
        <v>455</v>
      </c>
      <c r="O25" s="585" t="s">
        <v>456</v>
      </c>
      <c r="P25" s="589" t="s">
        <v>457</v>
      </c>
    </row>
    <row r="26" spans="1:20" s="672" customFormat="1">
      <c r="A26" s="670" t="s">
        <v>4</v>
      </c>
      <c r="B26" s="680">
        <v>11433000</v>
      </c>
      <c r="C26" s="680">
        <v>11433000</v>
      </c>
      <c r="D26" s="681">
        <v>0</v>
      </c>
      <c r="E26" s="682">
        <v>1906000</v>
      </c>
      <c r="F26" s="682">
        <v>1906000</v>
      </c>
      <c r="G26" s="682">
        <v>0</v>
      </c>
      <c r="H26" s="682">
        <v>953000</v>
      </c>
      <c r="I26" s="682">
        <v>953000</v>
      </c>
      <c r="J26" s="682">
        <v>953000</v>
      </c>
      <c r="K26" s="682">
        <v>953000</v>
      </c>
      <c r="L26" s="682">
        <v>953000</v>
      </c>
      <c r="M26" s="682"/>
      <c r="N26" s="682"/>
      <c r="O26" s="683"/>
      <c r="P26" s="695">
        <f t="shared" ref="P26:P32" si="2">+SUM(D26:O26)</f>
        <v>8577000</v>
      </c>
      <c r="Q26" s="673"/>
    </row>
    <row r="27" spans="1:20" s="672" customFormat="1">
      <c r="A27" s="674" t="s">
        <v>5</v>
      </c>
      <c r="B27" s="684">
        <v>4814000</v>
      </c>
      <c r="C27" s="684">
        <v>4814000</v>
      </c>
      <c r="D27" s="685">
        <v>0</v>
      </c>
      <c r="E27" s="685">
        <v>0</v>
      </c>
      <c r="F27" s="685">
        <v>1203500</v>
      </c>
      <c r="G27" s="685">
        <v>0</v>
      </c>
      <c r="H27" s="685">
        <v>0</v>
      </c>
      <c r="I27" s="685">
        <v>0</v>
      </c>
      <c r="J27" s="685">
        <v>0</v>
      </c>
      <c r="K27" s="685">
        <v>1203500</v>
      </c>
      <c r="L27" s="685">
        <v>1203500</v>
      </c>
      <c r="M27" s="685"/>
      <c r="N27" s="685"/>
      <c r="O27" s="685"/>
      <c r="P27" s="696">
        <f t="shared" si="2"/>
        <v>3610500</v>
      </c>
      <c r="Q27" s="673"/>
    </row>
    <row r="28" spans="1:20" s="672" customFormat="1">
      <c r="A28" s="674" t="s">
        <v>6</v>
      </c>
      <c r="B28" s="684">
        <v>4075000</v>
      </c>
      <c r="C28" s="684">
        <v>4075000</v>
      </c>
      <c r="D28" s="685">
        <v>0</v>
      </c>
      <c r="E28" s="685">
        <v>845500</v>
      </c>
      <c r="F28" s="685">
        <v>165500</v>
      </c>
      <c r="G28" s="685">
        <v>845500</v>
      </c>
      <c r="H28" s="685">
        <v>505500</v>
      </c>
      <c r="I28" s="685">
        <v>165500</v>
      </c>
      <c r="J28" s="685">
        <v>0</v>
      </c>
      <c r="K28" s="685">
        <v>0</v>
      </c>
      <c r="L28" s="685">
        <v>680000</v>
      </c>
      <c r="M28" s="685"/>
      <c r="N28" s="685"/>
      <c r="O28" s="685"/>
      <c r="P28" s="696">
        <f t="shared" si="2"/>
        <v>3207500</v>
      </c>
      <c r="Q28" s="673"/>
    </row>
    <row r="29" spans="1:20" s="672" customFormat="1">
      <c r="A29" s="674" t="s">
        <v>7</v>
      </c>
      <c r="B29" s="684">
        <v>2413000</v>
      </c>
      <c r="C29" s="684">
        <v>2413000</v>
      </c>
      <c r="D29" s="685">
        <v>0</v>
      </c>
      <c r="E29" s="685">
        <v>402000</v>
      </c>
      <c r="F29" s="685">
        <v>201000</v>
      </c>
      <c r="G29" s="685">
        <v>201000</v>
      </c>
      <c r="H29" s="685">
        <v>0</v>
      </c>
      <c r="I29" s="685">
        <v>603000</v>
      </c>
      <c r="J29" s="685">
        <v>0</v>
      </c>
      <c r="K29" s="685">
        <v>201000</v>
      </c>
      <c r="L29" s="685">
        <v>201000</v>
      </c>
      <c r="M29" s="685"/>
      <c r="N29" s="685"/>
      <c r="O29" s="685"/>
      <c r="P29" s="696">
        <f t="shared" si="2"/>
        <v>1809000</v>
      </c>
      <c r="Q29" s="673"/>
    </row>
    <row r="30" spans="1:20" s="672" customFormat="1">
      <c r="A30" s="674" t="s">
        <v>8</v>
      </c>
      <c r="B30" s="684">
        <v>234808000</v>
      </c>
      <c r="C30" s="684">
        <v>239734000</v>
      </c>
      <c r="D30" s="685">
        <v>25125896</v>
      </c>
      <c r="E30" s="685">
        <v>25065987</v>
      </c>
      <c r="F30" s="685">
        <v>18514882</v>
      </c>
      <c r="G30" s="685">
        <v>18637490</v>
      </c>
      <c r="H30" s="685">
        <v>19415626</v>
      </c>
      <c r="I30" s="685">
        <v>17581626</v>
      </c>
      <c r="J30" s="685">
        <v>23219041</v>
      </c>
      <c r="K30" s="685">
        <v>21241202</v>
      </c>
      <c r="L30" s="685">
        <v>18901580</v>
      </c>
      <c r="M30" s="685"/>
      <c r="N30" s="685"/>
      <c r="O30" s="685"/>
      <c r="P30" s="696">
        <f t="shared" si="2"/>
        <v>187703330</v>
      </c>
      <c r="Q30" s="673"/>
    </row>
    <row r="31" spans="1:20" s="672" customFormat="1">
      <c r="A31" s="674" t="s">
        <v>9</v>
      </c>
      <c r="B31" s="684">
        <v>6296000</v>
      </c>
      <c r="C31" s="684">
        <v>6377000</v>
      </c>
      <c r="D31" s="685">
        <v>0</v>
      </c>
      <c r="E31" s="685">
        <v>0</v>
      </c>
      <c r="F31" s="685">
        <v>1027000</v>
      </c>
      <c r="G31" s="685">
        <v>0</v>
      </c>
      <c r="H31" s="685">
        <v>0</v>
      </c>
      <c r="I31" s="685">
        <v>0</v>
      </c>
      <c r="J31" s="685">
        <v>0</v>
      </c>
      <c r="K31" s="685">
        <v>0</v>
      </c>
      <c r="L31" s="685">
        <v>0</v>
      </c>
      <c r="M31" s="685"/>
      <c r="N31" s="685"/>
      <c r="O31" s="685"/>
      <c r="P31" s="696">
        <f t="shared" si="2"/>
        <v>1027000</v>
      </c>
      <c r="Q31" s="673"/>
    </row>
    <row r="32" spans="1:20" s="672" customFormat="1">
      <c r="A32" s="675" t="s">
        <v>10</v>
      </c>
      <c r="B32" s="686">
        <v>7010000</v>
      </c>
      <c r="C32" s="686">
        <v>7010000</v>
      </c>
      <c r="D32" s="687">
        <v>0</v>
      </c>
      <c r="E32" s="687">
        <v>1168000</v>
      </c>
      <c r="F32" s="687">
        <v>584000</v>
      </c>
      <c r="G32" s="687">
        <v>584000</v>
      </c>
      <c r="H32" s="687">
        <v>584000</v>
      </c>
      <c r="I32" s="687">
        <v>584000</v>
      </c>
      <c r="J32" s="687">
        <v>584000</v>
      </c>
      <c r="K32" s="687">
        <v>584000</v>
      </c>
      <c r="L32" s="687">
        <v>584000</v>
      </c>
      <c r="M32" s="687"/>
      <c r="N32" s="687"/>
      <c r="O32" s="687"/>
      <c r="P32" s="697">
        <f t="shared" si="2"/>
        <v>5256000</v>
      </c>
      <c r="Q32" s="673"/>
    </row>
    <row r="33" spans="1:17" s="672" customFormat="1">
      <c r="A33" s="688" t="s">
        <v>336</v>
      </c>
      <c r="B33" s="689">
        <v>3035000</v>
      </c>
      <c r="C33" s="689">
        <v>3035000</v>
      </c>
      <c r="D33" s="690">
        <v>0</v>
      </c>
      <c r="E33" s="690">
        <v>506000</v>
      </c>
      <c r="F33" s="690">
        <v>253000</v>
      </c>
      <c r="G33" s="690">
        <v>253000</v>
      </c>
      <c r="H33" s="690">
        <v>253000</v>
      </c>
      <c r="I33" s="690">
        <v>253000</v>
      </c>
      <c r="J33" s="690">
        <v>253000</v>
      </c>
      <c r="K33" s="690">
        <v>253000</v>
      </c>
      <c r="L33" s="690">
        <v>253000</v>
      </c>
      <c r="M33" s="690"/>
      <c r="N33" s="690"/>
      <c r="O33" s="690"/>
      <c r="P33" s="697">
        <f>+SUM(D33:O33)</f>
        <v>2277000</v>
      </c>
      <c r="Q33" s="673"/>
    </row>
    <row r="34" spans="1:17" s="672" customFormat="1" ht="13.5" thickBot="1">
      <c r="A34" s="678" t="s">
        <v>24</v>
      </c>
      <c r="B34" s="691">
        <f>SUM(B26:B33)</f>
        <v>273884000</v>
      </c>
      <c r="C34" s="691">
        <f>SUM(C26:C33)</f>
        <v>278891000</v>
      </c>
      <c r="D34" s="692">
        <f>SUM(D26:D33)</f>
        <v>25125896</v>
      </c>
      <c r="E34" s="692">
        <f>SUM(E26:E33)</f>
        <v>29893487</v>
      </c>
      <c r="F34" s="692">
        <f t="shared" ref="F34:N34" si="3">SUM(F26:F33)</f>
        <v>23854882</v>
      </c>
      <c r="G34" s="692">
        <f t="shared" si="3"/>
        <v>20520990</v>
      </c>
      <c r="H34" s="692">
        <f t="shared" si="3"/>
        <v>21711126</v>
      </c>
      <c r="I34" s="692">
        <f t="shared" si="3"/>
        <v>20140126</v>
      </c>
      <c r="J34" s="692">
        <f t="shared" si="3"/>
        <v>25009041</v>
      </c>
      <c r="K34" s="692">
        <f>SUM(K26:K33)</f>
        <v>24435702</v>
      </c>
      <c r="L34" s="692">
        <f t="shared" si="3"/>
        <v>22776080</v>
      </c>
      <c r="M34" s="692">
        <f t="shared" si="3"/>
        <v>0</v>
      </c>
      <c r="N34" s="692">
        <f t="shared" si="3"/>
        <v>0</v>
      </c>
      <c r="O34" s="692">
        <f>SUM(O26:O33)</f>
        <v>0</v>
      </c>
      <c r="P34" s="693">
        <f>SUM(P26:P33)</f>
        <v>213467330</v>
      </c>
    </row>
    <row r="36" spans="1:17" ht="13.5" thickBot="1"/>
    <row r="37" spans="1:17" ht="38.25">
      <c r="A37" s="592" t="s">
        <v>472</v>
      </c>
      <c r="B37" s="593" t="s">
        <v>498</v>
      </c>
      <c r="C37" s="593" t="s">
        <v>499</v>
      </c>
      <c r="D37" s="594" t="s">
        <v>473</v>
      </c>
      <c r="E37" s="595" t="s">
        <v>474</v>
      </c>
      <c r="F37" s="595" t="s">
        <v>475</v>
      </c>
      <c r="G37" s="595" t="s">
        <v>476</v>
      </c>
      <c r="H37" s="595" t="s">
        <v>477</v>
      </c>
      <c r="I37" s="595" t="s">
        <v>478</v>
      </c>
      <c r="J37" s="595" t="s">
        <v>479</v>
      </c>
      <c r="K37" s="595" t="s">
        <v>480</v>
      </c>
      <c r="L37" s="595" t="s">
        <v>481</v>
      </c>
      <c r="M37" s="595" t="s">
        <v>482</v>
      </c>
      <c r="N37" s="595" t="s">
        <v>483</v>
      </c>
      <c r="O37" s="596" t="s">
        <v>484</v>
      </c>
      <c r="P37" s="612" t="s">
        <v>485</v>
      </c>
    </row>
    <row r="38" spans="1:17">
      <c r="A38" s="304" t="s">
        <v>486</v>
      </c>
      <c r="B38" s="698">
        <v>6301000</v>
      </c>
      <c r="C38" s="698">
        <v>6301000</v>
      </c>
      <c r="D38" s="699"/>
      <c r="E38" s="699">
        <v>1050000</v>
      </c>
      <c r="F38" s="699"/>
      <c r="G38" s="699">
        <v>1050000</v>
      </c>
      <c r="H38" s="699">
        <v>525000</v>
      </c>
      <c r="I38" s="699">
        <v>525000</v>
      </c>
      <c r="J38" s="700">
        <v>525000</v>
      </c>
      <c r="K38" s="700">
        <v>525000</v>
      </c>
      <c r="L38" s="700">
        <v>525000</v>
      </c>
      <c r="M38" s="700"/>
      <c r="N38" s="700"/>
      <c r="O38" s="701"/>
      <c r="P38" s="702">
        <f>SUM(D38:O38)</f>
        <v>4725000</v>
      </c>
    </row>
    <row r="39" spans="1:17">
      <c r="A39" s="703" t="s">
        <v>4</v>
      </c>
      <c r="B39" s="704"/>
      <c r="C39" s="704">
        <v>6218000</v>
      </c>
      <c r="D39" s="705"/>
      <c r="E39" s="705"/>
      <c r="F39" s="705"/>
      <c r="G39" s="705"/>
      <c r="H39" s="705">
        <v>6218000</v>
      </c>
      <c r="I39" s="705"/>
      <c r="J39" s="706"/>
      <c r="K39" s="706"/>
      <c r="L39" s="706"/>
      <c r="M39" s="706"/>
      <c r="N39" s="706"/>
      <c r="O39" s="707"/>
      <c r="P39" s="708">
        <f>SUM(D39:O39)</f>
        <v>6218000</v>
      </c>
    </row>
    <row r="40" spans="1:17">
      <c r="A40" s="600" t="s">
        <v>5</v>
      </c>
      <c r="B40" s="79"/>
      <c r="C40" s="79">
        <v>411000</v>
      </c>
      <c r="D40" s="609"/>
      <c r="E40" s="609"/>
      <c r="F40" s="609"/>
      <c r="G40" s="609"/>
      <c r="H40" s="609">
        <v>411000</v>
      </c>
      <c r="I40" s="609"/>
      <c r="J40" s="20"/>
      <c r="K40" s="20"/>
      <c r="L40" s="20"/>
      <c r="M40" s="20"/>
      <c r="N40" s="20"/>
      <c r="O40" s="610"/>
      <c r="P40" s="481">
        <f>SUM(D40:O40)</f>
        <v>411000</v>
      </c>
    </row>
    <row r="41" spans="1:17">
      <c r="A41" s="600" t="s">
        <v>6</v>
      </c>
      <c r="B41" s="79"/>
      <c r="C41" s="79">
        <v>369000</v>
      </c>
      <c r="D41" s="609"/>
      <c r="E41" s="609"/>
      <c r="F41" s="609"/>
      <c r="G41" s="609"/>
      <c r="H41" s="609">
        <v>369000</v>
      </c>
      <c r="I41" s="609"/>
      <c r="J41" s="20"/>
      <c r="K41" s="20"/>
      <c r="L41" s="20"/>
      <c r="M41" s="20"/>
      <c r="N41" s="20"/>
      <c r="O41" s="610"/>
      <c r="P41" s="481">
        <f t="shared" ref="P41:P45" si="4">SUM(D41:O41)</f>
        <v>369000</v>
      </c>
    </row>
    <row r="42" spans="1:17">
      <c r="A42" s="600" t="s">
        <v>7</v>
      </c>
      <c r="B42" s="79"/>
      <c r="C42" s="79">
        <v>267000</v>
      </c>
      <c r="D42" s="609"/>
      <c r="E42" s="609"/>
      <c r="F42" s="609"/>
      <c r="G42" s="609"/>
      <c r="H42" s="609">
        <v>267000</v>
      </c>
      <c r="I42" s="609"/>
      <c r="J42" s="20"/>
      <c r="K42" s="20"/>
      <c r="L42" s="20"/>
      <c r="M42" s="20"/>
      <c r="N42" s="20"/>
      <c r="O42" s="610"/>
      <c r="P42" s="481">
        <f t="shared" si="4"/>
        <v>267000</v>
      </c>
    </row>
    <row r="43" spans="1:17">
      <c r="A43" s="600" t="s">
        <v>8</v>
      </c>
      <c r="B43" s="79"/>
      <c r="C43" s="79">
        <v>460000</v>
      </c>
      <c r="D43" s="609"/>
      <c r="E43" s="609"/>
      <c r="F43" s="609"/>
      <c r="G43" s="609"/>
      <c r="H43" s="609">
        <v>460000</v>
      </c>
      <c r="I43" s="609"/>
      <c r="J43" s="20"/>
      <c r="K43" s="20"/>
      <c r="L43" s="20"/>
      <c r="M43" s="20"/>
      <c r="N43" s="20"/>
      <c r="O43" s="610"/>
      <c r="P43" s="481">
        <f t="shared" si="4"/>
        <v>460000</v>
      </c>
    </row>
    <row r="44" spans="1:17">
      <c r="A44" s="600" t="s">
        <v>10</v>
      </c>
      <c r="B44" s="79"/>
      <c r="C44" s="79">
        <v>1618000</v>
      </c>
      <c r="D44" s="609"/>
      <c r="E44" s="609"/>
      <c r="F44" s="609"/>
      <c r="G44" s="609"/>
      <c r="H44" s="609">
        <v>1618000</v>
      </c>
      <c r="I44" s="609"/>
      <c r="J44" s="20"/>
      <c r="K44" s="20"/>
      <c r="L44" s="20"/>
      <c r="M44" s="20"/>
      <c r="N44" s="20"/>
      <c r="O44" s="610"/>
      <c r="P44" s="481">
        <f t="shared" si="4"/>
        <v>1618000</v>
      </c>
    </row>
    <row r="45" spans="1:17">
      <c r="A45" s="709" t="s">
        <v>336</v>
      </c>
      <c r="B45" s="92"/>
      <c r="C45" s="92">
        <v>483000</v>
      </c>
      <c r="D45" s="598"/>
      <c r="E45" s="598"/>
      <c r="F45" s="598"/>
      <c r="G45" s="598"/>
      <c r="H45" s="598">
        <v>483000</v>
      </c>
      <c r="I45" s="598"/>
      <c r="J45" s="252"/>
      <c r="K45" s="252"/>
      <c r="L45" s="252"/>
      <c r="M45" s="252"/>
      <c r="N45" s="252"/>
      <c r="O45" s="599"/>
      <c r="P45" s="481">
        <f t="shared" si="4"/>
        <v>483000</v>
      </c>
    </row>
    <row r="46" spans="1:17">
      <c r="A46" s="760" t="s">
        <v>504</v>
      </c>
      <c r="B46" s="761">
        <f>SUM(B39:B45)</f>
        <v>0</v>
      </c>
      <c r="C46" s="761">
        <f>SUM(C39:C45)</f>
        <v>9826000</v>
      </c>
      <c r="D46" s="762">
        <f t="shared" ref="D46:P46" si="5">SUM(D39:D45)</f>
        <v>0</v>
      </c>
      <c r="E46" s="763">
        <f t="shared" si="5"/>
        <v>0</v>
      </c>
      <c r="F46" s="763">
        <f t="shared" si="5"/>
        <v>0</v>
      </c>
      <c r="G46" s="763">
        <f t="shared" si="5"/>
        <v>0</v>
      </c>
      <c r="H46" s="763">
        <f t="shared" si="5"/>
        <v>9826000</v>
      </c>
      <c r="I46" s="763">
        <f t="shared" si="5"/>
        <v>0</v>
      </c>
      <c r="J46" s="763">
        <f t="shared" si="5"/>
        <v>0</v>
      </c>
      <c r="K46" s="763">
        <f t="shared" si="5"/>
        <v>0</v>
      </c>
      <c r="L46" s="763">
        <f t="shared" si="5"/>
        <v>0</v>
      </c>
      <c r="M46" s="763">
        <f t="shared" si="5"/>
        <v>0</v>
      </c>
      <c r="N46" s="763">
        <f t="shared" si="5"/>
        <v>0</v>
      </c>
      <c r="O46" s="764">
        <f t="shared" si="5"/>
        <v>0</v>
      </c>
      <c r="P46" s="765">
        <f t="shared" si="5"/>
        <v>9826000</v>
      </c>
    </row>
    <row r="47" spans="1:17">
      <c r="A47" s="768" t="s">
        <v>514</v>
      </c>
      <c r="B47" s="698"/>
      <c r="C47" s="698"/>
      <c r="D47" s="699"/>
      <c r="E47" s="699"/>
      <c r="F47" s="699"/>
      <c r="G47" s="699"/>
      <c r="H47" s="699"/>
      <c r="I47" s="699"/>
      <c r="J47" s="700"/>
      <c r="K47" s="700">
        <v>1000000</v>
      </c>
      <c r="L47" s="700"/>
      <c r="M47" s="700"/>
      <c r="N47" s="700"/>
      <c r="O47" s="701"/>
      <c r="P47" s="702">
        <f t="shared" ref="P47:P49" si="6">SUM(D47:O47)</f>
        <v>1000000</v>
      </c>
    </row>
    <row r="48" spans="1:17">
      <c r="A48" s="766" t="s">
        <v>6</v>
      </c>
      <c r="B48" s="605"/>
      <c r="C48" s="605"/>
      <c r="D48" s="606"/>
      <c r="E48" s="606"/>
      <c r="F48" s="606"/>
      <c r="G48" s="606"/>
      <c r="H48" s="606"/>
      <c r="I48" s="606"/>
      <c r="J48" s="257"/>
      <c r="K48" s="257">
        <v>500000</v>
      </c>
      <c r="L48" s="257"/>
      <c r="M48" s="257"/>
      <c r="N48" s="257"/>
      <c r="O48" s="607"/>
      <c r="P48" s="767">
        <f t="shared" si="6"/>
        <v>500000</v>
      </c>
    </row>
    <row r="49" spans="1:16">
      <c r="A49" s="709" t="s">
        <v>336</v>
      </c>
      <c r="B49" s="92"/>
      <c r="C49" s="92"/>
      <c r="D49" s="598"/>
      <c r="E49" s="598"/>
      <c r="F49" s="598"/>
      <c r="G49" s="598"/>
      <c r="H49" s="598"/>
      <c r="I49" s="598"/>
      <c r="J49" s="252"/>
      <c r="K49" s="252">
        <v>500000</v>
      </c>
      <c r="L49" s="252"/>
      <c r="M49" s="252"/>
      <c r="N49" s="252"/>
      <c r="O49" s="599"/>
      <c r="P49" s="481">
        <f t="shared" si="6"/>
        <v>500000</v>
      </c>
    </row>
    <row r="50" spans="1:16" ht="13.5" thickBot="1">
      <c r="A50" s="710" t="s">
        <v>515</v>
      </c>
      <c r="B50" s="711">
        <f>SUM(B48:B49)</f>
        <v>0</v>
      </c>
      <c r="C50" s="711">
        <f>SUM(C48:C49)</f>
        <v>0</v>
      </c>
      <c r="D50" s="714">
        <f>SUM(D48:D49)</f>
        <v>0</v>
      </c>
      <c r="E50" s="712">
        <f>SUM(E48:E49)</f>
        <v>0</v>
      </c>
      <c r="F50" s="712">
        <f t="shared" ref="F50:M50" si="7">SUM(F48:F49)</f>
        <v>0</v>
      </c>
      <c r="G50" s="712">
        <f t="shared" si="7"/>
        <v>0</v>
      </c>
      <c r="H50" s="712">
        <f t="shared" si="7"/>
        <v>0</v>
      </c>
      <c r="I50" s="712">
        <f t="shared" si="7"/>
        <v>0</v>
      </c>
      <c r="J50" s="712">
        <f t="shared" si="7"/>
        <v>0</v>
      </c>
      <c r="K50" s="712">
        <f>SUM(K48:K49)</f>
        <v>1000000</v>
      </c>
      <c r="L50" s="712">
        <f t="shared" si="7"/>
        <v>0</v>
      </c>
      <c r="M50" s="712">
        <f t="shared" si="7"/>
        <v>0</v>
      </c>
      <c r="N50" s="712">
        <f t="shared" ref="N50:O50" si="8">SUM(N43:N49)</f>
        <v>0</v>
      </c>
      <c r="O50" s="715">
        <f t="shared" si="8"/>
        <v>0</v>
      </c>
      <c r="P50" s="713">
        <f>SUM(P48:P49)</f>
        <v>1000000</v>
      </c>
    </row>
    <row r="51" spans="1:16" ht="13.5" thickBot="1">
      <c r="A51" s="601" t="s">
        <v>24</v>
      </c>
      <c r="B51" s="331">
        <f>+B38+B46</f>
        <v>6301000</v>
      </c>
      <c r="C51" s="331">
        <f>+C38+C46</f>
        <v>16127000</v>
      </c>
      <c r="D51" s="716">
        <f t="shared" ref="D51" si="9">+D38+D46</f>
        <v>0</v>
      </c>
      <c r="E51" s="603">
        <f>+E38+E46+E47+E50</f>
        <v>1050000</v>
      </c>
      <c r="F51" s="603">
        <f t="shared" ref="F51:O51" si="10">+F38+F46+F47+F50</f>
        <v>0</v>
      </c>
      <c r="G51" s="603">
        <f t="shared" si="10"/>
        <v>1050000</v>
      </c>
      <c r="H51" s="603">
        <f t="shared" si="10"/>
        <v>10351000</v>
      </c>
      <c r="I51" s="603">
        <f t="shared" si="10"/>
        <v>525000</v>
      </c>
      <c r="J51" s="603">
        <f t="shared" si="10"/>
        <v>525000</v>
      </c>
      <c r="K51" s="603">
        <f t="shared" si="10"/>
        <v>2525000</v>
      </c>
      <c r="L51" s="603">
        <f t="shared" si="10"/>
        <v>525000</v>
      </c>
      <c r="M51" s="603">
        <f t="shared" si="10"/>
        <v>0</v>
      </c>
      <c r="N51" s="603">
        <f t="shared" si="10"/>
        <v>0</v>
      </c>
      <c r="O51" s="769">
        <f t="shared" si="10"/>
        <v>0</v>
      </c>
      <c r="P51" s="332">
        <f>+P38+P46+P47+P50</f>
        <v>16551000</v>
      </c>
    </row>
    <row r="52" spans="1:16" ht="26.25" customHeight="1">
      <c r="A52" s="604" t="s">
        <v>488</v>
      </c>
      <c r="B52" s="605"/>
      <c r="C52" s="605"/>
      <c r="D52" s="606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607"/>
      <c r="P52" s="613"/>
    </row>
    <row r="53" spans="1:16">
      <c r="A53" s="608" t="s">
        <v>487</v>
      </c>
      <c r="B53" s="79"/>
      <c r="C53" s="79">
        <v>131000</v>
      </c>
      <c r="D53" s="609"/>
      <c r="E53" s="609"/>
      <c r="F53" s="609"/>
      <c r="G53" s="609"/>
      <c r="H53" s="609">
        <v>130560</v>
      </c>
      <c r="I53" s="609"/>
      <c r="J53" s="20"/>
      <c r="K53" s="20"/>
      <c r="L53" s="20"/>
      <c r="M53" s="20"/>
      <c r="N53" s="20"/>
      <c r="O53" s="610"/>
      <c r="P53" s="481">
        <f>SUM(D53:O53)</f>
        <v>130560</v>
      </c>
    </row>
    <row r="54" spans="1:16">
      <c r="A54" s="608" t="s">
        <v>489</v>
      </c>
      <c r="B54" s="79">
        <v>4498000</v>
      </c>
      <c r="C54" s="79">
        <v>4498000</v>
      </c>
      <c r="D54" s="609"/>
      <c r="E54" s="609">
        <v>750000</v>
      </c>
      <c r="F54" s="609"/>
      <c r="G54" s="609">
        <v>750000</v>
      </c>
      <c r="H54" s="609">
        <v>375000</v>
      </c>
      <c r="I54" s="609">
        <v>375000</v>
      </c>
      <c r="J54" s="20">
        <v>375000</v>
      </c>
      <c r="K54" s="20">
        <v>375000</v>
      </c>
      <c r="L54" s="20">
        <v>375000</v>
      </c>
      <c r="M54" s="20"/>
      <c r="N54" s="20"/>
      <c r="O54" s="610"/>
      <c r="P54" s="481">
        <f>SUM(D54:O54)</f>
        <v>3375000</v>
      </c>
    </row>
    <row r="55" spans="1:16" ht="13.5" thickBot="1">
      <c r="A55" s="597" t="s">
        <v>490</v>
      </c>
      <c r="B55" s="92">
        <v>7776000</v>
      </c>
      <c r="C55" s="92">
        <v>7776000</v>
      </c>
      <c r="D55" s="598"/>
      <c r="E55" s="252">
        <v>1296000</v>
      </c>
      <c r="F55" s="252"/>
      <c r="G55" s="252">
        <v>1296000</v>
      </c>
      <c r="H55" s="252">
        <v>648000</v>
      </c>
      <c r="I55" s="252">
        <v>648000</v>
      </c>
      <c r="J55" s="252">
        <v>648000</v>
      </c>
      <c r="K55" s="252">
        <v>648000</v>
      </c>
      <c r="L55" s="252">
        <v>648000</v>
      </c>
      <c r="M55" s="252"/>
      <c r="N55" s="252"/>
      <c r="O55" s="599"/>
      <c r="P55" s="481">
        <f>SUM(D55:O55)</f>
        <v>5832000</v>
      </c>
    </row>
    <row r="56" spans="1:16" ht="13.5" thickBot="1">
      <c r="A56" s="601" t="s">
        <v>24</v>
      </c>
      <c r="B56" s="331">
        <f t="shared" ref="B56:P56" si="11">SUM(B53:B55)</f>
        <v>12274000</v>
      </c>
      <c r="C56" s="331">
        <f t="shared" si="11"/>
        <v>12405000</v>
      </c>
      <c r="D56" s="602">
        <f t="shared" si="11"/>
        <v>0</v>
      </c>
      <c r="E56" s="602">
        <f t="shared" si="11"/>
        <v>2046000</v>
      </c>
      <c r="F56" s="602">
        <f t="shared" si="11"/>
        <v>0</v>
      </c>
      <c r="G56" s="602">
        <f t="shared" si="11"/>
        <v>2046000</v>
      </c>
      <c r="H56" s="602">
        <f t="shared" si="11"/>
        <v>1153560</v>
      </c>
      <c r="I56" s="602">
        <f t="shared" si="11"/>
        <v>1023000</v>
      </c>
      <c r="J56" s="602">
        <f t="shared" si="11"/>
        <v>1023000</v>
      </c>
      <c r="K56" s="602">
        <f t="shared" si="11"/>
        <v>1023000</v>
      </c>
      <c r="L56" s="602">
        <f t="shared" si="11"/>
        <v>1023000</v>
      </c>
      <c r="M56" s="602">
        <f t="shared" si="11"/>
        <v>0</v>
      </c>
      <c r="N56" s="602">
        <f t="shared" si="11"/>
        <v>0</v>
      </c>
      <c r="O56" s="611">
        <f t="shared" si="11"/>
        <v>0</v>
      </c>
      <c r="P56" s="332">
        <f t="shared" si="11"/>
        <v>9337560</v>
      </c>
    </row>
    <row r="106" spans="1:5">
      <c r="A106" s="35"/>
      <c r="B106" s="35"/>
      <c r="C106" s="35"/>
      <c r="D106" s="35"/>
      <c r="E106" s="35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3" orientation="landscape" r:id="rId1"/>
  <headerFooter alignWithMargins="0">
    <oddHeader>&amp;L&amp;"Times New Roman,Félkövér"&amp;13Szent László Völgye TKT&amp;C&amp;"Times New Roman,Félkövér"&amp;14
&amp;16 2015. I-III. NEGYEDÉVI KÖLTSÉGVETÉSI BESZÁMOLÓ&amp;14
&amp;R7. sz. táblázat
PÉNZESZKÖZ ÁTADÁS - ÁTVÉTEL
Adatok: Ft</oddHeader>
    <oddFooter>&amp;L&amp;F&amp;R&amp;P</oddFooter>
  </headerFooter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90"/>
  <sheetViews>
    <sheetView workbookViewId="0">
      <selection activeCell="F26" sqref="F26"/>
    </sheetView>
  </sheetViews>
  <sheetFormatPr defaultColWidth="9.140625" defaultRowHeight="15"/>
  <cols>
    <col min="1" max="1" width="32.42578125" style="10" customWidth="1"/>
    <col min="2" max="2" width="9.7109375" style="392" customWidth="1"/>
    <col min="3" max="10" width="8" style="392" bestFit="1" customWidth="1"/>
    <col min="11" max="11" width="10.140625" style="392" bestFit="1" customWidth="1"/>
    <col min="12" max="12" width="8" style="392" bestFit="1" customWidth="1"/>
    <col min="13" max="13" width="8.7109375" style="392" customWidth="1"/>
    <col min="14" max="14" width="8.85546875" style="393" bestFit="1" customWidth="1"/>
    <col min="15" max="15" width="9.7109375" style="392" customWidth="1"/>
    <col min="16" max="16" width="11.5703125" style="10" bestFit="1" customWidth="1"/>
    <col min="17" max="16384" width="9.140625" style="10"/>
  </cols>
  <sheetData>
    <row r="1" spans="1:17" ht="24.75" customHeight="1">
      <c r="A1" s="370" t="s">
        <v>191</v>
      </c>
      <c r="B1" s="363" t="s">
        <v>398</v>
      </c>
      <c r="C1" s="383" t="s">
        <v>49</v>
      </c>
      <c r="D1" s="362" t="s">
        <v>50</v>
      </c>
      <c r="E1" s="362" t="s">
        <v>51</v>
      </c>
      <c r="F1" s="362" t="s">
        <v>52</v>
      </c>
      <c r="G1" s="362" t="s">
        <v>53</v>
      </c>
      <c r="H1" s="362" t="s">
        <v>54</v>
      </c>
      <c r="I1" s="362" t="s">
        <v>55</v>
      </c>
      <c r="J1" s="362" t="s">
        <v>399</v>
      </c>
      <c r="K1" s="362" t="s">
        <v>56</v>
      </c>
      <c r="L1" s="362" t="s">
        <v>57</v>
      </c>
      <c r="M1" s="362" t="s">
        <v>58</v>
      </c>
      <c r="N1" s="387" t="s">
        <v>59</v>
      </c>
      <c r="O1" s="364" t="s">
        <v>400</v>
      </c>
    </row>
    <row r="2" spans="1:17" ht="23.25" customHeight="1">
      <c r="A2" s="371" t="s">
        <v>46</v>
      </c>
      <c r="B2" s="386"/>
      <c r="C2" s="384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88"/>
      <c r="O2" s="390"/>
    </row>
    <row r="3" spans="1:17" ht="15" customHeight="1">
      <c r="A3" s="372" t="s">
        <v>409</v>
      </c>
      <c r="B3" s="398">
        <f>+'1.SZ.TÁBL. TÁRSULÁS KON. MÉRLEG'!D2</f>
        <v>235468</v>
      </c>
      <c r="C3" s="399">
        <f>24162+785</f>
        <v>24947</v>
      </c>
      <c r="D3" s="399">
        <f t="shared" ref="D3:F3" si="0">24162+785</f>
        <v>24947</v>
      </c>
      <c r="E3" s="399">
        <f t="shared" si="0"/>
        <v>24947</v>
      </c>
      <c r="F3" s="399">
        <f t="shared" si="0"/>
        <v>24947</v>
      </c>
      <c r="G3" s="399">
        <f>24162+785+3123</f>
        <v>28070</v>
      </c>
      <c r="H3" s="399">
        <f>24163+1118+3</f>
        <v>25284</v>
      </c>
      <c r="I3" s="399">
        <v>24162</v>
      </c>
      <c r="J3" s="399">
        <v>24163</v>
      </c>
      <c r="K3" s="399">
        <v>24163</v>
      </c>
      <c r="L3" s="399">
        <v>24162</v>
      </c>
      <c r="M3" s="399">
        <v>24162</v>
      </c>
      <c r="N3" s="399">
        <v>24162</v>
      </c>
      <c r="O3" s="400">
        <f>SUM(C3:N3)</f>
        <v>298116</v>
      </c>
      <c r="P3" s="11"/>
    </row>
    <row r="4" spans="1:17" ht="15" customHeight="1">
      <c r="A4" s="372" t="s">
        <v>143</v>
      </c>
      <c r="B4" s="398">
        <f>+'1.SZ.TÁBL. TÁRSULÁS KON. MÉRLEG'!D3</f>
        <v>7626</v>
      </c>
      <c r="C4" s="399">
        <v>936</v>
      </c>
      <c r="D4" s="401">
        <v>937</v>
      </c>
      <c r="E4" s="401">
        <v>937</v>
      </c>
      <c r="F4" s="401">
        <v>937</v>
      </c>
      <c r="G4" s="401">
        <v>937</v>
      </c>
      <c r="H4" s="401">
        <v>937</v>
      </c>
      <c r="I4" s="401">
        <v>937</v>
      </c>
      <c r="J4" s="401">
        <v>937</v>
      </c>
      <c r="K4" s="401">
        <v>937</v>
      </c>
      <c r="L4" s="401">
        <v>937</v>
      </c>
      <c r="M4" s="401">
        <v>937</v>
      </c>
      <c r="N4" s="402">
        <v>937</v>
      </c>
      <c r="O4" s="400">
        <f t="shared" ref="O4:O5" si="1">SUM(C4:N4)</f>
        <v>11243</v>
      </c>
    </row>
    <row r="5" spans="1:17" ht="15" customHeight="1">
      <c r="A5" s="373" t="s">
        <v>405</v>
      </c>
      <c r="B5" s="403"/>
      <c r="C5" s="404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6"/>
      <c r="O5" s="407">
        <f t="shared" si="1"/>
        <v>0</v>
      </c>
    </row>
    <row r="6" spans="1:17" ht="15" customHeight="1">
      <c r="A6" s="374" t="s">
        <v>407</v>
      </c>
      <c r="B6" s="408">
        <f>+SUM(B3:B5)</f>
        <v>243094</v>
      </c>
      <c r="C6" s="409">
        <f t="shared" ref="C6:O6" si="2">+SUM(C3:C5)</f>
        <v>25883</v>
      </c>
      <c r="D6" s="410">
        <f t="shared" si="2"/>
        <v>25884</v>
      </c>
      <c r="E6" s="410">
        <f t="shared" si="2"/>
        <v>25884</v>
      </c>
      <c r="F6" s="410">
        <f t="shared" si="2"/>
        <v>25884</v>
      </c>
      <c r="G6" s="410">
        <f t="shared" si="2"/>
        <v>29007</v>
      </c>
      <c r="H6" s="410">
        <f t="shared" si="2"/>
        <v>26221</v>
      </c>
      <c r="I6" s="410">
        <f t="shared" si="2"/>
        <v>25099</v>
      </c>
      <c r="J6" s="410">
        <f t="shared" si="2"/>
        <v>25100</v>
      </c>
      <c r="K6" s="410">
        <f t="shared" si="2"/>
        <v>25100</v>
      </c>
      <c r="L6" s="410">
        <f t="shared" si="2"/>
        <v>25099</v>
      </c>
      <c r="M6" s="410">
        <f t="shared" si="2"/>
        <v>25099</v>
      </c>
      <c r="N6" s="411">
        <f t="shared" si="2"/>
        <v>25099</v>
      </c>
      <c r="O6" s="412">
        <f t="shared" si="2"/>
        <v>309359</v>
      </c>
    </row>
    <row r="7" spans="1:17" s="25" customFormat="1" ht="15" customHeight="1">
      <c r="A7" s="375" t="s">
        <v>406</v>
      </c>
      <c r="B7" s="413"/>
      <c r="C7" s="414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6"/>
      <c r="O7" s="417">
        <f>SUM(C7:N7)</f>
        <v>0</v>
      </c>
    </row>
    <row r="8" spans="1:17" ht="15" customHeight="1">
      <c r="A8" s="372" t="s">
        <v>144</v>
      </c>
      <c r="B8" s="398"/>
      <c r="C8" s="399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2"/>
      <c r="O8" s="418">
        <f t="shared" ref="O8:O9" si="3">SUM(C8:N8)</f>
        <v>0</v>
      </c>
      <c r="P8" s="11"/>
    </row>
    <row r="9" spans="1:17" ht="15" customHeight="1">
      <c r="A9" s="373" t="s">
        <v>408</v>
      </c>
      <c r="B9" s="403"/>
      <c r="C9" s="404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6"/>
      <c r="O9" s="419">
        <f t="shared" si="3"/>
        <v>0</v>
      </c>
      <c r="P9" s="11"/>
      <c r="Q9" s="11"/>
    </row>
    <row r="10" spans="1:17" ht="15" customHeight="1">
      <c r="A10" s="374" t="s">
        <v>410</v>
      </c>
      <c r="B10" s="408">
        <f>+SUM(B7:B9)</f>
        <v>0</v>
      </c>
      <c r="C10" s="409">
        <f t="shared" ref="C10:N10" si="4">+SUM(C7:C9)</f>
        <v>0</v>
      </c>
      <c r="D10" s="410">
        <f t="shared" si="4"/>
        <v>0</v>
      </c>
      <c r="E10" s="410">
        <f t="shared" si="4"/>
        <v>0</v>
      </c>
      <c r="F10" s="410">
        <f t="shared" si="4"/>
        <v>0</v>
      </c>
      <c r="G10" s="410">
        <f t="shared" si="4"/>
        <v>0</v>
      </c>
      <c r="H10" s="410">
        <f t="shared" si="4"/>
        <v>0</v>
      </c>
      <c r="I10" s="410">
        <f t="shared" si="4"/>
        <v>0</v>
      </c>
      <c r="J10" s="410">
        <f t="shared" si="4"/>
        <v>0</v>
      </c>
      <c r="K10" s="410">
        <f t="shared" si="4"/>
        <v>0</v>
      </c>
      <c r="L10" s="410">
        <f t="shared" si="4"/>
        <v>0</v>
      </c>
      <c r="M10" s="410">
        <f t="shared" si="4"/>
        <v>0</v>
      </c>
      <c r="N10" s="411">
        <f t="shared" si="4"/>
        <v>0</v>
      </c>
      <c r="O10" s="412">
        <f>+SUM(O7:O9)</f>
        <v>0</v>
      </c>
      <c r="Q10" s="11"/>
    </row>
    <row r="11" spans="1:17" ht="15" customHeight="1">
      <c r="A11" s="375" t="s">
        <v>401</v>
      </c>
      <c r="B11" s="413"/>
      <c r="C11" s="414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6"/>
      <c r="O11" s="417"/>
      <c r="P11" s="11"/>
      <c r="Q11" s="11"/>
    </row>
    <row r="12" spans="1:17" ht="15" customHeight="1">
      <c r="A12" s="372" t="s">
        <v>112</v>
      </c>
      <c r="B12" s="398"/>
      <c r="C12" s="399">
        <v>735</v>
      </c>
      <c r="D12" s="401"/>
      <c r="E12" s="401"/>
      <c r="F12" s="401">
        <v>7863</v>
      </c>
      <c r="G12" s="401"/>
      <c r="H12" s="401"/>
      <c r="I12" s="401"/>
      <c r="J12" s="401"/>
      <c r="K12" s="401"/>
      <c r="L12" s="401"/>
      <c r="M12" s="401"/>
      <c r="N12" s="402"/>
      <c r="O12" s="418">
        <f>SUM(C12:N12)</f>
        <v>8598</v>
      </c>
      <c r="P12" s="11"/>
    </row>
    <row r="13" spans="1:17" ht="15" customHeight="1">
      <c r="A13" s="373" t="s">
        <v>118</v>
      </c>
      <c r="B13" s="403"/>
      <c r="C13" s="404">
        <v>1500</v>
      </c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6"/>
      <c r="O13" s="419">
        <f>SUM(C13:N13)</f>
        <v>1500</v>
      </c>
      <c r="P13" s="11"/>
    </row>
    <row r="14" spans="1:17" ht="15" customHeight="1">
      <c r="A14" s="96" t="s">
        <v>148</v>
      </c>
      <c r="B14" s="408">
        <f>+'1.SZ.TÁBL. TÁRSULÁS KON. MÉRLEG'!D5</f>
        <v>15584</v>
      </c>
      <c r="C14" s="409">
        <f t="shared" ref="C14:O14" si="5">+C13+C12</f>
        <v>2235</v>
      </c>
      <c r="D14" s="410">
        <f t="shared" si="5"/>
        <v>0</v>
      </c>
      <c r="E14" s="410">
        <f t="shared" si="5"/>
        <v>0</v>
      </c>
      <c r="F14" s="410">
        <f t="shared" si="5"/>
        <v>7863</v>
      </c>
      <c r="G14" s="410">
        <f t="shared" si="5"/>
        <v>0</v>
      </c>
      <c r="H14" s="410">
        <f t="shared" si="5"/>
        <v>0</v>
      </c>
      <c r="I14" s="410">
        <f t="shared" si="5"/>
        <v>0</v>
      </c>
      <c r="J14" s="410">
        <f t="shared" si="5"/>
        <v>0</v>
      </c>
      <c r="K14" s="410">
        <f t="shared" si="5"/>
        <v>0</v>
      </c>
      <c r="L14" s="410">
        <f t="shared" si="5"/>
        <v>0</v>
      </c>
      <c r="M14" s="410">
        <f t="shared" si="5"/>
        <v>0</v>
      </c>
      <c r="N14" s="411">
        <f t="shared" si="5"/>
        <v>0</v>
      </c>
      <c r="O14" s="412">
        <f t="shared" si="5"/>
        <v>10098</v>
      </c>
    </row>
    <row r="15" spans="1:17" s="25" customFormat="1" ht="15" customHeight="1">
      <c r="A15" s="96" t="s">
        <v>402</v>
      </c>
      <c r="B15" s="408">
        <f>+B14</f>
        <v>15584</v>
      </c>
      <c r="C15" s="409">
        <f t="shared" ref="C15:O15" si="6">+C14</f>
        <v>2235</v>
      </c>
      <c r="D15" s="410">
        <f t="shared" si="6"/>
        <v>0</v>
      </c>
      <c r="E15" s="410">
        <f t="shared" si="6"/>
        <v>0</v>
      </c>
      <c r="F15" s="410">
        <f t="shared" si="6"/>
        <v>7863</v>
      </c>
      <c r="G15" s="410">
        <f t="shared" si="6"/>
        <v>0</v>
      </c>
      <c r="H15" s="410">
        <f t="shared" si="6"/>
        <v>0</v>
      </c>
      <c r="I15" s="410">
        <f t="shared" si="6"/>
        <v>0</v>
      </c>
      <c r="J15" s="410">
        <f t="shared" si="6"/>
        <v>0</v>
      </c>
      <c r="K15" s="410">
        <f t="shared" si="6"/>
        <v>0</v>
      </c>
      <c r="L15" s="410">
        <f t="shared" si="6"/>
        <v>0</v>
      </c>
      <c r="M15" s="410">
        <f t="shared" si="6"/>
        <v>0</v>
      </c>
      <c r="N15" s="411">
        <f t="shared" si="6"/>
        <v>0</v>
      </c>
      <c r="O15" s="412">
        <f t="shared" si="6"/>
        <v>10098</v>
      </c>
    </row>
    <row r="16" spans="1:17" ht="16.5" customHeight="1">
      <c r="A16" s="376" t="s">
        <v>0</v>
      </c>
      <c r="B16" s="420">
        <f>+B15+B10+B6</f>
        <v>258678</v>
      </c>
      <c r="C16" s="421">
        <f t="shared" ref="C16:O16" si="7">+C15+C10+C6</f>
        <v>28118</v>
      </c>
      <c r="D16" s="422">
        <f t="shared" si="7"/>
        <v>25884</v>
      </c>
      <c r="E16" s="422">
        <f t="shared" si="7"/>
        <v>25884</v>
      </c>
      <c r="F16" s="422">
        <f t="shared" si="7"/>
        <v>33747</v>
      </c>
      <c r="G16" s="422">
        <f t="shared" si="7"/>
        <v>29007</v>
      </c>
      <c r="H16" s="422">
        <f t="shared" si="7"/>
        <v>26221</v>
      </c>
      <c r="I16" s="422">
        <f t="shared" si="7"/>
        <v>25099</v>
      </c>
      <c r="J16" s="422">
        <f t="shared" si="7"/>
        <v>25100</v>
      </c>
      <c r="K16" s="422">
        <f t="shared" si="7"/>
        <v>25100</v>
      </c>
      <c r="L16" s="422">
        <f t="shared" si="7"/>
        <v>25099</v>
      </c>
      <c r="M16" s="422">
        <f t="shared" si="7"/>
        <v>25099</v>
      </c>
      <c r="N16" s="423">
        <f t="shared" si="7"/>
        <v>25099</v>
      </c>
      <c r="O16" s="424">
        <f t="shared" si="7"/>
        <v>319457</v>
      </c>
    </row>
    <row r="17" spans="1:15" ht="23.25" customHeight="1">
      <c r="A17" s="371" t="s">
        <v>83</v>
      </c>
      <c r="B17" s="425"/>
      <c r="C17" s="426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8"/>
      <c r="O17" s="429"/>
    </row>
    <row r="18" spans="1:15" s="12" customFormat="1">
      <c r="A18" s="377" t="s">
        <v>152</v>
      </c>
      <c r="B18" s="398">
        <f>+'1.SZ.TÁBL. TÁRSULÁS KON. MÉRLEG'!I2</f>
        <v>127821</v>
      </c>
      <c r="C18" s="399">
        <f>12812+618</f>
        <v>13430</v>
      </c>
      <c r="D18" s="399">
        <f t="shared" ref="D18:G18" si="8">12812+618</f>
        <v>13430</v>
      </c>
      <c r="E18" s="399">
        <f t="shared" si="8"/>
        <v>13430</v>
      </c>
      <c r="F18" s="399">
        <f t="shared" si="8"/>
        <v>13430</v>
      </c>
      <c r="G18" s="399">
        <f t="shared" si="8"/>
        <v>13430</v>
      </c>
      <c r="H18" s="401">
        <f>12813+2</f>
        <v>12815</v>
      </c>
      <c r="I18" s="401">
        <v>12812</v>
      </c>
      <c r="J18" s="401">
        <v>12812</v>
      </c>
      <c r="K18" s="401">
        <v>12812</v>
      </c>
      <c r="L18" s="401">
        <v>12812</v>
      </c>
      <c r="M18" s="401">
        <v>12813</v>
      </c>
      <c r="N18" s="402">
        <v>12812</v>
      </c>
      <c r="O18" s="400">
        <f>SUM(C18:N18)</f>
        <v>156838</v>
      </c>
    </row>
    <row r="19" spans="1:15" s="12" customFormat="1" ht="25.5">
      <c r="A19" s="377" t="s">
        <v>153</v>
      </c>
      <c r="B19" s="398">
        <f>+'1.SZ.TÁBL. TÁRSULÁS KON. MÉRLEG'!I3</f>
        <v>33259</v>
      </c>
      <c r="C19" s="399">
        <f>3703-186</f>
        <v>3517</v>
      </c>
      <c r="D19" s="401">
        <f t="shared" ref="D19:G19" si="9">3703-186</f>
        <v>3517</v>
      </c>
      <c r="E19" s="401">
        <f t="shared" si="9"/>
        <v>3517</v>
      </c>
      <c r="F19" s="401">
        <f t="shared" si="9"/>
        <v>3517</v>
      </c>
      <c r="G19" s="401">
        <f t="shared" si="9"/>
        <v>3517</v>
      </c>
      <c r="H19" s="401">
        <f>3703-3</f>
        <v>3700</v>
      </c>
      <c r="I19" s="401">
        <v>3703</v>
      </c>
      <c r="J19" s="401">
        <v>3703</v>
      </c>
      <c r="K19" s="401">
        <v>3703</v>
      </c>
      <c r="L19" s="401">
        <v>3703</v>
      </c>
      <c r="M19" s="401">
        <v>3703</v>
      </c>
      <c r="N19" s="402">
        <v>3703</v>
      </c>
      <c r="O19" s="400">
        <f t="shared" ref="O19:O23" si="10">SUM(C19:N19)</f>
        <v>43503</v>
      </c>
    </row>
    <row r="20" spans="1:15" s="12" customFormat="1">
      <c r="A20" s="377" t="s">
        <v>159</v>
      </c>
      <c r="B20" s="398">
        <f>+'1.SZ.TÁBL. TÁRSULÁS KON. MÉRLEG'!I4</f>
        <v>53573</v>
      </c>
      <c r="C20" s="399">
        <f>6608+43</f>
        <v>6651</v>
      </c>
      <c r="D20" s="401">
        <f t="shared" ref="D20:N20" si="11">6608+43</f>
        <v>6651</v>
      </c>
      <c r="E20" s="401">
        <f t="shared" si="11"/>
        <v>6651</v>
      </c>
      <c r="F20" s="401">
        <f>6608+43-2</f>
        <v>6649</v>
      </c>
      <c r="G20" s="401">
        <f t="shared" si="11"/>
        <v>6651</v>
      </c>
      <c r="H20" s="401">
        <f t="shared" si="11"/>
        <v>6651</v>
      </c>
      <c r="I20" s="401">
        <f t="shared" si="11"/>
        <v>6651</v>
      </c>
      <c r="J20" s="401">
        <f t="shared" si="11"/>
        <v>6651</v>
      </c>
      <c r="K20" s="401">
        <f>6608+43-1</f>
        <v>6650</v>
      </c>
      <c r="L20" s="401">
        <f t="shared" si="11"/>
        <v>6651</v>
      </c>
      <c r="M20" s="401">
        <f t="shared" si="11"/>
        <v>6651</v>
      </c>
      <c r="N20" s="402">
        <f t="shared" si="11"/>
        <v>6651</v>
      </c>
      <c r="O20" s="400">
        <f t="shared" si="10"/>
        <v>79809</v>
      </c>
    </row>
    <row r="21" spans="1:15">
      <c r="A21" s="378" t="s">
        <v>403</v>
      </c>
      <c r="B21" s="398"/>
      <c r="C21" s="399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2"/>
      <c r="O21" s="400">
        <f t="shared" si="10"/>
        <v>0</v>
      </c>
    </row>
    <row r="22" spans="1:15">
      <c r="A22" s="377" t="s">
        <v>160</v>
      </c>
      <c r="B22" s="398">
        <f>+'1.SZ.TÁBL. TÁRSULÁS KON. MÉRLEG'!I6+'1.SZ.TÁBL. TÁRSULÁS KON. MÉRLEG'!I7</f>
        <v>26017</v>
      </c>
      <c r="C22" s="399">
        <f>1150+2235+147</f>
        <v>3532</v>
      </c>
      <c r="D22" s="401">
        <f>1149+147</f>
        <v>1296</v>
      </c>
      <c r="E22" s="401">
        <f>1149+147</f>
        <v>1296</v>
      </c>
      <c r="F22" s="401">
        <f>1149+7873+147</f>
        <v>9169</v>
      </c>
      <c r="G22" s="401">
        <f>1150+147</f>
        <v>1297</v>
      </c>
      <c r="H22" s="401">
        <f>1149+147</f>
        <v>1296</v>
      </c>
      <c r="I22" s="401">
        <f>1149+1884</f>
        <v>3033</v>
      </c>
      <c r="J22" s="401">
        <f>1149+147</f>
        <v>1296</v>
      </c>
      <c r="K22" s="401">
        <f>1150+147</f>
        <v>1297</v>
      </c>
      <c r="L22" s="401">
        <f>1149</f>
        <v>1149</v>
      </c>
      <c r="M22" s="401">
        <f>1149+63</f>
        <v>1212</v>
      </c>
      <c r="N22" s="402">
        <f>1149+147</f>
        <v>1296</v>
      </c>
      <c r="O22" s="400">
        <f t="shared" si="10"/>
        <v>27169</v>
      </c>
    </row>
    <row r="23" spans="1:15">
      <c r="A23" s="379" t="s">
        <v>47</v>
      </c>
      <c r="B23" s="403">
        <f>+'1.SZ.TÁBL. TÁRSULÁS KON. MÉRLEG'!I8</f>
        <v>0</v>
      </c>
      <c r="C23" s="404"/>
      <c r="D23" s="405"/>
      <c r="E23" s="405"/>
      <c r="F23" s="405"/>
      <c r="G23" s="405"/>
      <c r="H23" s="405">
        <v>912</v>
      </c>
      <c r="I23" s="405">
        <v>915</v>
      </c>
      <c r="J23" s="405">
        <v>913</v>
      </c>
      <c r="K23" s="405">
        <f>1464+176</f>
        <v>1640</v>
      </c>
      <c r="L23" s="405">
        <f>1464+176</f>
        <v>1640</v>
      </c>
      <c r="M23" s="405">
        <f t="shared" ref="M23:N23" si="12">1464+176</f>
        <v>1640</v>
      </c>
      <c r="N23" s="405">
        <f t="shared" si="12"/>
        <v>1640</v>
      </c>
      <c r="O23" s="407">
        <f t="shared" si="10"/>
        <v>9300</v>
      </c>
    </row>
    <row r="24" spans="1:15">
      <c r="A24" s="374" t="s">
        <v>411</v>
      </c>
      <c r="B24" s="366">
        <f>SUM(B18:B23)</f>
        <v>240670</v>
      </c>
      <c r="C24" s="385">
        <f>SUM(C18:C23)</f>
        <v>27130</v>
      </c>
      <c r="D24" s="369">
        <f t="shared" ref="D24:N24" si="13">SUM(D18:D23)</f>
        <v>24894</v>
      </c>
      <c r="E24" s="369">
        <f t="shared" si="13"/>
        <v>24894</v>
      </c>
      <c r="F24" s="369">
        <f t="shared" si="13"/>
        <v>32765</v>
      </c>
      <c r="G24" s="369">
        <f t="shared" si="13"/>
        <v>24895</v>
      </c>
      <c r="H24" s="369">
        <f t="shared" si="13"/>
        <v>25374</v>
      </c>
      <c r="I24" s="369">
        <f t="shared" si="13"/>
        <v>27114</v>
      </c>
      <c r="J24" s="369">
        <f t="shared" si="13"/>
        <v>25375</v>
      </c>
      <c r="K24" s="369">
        <f t="shared" si="13"/>
        <v>26102</v>
      </c>
      <c r="L24" s="369">
        <f t="shared" si="13"/>
        <v>25955</v>
      </c>
      <c r="M24" s="369">
        <f t="shared" si="13"/>
        <v>26019</v>
      </c>
      <c r="N24" s="389">
        <f t="shared" si="13"/>
        <v>26102</v>
      </c>
      <c r="O24" s="367">
        <f>SUM(O18:O23)</f>
        <v>316619</v>
      </c>
    </row>
    <row r="25" spans="1:15">
      <c r="A25" s="380" t="s">
        <v>116</v>
      </c>
      <c r="B25" s="413">
        <f>+'1.SZ.TÁBL. TÁRSULÁS KON. MÉRLEG'!I12</f>
        <v>485</v>
      </c>
      <c r="C25" s="414"/>
      <c r="D25" s="415"/>
      <c r="E25" s="415"/>
      <c r="F25" s="415">
        <v>4</v>
      </c>
      <c r="G25" s="415"/>
      <c r="H25" s="415"/>
      <c r="I25" s="415"/>
      <c r="J25" s="415">
        <v>1334</v>
      </c>
      <c r="K25" s="415"/>
      <c r="L25" s="415"/>
      <c r="M25" s="415"/>
      <c r="N25" s="416"/>
      <c r="O25" s="429">
        <f>SUM(C25:N25)</f>
        <v>1338</v>
      </c>
    </row>
    <row r="26" spans="1:15">
      <c r="A26" s="377" t="s">
        <v>161</v>
      </c>
      <c r="B26" s="398"/>
      <c r="C26" s="399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2"/>
      <c r="O26" s="400">
        <f>SUM(C26:N26)</f>
        <v>0</v>
      </c>
    </row>
    <row r="27" spans="1:15">
      <c r="A27" s="379" t="s">
        <v>162</v>
      </c>
      <c r="B27" s="403">
        <f>+'1.SZ.TÁBL. TÁRSULÁS KON. MÉRLEG'!I14</f>
        <v>0</v>
      </c>
      <c r="C27" s="404">
        <v>1500</v>
      </c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6"/>
      <c r="O27" s="407">
        <f>SUM(C27:N27)</f>
        <v>1500</v>
      </c>
    </row>
    <row r="28" spans="1:15">
      <c r="A28" s="374" t="s">
        <v>412</v>
      </c>
      <c r="B28" s="408">
        <f>SUM(B25:B27)</f>
        <v>485</v>
      </c>
      <c r="C28" s="409">
        <f t="shared" ref="C28:O28" si="14">SUM(C25:C27)</f>
        <v>1500</v>
      </c>
      <c r="D28" s="410">
        <f t="shared" si="14"/>
        <v>0</v>
      </c>
      <c r="E28" s="410">
        <f t="shared" si="14"/>
        <v>0</v>
      </c>
      <c r="F28" s="410">
        <f t="shared" si="14"/>
        <v>4</v>
      </c>
      <c r="G28" s="410">
        <f t="shared" si="14"/>
        <v>0</v>
      </c>
      <c r="H28" s="410">
        <f t="shared" si="14"/>
        <v>0</v>
      </c>
      <c r="I28" s="410">
        <f t="shared" si="14"/>
        <v>0</v>
      </c>
      <c r="J28" s="410">
        <f t="shared" si="14"/>
        <v>1334</v>
      </c>
      <c r="K28" s="410">
        <f t="shared" si="14"/>
        <v>0</v>
      </c>
      <c r="L28" s="410">
        <f t="shared" si="14"/>
        <v>0</v>
      </c>
      <c r="M28" s="410">
        <f t="shared" si="14"/>
        <v>0</v>
      </c>
      <c r="N28" s="411">
        <f t="shared" si="14"/>
        <v>0</v>
      </c>
      <c r="O28" s="412">
        <f t="shared" si="14"/>
        <v>2838</v>
      </c>
    </row>
    <row r="29" spans="1:15">
      <c r="A29" s="381" t="s">
        <v>164</v>
      </c>
      <c r="B29" s="408"/>
      <c r="C29" s="430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2"/>
      <c r="O29" s="424">
        <f>SUM(C29:N29)</f>
        <v>0</v>
      </c>
    </row>
    <row r="30" spans="1:15" ht="15.75" thickBot="1">
      <c r="A30" s="382" t="s">
        <v>330</v>
      </c>
      <c r="B30" s="433">
        <f>+B29+B28+B24</f>
        <v>241155</v>
      </c>
      <c r="C30" s="434">
        <f>+C29+C28+C24</f>
        <v>28630</v>
      </c>
      <c r="D30" s="435">
        <f t="shared" ref="D30:O30" si="15">+D29+D28+D24</f>
        <v>24894</v>
      </c>
      <c r="E30" s="435">
        <f t="shared" si="15"/>
        <v>24894</v>
      </c>
      <c r="F30" s="435">
        <f t="shared" si="15"/>
        <v>32769</v>
      </c>
      <c r="G30" s="435">
        <f t="shared" si="15"/>
        <v>24895</v>
      </c>
      <c r="H30" s="435">
        <f t="shared" si="15"/>
        <v>25374</v>
      </c>
      <c r="I30" s="435">
        <f t="shared" si="15"/>
        <v>27114</v>
      </c>
      <c r="J30" s="435">
        <f t="shared" si="15"/>
        <v>26709</v>
      </c>
      <c r="K30" s="435">
        <f t="shared" si="15"/>
        <v>26102</v>
      </c>
      <c r="L30" s="435">
        <f t="shared" si="15"/>
        <v>25955</v>
      </c>
      <c r="M30" s="435">
        <f t="shared" si="15"/>
        <v>26019</v>
      </c>
      <c r="N30" s="436">
        <f t="shared" si="15"/>
        <v>26102</v>
      </c>
      <c r="O30" s="437">
        <f t="shared" si="15"/>
        <v>319457</v>
      </c>
    </row>
    <row r="31" spans="1:15">
      <c r="A31" s="365"/>
      <c r="B31" s="438"/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</row>
    <row r="32" spans="1:15">
      <c r="A32" s="391" t="s">
        <v>404</v>
      </c>
      <c r="B32" s="420">
        <f t="shared" ref="B32:O32" si="16">+B16-B30</f>
        <v>17523</v>
      </c>
      <c r="C32" s="420">
        <f t="shared" si="16"/>
        <v>-512</v>
      </c>
      <c r="D32" s="420">
        <f t="shared" si="16"/>
        <v>990</v>
      </c>
      <c r="E32" s="420">
        <f t="shared" si="16"/>
        <v>990</v>
      </c>
      <c r="F32" s="420">
        <f t="shared" si="16"/>
        <v>978</v>
      </c>
      <c r="G32" s="420">
        <f t="shared" si="16"/>
        <v>4112</v>
      </c>
      <c r="H32" s="420">
        <f t="shared" si="16"/>
        <v>847</v>
      </c>
      <c r="I32" s="420">
        <f t="shared" si="16"/>
        <v>-2015</v>
      </c>
      <c r="J32" s="420">
        <f t="shared" si="16"/>
        <v>-1609</v>
      </c>
      <c r="K32" s="420">
        <f t="shared" si="16"/>
        <v>-1002</v>
      </c>
      <c r="L32" s="420">
        <f t="shared" si="16"/>
        <v>-856</v>
      </c>
      <c r="M32" s="420">
        <f t="shared" si="16"/>
        <v>-920</v>
      </c>
      <c r="N32" s="420">
        <f t="shared" si="16"/>
        <v>-1003</v>
      </c>
      <c r="O32" s="420">
        <f t="shared" si="16"/>
        <v>0</v>
      </c>
    </row>
    <row r="73" spans="1:4">
      <c r="A73" s="12"/>
      <c r="B73" s="394"/>
      <c r="C73" s="394"/>
      <c r="D73" s="394"/>
    </row>
    <row r="86" spans="1:8">
      <c r="A86" s="26"/>
      <c r="B86" s="395"/>
      <c r="C86" s="395"/>
      <c r="D86" s="395"/>
      <c r="E86" s="395"/>
      <c r="F86" s="395"/>
      <c r="G86" s="395"/>
      <c r="H86" s="395"/>
    </row>
    <row r="87" spans="1:8">
      <c r="A87" s="27"/>
      <c r="B87" s="396"/>
      <c r="C87" s="396"/>
      <c r="D87" s="396"/>
      <c r="E87" s="396"/>
      <c r="F87" s="396"/>
      <c r="G87" s="396"/>
      <c r="H87" s="396"/>
    </row>
    <row r="88" spans="1:8">
      <c r="A88" s="27"/>
      <c r="B88" s="396"/>
      <c r="C88" s="396"/>
      <c r="D88" s="396"/>
      <c r="E88" s="396"/>
      <c r="F88" s="396"/>
      <c r="G88" s="396"/>
      <c r="H88" s="396"/>
    </row>
    <row r="89" spans="1:8">
      <c r="A89" s="27"/>
      <c r="B89" s="396"/>
      <c r="C89" s="396"/>
      <c r="D89" s="396"/>
      <c r="E89" s="396"/>
      <c r="F89" s="396"/>
      <c r="G89" s="396"/>
      <c r="H89" s="396"/>
    </row>
    <row r="90" spans="1:8">
      <c r="A90" s="28"/>
      <c r="B90" s="397"/>
      <c r="C90" s="397"/>
      <c r="D90" s="397"/>
      <c r="E90" s="397"/>
      <c r="F90" s="397"/>
      <c r="G90" s="397"/>
      <c r="H90" s="397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
&amp;16 2014. I. FÉLÉVI KÖLTSÉGVETÉSI BESZÁMOLÓ&amp;14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14</vt:i4>
      </vt:variant>
    </vt:vector>
  </HeadingPairs>
  <TitlesOfParts>
    <vt:vector size="25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8.SZ.TÁBL. LÉTSZÁMADATOK</vt:lpstr>
      <vt:lpstr>Munka1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'8.SZ.TÁBL.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lbiro</cp:lastModifiedBy>
  <cp:lastPrinted>2015-11-02T13:19:17Z</cp:lastPrinted>
  <dcterms:created xsi:type="dcterms:W3CDTF">2011-02-23T07:11:55Z</dcterms:created>
  <dcterms:modified xsi:type="dcterms:W3CDTF">2015-11-05T10:12:01Z</dcterms:modified>
</cp:coreProperties>
</file>