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defaultThemeVersion="124226"/>
  <bookViews>
    <workbookView xWindow="-15" yWindow="-15" windowWidth="15405" windowHeight="3795"/>
  </bookViews>
  <sheets>
    <sheet name="TÁRSULÁS" sheetId="1" r:id="rId1"/>
    <sheet name="BEVÉTELEK" sheetId="2" r:id="rId2"/>
    <sheet name="BEVÉTELEK SZOLGÁLTATÓ IRODA" sheetId="3" state="hidden" r:id="rId3"/>
    <sheet name="BEVÉTELEK SEGÍTŐ SZOLGÁLAT" sheetId="4" state="hidden" r:id="rId4"/>
    <sheet name="BEVÉTELEK  ÓVODA" sheetId="5" state="hidden" r:id="rId5"/>
    <sheet name="BEVÉTELEK KOZMA FERENC ÁLT.ISK." sheetId="6" state="hidden" r:id="rId6"/>
    <sheet name="BEVÉTEL INT.TÁRSULÁSOK" sheetId="7" state="hidden" r:id="rId7"/>
    <sheet name="SZOLGÁLTATÓ IRODA" sheetId="8" r:id="rId8"/>
    <sheet name="SEGÍTŐ SZOLGÁLAT" sheetId="9" r:id="rId9"/>
    <sheet name="ÓVODA" sheetId="10" r:id="rId10"/>
    <sheet name="KOZMA FERENC ÁLT. ISK." sheetId="11" r:id="rId11"/>
    <sheet name="LÉTSZÁMADATOK" sheetId="13" r:id="rId12"/>
    <sheet name="TÁRSULÁS (2)" sheetId="22" r:id="rId13"/>
    <sheet name="ELŐIRÁNYZAT FELHASZNÁLÁS" sheetId="20" r:id="rId14"/>
    <sheet name="PÉNZESZKÖZÁTADÁS" sheetId="21" r:id="rId15"/>
    <sheet name="KÖZOKTATÁS" sheetId="14" state="hidden" r:id="rId16"/>
    <sheet name="ÓVODAINORMATÍVA" sheetId="15" state="hidden" r:id="rId17"/>
    <sheet name="ISKOLANORMATÍVA" sheetId="16" state="hidden" r:id="rId18"/>
    <sheet name="SZAKFELADATOS" sheetId="17" state="hidden" r:id="rId19"/>
    <sheet name="SZOCIÁLIS" sheetId="18" state="hidden" r:id="rId20"/>
    <sheet name="EGYÉB" sheetId="19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Titles" localSheetId="1">BEVÉTELEK!$1:$2</definedName>
    <definedName name="_xlnm.Print_Titles" localSheetId="15">KÖZOKTATÁS!$1:$3</definedName>
    <definedName name="_xlnm.Print_Titles" localSheetId="9">ÓVODA!$1:$5</definedName>
    <definedName name="_xlnm.Print_Titles" localSheetId="8">'SEGÍTŐ SZOLGÁLAT'!$1:$5</definedName>
    <definedName name="_xlnm.Print_Titles" localSheetId="7">'SZOLGÁLTATÓ IRODA'!$1:$3</definedName>
    <definedName name="_xlnm.Print_Titles" localSheetId="0">TÁRSULÁS!$1:$4</definedName>
    <definedName name="_xlnm.Print_Titles" localSheetId="12">'TÁRSULÁS (2)'!$1:$4</definedName>
    <definedName name="_xlnm.Print_Area" localSheetId="6">'BEVÉTEL INT.TÁRSULÁSOK'!$A$1:$G$39</definedName>
    <definedName name="_xlnm.Print_Area" localSheetId="1">BEVÉTELEK!$A$3:$I$118</definedName>
    <definedName name="_xlnm.Print_Area" localSheetId="4">'BEVÉTELEK  ÓVODA'!$A$1:$AI$33</definedName>
    <definedName name="_xlnm.Print_Area" localSheetId="5">'BEVÉTELEK KOZMA FERENC ÁLT.ISK.'!$A$1:$Y$29</definedName>
    <definedName name="_xlnm.Print_Area" localSheetId="3">'BEVÉTELEK SEGÍTŐ SZOLGÁLAT'!$A$1:$AN$20</definedName>
    <definedName name="_xlnm.Print_Area" localSheetId="2">'BEVÉTELEK SZOLGÁLTATÓ IRODA'!$A$1:$E$20</definedName>
    <definedName name="_xlnm.Print_Area" localSheetId="20">EGYÉB!$A$1:$D$4</definedName>
    <definedName name="_xlnm.Print_Area" localSheetId="13">'ELŐIRÁNYZAT FELHASZNÁLÁS'!$A$1:$N$28</definedName>
    <definedName name="_xlnm.Print_Area" localSheetId="17">ISKOLANORMATÍVA!$A$29:$D$71</definedName>
    <definedName name="_xlnm.Print_Area" localSheetId="10">'KOZMA FERENC ÁLT. ISK.'!$A$1:$Y$116</definedName>
    <definedName name="_xlnm.Print_Area" localSheetId="15">KÖZOKTATÁS!$A$4:$D$142</definedName>
    <definedName name="_xlnm.Print_Area" localSheetId="11">LÉTSZÁMADATOK!$A$1:$H$46</definedName>
    <definedName name="_xlnm.Print_Area" localSheetId="9">ÓVODA!$A$6:$AI$119</definedName>
    <definedName name="_xlnm.Print_Area" localSheetId="16">ÓVODAINORMATÍVA!$A$21:$H$63</definedName>
    <definedName name="_xlnm.Print_Area" localSheetId="14">PÉNZESZKÖZÁTADÁS!$A$3:$N$18</definedName>
    <definedName name="_xlnm.Print_Area" localSheetId="8">'SEGÍTŐ SZOLGÁLAT'!$A$6:$AN$121</definedName>
    <definedName name="_xlnm.Print_Area" localSheetId="18">SZAKFELADATOS!$A$1:$S$12</definedName>
    <definedName name="_xlnm.Print_Area" localSheetId="19">SZOCIÁLIS!$A$1:$E$26</definedName>
    <definedName name="_xlnm.Print_Area" localSheetId="7">'SZOLGÁLTATÓ IRODA'!$A$4:$E$115</definedName>
    <definedName name="_xlnm.Print_Area" localSheetId="0">TÁRSULÁS!$A$5:$S$119</definedName>
    <definedName name="_xlnm.Print_Area" localSheetId="12">'TÁRSULÁS (2)'!$A$5:$S$119</definedName>
    <definedName name="onev" localSheetId="6">[1]kod!$BT$34:$BT$3184</definedName>
    <definedName name="onev" localSheetId="11">[2]kod!$BT$34:$BT$3184</definedName>
  </definedNames>
  <calcPr calcId="124519"/>
</workbook>
</file>

<file path=xl/calcChain.xml><?xml version="1.0" encoding="utf-8"?>
<calcChain xmlns="http://schemas.openxmlformats.org/spreadsheetml/2006/main">
  <c r="AK22" i="9"/>
  <c r="G27" i="5"/>
  <c r="AA93" i="9"/>
  <c r="AF8" i="10"/>
  <c r="AG8"/>
  <c r="H12" i="1"/>
  <c r="E14" l="1"/>
  <c r="F14"/>
  <c r="G14"/>
  <c r="AK14" i="9" l="1"/>
  <c r="E13" i="1" s="1"/>
  <c r="AL14" i="9"/>
  <c r="F13" i="1" s="1"/>
  <c r="AM14" i="9"/>
  <c r="G13" i="1" s="1"/>
  <c r="AH14" i="9"/>
  <c r="AC14"/>
  <c r="X14"/>
  <c r="S14"/>
  <c r="N14"/>
  <c r="I14"/>
  <c r="D14"/>
  <c r="AK25"/>
  <c r="F18" i="1"/>
  <c r="Q116" i="22" l="1"/>
  <c r="O116"/>
  <c r="R116" s="1"/>
  <c r="Q115"/>
  <c r="O115"/>
  <c r="R115" s="1"/>
  <c r="Q114"/>
  <c r="O114"/>
  <c r="R114" s="1"/>
  <c r="O113"/>
  <c r="P113" s="1"/>
  <c r="M113"/>
  <c r="L113"/>
  <c r="J113"/>
  <c r="I113"/>
  <c r="E113"/>
  <c r="D113"/>
  <c r="C113"/>
  <c r="B113"/>
  <c r="M112"/>
  <c r="L112"/>
  <c r="J112"/>
  <c r="I112"/>
  <c r="G112"/>
  <c r="E112"/>
  <c r="D112"/>
  <c r="C112"/>
  <c r="B112"/>
  <c r="P111"/>
  <c r="M111"/>
  <c r="L111"/>
  <c r="J111"/>
  <c r="I111"/>
  <c r="G111"/>
  <c r="E111"/>
  <c r="D111"/>
  <c r="C111"/>
  <c r="B111"/>
  <c r="M110"/>
  <c r="L110"/>
  <c r="J110"/>
  <c r="I110"/>
  <c r="G110"/>
  <c r="E110"/>
  <c r="D110"/>
  <c r="C110"/>
  <c r="E109"/>
  <c r="B109"/>
  <c r="E108"/>
  <c r="D108"/>
  <c r="C108"/>
  <c r="B108"/>
  <c r="O107"/>
  <c r="O109" s="1"/>
  <c r="E107"/>
  <c r="B107"/>
  <c r="M106"/>
  <c r="L106"/>
  <c r="I106"/>
  <c r="E106"/>
  <c r="D106"/>
  <c r="C106"/>
  <c r="B106"/>
  <c r="M105"/>
  <c r="L105"/>
  <c r="I105"/>
  <c r="G105"/>
  <c r="E105"/>
  <c r="D105"/>
  <c r="C105"/>
  <c r="B105"/>
  <c r="P104"/>
  <c r="P107" s="1"/>
  <c r="P109" s="1"/>
  <c r="I104"/>
  <c r="G104"/>
  <c r="E104"/>
  <c r="D104"/>
  <c r="C104"/>
  <c r="B104"/>
  <c r="I103"/>
  <c r="E103"/>
  <c r="D103"/>
  <c r="C103"/>
  <c r="B103"/>
  <c r="M102"/>
  <c r="L102"/>
  <c r="E102"/>
  <c r="B102"/>
  <c r="M101"/>
  <c r="L101"/>
  <c r="E101"/>
  <c r="D101"/>
  <c r="C101"/>
  <c r="B101"/>
  <c r="M100"/>
  <c r="L100"/>
  <c r="E100"/>
  <c r="D100"/>
  <c r="C100"/>
  <c r="B100"/>
  <c r="I99"/>
  <c r="H99"/>
  <c r="B99"/>
  <c r="Q99" s="1"/>
  <c r="I98"/>
  <c r="H98"/>
  <c r="B98"/>
  <c r="K96"/>
  <c r="D96"/>
  <c r="C96"/>
  <c r="B96"/>
  <c r="L95"/>
  <c r="B95"/>
  <c r="M94"/>
  <c r="L94"/>
  <c r="I94"/>
  <c r="H94"/>
  <c r="D94"/>
  <c r="C94"/>
  <c r="B94"/>
  <c r="P93"/>
  <c r="O93"/>
  <c r="M93"/>
  <c r="L93"/>
  <c r="I93"/>
  <c r="H93"/>
  <c r="D93"/>
  <c r="C93"/>
  <c r="B93"/>
  <c r="K92"/>
  <c r="M91"/>
  <c r="L91"/>
  <c r="D91"/>
  <c r="C91"/>
  <c r="B91"/>
  <c r="P90"/>
  <c r="L90"/>
  <c r="I90"/>
  <c r="L89"/>
  <c r="I89"/>
  <c r="B89"/>
  <c r="L88"/>
  <c r="I88"/>
  <c r="L87"/>
  <c r="I87"/>
  <c r="B87"/>
  <c r="L86"/>
  <c r="O85"/>
  <c r="O92" s="1"/>
  <c r="O97" s="1"/>
  <c r="O117" s="1"/>
  <c r="N85"/>
  <c r="N92" s="1"/>
  <c r="N97" s="1"/>
  <c r="N117" s="1"/>
  <c r="L84"/>
  <c r="I84"/>
  <c r="C84"/>
  <c r="L83"/>
  <c r="I83"/>
  <c r="C83"/>
  <c r="L82"/>
  <c r="I82"/>
  <c r="C82"/>
  <c r="P81"/>
  <c r="P85" s="1"/>
  <c r="O81"/>
  <c r="D81"/>
  <c r="C81"/>
  <c r="B81"/>
  <c r="L79"/>
  <c r="I79"/>
  <c r="C79"/>
  <c r="L78"/>
  <c r="I78"/>
  <c r="L77"/>
  <c r="I77"/>
  <c r="L76"/>
  <c r="I76"/>
  <c r="C76"/>
  <c r="L75"/>
  <c r="C75"/>
  <c r="L74"/>
  <c r="C74"/>
  <c r="L73"/>
  <c r="J73"/>
  <c r="I73"/>
  <c r="C73"/>
  <c r="L71"/>
  <c r="I71"/>
  <c r="L70"/>
  <c r="I70"/>
  <c r="P68"/>
  <c r="L67"/>
  <c r="B67"/>
  <c r="L66"/>
  <c r="I66"/>
  <c r="C66"/>
  <c r="L65"/>
  <c r="I65"/>
  <c r="C65"/>
  <c r="L64"/>
  <c r="C64"/>
  <c r="L63"/>
  <c r="I63"/>
  <c r="L62"/>
  <c r="I62"/>
  <c r="C62"/>
  <c r="L61"/>
  <c r="I61"/>
  <c r="C61"/>
  <c r="L60"/>
  <c r="I60"/>
  <c r="I58"/>
  <c r="C58"/>
  <c r="L55"/>
  <c r="L54"/>
  <c r="L53"/>
  <c r="L52"/>
  <c r="I52"/>
  <c r="C52"/>
  <c r="L51"/>
  <c r="L50"/>
  <c r="I50"/>
  <c r="C50"/>
  <c r="L49"/>
  <c r="L48"/>
  <c r="I48"/>
  <c r="C48"/>
  <c r="L47"/>
  <c r="L46"/>
  <c r="I46"/>
  <c r="C46"/>
  <c r="L45"/>
  <c r="I45"/>
  <c r="C45"/>
  <c r="L44"/>
  <c r="L43"/>
  <c r="I43"/>
  <c r="L42"/>
  <c r="I42"/>
  <c r="C42"/>
  <c r="L41"/>
  <c r="I41"/>
  <c r="C41"/>
  <c r="L40"/>
  <c r="I40"/>
  <c r="C40"/>
  <c r="L39"/>
  <c r="I39"/>
  <c r="C39"/>
  <c r="L38"/>
  <c r="I38"/>
  <c r="C38"/>
  <c r="L37"/>
  <c r="I37"/>
  <c r="C37"/>
  <c r="M36"/>
  <c r="L36"/>
  <c r="I36"/>
  <c r="C36"/>
  <c r="L35"/>
  <c r="I35"/>
  <c r="C35"/>
  <c r="L34"/>
  <c r="I34"/>
  <c r="G34"/>
  <c r="C34"/>
  <c r="L33"/>
  <c r="I33"/>
  <c r="C33"/>
  <c r="L32"/>
  <c r="I32"/>
  <c r="C32"/>
  <c r="L31"/>
  <c r="I31"/>
  <c r="C31"/>
  <c r="M30"/>
  <c r="L30"/>
  <c r="K30"/>
  <c r="I30"/>
  <c r="C30"/>
  <c r="L29"/>
  <c r="I29"/>
  <c r="C29"/>
  <c r="L28"/>
  <c r="I28"/>
  <c r="D28"/>
  <c r="C28"/>
  <c r="B28"/>
  <c r="L27"/>
  <c r="L26"/>
  <c r="I26"/>
  <c r="C26"/>
  <c r="L25"/>
  <c r="L24"/>
  <c r="I24"/>
  <c r="C24"/>
  <c r="L23"/>
  <c r="I23"/>
  <c r="C23"/>
  <c r="L22"/>
  <c r="I22"/>
  <c r="L21"/>
  <c r="C20"/>
  <c r="R20" s="1"/>
  <c r="B20"/>
  <c r="Q20" s="1"/>
  <c r="P18"/>
  <c r="O18"/>
  <c r="N18"/>
  <c r="N19" s="1"/>
  <c r="N119" s="1"/>
  <c r="J18"/>
  <c r="I18"/>
  <c r="R18" s="1"/>
  <c r="H18"/>
  <c r="G18"/>
  <c r="E18"/>
  <c r="K17"/>
  <c r="H17"/>
  <c r="O16"/>
  <c r="P16" s="1"/>
  <c r="P15"/>
  <c r="O15"/>
  <c r="O19" s="1"/>
  <c r="O119" s="1"/>
  <c r="M15"/>
  <c r="L15"/>
  <c r="K15"/>
  <c r="H15"/>
  <c r="P14"/>
  <c r="K14"/>
  <c r="H14"/>
  <c r="D14"/>
  <c r="C14"/>
  <c r="B14"/>
  <c r="R13"/>
  <c r="Q13"/>
  <c r="S13" s="1"/>
  <c r="J12"/>
  <c r="I12"/>
  <c r="R12" s="1"/>
  <c r="H12"/>
  <c r="Q12" s="1"/>
  <c r="P11"/>
  <c r="J11"/>
  <c r="I11"/>
  <c r="H11"/>
  <c r="D11"/>
  <c r="C11"/>
  <c r="B11"/>
  <c r="R10"/>
  <c r="Q10"/>
  <c r="S10" s="1"/>
  <c r="R9"/>
  <c r="Q9"/>
  <c r="S9" s="1"/>
  <c r="J8"/>
  <c r="I8"/>
  <c r="H8"/>
  <c r="J7"/>
  <c r="I7"/>
  <c r="H7"/>
  <c r="E7"/>
  <c r="L6"/>
  <c r="I6"/>
  <c r="C6"/>
  <c r="J8" i="10"/>
  <c r="R87" i="2"/>
  <c r="H58" i="11"/>
  <c r="V22" i="9"/>
  <c r="Q22"/>
  <c r="D22"/>
  <c r="L22"/>
  <c r="N22" s="1"/>
  <c r="G22"/>
  <c r="I22" s="1"/>
  <c r="G18" i="1"/>
  <c r="O113"/>
  <c r="P113" s="1"/>
  <c r="C98" i="8"/>
  <c r="Q114" i="1"/>
  <c r="O114"/>
  <c r="P114" s="1"/>
  <c r="Q116"/>
  <c r="O116"/>
  <c r="R116" s="1"/>
  <c r="S116" s="1"/>
  <c r="Q115"/>
  <c r="O115"/>
  <c r="R115" s="1"/>
  <c r="S115" s="1"/>
  <c r="N15" i="21"/>
  <c r="G8" i="11"/>
  <c r="I8" s="1"/>
  <c r="B8"/>
  <c r="D8"/>
  <c r="B60"/>
  <c r="G60"/>
  <c r="L60"/>
  <c r="Q60"/>
  <c r="B61"/>
  <c r="G61"/>
  <c r="L61"/>
  <c r="B62"/>
  <c r="G62"/>
  <c r="L62"/>
  <c r="Q62"/>
  <c r="B63"/>
  <c r="G63"/>
  <c r="L63"/>
  <c r="Q63"/>
  <c r="S63" s="1"/>
  <c r="B64"/>
  <c r="G64"/>
  <c r="L64"/>
  <c r="Q64"/>
  <c r="S64" s="1"/>
  <c r="B65"/>
  <c r="G65"/>
  <c r="L65"/>
  <c r="Q65"/>
  <c r="S65" s="1"/>
  <c r="B66"/>
  <c r="G66"/>
  <c r="V66" s="1"/>
  <c r="L66"/>
  <c r="Q66"/>
  <c r="S66" s="1"/>
  <c r="B67"/>
  <c r="G67"/>
  <c r="L67"/>
  <c r="Q67"/>
  <c r="S67" s="1"/>
  <c r="B68"/>
  <c r="G68"/>
  <c r="L68"/>
  <c r="Q68"/>
  <c r="S68" s="1"/>
  <c r="B69"/>
  <c r="G69"/>
  <c r="L69"/>
  <c r="Q69"/>
  <c r="S69" s="1"/>
  <c r="B71"/>
  <c r="G71"/>
  <c r="L71"/>
  <c r="Q71"/>
  <c r="B72"/>
  <c r="G72"/>
  <c r="L72"/>
  <c r="Q72"/>
  <c r="S72" s="1"/>
  <c r="B73"/>
  <c r="G73"/>
  <c r="L73"/>
  <c r="Q73"/>
  <c r="B75"/>
  <c r="G75"/>
  <c r="L75"/>
  <c r="Q75"/>
  <c r="B76"/>
  <c r="G76"/>
  <c r="L76"/>
  <c r="Q76"/>
  <c r="B77"/>
  <c r="G77"/>
  <c r="L77"/>
  <c r="Q77"/>
  <c r="B78"/>
  <c r="G78"/>
  <c r="L78"/>
  <c r="Q78"/>
  <c r="V78"/>
  <c r="K76" i="22" s="1"/>
  <c r="B79" i="11"/>
  <c r="G79"/>
  <c r="L79"/>
  <c r="Q79"/>
  <c r="B80"/>
  <c r="G80"/>
  <c r="L80"/>
  <c r="Q80"/>
  <c r="G81"/>
  <c r="L81"/>
  <c r="Q81"/>
  <c r="B82"/>
  <c r="G82"/>
  <c r="L82"/>
  <c r="Q82"/>
  <c r="B83"/>
  <c r="G83"/>
  <c r="L83"/>
  <c r="Q83"/>
  <c r="V83"/>
  <c r="K81" i="22" s="1"/>
  <c r="B84" i="11"/>
  <c r="G84"/>
  <c r="L84"/>
  <c r="Q84"/>
  <c r="B85"/>
  <c r="G85"/>
  <c r="L85"/>
  <c r="Q85"/>
  <c r="B86"/>
  <c r="G86"/>
  <c r="L86"/>
  <c r="Q86"/>
  <c r="C85" i="10"/>
  <c r="C74"/>
  <c r="H91"/>
  <c r="C91"/>
  <c r="B63"/>
  <c r="B64"/>
  <c r="B65"/>
  <c r="B66"/>
  <c r="B67"/>
  <c r="B68"/>
  <c r="B69"/>
  <c r="B70"/>
  <c r="D70" s="1"/>
  <c r="B71"/>
  <c r="B72"/>
  <c r="B74"/>
  <c r="B75"/>
  <c r="B76"/>
  <c r="B80"/>
  <c r="B83"/>
  <c r="B84"/>
  <c r="B85"/>
  <c r="B86"/>
  <c r="B87"/>
  <c r="B88"/>
  <c r="B89"/>
  <c r="AB63" i="9"/>
  <c r="O18" i="1"/>
  <c r="K14"/>
  <c r="L15"/>
  <c r="L6"/>
  <c r="I18"/>
  <c r="H18"/>
  <c r="H17"/>
  <c r="H14"/>
  <c r="H7"/>
  <c r="E7"/>
  <c r="C14"/>
  <c r="B14"/>
  <c r="Q14" s="1"/>
  <c r="C11"/>
  <c r="B11"/>
  <c r="C6"/>
  <c r="C19" s="1"/>
  <c r="Q7"/>
  <c r="Q9"/>
  <c r="R9"/>
  <c r="S9"/>
  <c r="Q10"/>
  <c r="R10"/>
  <c r="S10" s="1"/>
  <c r="Q13"/>
  <c r="R13"/>
  <c r="R18"/>
  <c r="O107"/>
  <c r="O109" s="1"/>
  <c r="V100" i="11"/>
  <c r="V101"/>
  <c r="K101" i="22" s="1"/>
  <c r="V102" i="11"/>
  <c r="K102" i="22" s="1"/>
  <c r="V103" i="11"/>
  <c r="K103" i="22" s="1"/>
  <c r="V104" i="11"/>
  <c r="K104" i="22" s="1"/>
  <c r="V105" i="11"/>
  <c r="K105" i="22" s="1"/>
  <c r="V106" i="11"/>
  <c r="K106" i="22" s="1"/>
  <c r="V107" i="11"/>
  <c r="K107" i="22" s="1"/>
  <c r="V108" i="11"/>
  <c r="K108" i="22" s="1"/>
  <c r="O93" i="1"/>
  <c r="O85"/>
  <c r="O92" s="1"/>
  <c r="O81"/>
  <c r="O16"/>
  <c r="O15"/>
  <c r="N85"/>
  <c r="N92" s="1"/>
  <c r="N97" s="1"/>
  <c r="N117" s="1"/>
  <c r="L87"/>
  <c r="L88"/>
  <c r="L89"/>
  <c r="L90"/>
  <c r="L91"/>
  <c r="L93"/>
  <c r="L94"/>
  <c r="L95"/>
  <c r="L110"/>
  <c r="L111"/>
  <c r="L112"/>
  <c r="L113"/>
  <c r="K92"/>
  <c r="H93"/>
  <c r="H94"/>
  <c r="H98"/>
  <c r="H99"/>
  <c r="G105"/>
  <c r="G34"/>
  <c r="E100"/>
  <c r="E101"/>
  <c r="E102"/>
  <c r="E103"/>
  <c r="E104"/>
  <c r="E105"/>
  <c r="E106"/>
  <c r="E107"/>
  <c r="E108"/>
  <c r="E109"/>
  <c r="E110"/>
  <c r="E111"/>
  <c r="E112"/>
  <c r="E113"/>
  <c r="B20"/>
  <c r="Q20" s="1"/>
  <c r="C20"/>
  <c r="R20" s="1"/>
  <c r="C23"/>
  <c r="C24"/>
  <c r="C26"/>
  <c r="B28"/>
  <c r="C28"/>
  <c r="C29"/>
  <c r="C30"/>
  <c r="C31"/>
  <c r="C32"/>
  <c r="C33"/>
  <c r="C34"/>
  <c r="C35"/>
  <c r="C36"/>
  <c r="C37"/>
  <c r="C38"/>
  <c r="C39"/>
  <c r="C40"/>
  <c r="C41"/>
  <c r="C42"/>
  <c r="C45"/>
  <c r="C46"/>
  <c r="C48"/>
  <c r="C50"/>
  <c r="C58"/>
  <c r="C61"/>
  <c r="C62"/>
  <c r="C64"/>
  <c r="C65"/>
  <c r="C66"/>
  <c r="B67"/>
  <c r="C73"/>
  <c r="C74"/>
  <c r="C75"/>
  <c r="C76"/>
  <c r="C79"/>
  <c r="B81"/>
  <c r="C81"/>
  <c r="C82"/>
  <c r="C83"/>
  <c r="C84"/>
  <c r="B87"/>
  <c r="B89"/>
  <c r="B91"/>
  <c r="C91"/>
  <c r="B93"/>
  <c r="C93"/>
  <c r="B94"/>
  <c r="C94"/>
  <c r="B95"/>
  <c r="B96"/>
  <c r="C96"/>
  <c r="B98"/>
  <c r="B99"/>
  <c r="Q99" s="1"/>
  <c r="B100"/>
  <c r="C100"/>
  <c r="B101"/>
  <c r="C101"/>
  <c r="B102"/>
  <c r="B103"/>
  <c r="C103"/>
  <c r="B104"/>
  <c r="C104"/>
  <c r="B105"/>
  <c r="C105"/>
  <c r="B106"/>
  <c r="C106"/>
  <c r="B107"/>
  <c r="B108"/>
  <c r="C108"/>
  <c r="C110"/>
  <c r="B111"/>
  <c r="C111"/>
  <c r="B112"/>
  <c r="C112"/>
  <c r="B113"/>
  <c r="C113"/>
  <c r="C55" i="8"/>
  <c r="C20"/>
  <c r="C21" i="1" s="1"/>
  <c r="C99"/>
  <c r="G95" i="2"/>
  <c r="H95" s="1"/>
  <c r="H111" i="10"/>
  <c r="H72"/>
  <c r="I72" s="1"/>
  <c r="R118" i="9"/>
  <c r="S118" s="1"/>
  <c r="H118"/>
  <c r="I118" s="1"/>
  <c r="V10" i="4"/>
  <c r="V20" s="1"/>
  <c r="AF27" i="5"/>
  <c r="F54" i="2" s="1"/>
  <c r="H54" s="1"/>
  <c r="B52" i="16"/>
  <c r="D52" s="1"/>
  <c r="B53"/>
  <c r="D53" s="1"/>
  <c r="D6" i="14"/>
  <c r="D7"/>
  <c r="D10"/>
  <c r="D11"/>
  <c r="D12"/>
  <c r="D14"/>
  <c r="D15"/>
  <c r="D16"/>
  <c r="D19"/>
  <c r="D22" s="1"/>
  <c r="D27" s="1"/>
  <c r="D20"/>
  <c r="D21"/>
  <c r="D23"/>
  <c r="D24"/>
  <c r="D25"/>
  <c r="D30"/>
  <c r="D31"/>
  <c r="D33"/>
  <c r="D35" s="1"/>
  <c r="D34"/>
  <c r="D53"/>
  <c r="D54"/>
  <c r="D40"/>
  <c r="D41"/>
  <c r="D61"/>
  <c r="D62"/>
  <c r="D63"/>
  <c r="D68"/>
  <c r="D69"/>
  <c r="D71" s="1"/>
  <c r="D72" s="1"/>
  <c r="D70"/>
  <c r="F43" i="2"/>
  <c r="H43" s="1"/>
  <c r="I43" s="1"/>
  <c r="G52"/>
  <c r="F51"/>
  <c r="H51" s="1"/>
  <c r="I51" s="1"/>
  <c r="B12" i="3"/>
  <c r="F52" i="2" s="1"/>
  <c r="V13" i="4"/>
  <c r="AA13"/>
  <c r="Q25" i="5"/>
  <c r="AF25" s="1"/>
  <c r="F55" i="2" s="1"/>
  <c r="H55" s="1"/>
  <c r="I55" s="1"/>
  <c r="H66"/>
  <c r="H72"/>
  <c r="I72" s="1"/>
  <c r="H73"/>
  <c r="I73" s="1"/>
  <c r="H74"/>
  <c r="I74" s="1"/>
  <c r="H82"/>
  <c r="H83"/>
  <c r="H92"/>
  <c r="H93"/>
  <c r="H98"/>
  <c r="H101"/>
  <c r="H105"/>
  <c r="H107"/>
  <c r="H108"/>
  <c r="H109"/>
  <c r="H113"/>
  <c r="H115"/>
  <c r="G47"/>
  <c r="M90" i="10"/>
  <c r="M91"/>
  <c r="D100" i="1"/>
  <c r="C68" i="8"/>
  <c r="M98" i="11"/>
  <c r="H98"/>
  <c r="C98"/>
  <c r="W72"/>
  <c r="L70" i="1" s="1"/>
  <c r="W73" i="11"/>
  <c r="L71" i="1" s="1"/>
  <c r="H71" i="11"/>
  <c r="H74" s="1"/>
  <c r="C71"/>
  <c r="H60"/>
  <c r="H61"/>
  <c r="H103"/>
  <c r="AB72" i="10"/>
  <c r="R101"/>
  <c r="R100"/>
  <c r="R23"/>
  <c r="H105"/>
  <c r="H110" s="1"/>
  <c r="H112" s="1"/>
  <c r="H23"/>
  <c r="I23" s="1"/>
  <c r="H74"/>
  <c r="H101"/>
  <c r="C23"/>
  <c r="R113" i="9"/>
  <c r="AL113" s="1"/>
  <c r="F108" i="22" s="1"/>
  <c r="R110" i="9"/>
  <c r="S110" s="1"/>
  <c r="R63"/>
  <c r="R61"/>
  <c r="R23"/>
  <c r="R24"/>
  <c r="AG16"/>
  <c r="G76" i="2" s="1"/>
  <c r="AG103" i="9"/>
  <c r="AG95"/>
  <c r="AG97" s="1"/>
  <c r="AG86"/>
  <c r="AG74"/>
  <c r="AG75" s="1"/>
  <c r="AG63"/>
  <c r="AG28"/>
  <c r="C103"/>
  <c r="C9"/>
  <c r="C71"/>
  <c r="C93"/>
  <c r="C80"/>
  <c r="C65"/>
  <c r="C68"/>
  <c r="M93"/>
  <c r="M103"/>
  <c r="M88"/>
  <c r="M82"/>
  <c r="M74"/>
  <c r="M65"/>
  <c r="M68"/>
  <c r="M50"/>
  <c r="M28"/>
  <c r="W76"/>
  <c r="W79" s="1"/>
  <c r="W103"/>
  <c r="W95"/>
  <c r="W86"/>
  <c r="AL86" s="1"/>
  <c r="W70"/>
  <c r="W93"/>
  <c r="W37"/>
  <c r="AL37" s="1"/>
  <c r="F30" i="1" s="1"/>
  <c r="W39" i="9"/>
  <c r="W28"/>
  <c r="W29"/>
  <c r="AL29" s="1"/>
  <c r="F22" i="1" s="1"/>
  <c r="W9" i="9"/>
  <c r="X9" s="1"/>
  <c r="Y9" s="1"/>
  <c r="W12"/>
  <c r="AB88"/>
  <c r="AB76"/>
  <c r="AB79" s="1"/>
  <c r="AB103"/>
  <c r="AB74"/>
  <c r="AB93"/>
  <c r="AB61"/>
  <c r="AB69"/>
  <c r="AB28"/>
  <c r="AB39"/>
  <c r="H94"/>
  <c r="H84"/>
  <c r="H83"/>
  <c r="H103"/>
  <c r="H95"/>
  <c r="H71"/>
  <c r="H61"/>
  <c r="H46"/>
  <c r="R93"/>
  <c r="R98"/>
  <c r="R76"/>
  <c r="R79" s="1"/>
  <c r="R84"/>
  <c r="R83"/>
  <c r="R103"/>
  <c r="R95"/>
  <c r="R74"/>
  <c r="R71"/>
  <c r="R66"/>
  <c r="R65"/>
  <c r="D101" i="8"/>
  <c r="P90" i="1"/>
  <c r="P81"/>
  <c r="P85" s="1"/>
  <c r="P11"/>
  <c r="P15"/>
  <c r="P93"/>
  <c r="P14"/>
  <c r="P104"/>
  <c r="P107" s="1"/>
  <c r="P109" s="1"/>
  <c r="H64" i="10"/>
  <c r="C79"/>
  <c r="R79"/>
  <c r="C53" i="8"/>
  <c r="C54" i="1" s="1"/>
  <c r="C101" i="8"/>
  <c r="C102" i="22" s="1"/>
  <c r="I108" i="11"/>
  <c r="H108"/>
  <c r="H57"/>
  <c r="W57"/>
  <c r="L55" i="1" s="1"/>
  <c r="W52" i="11"/>
  <c r="L50" i="1" s="1"/>
  <c r="W53" i="11"/>
  <c r="L51" i="1" s="1"/>
  <c r="W54" i="11"/>
  <c r="L52" i="1" s="1"/>
  <c r="W55" i="11"/>
  <c r="L53" i="1" s="1"/>
  <c r="W56" i="11"/>
  <c r="L54" i="1" s="1"/>
  <c r="W45" i="11"/>
  <c r="L43" i="1" s="1"/>
  <c r="W46" i="11"/>
  <c r="L44" i="1" s="1"/>
  <c r="W47" i="11"/>
  <c r="L45" i="1" s="1"/>
  <c r="W48" i="11"/>
  <c r="L46" i="1" s="1"/>
  <c r="W49" i="11"/>
  <c r="L47" i="1" s="1"/>
  <c r="W50" i="11"/>
  <c r="L48" i="1" s="1"/>
  <c r="W51" i="11"/>
  <c r="L49" i="1" s="1"/>
  <c r="W38" i="11"/>
  <c r="L36" i="1" s="1"/>
  <c r="W39" i="11"/>
  <c r="L37" i="1" s="1"/>
  <c r="W40" i="11"/>
  <c r="L38" i="1" s="1"/>
  <c r="W41" i="11"/>
  <c r="L39" i="1" s="1"/>
  <c r="W42" i="11"/>
  <c r="L40" i="1" s="1"/>
  <c r="W43" i="11"/>
  <c r="L41" i="1" s="1"/>
  <c r="W44" i="11"/>
  <c r="L42" i="1" s="1"/>
  <c r="W30" i="11"/>
  <c r="L28" i="1" s="1"/>
  <c r="W31" i="11"/>
  <c r="L29" i="1" s="1"/>
  <c r="W32" i="11"/>
  <c r="L30" i="1" s="1"/>
  <c r="W33" i="11"/>
  <c r="L31" i="1" s="1"/>
  <c r="W34" i="11"/>
  <c r="L32" i="1" s="1"/>
  <c r="W35" i="11"/>
  <c r="L33" i="1" s="1"/>
  <c r="W36" i="11"/>
  <c r="L34" i="1" s="1"/>
  <c r="W37" i="11"/>
  <c r="L35" i="1" s="1"/>
  <c r="W23" i="11"/>
  <c r="L21" i="1" s="1"/>
  <c r="W24" i="11"/>
  <c r="L22" i="1" s="1"/>
  <c r="W25" i="11"/>
  <c r="L23" i="1" s="1"/>
  <c r="W26" i="11"/>
  <c r="L24" i="1" s="1"/>
  <c r="W27" i="11"/>
  <c r="L25" i="1" s="1"/>
  <c r="W28" i="11"/>
  <c r="L26" i="1" s="1"/>
  <c r="W29" i="11"/>
  <c r="L27" i="1" s="1"/>
  <c r="W61" i="11"/>
  <c r="W62"/>
  <c r="L60" i="1" s="1"/>
  <c r="W63" i="11"/>
  <c r="L61" i="1" s="1"/>
  <c r="W64" i="11"/>
  <c r="L62" i="1" s="1"/>
  <c r="W65" i="11"/>
  <c r="L63" i="1" s="1"/>
  <c r="W66" i="11"/>
  <c r="L64" i="1" s="1"/>
  <c r="W67" i="11"/>
  <c r="L65" i="1" s="1"/>
  <c r="W68" i="11"/>
  <c r="L66" i="1" s="1"/>
  <c r="W69" i="11"/>
  <c r="L67" i="1" s="1"/>
  <c r="W75" i="11"/>
  <c r="L73" i="1" s="1"/>
  <c r="W76" i="11"/>
  <c r="L74" i="1" s="1"/>
  <c r="W77" i="11"/>
  <c r="L75" i="1" s="1"/>
  <c r="W78" i="11"/>
  <c r="L76" i="1" s="1"/>
  <c r="W79" i="11"/>
  <c r="L77" i="1" s="1"/>
  <c r="W80" i="11"/>
  <c r="L78" i="1" s="1"/>
  <c r="W81" i="11"/>
  <c r="L79" i="1" s="1"/>
  <c r="W84" i="11"/>
  <c r="L82" i="1" s="1"/>
  <c r="W85" i="11"/>
  <c r="L83" i="1" s="1"/>
  <c r="W86" i="11"/>
  <c r="L84" i="1" s="1"/>
  <c r="W88" i="11"/>
  <c r="L86" i="1" s="1"/>
  <c r="W58" i="11"/>
  <c r="G21"/>
  <c r="W101"/>
  <c r="L101" i="1" s="1"/>
  <c r="W102" i="11"/>
  <c r="L102" i="1" s="1"/>
  <c r="W105" i="11"/>
  <c r="L105" i="1" s="1"/>
  <c r="W106" i="11"/>
  <c r="L106" i="1" s="1"/>
  <c r="W108" i="11"/>
  <c r="W100"/>
  <c r="L100" i="1" s="1"/>
  <c r="R114" i="11"/>
  <c r="R20"/>
  <c r="M99"/>
  <c r="M114" s="1"/>
  <c r="W102" i="10"/>
  <c r="AB23"/>
  <c r="AC23" s="1"/>
  <c r="W23"/>
  <c r="X23" s="1"/>
  <c r="S23"/>
  <c r="M23"/>
  <c r="N23"/>
  <c r="D23"/>
  <c r="W16" i="9"/>
  <c r="R16"/>
  <c r="C16"/>
  <c r="AB112" i="10"/>
  <c r="AC112"/>
  <c r="AB95"/>
  <c r="AB96"/>
  <c r="G104" i="1"/>
  <c r="G110"/>
  <c r="G111"/>
  <c r="G112"/>
  <c r="D28"/>
  <c r="D91"/>
  <c r="D93"/>
  <c r="D94"/>
  <c r="D96"/>
  <c r="D101"/>
  <c r="D102"/>
  <c r="D103"/>
  <c r="D104"/>
  <c r="D105"/>
  <c r="D106"/>
  <c r="D108"/>
  <c r="D110"/>
  <c r="D111"/>
  <c r="D112"/>
  <c r="D113"/>
  <c r="S12" i="10"/>
  <c r="AG12"/>
  <c r="I11" i="1" s="1"/>
  <c r="AH12" i="10"/>
  <c r="J11" i="1" s="1"/>
  <c r="W117" i="10"/>
  <c r="R57"/>
  <c r="R90"/>
  <c r="R95"/>
  <c r="H96"/>
  <c r="I7" i="1"/>
  <c r="AH8" i="10"/>
  <c r="J7" i="1" s="1"/>
  <c r="AG9" i="10"/>
  <c r="I8" i="1" s="1"/>
  <c r="AG10" i="10"/>
  <c r="AH10"/>
  <c r="AG11"/>
  <c r="AH11"/>
  <c r="AG13"/>
  <c r="I12" i="1" s="1"/>
  <c r="AH13" i="10"/>
  <c r="J12" i="1" s="1"/>
  <c r="AG14" i="10"/>
  <c r="AH14"/>
  <c r="AG15"/>
  <c r="AH15"/>
  <c r="AG17"/>
  <c r="AG18"/>
  <c r="AG19"/>
  <c r="AG20"/>
  <c r="AG21"/>
  <c r="AH21"/>
  <c r="AG25"/>
  <c r="AH25"/>
  <c r="AG27"/>
  <c r="I22" i="1" s="1"/>
  <c r="AG28" i="10"/>
  <c r="I23" i="1" s="1"/>
  <c r="AG29" i="10"/>
  <c r="I24" i="1" s="1"/>
  <c r="AG31" i="10"/>
  <c r="I26" i="1" s="1"/>
  <c r="AG33" i="10"/>
  <c r="I28" i="1" s="1"/>
  <c r="AG34" i="10"/>
  <c r="I29" i="1" s="1"/>
  <c r="AG35" i="10"/>
  <c r="I30" i="1" s="1"/>
  <c r="AG36" i="10"/>
  <c r="I31" i="1" s="1"/>
  <c r="AG37" i="10"/>
  <c r="I32" i="1" s="1"/>
  <c r="AG38" i="10"/>
  <c r="I33" i="1" s="1"/>
  <c r="AG39" i="10"/>
  <c r="I34" i="1" s="1"/>
  <c r="AG41" i="10"/>
  <c r="I36" i="1" s="1"/>
  <c r="AG42" i="10"/>
  <c r="I37" i="1" s="1"/>
  <c r="AG43" i="10"/>
  <c r="I38" i="1" s="1"/>
  <c r="AG44" i="10"/>
  <c r="I39" i="1" s="1"/>
  <c r="AG45" i="10"/>
  <c r="I40" i="1" s="1"/>
  <c r="AG46" i="10"/>
  <c r="I41" i="1" s="1"/>
  <c r="AG48" i="10"/>
  <c r="I43" i="1" s="1"/>
  <c r="AG50" i="10"/>
  <c r="I45" i="1" s="1"/>
  <c r="AG51" i="10"/>
  <c r="I46" i="1" s="1"/>
  <c r="AG53" i="10"/>
  <c r="I48" i="1" s="1"/>
  <c r="AG55" i="10"/>
  <c r="I50" i="1" s="1"/>
  <c r="AG57" i="10"/>
  <c r="I52" i="1" s="1"/>
  <c r="AG63" i="10"/>
  <c r="I58" i="1" s="1"/>
  <c r="AG65" i="10"/>
  <c r="I60" i="1" s="1"/>
  <c r="AG66" i="10"/>
  <c r="I61" i="1" s="1"/>
  <c r="AG67" i="10"/>
  <c r="I62" i="1" s="1"/>
  <c r="AG68" i="10"/>
  <c r="I63" i="1" s="1"/>
  <c r="AG70" i="10"/>
  <c r="I65" i="1" s="1"/>
  <c r="AG71" i="10"/>
  <c r="I66" i="1" s="1"/>
  <c r="AG75" i="10"/>
  <c r="I70" i="1" s="1"/>
  <c r="AG76" i="10"/>
  <c r="I71" i="1" s="1"/>
  <c r="AG78" i="10"/>
  <c r="I73" i="1" s="1"/>
  <c r="AH78" i="10"/>
  <c r="J73" i="1" s="1"/>
  <c r="AG81" i="10"/>
  <c r="I76" i="1" s="1"/>
  <c r="AG82" i="10"/>
  <c r="I77" i="1" s="1"/>
  <c r="AG83" i="10"/>
  <c r="I78" i="1" s="1"/>
  <c r="AG84" i="10"/>
  <c r="I79" i="1" s="1"/>
  <c r="AG87" i="10"/>
  <c r="I82" i="1" s="1"/>
  <c r="AG88" i="10"/>
  <c r="I83" i="1" s="1"/>
  <c r="AG89" i="10"/>
  <c r="I84" i="1" s="1"/>
  <c r="AG92" i="10"/>
  <c r="I87" i="1" s="1"/>
  <c r="AG93" i="10"/>
  <c r="I88" i="1" s="1"/>
  <c r="AG94" i="10"/>
  <c r="I89" i="1" s="1"/>
  <c r="AG98" i="10"/>
  <c r="I93" i="1" s="1"/>
  <c r="AG99" i="10"/>
  <c r="I94" i="1" s="1"/>
  <c r="AG101" i="10"/>
  <c r="AG103"/>
  <c r="I98" i="1" s="1"/>
  <c r="AG104" i="10"/>
  <c r="I99" i="1" s="1"/>
  <c r="AG106" i="10"/>
  <c r="I103" i="1" s="1"/>
  <c r="AG107" i="10"/>
  <c r="I104" i="1" s="1"/>
  <c r="AG108" i="10"/>
  <c r="I105" i="1" s="1"/>
  <c r="AG109" i="10"/>
  <c r="I106" i="1" s="1"/>
  <c r="AG111" i="10"/>
  <c r="AG113"/>
  <c r="I110" i="1" s="1"/>
  <c r="AH113" i="10"/>
  <c r="J110" i="1" s="1"/>
  <c r="AG114" i="10"/>
  <c r="I111" i="1" s="1"/>
  <c r="AH114" i="10"/>
  <c r="J111" i="1"/>
  <c r="AG115" i="10"/>
  <c r="I112" i="1" s="1"/>
  <c r="AH115" i="10"/>
  <c r="J112" i="1" s="1"/>
  <c r="AG116" i="10"/>
  <c r="I113" i="1" s="1"/>
  <c r="AH116" i="10"/>
  <c r="J113" i="1"/>
  <c r="AG118" i="10"/>
  <c r="AH118"/>
  <c r="AG7"/>
  <c r="I6" i="1" s="1"/>
  <c r="X22" i="11"/>
  <c r="X95"/>
  <c r="M93" i="1"/>
  <c r="X96" i="11"/>
  <c r="M94" i="1"/>
  <c r="X100" i="11"/>
  <c r="M100" i="1"/>
  <c r="X101" i="11"/>
  <c r="M101" i="1"/>
  <c r="X102" i="11"/>
  <c r="M102" i="1"/>
  <c r="X105" i="11"/>
  <c r="M105" i="1"/>
  <c r="X106" i="11"/>
  <c r="M106" i="1"/>
  <c r="X108" i="11"/>
  <c r="X110"/>
  <c r="M110" i="1"/>
  <c r="X111" i="11"/>
  <c r="M111" i="1"/>
  <c r="X112" i="11"/>
  <c r="M112" i="1"/>
  <c r="X113" i="11"/>
  <c r="M113" i="1"/>
  <c r="X115" i="11"/>
  <c r="S88"/>
  <c r="T88" s="1"/>
  <c r="S61"/>
  <c r="T61" s="1"/>
  <c r="N93"/>
  <c r="I93"/>
  <c r="D81"/>
  <c r="E81" s="1"/>
  <c r="D91"/>
  <c r="E91" s="1"/>
  <c r="D93"/>
  <c r="X93" s="1"/>
  <c r="M91" i="1" s="1"/>
  <c r="N43" i="11"/>
  <c r="D38"/>
  <c r="X38" s="1"/>
  <c r="M36" i="1" s="1"/>
  <c r="I38" i="11"/>
  <c r="I43"/>
  <c r="N38"/>
  <c r="N32"/>
  <c r="O32" s="1"/>
  <c r="I32"/>
  <c r="J32" s="1"/>
  <c r="D30"/>
  <c r="D32"/>
  <c r="E32"/>
  <c r="I17"/>
  <c r="J17" s="1"/>
  <c r="E8"/>
  <c r="M24" i="10"/>
  <c r="M60"/>
  <c r="M61"/>
  <c r="M96"/>
  <c r="AG96" s="1"/>
  <c r="M95"/>
  <c r="R47"/>
  <c r="R40"/>
  <c r="R59"/>
  <c r="R73"/>
  <c r="R77"/>
  <c r="N110"/>
  <c r="N22"/>
  <c r="N20"/>
  <c r="N19"/>
  <c r="N18"/>
  <c r="N17"/>
  <c r="N16"/>
  <c r="N9"/>
  <c r="I111"/>
  <c r="I84"/>
  <c r="I68"/>
  <c r="J68"/>
  <c r="I66"/>
  <c r="J66"/>
  <c r="I22"/>
  <c r="I20"/>
  <c r="I19"/>
  <c r="I18"/>
  <c r="I17"/>
  <c r="I9"/>
  <c r="C54"/>
  <c r="C47"/>
  <c r="AG47"/>
  <c r="I42" i="1" s="1"/>
  <c r="C40" i="10"/>
  <c r="AG40"/>
  <c r="I35" i="1" s="1"/>
  <c r="C32" i="10"/>
  <c r="AC110"/>
  <c r="AC45"/>
  <c r="AD45" s="1"/>
  <c r="AC22"/>
  <c r="AC9"/>
  <c r="X110"/>
  <c r="X92"/>
  <c r="X72"/>
  <c r="X71"/>
  <c r="X70"/>
  <c r="X69"/>
  <c r="X68"/>
  <c r="X67"/>
  <c r="X66"/>
  <c r="X65"/>
  <c r="X64"/>
  <c r="X63"/>
  <c r="S110"/>
  <c r="S72"/>
  <c r="S45"/>
  <c r="T45" s="1"/>
  <c r="S22"/>
  <c r="S20"/>
  <c r="S19"/>
  <c r="S18"/>
  <c r="S17"/>
  <c r="T12"/>
  <c r="S9"/>
  <c r="C112"/>
  <c r="C95"/>
  <c r="AG95" s="1"/>
  <c r="I90" i="1" s="1"/>
  <c r="D81" i="10"/>
  <c r="D82"/>
  <c r="AG54" i="9"/>
  <c r="AG56" s="1"/>
  <c r="AB97"/>
  <c r="AB59"/>
  <c r="AL59" s="1"/>
  <c r="F52" i="1" s="1"/>
  <c r="W56" i="9"/>
  <c r="W49"/>
  <c r="R48"/>
  <c r="H48"/>
  <c r="AL8"/>
  <c r="AL10"/>
  <c r="AL11"/>
  <c r="AL13"/>
  <c r="F12" i="1" s="1"/>
  <c r="AL15" i="9"/>
  <c r="AL17"/>
  <c r="AL18"/>
  <c r="AL19"/>
  <c r="AL20"/>
  <c r="AL21"/>
  <c r="AL27"/>
  <c r="AL30"/>
  <c r="F23" i="1" s="1"/>
  <c r="AL31" i="9"/>
  <c r="F24" i="1" s="1"/>
  <c r="AL33" i="9"/>
  <c r="F26" i="1" s="1"/>
  <c r="AL36" i="9"/>
  <c r="F29" i="1" s="1"/>
  <c r="AL38" i="9"/>
  <c r="F31" i="1" s="1"/>
  <c r="R31" s="1"/>
  <c r="AL41" i="9"/>
  <c r="F34" i="1" s="1"/>
  <c r="AL43" i="9"/>
  <c r="F36" i="1" s="1"/>
  <c r="AL44" i="9"/>
  <c r="F37" i="1" s="1"/>
  <c r="AL45" i="9"/>
  <c r="F38" i="1" s="1"/>
  <c r="AL48" i="9"/>
  <c r="F41" i="22" s="1"/>
  <c r="AL51" i="9"/>
  <c r="F44" i="1" s="1"/>
  <c r="AL52" i="9"/>
  <c r="F45" i="1" s="1"/>
  <c r="AL53" i="9"/>
  <c r="F46" i="1" s="1"/>
  <c r="AL55" i="9"/>
  <c r="F48" i="1" s="1"/>
  <c r="AL67" i="9"/>
  <c r="F60" i="1" s="1"/>
  <c r="AL72" i="9"/>
  <c r="F65" i="1" s="1"/>
  <c r="AL73" i="9"/>
  <c r="F66" i="1" s="1"/>
  <c r="AL77" i="9"/>
  <c r="F70" i="1" s="1"/>
  <c r="AL78" i="9"/>
  <c r="F71" i="1" s="1"/>
  <c r="AL81" i="9"/>
  <c r="F74" i="1" s="1"/>
  <c r="AL85" i="9"/>
  <c r="F78" i="1" s="1"/>
  <c r="AL87" i="9"/>
  <c r="F80" i="1" s="1"/>
  <c r="AL89" i="9"/>
  <c r="F82" i="1" s="1"/>
  <c r="AL90" i="9"/>
  <c r="F83" i="1" s="1"/>
  <c r="AL91" i="9"/>
  <c r="F84" i="1" s="1"/>
  <c r="AL96" i="9"/>
  <c r="F89" i="1" s="1"/>
  <c r="AL100" i="9"/>
  <c r="F93" i="1" s="1"/>
  <c r="AL101" i="9"/>
  <c r="F94" i="1" s="1"/>
  <c r="AL102" i="9"/>
  <c r="F95" i="1" s="1"/>
  <c r="AL105" i="9"/>
  <c r="F100" i="1" s="1"/>
  <c r="AL106" i="9"/>
  <c r="F101" i="1" s="1"/>
  <c r="R101" s="1"/>
  <c r="AL107" i="9"/>
  <c r="F102" i="1" s="1"/>
  <c r="AL108" i="9"/>
  <c r="F103" i="1" s="1"/>
  <c r="AL109" i="9"/>
  <c r="F104" i="1" s="1"/>
  <c r="AL111" i="9"/>
  <c r="F106" i="1" s="1"/>
  <c r="R106" s="1"/>
  <c r="AL115" i="9"/>
  <c r="F110" i="1" s="1"/>
  <c r="R110" s="1"/>
  <c r="AL116" i="9"/>
  <c r="F111" i="1" s="1"/>
  <c r="AL117" i="9"/>
  <c r="F112" i="1" s="1"/>
  <c r="AL118" i="9"/>
  <c r="AL7"/>
  <c r="F6" i="1" s="1"/>
  <c r="AM111" i="9"/>
  <c r="G106" i="22" s="1"/>
  <c r="G106" i="1"/>
  <c r="AM11" i="9"/>
  <c r="AM10"/>
  <c r="AM8"/>
  <c r="G7" i="1" s="1"/>
  <c r="AH114" i="9"/>
  <c r="AH113"/>
  <c r="AH112"/>
  <c r="AH111"/>
  <c r="AH24"/>
  <c r="AH23"/>
  <c r="AH22"/>
  <c r="AH21"/>
  <c r="AH20"/>
  <c r="AH19"/>
  <c r="AH18"/>
  <c r="AH17"/>
  <c r="AH15"/>
  <c r="AH13"/>
  <c r="AH12"/>
  <c r="AH11"/>
  <c r="AH10"/>
  <c r="AH9"/>
  <c r="AH8"/>
  <c r="AC114"/>
  <c r="AC113"/>
  <c r="AC112"/>
  <c r="AC111"/>
  <c r="AC86"/>
  <c r="AD86" s="1"/>
  <c r="AC82"/>
  <c r="AD82" s="1"/>
  <c r="AC66"/>
  <c r="AD66" s="1"/>
  <c r="AC47"/>
  <c r="AD47" s="1"/>
  <c r="AC24"/>
  <c r="AC23"/>
  <c r="AC22"/>
  <c r="AC21"/>
  <c r="AC20"/>
  <c r="AC19"/>
  <c r="AC18"/>
  <c r="AC17"/>
  <c r="AC16"/>
  <c r="AC13"/>
  <c r="AC11"/>
  <c r="AC10"/>
  <c r="AC9"/>
  <c r="AC8"/>
  <c r="X114"/>
  <c r="X113"/>
  <c r="X112"/>
  <c r="X111"/>
  <c r="X24"/>
  <c r="X23"/>
  <c r="X22"/>
  <c r="X21"/>
  <c r="X20"/>
  <c r="X19"/>
  <c r="X18"/>
  <c r="X17"/>
  <c r="X13"/>
  <c r="X11"/>
  <c r="X10"/>
  <c r="X8"/>
  <c r="S111"/>
  <c r="S22"/>
  <c r="S21"/>
  <c r="S20"/>
  <c r="S19"/>
  <c r="S18"/>
  <c r="S17"/>
  <c r="S15"/>
  <c r="S13"/>
  <c r="S12"/>
  <c r="S11"/>
  <c r="S10"/>
  <c r="S9"/>
  <c r="S8"/>
  <c r="N114"/>
  <c r="N113"/>
  <c r="N112"/>
  <c r="N111"/>
  <c r="N57"/>
  <c r="N24"/>
  <c r="N23"/>
  <c r="N21"/>
  <c r="N20"/>
  <c r="N19"/>
  <c r="N18"/>
  <c r="N17"/>
  <c r="N13"/>
  <c r="N12"/>
  <c r="N11"/>
  <c r="N10"/>
  <c r="N9"/>
  <c r="N8"/>
  <c r="I114"/>
  <c r="I113"/>
  <c r="I112"/>
  <c r="I111"/>
  <c r="I24"/>
  <c r="I23"/>
  <c r="I21"/>
  <c r="I20"/>
  <c r="I19"/>
  <c r="I18"/>
  <c r="I17"/>
  <c r="I15"/>
  <c r="I13"/>
  <c r="I12"/>
  <c r="I11"/>
  <c r="I10"/>
  <c r="I9"/>
  <c r="I8"/>
  <c r="D111"/>
  <c r="D113"/>
  <c r="C112"/>
  <c r="D112"/>
  <c r="C97"/>
  <c r="C49"/>
  <c r="C34"/>
  <c r="C62"/>
  <c r="C42"/>
  <c r="D8"/>
  <c r="D10"/>
  <c r="D11"/>
  <c r="D12"/>
  <c r="D13"/>
  <c r="D23"/>
  <c r="D24"/>
  <c r="D80" i="8"/>
  <c r="D81" i="1" s="1"/>
  <c r="C51" i="8"/>
  <c r="C52" i="1" s="1"/>
  <c r="D6" i="8"/>
  <c r="D7"/>
  <c r="D8"/>
  <c r="D9"/>
  <c r="D11"/>
  <c r="D12"/>
  <c r="D13"/>
  <c r="D14"/>
  <c r="D15"/>
  <c r="D16"/>
  <c r="D17"/>
  <c r="D14" i="1" s="1"/>
  <c r="C18" i="8"/>
  <c r="C94"/>
  <c r="C88"/>
  <c r="C87"/>
  <c r="C88" i="22" s="1"/>
  <c r="C88" i="1"/>
  <c r="C86" i="8"/>
  <c r="C87" i="22" s="1"/>
  <c r="C85" i="8"/>
  <c r="C79"/>
  <c r="C77"/>
  <c r="C76"/>
  <c r="C77" i="22" s="1"/>
  <c r="C70" i="8"/>
  <c r="C69"/>
  <c r="C70" i="22" s="1"/>
  <c r="C66" i="8"/>
  <c r="C62"/>
  <c r="C59"/>
  <c r="C60" i="22" s="1"/>
  <c r="C58" i="8"/>
  <c r="C59" i="22" s="1"/>
  <c r="C43" i="8"/>
  <c r="C44" i="22" s="1"/>
  <c r="C42" i="8"/>
  <c r="C43" i="22" s="1"/>
  <c r="C21" i="8"/>
  <c r="C22" i="1" s="1"/>
  <c r="C97" i="8"/>
  <c r="C98" i="22" s="1"/>
  <c r="R98" s="1"/>
  <c r="H19" i="11"/>
  <c r="I19" s="1"/>
  <c r="H104"/>
  <c r="I104" s="1"/>
  <c r="H82"/>
  <c r="H83"/>
  <c r="H59"/>
  <c r="AB73" i="10"/>
  <c r="AB86"/>
  <c r="AG86" s="1"/>
  <c r="AG100"/>
  <c r="R16"/>
  <c r="R61"/>
  <c r="R49"/>
  <c r="AG49" s="1"/>
  <c r="I44" i="1" s="1"/>
  <c r="R26" i="10"/>
  <c r="AG26" s="1"/>
  <c r="I21" i="1" s="1"/>
  <c r="AG105" i="10"/>
  <c r="AG85"/>
  <c r="C80"/>
  <c r="AG80" s="1"/>
  <c r="C64"/>
  <c r="AG64" s="1"/>
  <c r="C69"/>
  <c r="C72"/>
  <c r="C61"/>
  <c r="AG61" s="1"/>
  <c r="C59"/>
  <c r="C22"/>
  <c r="C24" s="1"/>
  <c r="R112" i="9"/>
  <c r="S23"/>
  <c r="AL24"/>
  <c r="F17" i="1" s="1"/>
  <c r="AH16" i="9"/>
  <c r="AI16" s="1"/>
  <c r="AG92"/>
  <c r="AG32"/>
  <c r="C92"/>
  <c r="M54"/>
  <c r="AL39"/>
  <c r="F32" i="1" s="1"/>
  <c r="R32" s="1"/>
  <c r="AC88" i="9"/>
  <c r="AL69"/>
  <c r="AB35"/>
  <c r="AL35" s="1"/>
  <c r="F28" i="22" s="1"/>
  <c r="H26" i="9"/>
  <c r="R97"/>
  <c r="R46"/>
  <c r="AA49" i="10"/>
  <c r="D63"/>
  <c r="D64"/>
  <c r="D65"/>
  <c r="D66"/>
  <c r="D67"/>
  <c r="D68"/>
  <c r="D71"/>
  <c r="D75"/>
  <c r="D76"/>
  <c r="D80"/>
  <c r="D83"/>
  <c r="D84"/>
  <c r="D85"/>
  <c r="D86"/>
  <c r="D87"/>
  <c r="D88"/>
  <c r="D89"/>
  <c r="AA16"/>
  <c r="AC16" s="1"/>
  <c r="AD16" s="1"/>
  <c r="L46" i="11"/>
  <c r="AA51" i="9"/>
  <c r="AC51" s="1"/>
  <c r="AD51" s="1"/>
  <c r="G39" i="11"/>
  <c r="I39" s="1"/>
  <c r="G40"/>
  <c r="I40" s="1"/>
  <c r="G41"/>
  <c r="I41" s="1"/>
  <c r="L39"/>
  <c r="N39" s="1"/>
  <c r="O39" s="1"/>
  <c r="L40"/>
  <c r="N40" s="1"/>
  <c r="L41"/>
  <c r="N41" s="1"/>
  <c r="O41" s="1"/>
  <c r="B39"/>
  <c r="D39" s="1"/>
  <c r="B40"/>
  <c r="D40" s="1"/>
  <c r="B41"/>
  <c r="D41" s="1"/>
  <c r="B31"/>
  <c r="D31" s="1"/>
  <c r="B33"/>
  <c r="D33" s="1"/>
  <c r="B34"/>
  <c r="D34" s="1"/>
  <c r="E34" s="1"/>
  <c r="B124" i="10"/>
  <c r="Q124"/>
  <c r="AA19" s="1"/>
  <c r="AC19" s="1"/>
  <c r="AD19" s="1"/>
  <c r="L124"/>
  <c r="AA18" s="1"/>
  <c r="AC18" s="1"/>
  <c r="AD18" s="1"/>
  <c r="G124"/>
  <c r="AA17" s="1"/>
  <c r="AC17" s="1"/>
  <c r="AD17" s="1"/>
  <c r="V124"/>
  <c r="AA20" s="1"/>
  <c r="AC20" s="1"/>
  <c r="AD20" s="1"/>
  <c r="B49"/>
  <c r="D49" s="1"/>
  <c r="G49"/>
  <c r="G100" s="1"/>
  <c r="Q49"/>
  <c r="L49"/>
  <c r="N49" s="1"/>
  <c r="O49" s="1"/>
  <c r="V49"/>
  <c r="X49" s="1"/>
  <c r="Y49" s="1"/>
  <c r="L30"/>
  <c r="L31"/>
  <c r="N31" s="1"/>
  <c r="L38"/>
  <c r="L41"/>
  <c r="N41" s="1"/>
  <c r="L42"/>
  <c r="L43"/>
  <c r="N43" s="1"/>
  <c r="L44"/>
  <c r="N44"/>
  <c r="O44" s="1"/>
  <c r="L52"/>
  <c r="N52" s="1"/>
  <c r="L39"/>
  <c r="L46"/>
  <c r="N46" s="1"/>
  <c r="L53"/>
  <c r="N53" s="1"/>
  <c r="L59"/>
  <c r="N59"/>
  <c r="L63"/>
  <c r="N63" s="1"/>
  <c r="L64"/>
  <c r="N64" s="1"/>
  <c r="L65"/>
  <c r="N65" s="1"/>
  <c r="L66"/>
  <c r="N66" s="1"/>
  <c r="L67"/>
  <c r="N67" s="1"/>
  <c r="L68"/>
  <c r="N68" s="1"/>
  <c r="L69"/>
  <c r="N69" s="1"/>
  <c r="L70"/>
  <c r="N70" s="1"/>
  <c r="L71"/>
  <c r="N71" s="1"/>
  <c r="L72"/>
  <c r="N72" s="1"/>
  <c r="L74"/>
  <c r="N74" s="1"/>
  <c r="O74" s="1"/>
  <c r="L75"/>
  <c r="N75" s="1"/>
  <c r="L76"/>
  <c r="N76" s="1"/>
  <c r="L78"/>
  <c r="L79"/>
  <c r="N79" s="1"/>
  <c r="L80"/>
  <c r="L81"/>
  <c r="N81"/>
  <c r="L82"/>
  <c r="N82"/>
  <c r="L83"/>
  <c r="N83" s="1"/>
  <c r="L84"/>
  <c r="N84" s="1"/>
  <c r="L85"/>
  <c r="N85" s="1"/>
  <c r="L86"/>
  <c r="N86" s="1"/>
  <c r="L87"/>
  <c r="L88"/>
  <c r="L89"/>
  <c r="L92"/>
  <c r="N92" s="1"/>
  <c r="L93"/>
  <c r="N93" s="1"/>
  <c r="L94"/>
  <c r="N94" s="1"/>
  <c r="N95" s="1"/>
  <c r="L96"/>
  <c r="L98"/>
  <c r="N98" s="1"/>
  <c r="L99"/>
  <c r="N99"/>
  <c r="L101"/>
  <c r="N101" s="1"/>
  <c r="O101" s="1"/>
  <c r="L112"/>
  <c r="L113"/>
  <c r="L114"/>
  <c r="L115"/>
  <c r="Q30"/>
  <c r="Q31"/>
  <c r="S31" s="1"/>
  <c r="T31" s="1"/>
  <c r="Q38"/>
  <c r="S38" s="1"/>
  <c r="T38" s="1"/>
  <c r="Q52"/>
  <c r="Q39"/>
  <c r="S39" s="1"/>
  <c r="Q46"/>
  <c r="S46" s="1"/>
  <c r="T46" s="1"/>
  <c r="Q53"/>
  <c r="S53" s="1"/>
  <c r="T53" s="1"/>
  <c r="Q59"/>
  <c r="S59" s="1"/>
  <c r="Q44"/>
  <c r="S44" s="1"/>
  <c r="T44" s="1"/>
  <c r="Q63"/>
  <c r="S63" s="1"/>
  <c r="Q64"/>
  <c r="S64" s="1"/>
  <c r="Q65"/>
  <c r="S65" s="1"/>
  <c r="Q66"/>
  <c r="S66" s="1"/>
  <c r="AA66"/>
  <c r="AC66" s="1"/>
  <c r="Q67"/>
  <c r="S67" s="1"/>
  <c r="G67"/>
  <c r="I67" s="1"/>
  <c r="AA67"/>
  <c r="AC67" s="1"/>
  <c r="Q68"/>
  <c r="S68" s="1"/>
  <c r="AA68"/>
  <c r="AC68" s="1"/>
  <c r="Q69"/>
  <c r="S69" s="1"/>
  <c r="Q70"/>
  <c r="S70" s="1"/>
  <c r="G70"/>
  <c r="I70" s="1"/>
  <c r="AA70"/>
  <c r="AC70" s="1"/>
  <c r="Q71"/>
  <c r="S71" s="1"/>
  <c r="G71"/>
  <c r="I71" s="1"/>
  <c r="AA71"/>
  <c r="AC71" s="1"/>
  <c r="Q74"/>
  <c r="S74" s="1"/>
  <c r="T74" s="1"/>
  <c r="Q75"/>
  <c r="S75" s="1"/>
  <c r="Q76"/>
  <c r="S76" s="1"/>
  <c r="Q78"/>
  <c r="Q79"/>
  <c r="Q80"/>
  <c r="Q81"/>
  <c r="S81" s="1"/>
  <c r="Q82"/>
  <c r="S82" s="1"/>
  <c r="Q83"/>
  <c r="Q84"/>
  <c r="Q85"/>
  <c r="Q86"/>
  <c r="S86" s="1"/>
  <c r="Q87"/>
  <c r="S87" s="1"/>
  <c r="Q88"/>
  <c r="Q89"/>
  <c r="Q92"/>
  <c r="S92" s="1"/>
  <c r="Q93"/>
  <c r="S93" s="1"/>
  <c r="Q94"/>
  <c r="S94" s="1"/>
  <c r="Q96"/>
  <c r="Q98"/>
  <c r="S98" s="1"/>
  <c r="B98"/>
  <c r="D98" s="1"/>
  <c r="G98"/>
  <c r="I98" s="1"/>
  <c r="V98"/>
  <c r="X98"/>
  <c r="AA98"/>
  <c r="AC98"/>
  <c r="Q99"/>
  <c r="S99"/>
  <c r="B99"/>
  <c r="D99"/>
  <c r="G99"/>
  <c r="I99"/>
  <c r="V99"/>
  <c r="X99" s="1"/>
  <c r="AA99"/>
  <c r="AC99"/>
  <c r="Q101"/>
  <c r="Q112"/>
  <c r="Q113"/>
  <c r="Q114"/>
  <c r="Q115"/>
  <c r="V30"/>
  <c r="X30" s="1"/>
  <c r="Y30" s="1"/>
  <c r="V31"/>
  <c r="V38"/>
  <c r="X38" s="1"/>
  <c r="Y38" s="1"/>
  <c r="V41"/>
  <c r="X41" s="1"/>
  <c r="V42"/>
  <c r="X42" s="1"/>
  <c r="V43"/>
  <c r="X43" s="1"/>
  <c r="V44"/>
  <c r="X44" s="1"/>
  <c r="Y44" s="1"/>
  <c r="V52"/>
  <c r="X52" s="1"/>
  <c r="Y52" s="1"/>
  <c r="V57"/>
  <c r="X57" s="1"/>
  <c r="V59"/>
  <c r="X59" s="1"/>
  <c r="V53"/>
  <c r="V74"/>
  <c r="X74" s="1"/>
  <c r="Y74" s="1"/>
  <c r="V75"/>
  <c r="X75" s="1"/>
  <c r="G75"/>
  <c r="I75" s="1"/>
  <c r="AA75"/>
  <c r="AC75" s="1"/>
  <c r="V76"/>
  <c r="X76" s="1"/>
  <c r="G76"/>
  <c r="I76" s="1"/>
  <c r="AA76"/>
  <c r="AC76" s="1"/>
  <c r="V78"/>
  <c r="V79"/>
  <c r="V80"/>
  <c r="X80" s="1"/>
  <c r="V81"/>
  <c r="V82"/>
  <c r="X82" s="1"/>
  <c r="Y82" s="1"/>
  <c r="V83"/>
  <c r="V84"/>
  <c r="V85"/>
  <c r="V86"/>
  <c r="V87"/>
  <c r="X87" s="1"/>
  <c r="V88"/>
  <c r="X88" s="1"/>
  <c r="Y88" s="1"/>
  <c r="V89"/>
  <c r="X89" s="1"/>
  <c r="Y89" s="1"/>
  <c r="V93"/>
  <c r="X93" s="1"/>
  <c r="V94"/>
  <c r="V96"/>
  <c r="V101"/>
  <c r="X101" s="1"/>
  <c r="Y101" s="1"/>
  <c r="V112"/>
  <c r="V113"/>
  <c r="V114"/>
  <c r="V115"/>
  <c r="B24" i="8"/>
  <c r="B25" i="1" s="1"/>
  <c r="B25" i="8"/>
  <c r="B26" i="22" s="1"/>
  <c r="B32" i="8"/>
  <c r="B33" i="1" s="1"/>
  <c r="B33" i="8"/>
  <c r="B34" i="1" s="1"/>
  <c r="B35" i="8"/>
  <c r="B36" i="1" s="1"/>
  <c r="B40" i="8"/>
  <c r="B41" i="1" s="1"/>
  <c r="B46" i="8"/>
  <c r="B47" i="1" s="1"/>
  <c r="B47" i="8"/>
  <c r="B48" i="1" s="1"/>
  <c r="B53" i="8"/>
  <c r="B54" i="1" s="1"/>
  <c r="B38" i="8"/>
  <c r="B39" i="1" s="1"/>
  <c r="F94" i="2"/>
  <c r="N18" i="1" s="1"/>
  <c r="N19" s="1"/>
  <c r="N119" s="1"/>
  <c r="H94" i="2"/>
  <c r="I94"/>
  <c r="F84"/>
  <c r="E18" i="1" s="1"/>
  <c r="H84" i="2"/>
  <c r="G30" i="10"/>
  <c r="I30" s="1"/>
  <c r="J30" s="1"/>
  <c r="G31"/>
  <c r="I31" s="1"/>
  <c r="J31" s="1"/>
  <c r="G38"/>
  <c r="I38" s="1"/>
  <c r="G41"/>
  <c r="I41" s="1"/>
  <c r="G42"/>
  <c r="I42" s="1"/>
  <c r="B42"/>
  <c r="D42" s="1"/>
  <c r="Q42"/>
  <c r="S42" s="1"/>
  <c r="N42"/>
  <c r="AA42"/>
  <c r="AC42" s="1"/>
  <c r="G43"/>
  <c r="I43" s="1"/>
  <c r="G44"/>
  <c r="I44" s="1"/>
  <c r="J44" s="1"/>
  <c r="G52"/>
  <c r="I52" s="1"/>
  <c r="G39"/>
  <c r="I39" s="1"/>
  <c r="G46"/>
  <c r="I46" s="1"/>
  <c r="J46" s="1"/>
  <c r="G53"/>
  <c r="I53" s="1"/>
  <c r="J53" s="1"/>
  <c r="G59"/>
  <c r="I59" s="1"/>
  <c r="B30"/>
  <c r="D30" s="1"/>
  <c r="B31"/>
  <c r="D31" s="1"/>
  <c r="B38"/>
  <c r="D38" s="1"/>
  <c r="B41"/>
  <c r="D41" s="1"/>
  <c r="B43"/>
  <c r="D43" s="1"/>
  <c r="B44"/>
  <c r="D44" s="1"/>
  <c r="B52"/>
  <c r="B39"/>
  <c r="D39" s="1"/>
  <c r="B46"/>
  <c r="D46" s="1"/>
  <c r="B53"/>
  <c r="D53" s="1"/>
  <c r="B59"/>
  <c r="D59" s="1"/>
  <c r="AA59"/>
  <c r="AC59" s="1"/>
  <c r="V27" i="11"/>
  <c r="K25" i="1" s="1"/>
  <c r="V28" i="11"/>
  <c r="K26" i="1" s="1"/>
  <c r="V52" i="11"/>
  <c r="K50" i="1" s="1"/>
  <c r="L35" i="11"/>
  <c r="N35" s="1"/>
  <c r="O35" s="1"/>
  <c r="G35"/>
  <c r="I35" s="1"/>
  <c r="J35" s="1"/>
  <c r="V49"/>
  <c r="K47" i="1" s="1"/>
  <c r="L36" i="11"/>
  <c r="N36" s="1"/>
  <c r="O36" s="1"/>
  <c r="G36"/>
  <c r="I36" s="1"/>
  <c r="J36" s="1"/>
  <c r="B36"/>
  <c r="D36" s="1"/>
  <c r="B43"/>
  <c r="D43" s="1"/>
  <c r="X43" s="1"/>
  <c r="M41" i="1" s="1"/>
  <c r="V50" i="11"/>
  <c r="K48" i="1" s="1"/>
  <c r="V56" i="11"/>
  <c r="K54" i="1" s="1"/>
  <c r="V51" i="11"/>
  <c r="K49" i="1" s="1"/>
  <c r="V41" i="11"/>
  <c r="K39" i="1" s="1"/>
  <c r="B27" i="11"/>
  <c r="D27" s="1"/>
  <c r="B28"/>
  <c r="D28" s="1"/>
  <c r="B29"/>
  <c r="B49"/>
  <c r="D49" s="1"/>
  <c r="B50"/>
  <c r="B56"/>
  <c r="D56" s="1"/>
  <c r="D60"/>
  <c r="E60"/>
  <c r="B46"/>
  <c r="B97" s="1"/>
  <c r="D46"/>
  <c r="G50"/>
  <c r="G54"/>
  <c r="L50"/>
  <c r="L54"/>
  <c r="L49"/>
  <c r="N49"/>
  <c r="L17"/>
  <c r="N17"/>
  <c r="O17" s="1"/>
  <c r="B17"/>
  <c r="B21"/>
  <c r="L33"/>
  <c r="N33"/>
  <c r="O33" s="1"/>
  <c r="G33"/>
  <c r="I33" s="1"/>
  <c r="J33" s="1"/>
  <c r="L34"/>
  <c r="N34" s="1"/>
  <c r="O34" s="1"/>
  <c r="G34"/>
  <c r="I34" s="1"/>
  <c r="J34" s="1"/>
  <c r="G49"/>
  <c r="I49" s="1"/>
  <c r="J49" s="1"/>
  <c r="G27"/>
  <c r="I27"/>
  <c r="G28"/>
  <c r="I28"/>
  <c r="J28" s="1"/>
  <c r="G56"/>
  <c r="I56" s="1"/>
  <c r="J56" s="1"/>
  <c r="L27"/>
  <c r="N27" s="1"/>
  <c r="L28"/>
  <c r="N28" s="1"/>
  <c r="O28" s="1"/>
  <c r="L56"/>
  <c r="N56" s="1"/>
  <c r="L51"/>
  <c r="N51" s="1"/>
  <c r="O51" s="1"/>
  <c r="V32"/>
  <c r="K30" i="1" s="1"/>
  <c r="G63" i="10"/>
  <c r="I63" s="1"/>
  <c r="G64"/>
  <c r="I64" s="1"/>
  <c r="J64" s="1"/>
  <c r="G65"/>
  <c r="I65" s="1"/>
  <c r="J65" s="1"/>
  <c r="G69"/>
  <c r="I69" s="1"/>
  <c r="G74"/>
  <c r="G78"/>
  <c r="G79"/>
  <c r="I79" s="1"/>
  <c r="G80"/>
  <c r="I80" s="1"/>
  <c r="G81"/>
  <c r="I81" s="1"/>
  <c r="G82"/>
  <c r="I82" s="1"/>
  <c r="G83"/>
  <c r="I83" s="1"/>
  <c r="G85"/>
  <c r="I85" s="1"/>
  <c r="G86"/>
  <c r="I86" s="1"/>
  <c r="G87"/>
  <c r="I87" s="1"/>
  <c r="G88"/>
  <c r="I88" s="1"/>
  <c r="G89"/>
  <c r="I89" s="1"/>
  <c r="G92"/>
  <c r="I92" s="1"/>
  <c r="G93"/>
  <c r="I93" s="1"/>
  <c r="J93" s="1"/>
  <c r="G94"/>
  <c r="I94" s="1"/>
  <c r="G96"/>
  <c r="I96" s="1"/>
  <c r="G101"/>
  <c r="G113"/>
  <c r="G114"/>
  <c r="G115"/>
  <c r="G116"/>
  <c r="G16"/>
  <c r="I16" s="1"/>
  <c r="J16" s="1"/>
  <c r="B16"/>
  <c r="D16"/>
  <c r="G133" i="9"/>
  <c r="B20"/>
  <c r="D20" s="1"/>
  <c r="E20" s="1"/>
  <c r="AK19"/>
  <c r="F78" i="2"/>
  <c r="H78" s="1"/>
  <c r="N8" i="21" s="1"/>
  <c r="P8" s="1"/>
  <c r="AK20" i="9"/>
  <c r="F79" i="2" s="1"/>
  <c r="H79" s="1"/>
  <c r="AK21" i="9"/>
  <c r="F80" i="2" s="1"/>
  <c r="H80" s="1"/>
  <c r="I80" s="1"/>
  <c r="F81"/>
  <c r="H81" s="1"/>
  <c r="I81" s="1"/>
  <c r="AM22" i="9"/>
  <c r="AN22" s="1"/>
  <c r="AK18"/>
  <c r="F77" i="2" s="1"/>
  <c r="H77" s="1"/>
  <c r="I77" s="1"/>
  <c r="AK17" i="9"/>
  <c r="F76" i="2" s="1"/>
  <c r="H76" s="1"/>
  <c r="I76" s="1"/>
  <c r="AM17" i="9"/>
  <c r="AN17" s="1"/>
  <c r="B18"/>
  <c r="D18" s="1"/>
  <c r="E18" s="1"/>
  <c r="B19"/>
  <c r="D19" s="1"/>
  <c r="E19" s="1"/>
  <c r="B21"/>
  <c r="D21" s="1"/>
  <c r="E21" s="1"/>
  <c r="B17"/>
  <c r="D17"/>
  <c r="E17" s="1"/>
  <c r="G142"/>
  <c r="V16"/>
  <c r="X16" s="1"/>
  <c r="Y16" s="1"/>
  <c r="Q16"/>
  <c r="L16"/>
  <c r="G16"/>
  <c r="AA30" i="10"/>
  <c r="AC30" s="1"/>
  <c r="AD30" s="1"/>
  <c r="AA31"/>
  <c r="AC31" s="1"/>
  <c r="AD31" s="1"/>
  <c r="AA38"/>
  <c r="AC38" s="1"/>
  <c r="AD38" s="1"/>
  <c r="AA52"/>
  <c r="AA57"/>
  <c r="AC57" s="1"/>
  <c r="AD57" s="1"/>
  <c r="AA53"/>
  <c r="AC53" s="1"/>
  <c r="AD53" s="1"/>
  <c r="AA44"/>
  <c r="AC44" s="1"/>
  <c r="AA41"/>
  <c r="AC41" s="1"/>
  <c r="Q41"/>
  <c r="S41" s="1"/>
  <c r="L33"/>
  <c r="N33" s="1"/>
  <c r="AF33" i="9"/>
  <c r="AH33" s="1"/>
  <c r="AF57"/>
  <c r="AH57" s="1"/>
  <c r="AF40"/>
  <c r="AF43"/>
  <c r="AH43" s="1"/>
  <c r="AF44"/>
  <c r="AH44" s="1"/>
  <c r="AF45"/>
  <c r="AH45" s="1"/>
  <c r="AF46"/>
  <c r="AH46" s="1"/>
  <c r="AI46" s="1"/>
  <c r="AF59"/>
  <c r="AH59" s="1"/>
  <c r="AF61"/>
  <c r="AH61" s="1"/>
  <c r="AI61" s="1"/>
  <c r="AF48"/>
  <c r="AH48" s="1"/>
  <c r="AA32"/>
  <c r="AA33"/>
  <c r="AC33" s="1"/>
  <c r="AD33" s="1"/>
  <c r="AA40"/>
  <c r="AA54"/>
  <c r="AC54" s="1"/>
  <c r="AD54" s="1"/>
  <c r="AA59"/>
  <c r="AC59"/>
  <c r="AD59" s="1"/>
  <c r="AA61"/>
  <c r="AA46"/>
  <c r="AC46" s="1"/>
  <c r="AD46" s="1"/>
  <c r="AA55"/>
  <c r="AC55" s="1"/>
  <c r="AD55" s="1"/>
  <c r="V33"/>
  <c r="X33" s="1"/>
  <c r="V57"/>
  <c r="X57" s="1"/>
  <c r="V43"/>
  <c r="X43" s="1"/>
  <c r="V44"/>
  <c r="X44" s="1"/>
  <c r="V45"/>
  <c r="X45" s="1"/>
  <c r="V46"/>
  <c r="X46" s="1"/>
  <c r="Y46" s="1"/>
  <c r="V54"/>
  <c r="X54" s="1"/>
  <c r="Y54" s="1"/>
  <c r="V59"/>
  <c r="X59" s="1"/>
  <c r="V61"/>
  <c r="X61" s="1"/>
  <c r="Y61" s="1"/>
  <c r="V55"/>
  <c r="X55" s="1"/>
  <c r="Q32"/>
  <c r="S32" s="1"/>
  <c r="T32" s="1"/>
  <c r="Q33"/>
  <c r="S33" s="1"/>
  <c r="Q57"/>
  <c r="S57" s="1"/>
  <c r="Q40"/>
  <c r="Q43"/>
  <c r="S43" s="1"/>
  <c r="Q44"/>
  <c r="S44" s="1"/>
  <c r="T44" s="1"/>
  <c r="Q45"/>
  <c r="S45" s="1"/>
  <c r="Q46"/>
  <c r="Q54"/>
  <c r="S54" s="1"/>
  <c r="T54" s="1"/>
  <c r="Q59"/>
  <c r="S59" s="1"/>
  <c r="Q61"/>
  <c r="Q48"/>
  <c r="L32"/>
  <c r="L33"/>
  <c r="N33" s="1"/>
  <c r="L40"/>
  <c r="L43"/>
  <c r="N43"/>
  <c r="L44"/>
  <c r="N44"/>
  <c r="L45"/>
  <c r="N45"/>
  <c r="L46"/>
  <c r="N46"/>
  <c r="O46" s="1"/>
  <c r="L59"/>
  <c r="N59" s="1"/>
  <c r="L61"/>
  <c r="N61" s="1"/>
  <c r="L55"/>
  <c r="N55" s="1"/>
  <c r="G32"/>
  <c r="I32" s="1"/>
  <c r="J32" s="1"/>
  <c r="G33"/>
  <c r="I33"/>
  <c r="G57"/>
  <c r="G40"/>
  <c r="G43"/>
  <c r="I43"/>
  <c r="G44"/>
  <c r="I44"/>
  <c r="G45"/>
  <c r="I45"/>
  <c r="G46"/>
  <c r="G54"/>
  <c r="I54" s="1"/>
  <c r="J54" s="1"/>
  <c r="G59"/>
  <c r="I59"/>
  <c r="G61"/>
  <c r="G55"/>
  <c r="I55" s="1"/>
  <c r="B32"/>
  <c r="D32" s="1"/>
  <c r="B33"/>
  <c r="D33" s="1"/>
  <c r="B57"/>
  <c r="B40"/>
  <c r="B43"/>
  <c r="D43" s="1"/>
  <c r="B44"/>
  <c r="D44" s="1"/>
  <c r="B45"/>
  <c r="D45" s="1"/>
  <c r="B46"/>
  <c r="D46" s="1"/>
  <c r="E46" s="1"/>
  <c r="B54"/>
  <c r="D54" s="1"/>
  <c r="E54" s="1"/>
  <c r="B41"/>
  <c r="B48"/>
  <c r="D48" s="1"/>
  <c r="B55"/>
  <c r="D55" s="1"/>
  <c r="B61"/>
  <c r="D61" s="1"/>
  <c r="V12"/>
  <c r="X12" s="1"/>
  <c r="Y12" s="1"/>
  <c r="B65"/>
  <c r="B66"/>
  <c r="D66" s="1"/>
  <c r="B67"/>
  <c r="D67" s="1"/>
  <c r="B68"/>
  <c r="B69"/>
  <c r="D69" s="1"/>
  <c r="B70"/>
  <c r="D70" s="1"/>
  <c r="B71"/>
  <c r="B72"/>
  <c r="D72" s="1"/>
  <c r="B73"/>
  <c r="D73" s="1"/>
  <c r="B74"/>
  <c r="D74" s="1"/>
  <c r="B76"/>
  <c r="D76" s="1"/>
  <c r="E76" s="1"/>
  <c r="B77"/>
  <c r="D77" s="1"/>
  <c r="B78"/>
  <c r="D78" s="1"/>
  <c r="B80"/>
  <c r="B81"/>
  <c r="D81" s="1"/>
  <c r="B82"/>
  <c r="D82" s="1"/>
  <c r="B83"/>
  <c r="D83"/>
  <c r="B84"/>
  <c r="D84"/>
  <c r="B85"/>
  <c r="D85" s="1"/>
  <c r="B86"/>
  <c r="D86" s="1"/>
  <c r="B87"/>
  <c r="D87" s="1"/>
  <c r="B88"/>
  <c r="D88" s="1"/>
  <c r="B89"/>
  <c r="D89" s="1"/>
  <c r="B90"/>
  <c r="D90" s="1"/>
  <c r="B91"/>
  <c r="D91" s="1"/>
  <c r="B94"/>
  <c r="D94" s="1"/>
  <c r="E94" s="1"/>
  <c r="B95"/>
  <c r="D95" s="1"/>
  <c r="E95" s="1"/>
  <c r="B96"/>
  <c r="D96" s="1"/>
  <c r="B98"/>
  <c r="B100"/>
  <c r="D100" s="1"/>
  <c r="B101"/>
  <c r="D101" s="1"/>
  <c r="B51"/>
  <c r="B102" s="1"/>
  <c r="B103"/>
  <c r="D103" s="1"/>
  <c r="E103" s="1"/>
  <c r="AA43"/>
  <c r="AC43" s="1"/>
  <c r="AA12"/>
  <c r="AC12" s="1"/>
  <c r="AD12" s="1"/>
  <c r="AF16" i="10"/>
  <c r="H15" i="1" s="1"/>
  <c r="L58" i="2"/>
  <c r="I10" i="20"/>
  <c r="H10" s="1"/>
  <c r="G10" s="1"/>
  <c r="F10" s="1"/>
  <c r="B57" i="8"/>
  <c r="B58"/>
  <c r="B59"/>
  <c r="B60" i="22" s="1"/>
  <c r="B60" i="8"/>
  <c r="B61" i="22" s="1"/>
  <c r="B61" i="8"/>
  <c r="B62"/>
  <c r="B63"/>
  <c r="B64"/>
  <c r="B65" i="22" s="1"/>
  <c r="B65" i="8"/>
  <c r="D65"/>
  <c r="B68"/>
  <c r="B69"/>
  <c r="B70"/>
  <c r="B72"/>
  <c r="B73"/>
  <c r="B74" i="22" s="1"/>
  <c r="B74" i="8"/>
  <c r="B75"/>
  <c r="B76" i="22" s="1"/>
  <c r="B76" i="8"/>
  <c r="B77"/>
  <c r="B78"/>
  <c r="B79" i="22" s="1"/>
  <c r="B79" i="8"/>
  <c r="B81"/>
  <c r="B82"/>
  <c r="B83"/>
  <c r="B87"/>
  <c r="G65" i="9"/>
  <c r="I65" s="1"/>
  <c r="J65" s="1"/>
  <c r="G66"/>
  <c r="G67"/>
  <c r="I67" s="1"/>
  <c r="G68"/>
  <c r="I68" s="1"/>
  <c r="G69"/>
  <c r="I69" s="1"/>
  <c r="G70"/>
  <c r="I70" s="1"/>
  <c r="J70" s="1"/>
  <c r="G71"/>
  <c r="G72"/>
  <c r="I72" s="1"/>
  <c r="G73"/>
  <c r="I73" s="1"/>
  <c r="G74"/>
  <c r="G76"/>
  <c r="G77"/>
  <c r="I77" s="1"/>
  <c r="G78"/>
  <c r="I78" s="1"/>
  <c r="G80"/>
  <c r="I80" s="1"/>
  <c r="G81"/>
  <c r="I81" s="1"/>
  <c r="G82"/>
  <c r="I82" s="1"/>
  <c r="G83"/>
  <c r="G84"/>
  <c r="G85"/>
  <c r="I85" s="1"/>
  <c r="J85" s="1"/>
  <c r="G86"/>
  <c r="I86" s="1"/>
  <c r="G87"/>
  <c r="I87" s="1"/>
  <c r="G88"/>
  <c r="I88" s="1"/>
  <c r="J88" s="1"/>
  <c r="G89"/>
  <c r="I89" s="1"/>
  <c r="G90"/>
  <c r="I90" s="1"/>
  <c r="G91"/>
  <c r="I91" s="1"/>
  <c r="G94"/>
  <c r="G95"/>
  <c r="G96"/>
  <c r="I96" s="1"/>
  <c r="G98"/>
  <c r="G100"/>
  <c r="I100" s="1"/>
  <c r="G101"/>
  <c r="I101" s="1"/>
  <c r="G51"/>
  <c r="I51" s="1"/>
  <c r="J51" s="1"/>
  <c r="G103"/>
  <c r="I103" s="1"/>
  <c r="J103" s="1"/>
  <c r="L65"/>
  <c r="L66"/>
  <c r="N66" s="1"/>
  <c r="L67"/>
  <c r="N67" s="1"/>
  <c r="L68"/>
  <c r="L69"/>
  <c r="N69" s="1"/>
  <c r="O69" s="1"/>
  <c r="L70"/>
  <c r="N70" s="1"/>
  <c r="O70" s="1"/>
  <c r="L71"/>
  <c r="N71" s="1"/>
  <c r="L72"/>
  <c r="N72" s="1"/>
  <c r="L73"/>
  <c r="N73" s="1"/>
  <c r="L74"/>
  <c r="L76"/>
  <c r="N76" s="1"/>
  <c r="O76" s="1"/>
  <c r="L77"/>
  <c r="N77" s="1"/>
  <c r="L78"/>
  <c r="N78" s="1"/>
  <c r="L80"/>
  <c r="N80" s="1"/>
  <c r="L81"/>
  <c r="N81" s="1"/>
  <c r="L82"/>
  <c r="L83"/>
  <c r="N83" s="1"/>
  <c r="L84"/>
  <c r="N84" s="1"/>
  <c r="O84" s="1"/>
  <c r="L85"/>
  <c r="N85" s="1"/>
  <c r="L86"/>
  <c r="N86" s="1"/>
  <c r="O86" s="1"/>
  <c r="L87"/>
  <c r="N87" s="1"/>
  <c r="O87" s="1"/>
  <c r="L88"/>
  <c r="L89"/>
  <c r="N89" s="1"/>
  <c r="L90"/>
  <c r="N90" s="1"/>
  <c r="L91"/>
  <c r="N91" s="1"/>
  <c r="L94"/>
  <c r="N94" s="1"/>
  <c r="O94" s="1"/>
  <c r="L95"/>
  <c r="N95" s="1"/>
  <c r="O95" s="1"/>
  <c r="L96"/>
  <c r="N96" s="1"/>
  <c r="O96" s="1"/>
  <c r="L98"/>
  <c r="N98" s="1"/>
  <c r="L100"/>
  <c r="N100" s="1"/>
  <c r="L101"/>
  <c r="N101" s="1"/>
  <c r="L51"/>
  <c r="N51" s="1"/>
  <c r="O51" s="1"/>
  <c r="L103"/>
  <c r="N103" s="1"/>
  <c r="O103" s="1"/>
  <c r="Q65"/>
  <c r="S65" s="1"/>
  <c r="Q66"/>
  <c r="S66" s="1"/>
  <c r="T66" s="1"/>
  <c r="Q67"/>
  <c r="S67" s="1"/>
  <c r="Q68"/>
  <c r="S68" s="1"/>
  <c r="Q69"/>
  <c r="S69" s="1"/>
  <c r="Q70"/>
  <c r="S70" s="1"/>
  <c r="T70" s="1"/>
  <c r="Q71"/>
  <c r="Q72"/>
  <c r="S72" s="1"/>
  <c r="Q73"/>
  <c r="S73" s="1"/>
  <c r="Q74"/>
  <c r="Q76"/>
  <c r="S76" s="1"/>
  <c r="T76" s="1"/>
  <c r="Q77"/>
  <c r="S77" s="1"/>
  <c r="Q78"/>
  <c r="S78" s="1"/>
  <c r="Q80"/>
  <c r="S80" s="1"/>
  <c r="Q81"/>
  <c r="S81" s="1"/>
  <c r="Q82"/>
  <c r="S82" s="1"/>
  <c r="T82" s="1"/>
  <c r="Q83"/>
  <c r="S83" s="1"/>
  <c r="Q84"/>
  <c r="S84" s="1"/>
  <c r="T84" s="1"/>
  <c r="Q85"/>
  <c r="S85" s="1"/>
  <c r="T85" s="1"/>
  <c r="Q86"/>
  <c r="S86" s="1"/>
  <c r="T86" s="1"/>
  <c r="Q87"/>
  <c r="S87" s="1"/>
  <c r="T87" s="1"/>
  <c r="Q88"/>
  <c r="S88" s="1"/>
  <c r="T88" s="1"/>
  <c r="Q89"/>
  <c r="S89" s="1"/>
  <c r="Q90"/>
  <c r="S90" s="1"/>
  <c r="Q91"/>
  <c r="S91" s="1"/>
  <c r="Q94"/>
  <c r="S94" s="1"/>
  <c r="T94" s="1"/>
  <c r="Q95"/>
  <c r="Q96"/>
  <c r="S96" s="1"/>
  <c r="Q98"/>
  <c r="Q100"/>
  <c r="S100" s="1"/>
  <c r="Q101"/>
  <c r="S101" s="1"/>
  <c r="Q51"/>
  <c r="S51" s="1"/>
  <c r="T51" s="1"/>
  <c r="Q103"/>
  <c r="S103" s="1"/>
  <c r="T103" s="1"/>
  <c r="V65"/>
  <c r="X65" s="1"/>
  <c r="V66"/>
  <c r="X66" s="1"/>
  <c r="V67"/>
  <c r="X67" s="1"/>
  <c r="V68"/>
  <c r="X68" s="1"/>
  <c r="V69"/>
  <c r="X69" s="1"/>
  <c r="Y69" s="1"/>
  <c r="V70"/>
  <c r="V71"/>
  <c r="X71" s="1"/>
  <c r="V72"/>
  <c r="X72" s="1"/>
  <c r="V73"/>
  <c r="X73" s="1"/>
  <c r="V74"/>
  <c r="X74" s="1"/>
  <c r="V76"/>
  <c r="V77"/>
  <c r="X77" s="1"/>
  <c r="V78"/>
  <c r="X78" s="1"/>
  <c r="V80"/>
  <c r="X80" s="1"/>
  <c r="V81"/>
  <c r="X81" s="1"/>
  <c r="V82"/>
  <c r="X82" s="1"/>
  <c r="V83"/>
  <c r="X83" s="1"/>
  <c r="Y83" s="1"/>
  <c r="V84"/>
  <c r="X84" s="1"/>
  <c r="V85"/>
  <c r="X85" s="1"/>
  <c r="Y85" s="1"/>
  <c r="V86"/>
  <c r="V87"/>
  <c r="X87" s="1"/>
  <c r="Y87" s="1"/>
  <c r="V88"/>
  <c r="X88" s="1"/>
  <c r="V89"/>
  <c r="X89" s="1"/>
  <c r="V90"/>
  <c r="X90" s="1"/>
  <c r="V91"/>
  <c r="X91" s="1"/>
  <c r="V94"/>
  <c r="X94" s="1"/>
  <c r="Y94" s="1"/>
  <c r="V95"/>
  <c r="V96"/>
  <c r="X96" s="1"/>
  <c r="V98"/>
  <c r="X98" s="1"/>
  <c r="V100"/>
  <c r="X100" s="1"/>
  <c r="V101"/>
  <c r="X101" s="1"/>
  <c r="V51"/>
  <c r="X51" s="1"/>
  <c r="Y51" s="1"/>
  <c r="V103"/>
  <c r="AA65"/>
  <c r="AA67"/>
  <c r="AC67" s="1"/>
  <c r="AA68"/>
  <c r="AC68" s="1"/>
  <c r="AA69"/>
  <c r="AA70"/>
  <c r="AC70" s="1"/>
  <c r="AA71"/>
  <c r="AC71" s="1"/>
  <c r="AA72"/>
  <c r="AC72" s="1"/>
  <c r="AA73"/>
  <c r="AC73" s="1"/>
  <c r="AA74"/>
  <c r="AA76"/>
  <c r="AC76" s="1"/>
  <c r="AD76" s="1"/>
  <c r="AA77"/>
  <c r="AC77" s="1"/>
  <c r="AA78"/>
  <c r="AC78" s="1"/>
  <c r="AA80"/>
  <c r="AC80" s="1"/>
  <c r="AA81"/>
  <c r="AC81" s="1"/>
  <c r="AA83"/>
  <c r="AC83" s="1"/>
  <c r="AD83" s="1"/>
  <c r="AA84"/>
  <c r="AC84" s="1"/>
  <c r="AD84" s="1"/>
  <c r="AA85"/>
  <c r="AC85" s="1"/>
  <c r="AD85" s="1"/>
  <c r="AA87"/>
  <c r="AC87" s="1"/>
  <c r="AA89"/>
  <c r="AC89" s="1"/>
  <c r="AA90"/>
  <c r="AC90" s="1"/>
  <c r="AA91"/>
  <c r="AC91" s="1"/>
  <c r="AA94"/>
  <c r="AA95"/>
  <c r="AC95" s="1"/>
  <c r="AD95" s="1"/>
  <c r="AA96"/>
  <c r="AC96" s="1"/>
  <c r="AA98"/>
  <c r="AC98" s="1"/>
  <c r="AA100"/>
  <c r="AC100" s="1"/>
  <c r="AA101"/>
  <c r="AC101" s="1"/>
  <c r="AA103"/>
  <c r="AC103" s="1"/>
  <c r="AD103" s="1"/>
  <c r="AF65"/>
  <c r="AH65" s="1"/>
  <c r="AI65" s="1"/>
  <c r="AF66"/>
  <c r="AH66" s="1"/>
  <c r="AF67"/>
  <c r="AH67" s="1"/>
  <c r="AF68"/>
  <c r="AH68" s="1"/>
  <c r="AF69"/>
  <c r="AH69" s="1"/>
  <c r="AI69" s="1"/>
  <c r="AF70"/>
  <c r="AH70" s="1"/>
  <c r="AI70" s="1"/>
  <c r="AF71"/>
  <c r="AH71" s="1"/>
  <c r="AF72"/>
  <c r="AH72" s="1"/>
  <c r="AF73"/>
  <c r="AH73" s="1"/>
  <c r="AF74"/>
  <c r="AF76"/>
  <c r="AH76" s="1"/>
  <c r="AI76" s="1"/>
  <c r="AF77"/>
  <c r="AH77" s="1"/>
  <c r="AF78"/>
  <c r="AH78" s="1"/>
  <c r="AF80"/>
  <c r="AF81"/>
  <c r="AH81" s="1"/>
  <c r="AF82"/>
  <c r="AH82" s="1"/>
  <c r="AF83"/>
  <c r="AH83" s="1"/>
  <c r="AF84"/>
  <c r="AH84" s="1"/>
  <c r="AF85"/>
  <c r="AH85" s="1"/>
  <c r="AF86"/>
  <c r="AF87"/>
  <c r="AH87" s="1"/>
  <c r="AF88"/>
  <c r="AH88" s="1"/>
  <c r="AF89"/>
  <c r="AH89" s="1"/>
  <c r="AF90"/>
  <c r="AH90" s="1"/>
  <c r="AF91"/>
  <c r="AH91" s="1"/>
  <c r="AF94"/>
  <c r="AH94" s="1"/>
  <c r="AF95"/>
  <c r="AH95" s="1"/>
  <c r="AI95" s="1"/>
  <c r="AF96"/>
  <c r="AH96" s="1"/>
  <c r="AF98"/>
  <c r="AH98" s="1"/>
  <c r="AF100"/>
  <c r="AH100" s="1"/>
  <c r="AF101"/>
  <c r="AH101" s="1"/>
  <c r="AF51"/>
  <c r="AH51" s="1"/>
  <c r="AI51" s="1"/>
  <c r="AF103"/>
  <c r="AH103" s="1"/>
  <c r="AI103" s="1"/>
  <c r="AA96" i="10"/>
  <c r="B92"/>
  <c r="D92" s="1"/>
  <c r="B93"/>
  <c r="D93" s="1"/>
  <c r="B94"/>
  <c r="D94" s="1"/>
  <c r="AA92"/>
  <c r="AC92" s="1"/>
  <c r="AA93"/>
  <c r="AC93" s="1"/>
  <c r="AD93" s="1"/>
  <c r="AA94"/>
  <c r="AC94" s="1"/>
  <c r="AA63"/>
  <c r="AC63" s="1"/>
  <c r="AA64"/>
  <c r="AC64" s="1"/>
  <c r="AA65"/>
  <c r="AC65" s="1"/>
  <c r="AD68"/>
  <c r="AA69"/>
  <c r="AC69" s="1"/>
  <c r="AD71"/>
  <c r="AA72"/>
  <c r="AC72" s="1"/>
  <c r="AA74"/>
  <c r="AC74" s="1"/>
  <c r="AD74" s="1"/>
  <c r="AA78"/>
  <c r="AF78" s="1"/>
  <c r="H73" i="22" s="1"/>
  <c r="AA79" i="10"/>
  <c r="AC79" s="1"/>
  <c r="AA80"/>
  <c r="AF80" s="1"/>
  <c r="AA81"/>
  <c r="AA82"/>
  <c r="AA83"/>
  <c r="AA84"/>
  <c r="AA85"/>
  <c r="AC85" s="1"/>
  <c r="AA86"/>
  <c r="AC86" s="1"/>
  <c r="AA87"/>
  <c r="AC87" s="1"/>
  <c r="AA88"/>
  <c r="AA89"/>
  <c r="AF81"/>
  <c r="AF74"/>
  <c r="AF76"/>
  <c r="AF64"/>
  <c r="AF66"/>
  <c r="AF68"/>
  <c r="AF70"/>
  <c r="AF72"/>
  <c r="B101"/>
  <c r="D101" s="1"/>
  <c r="E101" s="1"/>
  <c r="AA101"/>
  <c r="AC101" s="1"/>
  <c r="AD101" s="1"/>
  <c r="V95" i="11"/>
  <c r="V96"/>
  <c r="G46"/>
  <c r="D97"/>
  <c r="E97" s="1"/>
  <c r="B109" i="8"/>
  <c r="B111" i="10"/>
  <c r="D111" s="1"/>
  <c r="AA113"/>
  <c r="V110" i="11"/>
  <c r="K110" i="22" s="1"/>
  <c r="AA116" i="10"/>
  <c r="AF116" s="1"/>
  <c r="V113" i="11"/>
  <c r="C30" i="20"/>
  <c r="B123" i="10"/>
  <c r="G123"/>
  <c r="B17" s="1"/>
  <c r="D3" i="19"/>
  <c r="F45" i="2" s="1"/>
  <c r="H45" s="1"/>
  <c r="I45" s="1"/>
  <c r="E7" i="18"/>
  <c r="F31" i="2" s="1"/>
  <c r="H31" s="1"/>
  <c r="I31" s="1"/>
  <c r="E15" i="18"/>
  <c r="F38" i="2" s="1"/>
  <c r="H38" s="1"/>
  <c r="I38" s="1"/>
  <c r="E5" i="18"/>
  <c r="E4" s="1"/>
  <c r="E16"/>
  <c r="F39" i="2"/>
  <c r="H39" s="1"/>
  <c r="I39" s="1"/>
  <c r="E6" i="18"/>
  <c r="F30" i="2"/>
  <c r="H30" s="1"/>
  <c r="I30" s="1"/>
  <c r="E14" i="18"/>
  <c r="F37" i="2"/>
  <c r="H37" s="1"/>
  <c r="I37" s="1"/>
  <c r="E13" i="18"/>
  <c r="F36" i="2"/>
  <c r="H36" s="1"/>
  <c r="I36" s="1"/>
  <c r="E9" i="18"/>
  <c r="F32" i="2"/>
  <c r="H32" s="1"/>
  <c r="I32" s="1"/>
  <c r="AF7" i="9"/>
  <c r="AH7" s="1"/>
  <c r="AI7" s="1"/>
  <c r="C22" i="17"/>
  <c r="C56" i="15" s="1"/>
  <c r="C58" s="1"/>
  <c r="E22" i="17"/>
  <c r="C57" i="15" s="1"/>
  <c r="I35"/>
  <c r="H35" s="1"/>
  <c r="I36"/>
  <c r="H36"/>
  <c r="D92" i="14" s="1"/>
  <c r="C38" i="15"/>
  <c r="C39"/>
  <c r="C40"/>
  <c r="C41"/>
  <c r="C42"/>
  <c r="C43" s="1"/>
  <c r="C44"/>
  <c r="C45"/>
  <c r="C46"/>
  <c r="C47"/>
  <c r="C48"/>
  <c r="C49" s="1"/>
  <c r="C50"/>
  <c r="C51"/>
  <c r="C52"/>
  <c r="B53"/>
  <c r="C53"/>
  <c r="B54"/>
  <c r="C54"/>
  <c r="H54" s="1"/>
  <c r="C22"/>
  <c r="C23"/>
  <c r="C24"/>
  <c r="C28"/>
  <c r="C29"/>
  <c r="C30" s="1"/>
  <c r="C31"/>
  <c r="C32"/>
  <c r="C33"/>
  <c r="C17" i="17"/>
  <c r="D56" i="15"/>
  <c r="E17" i="17"/>
  <c r="D57" i="15"/>
  <c r="D38"/>
  <c r="D39"/>
  <c r="D40" s="1"/>
  <c r="D41"/>
  <c r="D42"/>
  <c r="D43"/>
  <c r="D44"/>
  <c r="D45"/>
  <c r="D46" s="1"/>
  <c r="D47"/>
  <c r="D48"/>
  <c r="D49"/>
  <c r="D50"/>
  <c r="D51"/>
  <c r="D52" s="1"/>
  <c r="D53"/>
  <c r="D54"/>
  <c r="D55"/>
  <c r="D22"/>
  <c r="D23"/>
  <c r="D24" s="1"/>
  <c r="D28"/>
  <c r="D29"/>
  <c r="D30" s="1"/>
  <c r="G6" i="5" s="1"/>
  <c r="D31" i="15"/>
  <c r="D32"/>
  <c r="D33"/>
  <c r="G8" i="5" s="1"/>
  <c r="C24" i="17"/>
  <c r="F56" i="15" s="1"/>
  <c r="E24" i="17"/>
  <c r="F57" i="15" s="1"/>
  <c r="H24" i="17"/>
  <c r="F59" i="15" s="1"/>
  <c r="J24" i="17"/>
  <c r="F60" i="15" s="1"/>
  <c r="F38"/>
  <c r="F39"/>
  <c r="F40"/>
  <c r="Q10" i="5" s="1"/>
  <c r="F41" i="15"/>
  <c r="F42"/>
  <c r="F43"/>
  <c r="Q11" i="5" s="1"/>
  <c r="F44" i="15"/>
  <c r="F45"/>
  <c r="F46"/>
  <c r="Q14" i="5" s="1"/>
  <c r="F47" i="15"/>
  <c r="F48"/>
  <c r="F49"/>
  <c r="F50"/>
  <c r="F51"/>
  <c r="F52" s="1"/>
  <c r="Q13" i="5" s="1"/>
  <c r="F53" i="15"/>
  <c r="F54"/>
  <c r="F55" s="1"/>
  <c r="Q15" i="5" s="1"/>
  <c r="F22" i="15"/>
  <c r="F23"/>
  <c r="F24" s="1"/>
  <c r="F25"/>
  <c r="F26"/>
  <c r="F27"/>
  <c r="F28"/>
  <c r="F29"/>
  <c r="F30" s="1"/>
  <c r="Q6" i="5" s="1"/>
  <c r="F31" i="15"/>
  <c r="F32"/>
  <c r="F33" s="1"/>
  <c r="Q8" i="5" s="1"/>
  <c r="C21" i="17"/>
  <c r="E56" i="15" s="1"/>
  <c r="E21" i="17"/>
  <c r="E57" i="15" s="1"/>
  <c r="E38"/>
  <c r="E39"/>
  <c r="E40"/>
  <c r="E41"/>
  <c r="E42"/>
  <c r="E43" s="1"/>
  <c r="L11" i="5" s="1"/>
  <c r="E44" i="15"/>
  <c r="E45"/>
  <c r="E46"/>
  <c r="E47"/>
  <c r="E48"/>
  <c r="E49" s="1"/>
  <c r="L12" i="5" s="1"/>
  <c r="E50" i="15"/>
  <c r="E51"/>
  <c r="E52"/>
  <c r="E53"/>
  <c r="E54"/>
  <c r="E55" s="1"/>
  <c r="E22"/>
  <c r="E23"/>
  <c r="E24"/>
  <c r="E28"/>
  <c r="E29"/>
  <c r="E30" s="1"/>
  <c r="E31"/>
  <c r="E33" s="1"/>
  <c r="P51"/>
  <c r="E32"/>
  <c r="C25" i="17"/>
  <c r="G56" i="15" s="1"/>
  <c r="E25" i="17"/>
  <c r="G57" i="15" s="1"/>
  <c r="H25" i="17"/>
  <c r="G59" i="15" s="1"/>
  <c r="J25" i="17"/>
  <c r="G60" i="15" s="1"/>
  <c r="G38"/>
  <c r="G39"/>
  <c r="G40"/>
  <c r="G41"/>
  <c r="G42"/>
  <c r="G43" s="1"/>
  <c r="V11" i="5" s="1"/>
  <c r="G44" i="15"/>
  <c r="G45"/>
  <c r="G46"/>
  <c r="G47"/>
  <c r="G48"/>
  <c r="G49" s="1"/>
  <c r="V12" i="5" s="1"/>
  <c r="G50" i="15"/>
  <c r="G51"/>
  <c r="G52"/>
  <c r="G53"/>
  <c r="G54"/>
  <c r="G55" s="1"/>
  <c r="V15" i="5" s="1"/>
  <c r="G22" i="15"/>
  <c r="G23"/>
  <c r="G24"/>
  <c r="V5" i="5" s="1"/>
  <c r="G26" i="15"/>
  <c r="G27" s="1"/>
  <c r="G28"/>
  <c r="G29"/>
  <c r="G30" s="1"/>
  <c r="V6" i="5" s="1"/>
  <c r="G31" i="15"/>
  <c r="G32"/>
  <c r="G33" s="1"/>
  <c r="V8" i="5" s="1"/>
  <c r="C18" i="17"/>
  <c r="D64" i="16" s="1"/>
  <c r="E18" i="17"/>
  <c r="D65" i="16" s="1"/>
  <c r="H18" i="17"/>
  <c r="D67" i="16" s="1"/>
  <c r="J18" i="17"/>
  <c r="D68" i="16" s="1"/>
  <c r="D46"/>
  <c r="D85" i="14" s="1"/>
  <c r="D47" i="16"/>
  <c r="D86" i="14" s="1"/>
  <c r="D49" i="16"/>
  <c r="D88" i="14" s="1"/>
  <c r="D50" i="16"/>
  <c r="D89" i="14" s="1"/>
  <c r="D55" i="16"/>
  <c r="D56"/>
  <c r="D57"/>
  <c r="D58"/>
  <c r="D59"/>
  <c r="D60" s="1"/>
  <c r="D61"/>
  <c r="D62"/>
  <c r="D63"/>
  <c r="I8"/>
  <c r="D30"/>
  <c r="O8"/>
  <c r="D31"/>
  <c r="I12"/>
  <c r="D33"/>
  <c r="O12"/>
  <c r="D34"/>
  <c r="D35"/>
  <c r="D36"/>
  <c r="D37"/>
  <c r="D38" s="1"/>
  <c r="D39"/>
  <c r="D76" i="14"/>
  <c r="D21" i="16"/>
  <c r="D40" s="1"/>
  <c r="G21"/>
  <c r="D41" s="1"/>
  <c r="D43"/>
  <c r="D81" i="14" s="1"/>
  <c r="F12" i="2" s="1"/>
  <c r="H12" s="1"/>
  <c r="I12" s="1"/>
  <c r="D44" i="16"/>
  <c r="D79" i="14" s="1"/>
  <c r="F13" i="2" s="1"/>
  <c r="H13" s="1"/>
  <c r="I13" s="1"/>
  <c r="C19" i="17"/>
  <c r="C4"/>
  <c r="E19"/>
  <c r="E4"/>
  <c r="R4"/>
  <c r="C18" i="21"/>
  <c r="D18"/>
  <c r="E18"/>
  <c r="F18"/>
  <c r="G18"/>
  <c r="H18"/>
  <c r="I18"/>
  <c r="J18"/>
  <c r="K18"/>
  <c r="L18"/>
  <c r="M18"/>
  <c r="B18"/>
  <c r="M12"/>
  <c r="L12"/>
  <c r="K12"/>
  <c r="J12"/>
  <c r="I12"/>
  <c r="H12"/>
  <c r="G12"/>
  <c r="F12"/>
  <c r="E12"/>
  <c r="D12"/>
  <c r="C12"/>
  <c r="B12"/>
  <c r="B108" i="8"/>
  <c r="B109" i="1" s="1"/>
  <c r="B108" i="10"/>
  <c r="B109"/>
  <c r="Q111"/>
  <c r="S111" s="1"/>
  <c r="S112" s="1"/>
  <c r="L111"/>
  <c r="N111" s="1"/>
  <c r="N112" s="1"/>
  <c r="V111"/>
  <c r="X111" s="1"/>
  <c r="X112" s="1"/>
  <c r="AA111"/>
  <c r="AC111" s="1"/>
  <c r="B110"/>
  <c r="D110" s="1"/>
  <c r="D112" s="1"/>
  <c r="AA114"/>
  <c r="AA115"/>
  <c r="K100" i="1"/>
  <c r="K101"/>
  <c r="Q101" s="1"/>
  <c r="S101" s="1"/>
  <c r="K102"/>
  <c r="K103"/>
  <c r="K104"/>
  <c r="K105"/>
  <c r="K106"/>
  <c r="K107"/>
  <c r="K108"/>
  <c r="V111" i="11"/>
  <c r="K111" i="22" s="1"/>
  <c r="V112" i="11"/>
  <c r="K112" i="22" s="1"/>
  <c r="P45" i="15"/>
  <c r="D59" i="14"/>
  <c r="P54" i="15"/>
  <c r="D66" i="14"/>
  <c r="R37" i="15"/>
  <c r="S37"/>
  <c r="D75" i="14" s="1"/>
  <c r="H38" i="15"/>
  <c r="H39"/>
  <c r="D96" i="14" s="1"/>
  <c r="H44" i="15"/>
  <c r="D104" i="14" s="1"/>
  <c r="H45" i="15"/>
  <c r="D105" i="14" s="1"/>
  <c r="H50" i="15"/>
  <c r="H51"/>
  <c r="H41"/>
  <c r="H42"/>
  <c r="H47"/>
  <c r="H48"/>
  <c r="C3" i="17"/>
  <c r="C5"/>
  <c r="C6"/>
  <c r="C23"/>
  <c r="C7"/>
  <c r="C8"/>
  <c r="C9"/>
  <c r="E3"/>
  <c r="E5"/>
  <c r="E6"/>
  <c r="E23"/>
  <c r="E7"/>
  <c r="E12" s="1"/>
  <c r="D132" i="14" s="1"/>
  <c r="E8" i="17"/>
  <c r="E9"/>
  <c r="M23"/>
  <c r="M7"/>
  <c r="M12"/>
  <c r="D134" i="14" s="1"/>
  <c r="O23" i="17"/>
  <c r="O7" s="1"/>
  <c r="H17"/>
  <c r="H3" s="1"/>
  <c r="Q3" s="1"/>
  <c r="H23"/>
  <c r="H7" s="1"/>
  <c r="Q7" s="1"/>
  <c r="H8"/>
  <c r="H9"/>
  <c r="J3"/>
  <c r="J23"/>
  <c r="J7" s="1"/>
  <c r="J12" s="1"/>
  <c r="D138" i="14" s="1"/>
  <c r="J8" i="17"/>
  <c r="J9"/>
  <c r="E12" i="18"/>
  <c r="F35" i="2" s="1"/>
  <c r="O91"/>
  <c r="O90"/>
  <c r="O89"/>
  <c r="O88"/>
  <c r="O87"/>
  <c r="O86"/>
  <c r="F89"/>
  <c r="H89" s="1"/>
  <c r="I89" s="1"/>
  <c r="P68" i="1"/>
  <c r="Q12" i="5"/>
  <c r="Q29"/>
  <c r="AF30"/>
  <c r="AK98" i="9"/>
  <c r="V93" i="11"/>
  <c r="B79" i="10"/>
  <c r="B90" s="1"/>
  <c r="V73"/>
  <c r="C89" i="15"/>
  <c r="F89"/>
  <c r="I89"/>
  <c r="L89"/>
  <c r="O89"/>
  <c r="B88"/>
  <c r="B90"/>
  <c r="C83"/>
  <c r="C84"/>
  <c r="C88" s="1"/>
  <c r="C90" s="1"/>
  <c r="C85"/>
  <c r="D88"/>
  <c r="D90"/>
  <c r="E88"/>
  <c r="E90"/>
  <c r="F83"/>
  <c r="F84"/>
  <c r="F85"/>
  <c r="F88" s="1"/>
  <c r="F90" s="1"/>
  <c r="F86"/>
  <c r="F87"/>
  <c r="G88"/>
  <c r="G90" s="1"/>
  <c r="H88"/>
  <c r="H90" s="1"/>
  <c r="I84"/>
  <c r="I88" s="1"/>
  <c r="I90" s="1"/>
  <c r="J88"/>
  <c r="J90"/>
  <c r="K88"/>
  <c r="K90"/>
  <c r="L84"/>
  <c r="L85"/>
  <c r="L86"/>
  <c r="L88" s="1"/>
  <c r="L90" s="1"/>
  <c r="L87"/>
  <c r="M88"/>
  <c r="M90"/>
  <c r="N88"/>
  <c r="N90"/>
  <c r="O84"/>
  <c r="O85"/>
  <c r="O86"/>
  <c r="O88" s="1"/>
  <c r="O90" s="1"/>
  <c r="O87"/>
  <c r="P88"/>
  <c r="P90" s="1"/>
  <c r="C123" i="14" s="1"/>
  <c r="Q88" i="15"/>
  <c r="Q90" s="1"/>
  <c r="R88"/>
  <c r="R90" s="1"/>
  <c r="S85"/>
  <c r="S88" s="1"/>
  <c r="S90" s="1"/>
  <c r="T88"/>
  <c r="T90"/>
  <c r="C89" i="14"/>
  <c r="B90" i="11"/>
  <c r="D90" s="1"/>
  <c r="G90"/>
  <c r="I90" s="1"/>
  <c r="J90" s="1"/>
  <c r="G91"/>
  <c r="I91" s="1"/>
  <c r="AK90" i="9"/>
  <c r="E83" i="22" s="1"/>
  <c r="F91" i="2"/>
  <c r="H91" s="1"/>
  <c r="I91" s="1"/>
  <c r="V7" i="9"/>
  <c r="V26"/>
  <c r="AA7"/>
  <c r="AC7"/>
  <c r="AD7" s="1"/>
  <c r="D3" i="7"/>
  <c r="D98" i="14" s="1"/>
  <c r="F3" i="7"/>
  <c r="D4"/>
  <c r="D101" i="14"/>
  <c r="F4" i="7"/>
  <c r="G4"/>
  <c r="D6"/>
  <c r="F6"/>
  <c r="G6" s="1"/>
  <c r="D7"/>
  <c r="F7"/>
  <c r="G7"/>
  <c r="D10"/>
  <c r="F10"/>
  <c r="G10" s="1"/>
  <c r="D107" i="14" s="1"/>
  <c r="D11" i="7"/>
  <c r="F11"/>
  <c r="G11" s="1"/>
  <c r="D13"/>
  <c r="F13"/>
  <c r="G13"/>
  <c r="D108" i="14" s="1"/>
  <c r="D14" i="7"/>
  <c r="F14"/>
  <c r="G14"/>
  <c r="F17"/>
  <c r="G17"/>
  <c r="F18"/>
  <c r="G18"/>
  <c r="F20"/>
  <c r="G20"/>
  <c r="F21"/>
  <c r="G21"/>
  <c r="G22" s="1"/>
  <c r="D23"/>
  <c r="F23"/>
  <c r="G23" s="1"/>
  <c r="D24"/>
  <c r="F24"/>
  <c r="G24" s="1"/>
  <c r="D26"/>
  <c r="F26"/>
  <c r="G26"/>
  <c r="G28" s="1"/>
  <c r="D27"/>
  <c r="F27"/>
  <c r="G27"/>
  <c r="F29"/>
  <c r="G29"/>
  <c r="G31" s="1"/>
  <c r="F30"/>
  <c r="G30" s="1"/>
  <c r="F32"/>
  <c r="G32" s="1"/>
  <c r="G34" s="1"/>
  <c r="F33"/>
  <c r="G33"/>
  <c r="F35"/>
  <c r="G35"/>
  <c r="F36"/>
  <c r="G36"/>
  <c r="G37" s="1"/>
  <c r="AF13" i="10"/>
  <c r="B9" i="9"/>
  <c r="B10" i="4"/>
  <c r="AK10" s="1"/>
  <c r="F111" i="2" s="1"/>
  <c r="D9" i="9"/>
  <c r="E9" s="1"/>
  <c r="AK9"/>
  <c r="E8" i="1" s="1"/>
  <c r="B127" i="10"/>
  <c r="B9" s="1"/>
  <c r="AF10"/>
  <c r="AF11"/>
  <c r="AF12"/>
  <c r="H11" i="1" s="1"/>
  <c r="AK13" i="9"/>
  <c r="AK15"/>
  <c r="AM15" s="1"/>
  <c r="AF14" i="10"/>
  <c r="AF15"/>
  <c r="B133" i="9"/>
  <c r="C127"/>
  <c r="C128"/>
  <c r="D128"/>
  <c r="C130"/>
  <c r="D130"/>
  <c r="F86" i="2"/>
  <c r="H86"/>
  <c r="I86" s="1"/>
  <c r="F87"/>
  <c r="H87" s="1"/>
  <c r="I87" s="1"/>
  <c r="F88"/>
  <c r="H88"/>
  <c r="I88" s="1"/>
  <c r="F90"/>
  <c r="H90" s="1"/>
  <c r="I90" s="1"/>
  <c r="AK23" i="9"/>
  <c r="E16" i="1" s="1"/>
  <c r="Q16" s="1"/>
  <c r="V18" i="11"/>
  <c r="AK24" i="9"/>
  <c r="E17" i="1" s="1"/>
  <c r="V19" i="11"/>
  <c r="K17" i="1" s="1"/>
  <c r="B142" i="9"/>
  <c r="C136"/>
  <c r="B20" i="8"/>
  <c r="B21" i="22" s="1"/>
  <c r="B28" i="9"/>
  <c r="D28" s="1"/>
  <c r="E28" s="1"/>
  <c r="G28"/>
  <c r="I28" s="1"/>
  <c r="J28" s="1"/>
  <c r="L28"/>
  <c r="Q28"/>
  <c r="S28" s="1"/>
  <c r="T28" s="1"/>
  <c r="V28"/>
  <c r="AA28"/>
  <c r="AF28"/>
  <c r="B26" i="10"/>
  <c r="D26" s="1"/>
  <c r="G26"/>
  <c r="I26" s="1"/>
  <c r="J26" s="1"/>
  <c r="Q26"/>
  <c r="S26" s="1"/>
  <c r="L26"/>
  <c r="N26" s="1"/>
  <c r="O26" s="1"/>
  <c r="V26"/>
  <c r="X26" s="1"/>
  <c r="Y26" s="1"/>
  <c r="AA26"/>
  <c r="V23" i="11"/>
  <c r="K21" i="22" s="1"/>
  <c r="B21" i="8"/>
  <c r="B29" i="9"/>
  <c r="D29" s="1"/>
  <c r="E29" s="1"/>
  <c r="G29"/>
  <c r="I29" s="1"/>
  <c r="L29"/>
  <c r="N29" s="1"/>
  <c r="O29" s="1"/>
  <c r="Q29"/>
  <c r="S29" s="1"/>
  <c r="T29" s="1"/>
  <c r="V29"/>
  <c r="AA29"/>
  <c r="AC29" s="1"/>
  <c r="AD29" s="1"/>
  <c r="AF29"/>
  <c r="AH29" s="1"/>
  <c r="B27" i="10"/>
  <c r="D27" s="1"/>
  <c r="E27" s="1"/>
  <c r="G27"/>
  <c r="I27" s="1"/>
  <c r="J27" s="1"/>
  <c r="Q27"/>
  <c r="S27"/>
  <c r="T27" s="1"/>
  <c r="L27"/>
  <c r="N27" s="1"/>
  <c r="V27"/>
  <c r="X27" s="1"/>
  <c r="Y27" s="1"/>
  <c r="AA27"/>
  <c r="AC27"/>
  <c r="AD27" s="1"/>
  <c r="V24" i="11"/>
  <c r="B22" i="8"/>
  <c r="B30" i="9"/>
  <c r="D30" s="1"/>
  <c r="G30"/>
  <c r="I30" s="1"/>
  <c r="L30"/>
  <c r="N30" s="1"/>
  <c r="Q30"/>
  <c r="S30" s="1"/>
  <c r="V30"/>
  <c r="X30" s="1"/>
  <c r="AA30"/>
  <c r="AC30" s="1"/>
  <c r="AF30"/>
  <c r="AH30" s="1"/>
  <c r="B28" i="10"/>
  <c r="D28" s="1"/>
  <c r="G28"/>
  <c r="I28" s="1"/>
  <c r="Q28"/>
  <c r="S28" s="1"/>
  <c r="L28"/>
  <c r="N28" s="1"/>
  <c r="V28"/>
  <c r="X28" s="1"/>
  <c r="AA28"/>
  <c r="AC28" s="1"/>
  <c r="V25" i="11"/>
  <c r="K23" i="22" s="1"/>
  <c r="B23" i="8"/>
  <c r="B31" i="9"/>
  <c r="D31" s="1"/>
  <c r="G31"/>
  <c r="I31" s="1"/>
  <c r="L31"/>
  <c r="N31" s="1"/>
  <c r="Q31"/>
  <c r="S31" s="1"/>
  <c r="V31"/>
  <c r="X31" s="1"/>
  <c r="AA31"/>
  <c r="AC31" s="1"/>
  <c r="AF31"/>
  <c r="AH31" s="1"/>
  <c r="B29" i="10"/>
  <c r="D29" s="1"/>
  <c r="G29"/>
  <c r="I29" s="1"/>
  <c r="Q29"/>
  <c r="S29" s="1"/>
  <c r="L29"/>
  <c r="N29" s="1"/>
  <c r="V29"/>
  <c r="X29" s="1"/>
  <c r="AA29"/>
  <c r="AC29" s="1"/>
  <c r="V26" i="11"/>
  <c r="K24" i="22" s="1"/>
  <c r="AF30" i="10"/>
  <c r="AF31"/>
  <c r="H26" i="22" s="1"/>
  <c r="B35" i="9"/>
  <c r="D35" s="1"/>
  <c r="G35"/>
  <c r="I35" s="1"/>
  <c r="L35"/>
  <c r="N35" s="1"/>
  <c r="Q35"/>
  <c r="S35" s="1"/>
  <c r="V35"/>
  <c r="AA35"/>
  <c r="AF35"/>
  <c r="AH35" s="1"/>
  <c r="B33" i="10"/>
  <c r="G33"/>
  <c r="I33" s="1"/>
  <c r="Q33"/>
  <c r="S33" s="1"/>
  <c r="V33"/>
  <c r="X33" s="1"/>
  <c r="AA33"/>
  <c r="AC33" s="1"/>
  <c r="V30" i="11"/>
  <c r="K28" i="22" s="1"/>
  <c r="B28" i="8"/>
  <c r="D28"/>
  <c r="B36" i="9"/>
  <c r="D36" s="1"/>
  <c r="G36"/>
  <c r="I36" s="1"/>
  <c r="L36"/>
  <c r="N36" s="1"/>
  <c r="Q36"/>
  <c r="S36" s="1"/>
  <c r="V36"/>
  <c r="X36" s="1"/>
  <c r="AA36"/>
  <c r="AC36" s="1"/>
  <c r="AF36"/>
  <c r="AH36" s="1"/>
  <c r="B34" i="10"/>
  <c r="D34" s="1"/>
  <c r="G34"/>
  <c r="I34" s="1"/>
  <c r="Q34"/>
  <c r="S34" s="1"/>
  <c r="L34"/>
  <c r="N34" s="1"/>
  <c r="V34"/>
  <c r="X34" s="1"/>
  <c r="AA34"/>
  <c r="AC34" s="1"/>
  <c r="V31" i="11"/>
  <c r="B29" i="8"/>
  <c r="B37" i="9"/>
  <c r="D37" s="1"/>
  <c r="G37"/>
  <c r="I37" s="1"/>
  <c r="L37"/>
  <c r="N37" s="1"/>
  <c r="Q37"/>
  <c r="S37" s="1"/>
  <c r="T37" s="1"/>
  <c r="V37"/>
  <c r="AA37"/>
  <c r="AC37" s="1"/>
  <c r="AF37"/>
  <c r="AH37" s="1"/>
  <c r="B35" i="10"/>
  <c r="D35" s="1"/>
  <c r="E35" s="1"/>
  <c r="G35"/>
  <c r="I35" s="1"/>
  <c r="J35" s="1"/>
  <c r="Q35"/>
  <c r="S35" s="1"/>
  <c r="L35"/>
  <c r="N35" s="1"/>
  <c r="O35" s="1"/>
  <c r="V35"/>
  <c r="X35"/>
  <c r="AA35"/>
  <c r="AC35"/>
  <c r="AD35" s="1"/>
  <c r="B30" i="8"/>
  <c r="B38" i="9"/>
  <c r="D38" s="1"/>
  <c r="G38"/>
  <c r="I38" s="1"/>
  <c r="L38"/>
  <c r="N38" s="1"/>
  <c r="Q38"/>
  <c r="S38" s="1"/>
  <c r="V38"/>
  <c r="X38" s="1"/>
  <c r="AA38"/>
  <c r="AC38" s="1"/>
  <c r="AF38"/>
  <c r="AH38" s="1"/>
  <c r="B36" i="10"/>
  <c r="D36"/>
  <c r="G36"/>
  <c r="I36"/>
  <c r="J36" s="1"/>
  <c r="Q36"/>
  <c r="S36" s="1"/>
  <c r="L36"/>
  <c r="N36" s="1"/>
  <c r="O36" s="1"/>
  <c r="V36"/>
  <c r="X36"/>
  <c r="Y36" s="1"/>
  <c r="AA36"/>
  <c r="AC36" s="1"/>
  <c r="AD36" s="1"/>
  <c r="B31" i="8"/>
  <c r="B39" i="9"/>
  <c r="D39" s="1"/>
  <c r="G39"/>
  <c r="I39" s="1"/>
  <c r="L39"/>
  <c r="N39" s="1"/>
  <c r="Q39"/>
  <c r="S39" s="1"/>
  <c r="V39"/>
  <c r="AA39"/>
  <c r="AC39" s="1"/>
  <c r="AF39"/>
  <c r="AH39" s="1"/>
  <c r="B37" i="10"/>
  <c r="D37" s="1"/>
  <c r="G37"/>
  <c r="I37" s="1"/>
  <c r="J37" s="1"/>
  <c r="Q37"/>
  <c r="S37" s="1"/>
  <c r="L37"/>
  <c r="N37"/>
  <c r="O37" s="1"/>
  <c r="V37"/>
  <c r="X37" s="1"/>
  <c r="Y37" s="1"/>
  <c r="AA37"/>
  <c r="AC37" s="1"/>
  <c r="AD37" s="1"/>
  <c r="AF38"/>
  <c r="G41" i="9"/>
  <c r="L41"/>
  <c r="Q41"/>
  <c r="V41"/>
  <c r="AA41"/>
  <c r="AA42" s="1"/>
  <c r="AF41"/>
  <c r="AF42" s="1"/>
  <c r="AH42" s="1"/>
  <c r="V39" i="10"/>
  <c r="X39" s="1"/>
  <c r="AA39"/>
  <c r="AC39" s="1"/>
  <c r="AD39" s="1"/>
  <c r="B42" i="9"/>
  <c r="D42" s="1"/>
  <c r="L42"/>
  <c r="N42" s="1"/>
  <c r="O42" s="1"/>
  <c r="AK43"/>
  <c r="E36" i="22" s="1"/>
  <c r="AF41" i="10"/>
  <c r="H36" i="22" s="1"/>
  <c r="H36" i="1"/>
  <c r="V38" i="11"/>
  <c r="K36" i="22" s="1"/>
  <c r="K36" i="1"/>
  <c r="B36" i="8"/>
  <c r="B37" i="22" s="1"/>
  <c r="AA44" i="9"/>
  <c r="AC44" s="1"/>
  <c r="T42" i="10"/>
  <c r="V39" i="11"/>
  <c r="K37" i="22" s="1"/>
  <c r="B37" i="8"/>
  <c r="AA45" i="9"/>
  <c r="AC45" s="1"/>
  <c r="Q43" i="10"/>
  <c r="S43" s="1"/>
  <c r="AA43"/>
  <c r="AC43" s="1"/>
  <c r="V40" i="11"/>
  <c r="K38" i="22" s="1"/>
  <c r="AK46" i="9"/>
  <c r="AF44" i="10"/>
  <c r="G48" i="9"/>
  <c r="I48" s="1"/>
  <c r="L48"/>
  <c r="N48" s="1"/>
  <c r="V48"/>
  <c r="X48" s="1"/>
  <c r="AA48"/>
  <c r="AC48" s="1"/>
  <c r="AD48" s="1"/>
  <c r="V46" i="10"/>
  <c r="X46" s="1"/>
  <c r="AA46"/>
  <c r="B42" i="8"/>
  <c r="B50" i="9"/>
  <c r="D50" s="1"/>
  <c r="E50" s="1"/>
  <c r="G50"/>
  <c r="I50" s="1"/>
  <c r="J50" s="1"/>
  <c r="L50"/>
  <c r="Q50"/>
  <c r="S50" s="1"/>
  <c r="V50"/>
  <c r="X50" s="1"/>
  <c r="Y50" s="1"/>
  <c r="AA50"/>
  <c r="AC50" s="1"/>
  <c r="AD50" s="1"/>
  <c r="AF50"/>
  <c r="B48" i="10"/>
  <c r="G48"/>
  <c r="I48"/>
  <c r="J48" s="1"/>
  <c r="Q48"/>
  <c r="S48" s="1"/>
  <c r="T48" s="1"/>
  <c r="L48"/>
  <c r="N48" s="1"/>
  <c r="V48"/>
  <c r="X48" s="1"/>
  <c r="Y48" s="1"/>
  <c r="AA48"/>
  <c r="AC48" s="1"/>
  <c r="AD48" s="1"/>
  <c r="V45" i="11"/>
  <c r="K43" i="22" s="1"/>
  <c r="K43" i="1"/>
  <c r="B43" i="8"/>
  <c r="AK51" i="9"/>
  <c r="E44" i="22" s="1"/>
  <c r="AF49" i="10"/>
  <c r="V46" i="11"/>
  <c r="B44" i="8"/>
  <c r="B45" i="22" s="1"/>
  <c r="B52" i="9"/>
  <c r="D52" s="1"/>
  <c r="G52"/>
  <c r="I52" s="1"/>
  <c r="L52"/>
  <c r="N52" s="1"/>
  <c r="Q52"/>
  <c r="S52" s="1"/>
  <c r="V52"/>
  <c r="X52" s="1"/>
  <c r="AA52"/>
  <c r="AC52" s="1"/>
  <c r="AF52"/>
  <c r="AH52" s="1"/>
  <c r="B50" i="10"/>
  <c r="D50" s="1"/>
  <c r="G50"/>
  <c r="I50" s="1"/>
  <c r="Q50"/>
  <c r="S50" s="1"/>
  <c r="L50"/>
  <c r="N50" s="1"/>
  <c r="V50"/>
  <c r="X50" s="1"/>
  <c r="AA50"/>
  <c r="AC50" s="1"/>
  <c r="V47" i="11"/>
  <c r="K45" i="22" s="1"/>
  <c r="B45" i="8"/>
  <c r="B46" i="22" s="1"/>
  <c r="B53" i="9"/>
  <c r="D53" s="1"/>
  <c r="G53"/>
  <c r="I53" s="1"/>
  <c r="L53"/>
  <c r="N53" s="1"/>
  <c r="Q53"/>
  <c r="S53" s="1"/>
  <c r="V53"/>
  <c r="X53" s="1"/>
  <c r="AA53"/>
  <c r="AC53" s="1"/>
  <c r="AF53"/>
  <c r="AH53" s="1"/>
  <c r="B51" i="10"/>
  <c r="D51" s="1"/>
  <c r="G51"/>
  <c r="I51" s="1"/>
  <c r="Q51"/>
  <c r="S51" s="1"/>
  <c r="L51"/>
  <c r="N51" s="1"/>
  <c r="V51"/>
  <c r="X51" s="1"/>
  <c r="AA51"/>
  <c r="AC51" s="1"/>
  <c r="V48" i="11"/>
  <c r="K46" i="22" s="1"/>
  <c r="AF52" i="10"/>
  <c r="Q55" i="9"/>
  <c r="S55" s="1"/>
  <c r="AF55"/>
  <c r="AH55" s="1"/>
  <c r="AF53" i="10"/>
  <c r="B49" i="8"/>
  <c r="B50" i="22" s="1"/>
  <c r="AA57" i="9"/>
  <c r="AC57" s="1"/>
  <c r="B55" i="10"/>
  <c r="D55" s="1"/>
  <c r="G55"/>
  <c r="I55" s="1"/>
  <c r="Q55"/>
  <c r="S55" s="1"/>
  <c r="L55"/>
  <c r="N55" s="1"/>
  <c r="V55"/>
  <c r="X55" s="1"/>
  <c r="AA55"/>
  <c r="AC55" s="1"/>
  <c r="AK61" i="9"/>
  <c r="AF59" i="10"/>
  <c r="AK65" i="9"/>
  <c r="N60" i="11"/>
  <c r="AK66" i="9"/>
  <c r="E59" i="22" s="1"/>
  <c r="D61" i="11"/>
  <c r="I61"/>
  <c r="J61" s="1"/>
  <c r="N61"/>
  <c r="AK67" i="9"/>
  <c r="E60" i="22" s="1"/>
  <c r="D62" i="11"/>
  <c r="I62"/>
  <c r="J62" s="1"/>
  <c r="N62"/>
  <c r="O62" s="1"/>
  <c r="S62"/>
  <c r="D63"/>
  <c r="E63" s="1"/>
  <c r="I63"/>
  <c r="J63" s="1"/>
  <c r="N63"/>
  <c r="D64"/>
  <c r="I64"/>
  <c r="J64"/>
  <c r="N64"/>
  <c r="AK70" i="9"/>
  <c r="E63" i="22" s="1"/>
  <c r="D65" i="11"/>
  <c r="E65" s="1"/>
  <c r="I65"/>
  <c r="J65" s="1"/>
  <c r="N65"/>
  <c r="AK71" i="9"/>
  <c r="E64" i="22" s="1"/>
  <c r="D66" i="11"/>
  <c r="I66"/>
  <c r="J66" s="1"/>
  <c r="N66"/>
  <c r="AK72" i="9"/>
  <c r="E65" i="22" s="1"/>
  <c r="D67" i="11"/>
  <c r="I67"/>
  <c r="N67"/>
  <c r="AK73" i="9"/>
  <c r="E66" i="22" s="1"/>
  <c r="D68" i="11"/>
  <c r="I68"/>
  <c r="J68" s="1"/>
  <c r="N68"/>
  <c r="AK74" i="9"/>
  <c r="D69" i="11"/>
  <c r="I69"/>
  <c r="J69" s="1"/>
  <c r="N69"/>
  <c r="O69" s="1"/>
  <c r="AK76" i="9"/>
  <c r="E69" i="22" s="1"/>
  <c r="D71" i="11"/>
  <c r="E71" s="1"/>
  <c r="I71"/>
  <c r="J71" s="1"/>
  <c r="N71"/>
  <c r="AK77" i="9"/>
  <c r="E70" i="22" s="1"/>
  <c r="D72" i="11"/>
  <c r="I72"/>
  <c r="N72"/>
  <c r="AK78" i="9"/>
  <c r="E71" i="22" s="1"/>
  <c r="D73" i="11"/>
  <c r="I73"/>
  <c r="N73"/>
  <c r="S73"/>
  <c r="AK80" i="9"/>
  <c r="E73" i="22" s="1"/>
  <c r="D75" i="11"/>
  <c r="E75" s="1"/>
  <c r="I75"/>
  <c r="J75" s="1"/>
  <c r="N75"/>
  <c r="S75"/>
  <c r="AK81" i="9"/>
  <c r="E74" i="22" s="1"/>
  <c r="D76" i="11"/>
  <c r="I76"/>
  <c r="N76"/>
  <c r="S76"/>
  <c r="D77"/>
  <c r="I77"/>
  <c r="N77"/>
  <c r="S77"/>
  <c r="AK83" i="9"/>
  <c r="D78" i="11"/>
  <c r="E78" s="1"/>
  <c r="I78"/>
  <c r="J78" s="1"/>
  <c r="N78"/>
  <c r="S78"/>
  <c r="D79"/>
  <c r="E79" s="1"/>
  <c r="I79"/>
  <c r="J79" s="1"/>
  <c r="N79"/>
  <c r="S79"/>
  <c r="AK85" i="9"/>
  <c r="D80" i="11"/>
  <c r="E80" s="1"/>
  <c r="I80"/>
  <c r="J80" s="1"/>
  <c r="N80"/>
  <c r="S80"/>
  <c r="I81"/>
  <c r="N81"/>
  <c r="O81" s="1"/>
  <c r="S81"/>
  <c r="D82"/>
  <c r="N82"/>
  <c r="O82" s="1"/>
  <c r="S82"/>
  <c r="D83"/>
  <c r="N83"/>
  <c r="O83" s="1"/>
  <c r="S83"/>
  <c r="D84"/>
  <c r="I84"/>
  <c r="N84"/>
  <c r="S84"/>
  <c r="D85"/>
  <c r="I85"/>
  <c r="N85"/>
  <c r="S85"/>
  <c r="D86"/>
  <c r="I86"/>
  <c r="N86"/>
  <c r="S86"/>
  <c r="AK94" i="9"/>
  <c r="B89" i="11"/>
  <c r="D89" s="1"/>
  <c r="G89"/>
  <c r="I89" s="1"/>
  <c r="J89" s="1"/>
  <c r="AK95" i="9"/>
  <c r="E88" i="22" s="1"/>
  <c r="AF93" i="10"/>
  <c r="H88" i="22" s="1"/>
  <c r="AK96" i="9"/>
  <c r="E89" i="22" s="1"/>
  <c r="AK100" i="9"/>
  <c r="E93" i="22" s="1"/>
  <c r="L98" i="11"/>
  <c r="N98" s="1"/>
  <c r="O98" s="1"/>
  <c r="G98"/>
  <c r="I98"/>
  <c r="J98" s="1"/>
  <c r="B98"/>
  <c r="D98" s="1"/>
  <c r="V98"/>
  <c r="K96" i="1" s="1"/>
  <c r="B103" i="10"/>
  <c r="D103" s="1"/>
  <c r="Q105"/>
  <c r="S105" s="1"/>
  <c r="L105"/>
  <c r="N105" s="1"/>
  <c r="V105"/>
  <c r="X105" s="1"/>
  <c r="AA105"/>
  <c r="AC105" s="1"/>
  <c r="B104"/>
  <c r="D104" s="1"/>
  <c r="G106"/>
  <c r="I106" s="1"/>
  <c r="Q106"/>
  <c r="L106"/>
  <c r="N106" s="1"/>
  <c r="V106"/>
  <c r="X106" s="1"/>
  <c r="AA106"/>
  <c r="AC106" s="1"/>
  <c r="B105"/>
  <c r="D105" s="1"/>
  <c r="G107"/>
  <c r="I107" s="1"/>
  <c r="Q107"/>
  <c r="S107" s="1"/>
  <c r="L107"/>
  <c r="N107" s="1"/>
  <c r="V107"/>
  <c r="X107" s="1"/>
  <c r="AA107"/>
  <c r="AC107" s="1"/>
  <c r="B106"/>
  <c r="D106" s="1"/>
  <c r="G108"/>
  <c r="I108" s="1"/>
  <c r="Q108"/>
  <c r="S108" s="1"/>
  <c r="L108"/>
  <c r="N108" s="1"/>
  <c r="V108"/>
  <c r="X108" s="1"/>
  <c r="AA108"/>
  <c r="AC108" s="1"/>
  <c r="B107"/>
  <c r="D107" s="1"/>
  <c r="G109"/>
  <c r="I109" s="1"/>
  <c r="Q109"/>
  <c r="S109" s="1"/>
  <c r="L109"/>
  <c r="N109" s="1"/>
  <c r="V109"/>
  <c r="X109" s="1"/>
  <c r="AA109"/>
  <c r="AC109" s="1"/>
  <c r="P111" i="1"/>
  <c r="F59" i="2"/>
  <c r="N67"/>
  <c r="O59" s="1"/>
  <c r="F60"/>
  <c r="H60" s="1"/>
  <c r="F61"/>
  <c r="H61" s="1"/>
  <c r="I61" s="1"/>
  <c r="F62"/>
  <c r="H62" s="1"/>
  <c r="I62" s="1"/>
  <c r="O62"/>
  <c r="F63"/>
  <c r="H63" s="1"/>
  <c r="I63" s="1"/>
  <c r="O63"/>
  <c r="F64"/>
  <c r="H64" s="1"/>
  <c r="I64" s="1"/>
  <c r="O64"/>
  <c r="F65"/>
  <c r="H65" s="1"/>
  <c r="I65" s="1"/>
  <c r="O65"/>
  <c r="Q67"/>
  <c r="N95"/>
  <c r="O95"/>
  <c r="P95"/>
  <c r="F104"/>
  <c r="B6" i="3"/>
  <c r="B7"/>
  <c r="B8"/>
  <c r="B20" s="1"/>
  <c r="C8"/>
  <c r="C20"/>
  <c r="D8"/>
  <c r="D20"/>
  <c r="G87"/>
  <c r="B6" i="4"/>
  <c r="L6"/>
  <c r="AF6"/>
  <c r="AF9" s="1"/>
  <c r="AF20" s="1"/>
  <c r="B7"/>
  <c r="G7"/>
  <c r="L7"/>
  <c r="Q7"/>
  <c r="B8"/>
  <c r="AK8" s="1"/>
  <c r="G8"/>
  <c r="L8"/>
  <c r="Q8"/>
  <c r="V8"/>
  <c r="AA8"/>
  <c r="AA9" s="1"/>
  <c r="AF8"/>
  <c r="V9"/>
  <c r="AK11"/>
  <c r="AK12"/>
  <c r="AK14"/>
  <c r="AK15"/>
  <c r="AK16"/>
  <c r="G17"/>
  <c r="L17"/>
  <c r="Q17"/>
  <c r="V17"/>
  <c r="AA17"/>
  <c r="AF17"/>
  <c r="AK18"/>
  <c r="AK19"/>
  <c r="L25"/>
  <c r="AL28"/>
  <c r="B5" i="5"/>
  <c r="L5"/>
  <c r="B7"/>
  <c r="G7"/>
  <c r="L7"/>
  <c r="B8"/>
  <c r="AA9"/>
  <c r="B10"/>
  <c r="L10"/>
  <c r="V10"/>
  <c r="G11"/>
  <c r="G12"/>
  <c r="B13"/>
  <c r="L13"/>
  <c r="V13"/>
  <c r="B14"/>
  <c r="L14"/>
  <c r="V14"/>
  <c r="G15"/>
  <c r="AF21"/>
  <c r="AF23"/>
  <c r="AF24"/>
  <c r="AF26"/>
  <c r="B29"/>
  <c r="G29"/>
  <c r="L29"/>
  <c r="V29"/>
  <c r="AA29"/>
  <c r="H42"/>
  <c r="B7" i="6"/>
  <c r="G7" s="1"/>
  <c r="V7"/>
  <c r="J4" i="16"/>
  <c r="P4"/>
  <c r="B8" i="6"/>
  <c r="J7" i="16"/>
  <c r="P7"/>
  <c r="G9" i="6" s="1"/>
  <c r="L10"/>
  <c r="V10"/>
  <c r="B11"/>
  <c r="G11" s="1"/>
  <c r="Q12"/>
  <c r="Q15"/>
  <c r="Q17" s="1"/>
  <c r="V12"/>
  <c r="B13"/>
  <c r="G13" s="1"/>
  <c r="G15" s="1"/>
  <c r="G17" s="1"/>
  <c r="V13"/>
  <c r="B14"/>
  <c r="G14"/>
  <c r="L15"/>
  <c r="L17" s="1"/>
  <c r="C17"/>
  <c r="D17"/>
  <c r="D29"/>
  <c r="H17"/>
  <c r="H29"/>
  <c r="I17"/>
  <c r="M17"/>
  <c r="M29" s="1"/>
  <c r="N17"/>
  <c r="R17"/>
  <c r="R29"/>
  <c r="S17"/>
  <c r="S29"/>
  <c r="IU17"/>
  <c r="C29"/>
  <c r="I29"/>
  <c r="N29"/>
  <c r="W33"/>
  <c r="C34"/>
  <c r="H34"/>
  <c r="E3" i="7"/>
  <c r="N3" s="1"/>
  <c r="J3"/>
  <c r="L3"/>
  <c r="P3"/>
  <c r="J4"/>
  <c r="L4"/>
  <c r="N4"/>
  <c r="P4"/>
  <c r="D5"/>
  <c r="F5"/>
  <c r="F9" s="1"/>
  <c r="F39" s="1"/>
  <c r="N14" i="21" s="1"/>
  <c r="E6" i="7"/>
  <c r="J6"/>
  <c r="L6"/>
  <c r="N6"/>
  <c r="P6"/>
  <c r="J7"/>
  <c r="L7"/>
  <c r="N7"/>
  <c r="P7"/>
  <c r="D8"/>
  <c r="F8"/>
  <c r="D9"/>
  <c r="E10"/>
  <c r="N10"/>
  <c r="J10"/>
  <c r="L10"/>
  <c r="P10"/>
  <c r="J11"/>
  <c r="L11"/>
  <c r="N11"/>
  <c r="P11"/>
  <c r="D12"/>
  <c r="D16" s="1"/>
  <c r="D39" s="1"/>
  <c r="N16" i="21" s="1"/>
  <c r="F12" i="7"/>
  <c r="L12"/>
  <c r="P12"/>
  <c r="E13"/>
  <c r="N13"/>
  <c r="J13"/>
  <c r="L13"/>
  <c r="P13"/>
  <c r="J14"/>
  <c r="L14"/>
  <c r="N14"/>
  <c r="P14"/>
  <c r="D15"/>
  <c r="F15"/>
  <c r="F16"/>
  <c r="J17"/>
  <c r="L17"/>
  <c r="N17"/>
  <c r="P17"/>
  <c r="J18"/>
  <c r="L18"/>
  <c r="N18"/>
  <c r="P18"/>
  <c r="F19"/>
  <c r="L19"/>
  <c r="B20"/>
  <c r="J20"/>
  <c r="L20"/>
  <c r="N20"/>
  <c r="P20"/>
  <c r="B21"/>
  <c r="J21"/>
  <c r="L21"/>
  <c r="N21"/>
  <c r="P21"/>
  <c r="F22"/>
  <c r="L22"/>
  <c r="J23"/>
  <c r="L23"/>
  <c r="N23"/>
  <c r="P23"/>
  <c r="J24"/>
  <c r="L24"/>
  <c r="N24"/>
  <c r="P24"/>
  <c r="D25"/>
  <c r="F25"/>
  <c r="J26"/>
  <c r="L26"/>
  <c r="N26"/>
  <c r="P26"/>
  <c r="R26"/>
  <c r="J27"/>
  <c r="L27"/>
  <c r="N27"/>
  <c r="P27"/>
  <c r="D28"/>
  <c r="F28"/>
  <c r="E29"/>
  <c r="N29" s="1"/>
  <c r="J29"/>
  <c r="L29"/>
  <c r="P29"/>
  <c r="E30"/>
  <c r="N30" s="1"/>
  <c r="J30"/>
  <c r="L30"/>
  <c r="P30"/>
  <c r="F31"/>
  <c r="L31"/>
  <c r="L7" i="17"/>
  <c r="E32" i="7" s="1"/>
  <c r="N32" s="1"/>
  <c r="J32"/>
  <c r="L32"/>
  <c r="P32"/>
  <c r="N7" i="17"/>
  <c r="N12" s="1"/>
  <c r="J33" i="7"/>
  <c r="L33"/>
  <c r="P33"/>
  <c r="F34"/>
  <c r="L34"/>
  <c r="E35"/>
  <c r="N35" s="1"/>
  <c r="J35"/>
  <c r="L35"/>
  <c r="P35"/>
  <c r="E36"/>
  <c r="N36" s="1"/>
  <c r="J36"/>
  <c r="L36"/>
  <c r="P36"/>
  <c r="F37"/>
  <c r="C84" i="8"/>
  <c r="AA26" i="9"/>
  <c r="AM124"/>
  <c r="C125" s="1"/>
  <c r="AC125"/>
  <c r="D144"/>
  <c r="A26" i="10"/>
  <c r="A27"/>
  <c r="A28"/>
  <c r="A29"/>
  <c r="A30"/>
  <c r="A31"/>
  <c r="A32"/>
  <c r="A33"/>
  <c r="A34"/>
  <c r="A35"/>
  <c r="A36"/>
  <c r="A37"/>
  <c r="A38"/>
  <c r="A39"/>
  <c r="A40"/>
  <c r="G40"/>
  <c r="I40" s="1"/>
  <c r="J40" s="1"/>
  <c r="L40"/>
  <c r="N40" s="1"/>
  <c r="O40" s="1"/>
  <c r="Q40"/>
  <c r="S40" s="1"/>
  <c r="T40" s="1"/>
  <c r="AA40"/>
  <c r="AC40" s="1"/>
  <c r="A41"/>
  <c r="A42"/>
  <c r="A43"/>
  <c r="A44"/>
  <c r="A45"/>
  <c r="A46"/>
  <c r="A47"/>
  <c r="AA47"/>
  <c r="AC47" s="1"/>
  <c r="AD47" s="1"/>
  <c r="A48"/>
  <c r="A49"/>
  <c r="A50"/>
  <c r="A51"/>
  <c r="A52"/>
  <c r="A53"/>
  <c r="A54"/>
  <c r="A55"/>
  <c r="A56"/>
  <c r="A57"/>
  <c r="A58"/>
  <c r="A59"/>
  <c r="A60"/>
  <c r="A61"/>
  <c r="G103"/>
  <c r="I103" s="1"/>
  <c r="L103"/>
  <c r="N103" s="1"/>
  <c r="Q103"/>
  <c r="S103" s="1"/>
  <c r="V103"/>
  <c r="X103" s="1"/>
  <c r="AA103"/>
  <c r="AC103" s="1"/>
  <c r="G104"/>
  <c r="I104" s="1"/>
  <c r="L104"/>
  <c r="N104" s="1"/>
  <c r="Q104"/>
  <c r="S104" s="1"/>
  <c r="V104"/>
  <c r="X104" s="1"/>
  <c r="AA104"/>
  <c r="AC104" s="1"/>
  <c r="G112"/>
  <c r="AA112"/>
  <c r="X122"/>
  <c r="AF123"/>
  <c r="AF124"/>
  <c r="L8" i="11"/>
  <c r="Q8"/>
  <c r="Q21" s="1"/>
  <c r="S21" s="1"/>
  <c r="AC17"/>
  <c r="A23"/>
  <c r="B23"/>
  <c r="D23" s="1"/>
  <c r="E23" s="1"/>
  <c r="G23"/>
  <c r="I23" s="1"/>
  <c r="J23" s="1"/>
  <c r="L23"/>
  <c r="N23" s="1"/>
  <c r="A24"/>
  <c r="B24"/>
  <c r="D24" s="1"/>
  <c r="G24"/>
  <c r="I24" s="1"/>
  <c r="L24"/>
  <c r="N24" s="1"/>
  <c r="A25"/>
  <c r="B25"/>
  <c r="D25" s="1"/>
  <c r="G25"/>
  <c r="I25" s="1"/>
  <c r="J25" s="1"/>
  <c r="L25"/>
  <c r="N25" s="1"/>
  <c r="A26"/>
  <c r="B26"/>
  <c r="D26" s="1"/>
  <c r="G26"/>
  <c r="I26" s="1"/>
  <c r="L26"/>
  <c r="N26" s="1"/>
  <c r="A27"/>
  <c r="A28"/>
  <c r="A29"/>
  <c r="A30"/>
  <c r="G30"/>
  <c r="I30" s="1"/>
  <c r="X30" s="1"/>
  <c r="L30"/>
  <c r="N30" s="1"/>
  <c r="A31"/>
  <c r="G31"/>
  <c r="I31" s="1"/>
  <c r="L31"/>
  <c r="N31" s="1"/>
  <c r="A32"/>
  <c r="A33"/>
  <c r="A34"/>
  <c r="A35"/>
  <c r="A36"/>
  <c r="A37"/>
  <c r="G37"/>
  <c r="I37" s="1"/>
  <c r="J37" s="1"/>
  <c r="L37"/>
  <c r="N37" s="1"/>
  <c r="O37" s="1"/>
  <c r="A38"/>
  <c r="A39"/>
  <c r="A40"/>
  <c r="A41"/>
  <c r="A42"/>
  <c r="A43"/>
  <c r="A44"/>
  <c r="A45"/>
  <c r="B45"/>
  <c r="D45" s="1"/>
  <c r="G45"/>
  <c r="I45" s="1"/>
  <c r="J45" s="1"/>
  <c r="L45"/>
  <c r="N45"/>
  <c r="A46"/>
  <c r="A47"/>
  <c r="B47"/>
  <c r="D47"/>
  <c r="G47"/>
  <c r="I47"/>
  <c r="L47"/>
  <c r="N47"/>
  <c r="A48"/>
  <c r="B48"/>
  <c r="D48" s="1"/>
  <c r="G48"/>
  <c r="I48" s="1"/>
  <c r="L48"/>
  <c r="N48" s="1"/>
  <c r="A49"/>
  <c r="A50"/>
  <c r="A51"/>
  <c r="A52"/>
  <c r="B52"/>
  <c r="D52" s="1"/>
  <c r="G52"/>
  <c r="I52" s="1"/>
  <c r="L52"/>
  <c r="N52" s="1"/>
  <c r="A53"/>
  <c r="A54"/>
  <c r="A55"/>
  <c r="Q55"/>
  <c r="Q57"/>
  <c r="A56"/>
  <c r="A57"/>
  <c r="A58"/>
  <c r="Q58"/>
  <c r="B70"/>
  <c r="D70"/>
  <c r="E70" s="1"/>
  <c r="G70"/>
  <c r="L70"/>
  <c r="N70" s="1"/>
  <c r="Q70"/>
  <c r="S70" s="1"/>
  <c r="B74"/>
  <c r="B88" s="1"/>
  <c r="D88" s="1"/>
  <c r="G74"/>
  <c r="L74"/>
  <c r="N74" s="1"/>
  <c r="O74" s="1"/>
  <c r="B87"/>
  <c r="D87" s="1"/>
  <c r="G87"/>
  <c r="G88" s="1"/>
  <c r="L87"/>
  <c r="N87"/>
  <c r="O87" s="1"/>
  <c r="Q87"/>
  <c r="S87" s="1"/>
  <c r="B92"/>
  <c r="D92" s="1"/>
  <c r="G92"/>
  <c r="I92" s="1"/>
  <c r="J92" s="1"/>
  <c r="L92"/>
  <c r="N92"/>
  <c r="Q97"/>
  <c r="V121"/>
  <c r="B122" s="1"/>
  <c r="B123" s="1"/>
  <c r="L122"/>
  <c r="L123"/>
  <c r="V124"/>
  <c r="B132"/>
  <c r="H5" i="13"/>
  <c r="H6"/>
  <c r="H7"/>
  <c r="H8"/>
  <c r="H9"/>
  <c r="H10"/>
  <c r="H11"/>
  <c r="H13"/>
  <c r="H14"/>
  <c r="H15"/>
  <c r="H16"/>
  <c r="H17"/>
  <c r="H18"/>
  <c r="H19"/>
  <c r="H20"/>
  <c r="H21"/>
  <c r="H22"/>
  <c r="H23"/>
  <c r="H24"/>
  <c r="D25"/>
  <c r="H25" s="1"/>
  <c r="H27"/>
  <c r="O28"/>
  <c r="C28" s="1"/>
  <c r="H28"/>
  <c r="H29"/>
  <c r="H30"/>
  <c r="H35"/>
  <c r="F36"/>
  <c r="H36" s="1"/>
  <c r="H38"/>
  <c r="H39"/>
  <c r="H40"/>
  <c r="H41"/>
  <c r="H42"/>
  <c r="H43"/>
  <c r="H45" s="1"/>
  <c r="H44"/>
  <c r="G45"/>
  <c r="B46"/>
  <c r="D46"/>
  <c r="E46"/>
  <c r="F46"/>
  <c r="G46"/>
  <c r="B10" i="14"/>
  <c r="B11"/>
  <c r="B13" s="1"/>
  <c r="B18" s="1"/>
  <c r="B12"/>
  <c r="B14"/>
  <c r="B15"/>
  <c r="B16"/>
  <c r="C19"/>
  <c r="C20"/>
  <c r="C22" s="1"/>
  <c r="C27" s="1"/>
  <c r="C21"/>
  <c r="C23"/>
  <c r="C24"/>
  <c r="C25"/>
  <c r="B30"/>
  <c r="B31"/>
  <c r="C33"/>
  <c r="C34"/>
  <c r="B40"/>
  <c r="C41"/>
  <c r="B47"/>
  <c r="C47"/>
  <c r="B53"/>
  <c r="C54"/>
  <c r="B55"/>
  <c r="C55"/>
  <c r="M41" i="15"/>
  <c r="M45" s="1"/>
  <c r="M42"/>
  <c r="M43"/>
  <c r="M44"/>
  <c r="B61" i="14"/>
  <c r="B62"/>
  <c r="B64" s="1"/>
  <c r="B63"/>
  <c r="M50" i="15"/>
  <c r="M54" s="1"/>
  <c r="M52"/>
  <c r="N52" s="1"/>
  <c r="O52" s="1"/>
  <c r="M53"/>
  <c r="C68" i="14"/>
  <c r="E19" i="16"/>
  <c r="C69" i="14"/>
  <c r="C70"/>
  <c r="C71" s="1"/>
  <c r="M37" i="15"/>
  <c r="N37"/>
  <c r="B75" i="14" s="1"/>
  <c r="B76"/>
  <c r="B77" s="1"/>
  <c r="B79"/>
  <c r="B81"/>
  <c r="B85"/>
  <c r="C86"/>
  <c r="B88"/>
  <c r="B79" i="15"/>
  <c r="B95" i="14" s="1"/>
  <c r="C96"/>
  <c r="C105" s="1"/>
  <c r="B98"/>
  <c r="B107" s="1"/>
  <c r="C99"/>
  <c r="C108" s="1"/>
  <c r="B101"/>
  <c r="B110" s="1"/>
  <c r="C102"/>
  <c r="C111" s="1"/>
  <c r="E79" i="15"/>
  <c r="B104" i="14" s="1"/>
  <c r="H79" i="15"/>
  <c r="B115" i="14" s="1"/>
  <c r="C115"/>
  <c r="C116"/>
  <c r="F117"/>
  <c r="K79" i="15"/>
  <c r="B118" i="14"/>
  <c r="C119"/>
  <c r="P79" i="15"/>
  <c r="P81" s="1"/>
  <c r="B122" i="14" s="1"/>
  <c r="I122"/>
  <c r="I123"/>
  <c r="G124"/>
  <c r="H124"/>
  <c r="I124"/>
  <c r="N79" i="15"/>
  <c r="B126" i="14"/>
  <c r="R79" i="15"/>
  <c r="C127" i="14"/>
  <c r="B3" i="17"/>
  <c r="B4"/>
  <c r="B12" s="1"/>
  <c r="B131" i="14" s="1"/>
  <c r="B5" i="17"/>
  <c r="B6"/>
  <c r="B7"/>
  <c r="B8"/>
  <c r="B9"/>
  <c r="D3"/>
  <c r="D12" s="1"/>
  <c r="C132" i="14" s="1"/>
  <c r="D4" i="17"/>
  <c r="D5"/>
  <c r="D6"/>
  <c r="D7"/>
  <c r="D8"/>
  <c r="D9"/>
  <c r="L12"/>
  <c r="B134" i="14"/>
  <c r="G3" i="17"/>
  <c r="G7"/>
  <c r="G8"/>
  <c r="G9"/>
  <c r="G12" s="1"/>
  <c r="B137" i="14" s="1"/>
  <c r="I3" i="17"/>
  <c r="I7"/>
  <c r="I8"/>
  <c r="I9"/>
  <c r="I12" s="1"/>
  <c r="C138" i="14" s="1"/>
  <c r="H2" i="15"/>
  <c r="N2"/>
  <c r="N4" s="1"/>
  <c r="H3"/>
  <c r="N3"/>
  <c r="O4"/>
  <c r="H6"/>
  <c r="N6"/>
  <c r="H7"/>
  <c r="N7"/>
  <c r="H8"/>
  <c r="N8"/>
  <c r="H9"/>
  <c r="N9"/>
  <c r="H10"/>
  <c r="N10"/>
  <c r="E11"/>
  <c r="H11"/>
  <c r="N11"/>
  <c r="O11"/>
  <c r="H13"/>
  <c r="N13"/>
  <c r="N18" s="1"/>
  <c r="H14"/>
  <c r="N14"/>
  <c r="H15"/>
  <c r="N15"/>
  <c r="S15"/>
  <c r="S17"/>
  <c r="H16"/>
  <c r="N16"/>
  <c r="H17"/>
  <c r="N17"/>
  <c r="U17"/>
  <c r="E18"/>
  <c r="H18"/>
  <c r="O18"/>
  <c r="H22"/>
  <c r="H23"/>
  <c r="H25"/>
  <c r="N25"/>
  <c r="H26"/>
  <c r="N26"/>
  <c r="H28"/>
  <c r="H29"/>
  <c r="H31"/>
  <c r="H32"/>
  <c r="O32"/>
  <c r="P32"/>
  <c r="O33"/>
  <c r="P33"/>
  <c r="T33"/>
  <c r="U33"/>
  <c r="O34"/>
  <c r="P34"/>
  <c r="O35"/>
  <c r="P35"/>
  <c r="O36"/>
  <c r="P36"/>
  <c r="O37"/>
  <c r="P37"/>
  <c r="V40"/>
  <c r="N41"/>
  <c r="O41"/>
  <c r="N42"/>
  <c r="O42"/>
  <c r="N43"/>
  <c r="O43"/>
  <c r="N44"/>
  <c r="O44"/>
  <c r="N50"/>
  <c r="O50"/>
  <c r="N51"/>
  <c r="O51"/>
  <c r="N53"/>
  <c r="O53"/>
  <c r="K66"/>
  <c r="C74"/>
  <c r="F74"/>
  <c r="C75"/>
  <c r="F75"/>
  <c r="I75"/>
  <c r="I79" s="1"/>
  <c r="I81" s="1"/>
  <c r="L75"/>
  <c r="O75"/>
  <c r="C76"/>
  <c r="F76"/>
  <c r="F79" s="1"/>
  <c r="F81" s="1"/>
  <c r="L76"/>
  <c r="O76"/>
  <c r="S76"/>
  <c r="C77"/>
  <c r="C79" s="1"/>
  <c r="C81" s="1"/>
  <c r="F77"/>
  <c r="L77"/>
  <c r="L79" s="1"/>
  <c r="L81" s="1"/>
  <c r="O77"/>
  <c r="O79"/>
  <c r="O81" s="1"/>
  <c r="S77"/>
  <c r="F78"/>
  <c r="L78"/>
  <c r="O78"/>
  <c r="S78"/>
  <c r="D79"/>
  <c r="D81"/>
  <c r="G79"/>
  <c r="G81"/>
  <c r="J79"/>
  <c r="J81"/>
  <c r="M79"/>
  <c r="S79"/>
  <c r="S81" s="1"/>
  <c r="C80"/>
  <c r="F80"/>
  <c r="I80"/>
  <c r="L80"/>
  <c r="O80"/>
  <c r="S80"/>
  <c r="E81"/>
  <c r="K81"/>
  <c r="M81"/>
  <c r="N81"/>
  <c r="R81"/>
  <c r="F2" i="16"/>
  <c r="H2"/>
  <c r="L2"/>
  <c r="N2"/>
  <c r="N8" s="1"/>
  <c r="F3"/>
  <c r="H3"/>
  <c r="L3"/>
  <c r="N3"/>
  <c r="F4"/>
  <c r="H4"/>
  <c r="L4"/>
  <c r="N4"/>
  <c r="F5"/>
  <c r="H5"/>
  <c r="L5"/>
  <c r="N5"/>
  <c r="F6"/>
  <c r="H6"/>
  <c r="L6"/>
  <c r="N6"/>
  <c r="F7"/>
  <c r="H7"/>
  <c r="L7"/>
  <c r="N7"/>
  <c r="B8"/>
  <c r="H8"/>
  <c r="J8"/>
  <c r="K8"/>
  <c r="P8"/>
  <c r="F10"/>
  <c r="H10"/>
  <c r="L10"/>
  <c r="N10"/>
  <c r="F11"/>
  <c r="H11"/>
  <c r="L11"/>
  <c r="N11"/>
  <c r="B12"/>
  <c r="K12"/>
  <c r="C14"/>
  <c r="D14"/>
  <c r="E14" s="1"/>
  <c r="F14" s="1"/>
  <c r="D15"/>
  <c r="E15"/>
  <c r="F15" s="1"/>
  <c r="C18"/>
  <c r="C21" s="1"/>
  <c r="F18"/>
  <c r="H18"/>
  <c r="H21" s="1"/>
  <c r="C19"/>
  <c r="F19"/>
  <c r="F21" s="1"/>
  <c r="H19"/>
  <c r="C20"/>
  <c r="F20"/>
  <c r="H20"/>
  <c r="B21"/>
  <c r="E21"/>
  <c r="B41" s="1"/>
  <c r="T36"/>
  <c r="F39"/>
  <c r="B40"/>
  <c r="F43"/>
  <c r="F44"/>
  <c r="F46"/>
  <c r="F47"/>
  <c r="F49"/>
  <c r="F50"/>
  <c r="B55"/>
  <c r="F55" s="1"/>
  <c r="B56"/>
  <c r="F56" s="1"/>
  <c r="B58"/>
  <c r="F58" s="1"/>
  <c r="B59"/>
  <c r="F59" s="1"/>
  <c r="B61"/>
  <c r="C61"/>
  <c r="B62"/>
  <c r="C62"/>
  <c r="F62"/>
  <c r="B64"/>
  <c r="B65"/>
  <c r="B67"/>
  <c r="B68"/>
  <c r="R3" i="17"/>
  <c r="Q5"/>
  <c r="R5"/>
  <c r="S5" s="1"/>
  <c r="Q6"/>
  <c r="R6"/>
  <c r="S6"/>
  <c r="Q8"/>
  <c r="R8"/>
  <c r="S8" s="1"/>
  <c r="Q9"/>
  <c r="R9"/>
  <c r="S9"/>
  <c r="Q10"/>
  <c r="R10"/>
  <c r="S10" s="1"/>
  <c r="Q11"/>
  <c r="R11"/>
  <c r="S11"/>
  <c r="I14"/>
  <c r="H19"/>
  <c r="H26" s="1"/>
  <c r="J19"/>
  <c r="C20"/>
  <c r="C26"/>
  <c r="E20"/>
  <c r="H20"/>
  <c r="J20"/>
  <c r="J26" s="1"/>
  <c r="H21"/>
  <c r="J21"/>
  <c r="H22"/>
  <c r="J22"/>
  <c r="B26"/>
  <c r="D26"/>
  <c r="E26"/>
  <c r="G26"/>
  <c r="C32"/>
  <c r="C33"/>
  <c r="J5" i="18"/>
  <c r="J6"/>
  <c r="J7"/>
  <c r="E8"/>
  <c r="E10" s="1"/>
  <c r="E19" s="1"/>
  <c r="E26" s="1"/>
  <c r="J12"/>
  <c r="C13"/>
  <c r="J13"/>
  <c r="J14"/>
  <c r="J15"/>
  <c r="J16"/>
  <c r="E17"/>
  <c r="M19"/>
  <c r="E24"/>
  <c r="D4" i="19"/>
  <c r="C26" i="14"/>
  <c r="AK7" i="4"/>
  <c r="Q4" i="17"/>
  <c r="S4" s="1"/>
  <c r="C12"/>
  <c r="D131" i="14" s="1"/>
  <c r="C55" i="15"/>
  <c r="H53"/>
  <c r="H81"/>
  <c r="B81"/>
  <c r="M34" i="6"/>
  <c r="N6" i="20"/>
  <c r="C6" s="1"/>
  <c r="N5"/>
  <c r="D32" i="16"/>
  <c r="AF54" i="10"/>
  <c r="H49" i="22" s="1"/>
  <c r="C131" i="9"/>
  <c r="D131" s="1"/>
  <c r="C129"/>
  <c r="D129" s="1"/>
  <c r="AF79" i="10"/>
  <c r="H74" i="22" s="1"/>
  <c r="E3" i="18"/>
  <c r="F28" i="2" s="1"/>
  <c r="L7" i="9"/>
  <c r="N7" s="1"/>
  <c r="O7" s="1"/>
  <c r="AA54" i="10"/>
  <c r="AC54" s="1"/>
  <c r="AD54" s="1"/>
  <c r="Q6" i="4"/>
  <c r="Q9" s="1"/>
  <c r="Q20" s="1"/>
  <c r="B15" i="5"/>
  <c r="B32" i="14"/>
  <c r="AF107" i="10"/>
  <c r="AK53" i="9"/>
  <c r="AM53" s="1"/>
  <c r="AK52"/>
  <c r="AM52" s="1"/>
  <c r="AF36" i="10"/>
  <c r="AK38" i="9"/>
  <c r="AM38" s="1"/>
  <c r="AF28" i="10"/>
  <c r="AK30" i="9"/>
  <c r="AF27" i="10"/>
  <c r="AK29" i="9"/>
  <c r="AF101" i="10"/>
  <c r="AA95"/>
  <c r="AF96"/>
  <c r="H91" i="22" s="1"/>
  <c r="V97" i="9"/>
  <c r="Q97"/>
  <c r="Q75"/>
  <c r="L97"/>
  <c r="N97" s="1"/>
  <c r="O97" s="1"/>
  <c r="G97"/>
  <c r="G75"/>
  <c r="B59"/>
  <c r="D59" s="1"/>
  <c r="AF47"/>
  <c r="AF49" s="1"/>
  <c r="G90" i="10"/>
  <c r="G73"/>
  <c r="B34" i="8"/>
  <c r="D34" s="1"/>
  <c r="V90" i="10"/>
  <c r="V77"/>
  <c r="X77" s="1"/>
  <c r="V45"/>
  <c r="X45" s="1"/>
  <c r="Y45" s="1"/>
  <c r="Q73"/>
  <c r="Q57"/>
  <c r="Q32"/>
  <c r="L95"/>
  <c r="L77"/>
  <c r="N77" s="1"/>
  <c r="B35" i="11"/>
  <c r="D35" s="1"/>
  <c r="I88"/>
  <c r="J88" s="1"/>
  <c r="AF109" i="10"/>
  <c r="H106" i="22" s="1"/>
  <c r="V89" i="11"/>
  <c r="K76" i="1"/>
  <c r="AK55" i="9"/>
  <c r="E48" i="22" s="1"/>
  <c r="AK48" i="9"/>
  <c r="E41" i="22" s="1"/>
  <c r="AF39" i="10"/>
  <c r="H34" i="22" s="1"/>
  <c r="AK41" i="9"/>
  <c r="E34" i="22" s="1"/>
  <c r="AF33" i="10"/>
  <c r="H28" i="22" s="1"/>
  <c r="AK35" i="9"/>
  <c r="E28" i="22" s="1"/>
  <c r="AF32" i="10"/>
  <c r="H27" i="22" s="1"/>
  <c r="AA77" i="10"/>
  <c r="AC77" s="1"/>
  <c r="AD77" s="1"/>
  <c r="AA73"/>
  <c r="B95"/>
  <c r="AF79" i="9"/>
  <c r="AH79" s="1"/>
  <c r="AI79" s="1"/>
  <c r="V92"/>
  <c r="Q92"/>
  <c r="L92"/>
  <c r="G92"/>
  <c r="G47"/>
  <c r="G58" s="1"/>
  <c r="L47"/>
  <c r="N47" s="1"/>
  <c r="O47" s="1"/>
  <c r="Q47"/>
  <c r="Q49" s="1"/>
  <c r="V56"/>
  <c r="X56" s="1"/>
  <c r="Y56" s="1"/>
  <c r="G95" i="10"/>
  <c r="G77"/>
  <c r="L29" i="11"/>
  <c r="G29"/>
  <c r="G57" i="10"/>
  <c r="I57" s="1"/>
  <c r="J57" s="1"/>
  <c r="G45"/>
  <c r="I45" s="1"/>
  <c r="Q90"/>
  <c r="Q77"/>
  <c r="S77"/>
  <c r="L73"/>
  <c r="V91"/>
  <c r="B37" i="11"/>
  <c r="D37" s="1"/>
  <c r="G49" i="9"/>
  <c r="L49"/>
  <c r="N49"/>
  <c r="O49" s="1"/>
  <c r="G47" i="10"/>
  <c r="I47" s="1"/>
  <c r="J47" s="1"/>
  <c r="B51" i="11"/>
  <c r="D51" s="1"/>
  <c r="D58" i="8"/>
  <c r="C89"/>
  <c r="D42"/>
  <c r="D68"/>
  <c r="AB32" i="9"/>
  <c r="AB40"/>
  <c r="AB42" s="1"/>
  <c r="AB75"/>
  <c r="AB92"/>
  <c r="AL98"/>
  <c r="W40"/>
  <c r="W58" s="1"/>
  <c r="W60" s="1"/>
  <c r="W75"/>
  <c r="W92"/>
  <c r="W97"/>
  <c r="W32"/>
  <c r="W34" s="1"/>
  <c r="AL95"/>
  <c r="F88" i="22" s="1"/>
  <c r="M92" i="9"/>
  <c r="AL65"/>
  <c r="AL71"/>
  <c r="F64" i="22" s="1"/>
  <c r="AL68" i="9"/>
  <c r="F61" i="22" s="1"/>
  <c r="S112" i="9"/>
  <c r="R114"/>
  <c r="AL112"/>
  <c r="F107" i="22" s="1"/>
  <c r="C26" i="9"/>
  <c r="D68"/>
  <c r="E68" s="1"/>
  <c r="I61"/>
  <c r="J61" s="1"/>
  <c r="I83"/>
  <c r="J83" s="1"/>
  <c r="I95"/>
  <c r="J95" s="1"/>
  <c r="N16"/>
  <c r="O16" s="1"/>
  <c r="N50"/>
  <c r="O50" s="1"/>
  <c r="S61"/>
  <c r="T61" s="1"/>
  <c r="S95"/>
  <c r="T95" s="1"/>
  <c r="X86"/>
  <c r="Y86" s="1"/>
  <c r="AC35"/>
  <c r="AL110"/>
  <c r="AL94"/>
  <c r="F87" i="22" s="1"/>
  <c r="AL88" i="9"/>
  <c r="F81" i="22" s="1"/>
  <c r="AL82" i="9"/>
  <c r="F75" i="22" s="1"/>
  <c r="AL80" i="9"/>
  <c r="F73" i="22" s="1"/>
  <c r="AL70" i="9"/>
  <c r="F63" i="22" s="1"/>
  <c r="AL46" i="9"/>
  <c r="F39" i="22" s="1"/>
  <c r="AL28" i="9"/>
  <c r="AL23"/>
  <c r="AL12"/>
  <c r="H47"/>
  <c r="H58" s="1"/>
  <c r="H92"/>
  <c r="M32"/>
  <c r="M34" s="1"/>
  <c r="M75"/>
  <c r="R47"/>
  <c r="R58" s="1"/>
  <c r="R75"/>
  <c r="D71"/>
  <c r="D65"/>
  <c r="C75"/>
  <c r="C99" s="1"/>
  <c r="C104" s="1"/>
  <c r="D80"/>
  <c r="N82"/>
  <c r="S16"/>
  <c r="T16" s="1"/>
  <c r="S24"/>
  <c r="X29"/>
  <c r="Y29" s="1"/>
  <c r="X37"/>
  <c r="Y37" s="1"/>
  <c r="X39"/>
  <c r="X103"/>
  <c r="Y103" s="1"/>
  <c r="AC69"/>
  <c r="AD69" s="1"/>
  <c r="AL50"/>
  <c r="AL9"/>
  <c r="I16"/>
  <c r="J16" s="1"/>
  <c r="AH125"/>
  <c r="X125"/>
  <c r="N125"/>
  <c r="Q79"/>
  <c r="S79" s="1"/>
  <c r="T79" s="1"/>
  <c r="V47"/>
  <c r="X47" s="1"/>
  <c r="Y47" s="1"/>
  <c r="AK50"/>
  <c r="G42"/>
  <c r="I42" s="1"/>
  <c r="AF97"/>
  <c r="AA79"/>
  <c r="L34"/>
  <c r="AA58"/>
  <c r="AA60" s="1"/>
  <c r="B16"/>
  <c r="D51"/>
  <c r="E51" s="1"/>
  <c r="D136"/>
  <c r="E32"/>
  <c r="AK36"/>
  <c r="E29" i="22" s="1"/>
  <c r="AK31" i="9"/>
  <c r="C141"/>
  <c r="D141" s="1"/>
  <c r="C140"/>
  <c r="D140" s="1"/>
  <c r="C139"/>
  <c r="D139" s="1"/>
  <c r="C138"/>
  <c r="D138" s="1"/>
  <c r="C137"/>
  <c r="D137" s="1"/>
  <c r="D142" s="1"/>
  <c r="B47"/>
  <c r="D16"/>
  <c r="E16" s="1"/>
  <c r="B17" i="14"/>
  <c r="AF29" i="5"/>
  <c r="D10" i="8"/>
  <c r="D11" i="1" s="1"/>
  <c r="AB34" i="9"/>
  <c r="AC32"/>
  <c r="AD32" s="1"/>
  <c r="AB58"/>
  <c r="AB60" s="1"/>
  <c r="W99"/>
  <c r="W42"/>
  <c r="AL42" s="1"/>
  <c r="R49"/>
  <c r="N32"/>
  <c r="O32" s="1"/>
  <c r="E80"/>
  <c r="E65"/>
  <c r="H49"/>
  <c r="I49" s="1"/>
  <c r="J49" s="1"/>
  <c r="AD35"/>
  <c r="S114"/>
  <c r="AK16"/>
  <c r="E15" i="1" s="1"/>
  <c r="B17" i="4"/>
  <c r="B49" i="9"/>
  <c r="D49" s="1"/>
  <c r="E49" s="1"/>
  <c r="D47"/>
  <c r="E47" s="1"/>
  <c r="B58"/>
  <c r="D58" s="1"/>
  <c r="E58" s="1"/>
  <c r="C142"/>
  <c r="AC58"/>
  <c r="AD58" s="1"/>
  <c r="J92" i="10"/>
  <c r="E63"/>
  <c r="S57"/>
  <c r="T57" s="1"/>
  <c r="AF55"/>
  <c r="H50" i="22" s="1"/>
  <c r="AF46" i="10"/>
  <c r="H41" i="22" s="1"/>
  <c r="AC46" i="10"/>
  <c r="AD46" s="1"/>
  <c r="AF35"/>
  <c r="H30" i="22" s="1"/>
  <c r="AF29" i="10"/>
  <c r="H24" i="22" s="1"/>
  <c r="AF110" i="10"/>
  <c r="H107" i="22" s="1"/>
  <c r="D108" i="10"/>
  <c r="AF89"/>
  <c r="H84" i="22" s="1"/>
  <c r="AC89" i="10"/>
  <c r="AD89" s="1"/>
  <c r="AC84"/>
  <c r="AD84" s="1"/>
  <c r="AF82"/>
  <c r="H77" i="22" s="1"/>
  <c r="AC82" i="10"/>
  <c r="AD82" s="1"/>
  <c r="AA56"/>
  <c r="AC56" s="1"/>
  <c r="AD56" s="1"/>
  <c r="AC52"/>
  <c r="AD52" s="1"/>
  <c r="X86"/>
  <c r="Y86" s="1"/>
  <c r="X84"/>
  <c r="Y84" s="1"/>
  <c r="V54"/>
  <c r="X54" s="1"/>
  <c r="X53"/>
  <c r="S95"/>
  <c r="S88"/>
  <c r="S84"/>
  <c r="S80"/>
  <c r="AA100"/>
  <c r="AC49"/>
  <c r="AD49" s="1"/>
  <c r="B40"/>
  <c r="D40" s="1"/>
  <c r="E40" s="1"/>
  <c r="AF106"/>
  <c r="S106"/>
  <c r="AF48"/>
  <c r="AF37"/>
  <c r="AF26"/>
  <c r="AC26"/>
  <c r="AD26" s="1"/>
  <c r="AF111"/>
  <c r="D109"/>
  <c r="AF88"/>
  <c r="AC88"/>
  <c r="AD88" s="1"/>
  <c r="AC83"/>
  <c r="AD83" s="1"/>
  <c r="AC81"/>
  <c r="AD81" s="1"/>
  <c r="AC80"/>
  <c r="AD80" s="1"/>
  <c r="V95"/>
  <c r="X94"/>
  <c r="X85"/>
  <c r="Y85" s="1"/>
  <c r="X83"/>
  <c r="Y83" s="1"/>
  <c r="X81"/>
  <c r="Y81" s="1"/>
  <c r="X79"/>
  <c r="Y79" s="1"/>
  <c r="X31"/>
  <c r="S89"/>
  <c r="S85"/>
  <c r="S83"/>
  <c r="S79"/>
  <c r="B112"/>
  <c r="AF114" s="1"/>
  <c r="AF87"/>
  <c r="AF86"/>
  <c r="AF85"/>
  <c r="AF84"/>
  <c r="Q95"/>
  <c r="Q56"/>
  <c r="Q58" s="1"/>
  <c r="X73"/>
  <c r="AA58"/>
  <c r="AC58" s="1"/>
  <c r="AD58" s="1"/>
  <c r="V97"/>
  <c r="D22"/>
  <c r="AH22" s="1"/>
  <c r="D33"/>
  <c r="D48"/>
  <c r="E48" s="1"/>
  <c r="AA90"/>
  <c r="L9" i="4"/>
  <c r="L20" s="1"/>
  <c r="C35" i="14"/>
  <c r="AC100" i="10"/>
  <c r="AD100" s="1"/>
  <c r="M21" i="11"/>
  <c r="M116" s="1"/>
  <c r="Q7" i="5"/>
  <c r="N8" i="11"/>
  <c r="L21"/>
  <c r="N21" s="1"/>
  <c r="O21" s="1"/>
  <c r="E36" i="15"/>
  <c r="C36"/>
  <c r="D36"/>
  <c r="F36"/>
  <c r="G36"/>
  <c r="C63" i="9"/>
  <c r="C64" s="1"/>
  <c r="AF112" i="10"/>
  <c r="H109" i="22" s="1"/>
  <c r="V49" i="9"/>
  <c r="X49" s="1"/>
  <c r="Y49" s="1"/>
  <c r="AK59"/>
  <c r="E52" i="22" s="1"/>
  <c r="G122" i="11"/>
  <c r="G123"/>
  <c r="B9" i="4"/>
  <c r="B20" s="1"/>
  <c r="AF32" i="9"/>
  <c r="AF34" s="1"/>
  <c r="V32"/>
  <c r="V34" s="1"/>
  <c r="G3" i="7"/>
  <c r="G5"/>
  <c r="AF92" i="9"/>
  <c r="AA97"/>
  <c r="AC97" s="1"/>
  <c r="AD97" s="1"/>
  <c r="L75"/>
  <c r="B89" i="8"/>
  <c r="AK57" i="9"/>
  <c r="E50" i="22" s="1"/>
  <c r="Q42" i="9"/>
  <c r="S42" s="1"/>
  <c r="T42" s="1"/>
  <c r="V29" i="11"/>
  <c r="AM24" i="9"/>
  <c r="E80" i="8"/>
  <c r="X7" i="9"/>
  <c r="Y7" s="1"/>
  <c r="AG58"/>
  <c r="AG60" s="1"/>
  <c r="D17" i="11"/>
  <c r="X32"/>
  <c r="AI13" i="10"/>
  <c r="W24"/>
  <c r="AF108"/>
  <c r="H105" i="22" s="1"/>
  <c r="Q56" i="9"/>
  <c r="S56" s="1"/>
  <c r="T56" s="1"/>
  <c r="AF54"/>
  <c r="L54"/>
  <c r="AF34" i="10"/>
  <c r="V40" i="9"/>
  <c r="AF102"/>
  <c r="AH102" s="1"/>
  <c r="AI102" s="1"/>
  <c r="AA75"/>
  <c r="V102"/>
  <c r="Y102" s="1"/>
  <c r="V79"/>
  <c r="X79" s="1"/>
  <c r="Q102"/>
  <c r="S102" s="1"/>
  <c r="T102" s="1"/>
  <c r="L102"/>
  <c r="N102" s="1"/>
  <c r="O102" s="1"/>
  <c r="L79"/>
  <c r="N79" s="1"/>
  <c r="O79" s="1"/>
  <c r="B71" i="8"/>
  <c r="B97" i="9"/>
  <c r="D97" s="1"/>
  <c r="E97" s="1"/>
  <c r="B92"/>
  <c r="B56"/>
  <c r="D56" s="1"/>
  <c r="E56" s="1"/>
  <c r="G56"/>
  <c r="V17" i="11"/>
  <c r="K15" i="1" s="1"/>
  <c r="V43" i="11"/>
  <c r="B42"/>
  <c r="L42"/>
  <c r="G42"/>
  <c r="AA102" i="9"/>
  <c r="AC102" s="1"/>
  <c r="AD102" s="1"/>
  <c r="O98"/>
  <c r="W119" i="10"/>
  <c r="AI12"/>
  <c r="AB24"/>
  <c r="H24"/>
  <c r="C24" i="8"/>
  <c r="C25" i="22" s="1"/>
  <c r="H107" i="11"/>
  <c r="H109" s="1"/>
  <c r="AF56" i="9"/>
  <c r="AH56" s="1"/>
  <c r="AI56" s="1"/>
  <c r="AH54"/>
  <c r="AI54"/>
  <c r="AF58"/>
  <c r="L56"/>
  <c r="V42"/>
  <c r="X42" s="1"/>
  <c r="Y42" s="1"/>
  <c r="P62" i="2"/>
  <c r="P65"/>
  <c r="P63"/>
  <c r="P64"/>
  <c r="E49" i="11"/>
  <c r="E33"/>
  <c r="X33"/>
  <c r="M31" i="22" s="1"/>
  <c r="AK32" i="9"/>
  <c r="AK97"/>
  <c r="E90" i="22" s="1"/>
  <c r="N93" i="9"/>
  <c r="N29" i="11"/>
  <c r="O29" s="1"/>
  <c r="O27"/>
  <c r="X34"/>
  <c r="E41"/>
  <c r="X47"/>
  <c r="E66"/>
  <c r="E64"/>
  <c r="E61"/>
  <c r="N38" i="10"/>
  <c r="O38" s="1"/>
  <c r="Q91"/>
  <c r="Q97" s="1"/>
  <c r="G94" i="11"/>
  <c r="V35"/>
  <c r="K33" i="22" s="1"/>
  <c r="AA49" i="9"/>
  <c r="AC49" s="1"/>
  <c r="AD49" s="1"/>
  <c r="AF43" i="10"/>
  <c r="AK45" i="9"/>
  <c r="E38" i="22" s="1"/>
  <c r="AF42" i="10"/>
  <c r="AK44" i="9"/>
  <c r="E37" i="22" s="1"/>
  <c r="AK37" i="9"/>
  <c r="E30" i="22" s="1"/>
  <c r="G102" i="9"/>
  <c r="I102" s="1"/>
  <c r="J102" s="1"/>
  <c r="G79"/>
  <c r="B84" i="8"/>
  <c r="B85" i="22" s="1"/>
  <c r="D57" i="9"/>
  <c r="G34"/>
  <c r="I34" s="1"/>
  <c r="J34" s="1"/>
  <c r="AA56"/>
  <c r="AC56" s="1"/>
  <c r="AD56" s="1"/>
  <c r="G53" i="11"/>
  <c r="V34"/>
  <c r="X56"/>
  <c r="AH41" i="10"/>
  <c r="J36" i="22" s="1"/>
  <c r="B51" i="8"/>
  <c r="B26"/>
  <c r="X95" i="10"/>
  <c r="L57"/>
  <c r="N57" s="1"/>
  <c r="B57"/>
  <c r="L45"/>
  <c r="L47" s="1"/>
  <c r="N47" s="1"/>
  <c r="O47" s="1"/>
  <c r="L32"/>
  <c r="S46" i="9"/>
  <c r="T46" s="1"/>
  <c r="S74"/>
  <c r="T74" s="1"/>
  <c r="I46"/>
  <c r="I94"/>
  <c r="J94" s="1"/>
  <c r="AC28"/>
  <c r="AD28" s="1"/>
  <c r="AC61"/>
  <c r="AD61" s="1"/>
  <c r="X28"/>
  <c r="Y28" s="1"/>
  <c r="AM37"/>
  <c r="AN37" s="1"/>
  <c r="N28"/>
  <c r="O28" s="1"/>
  <c r="N65"/>
  <c r="O65" s="1"/>
  <c r="N74"/>
  <c r="N88"/>
  <c r="I83" i="11"/>
  <c r="J83" s="1"/>
  <c r="X35" i="9"/>
  <c r="X76"/>
  <c r="Y76" s="1"/>
  <c r="AH47"/>
  <c r="AI47"/>
  <c r="AH50"/>
  <c r="AH80"/>
  <c r="V75"/>
  <c r="AA92"/>
  <c r="AF75"/>
  <c r="N50" i="11"/>
  <c r="O50" s="1"/>
  <c r="N46"/>
  <c r="O46" s="1"/>
  <c r="I50"/>
  <c r="J50" s="1"/>
  <c r="D50"/>
  <c r="J81"/>
  <c r="Q74"/>
  <c r="S71"/>
  <c r="X72"/>
  <c r="S71" i="9"/>
  <c r="S97"/>
  <c r="T97" s="1"/>
  <c r="I71"/>
  <c r="AC74"/>
  <c r="AM29"/>
  <c r="AN29" s="1"/>
  <c r="X70"/>
  <c r="Y70" s="1"/>
  <c r="X95"/>
  <c r="Y95" s="1"/>
  <c r="N68"/>
  <c r="I82" i="11"/>
  <c r="J82" s="1"/>
  <c r="I60"/>
  <c r="AC65" i="9"/>
  <c r="AD65" s="1"/>
  <c r="AC94"/>
  <c r="AD94" s="1"/>
  <c r="AD88"/>
  <c r="AH28"/>
  <c r="AI28" s="1"/>
  <c r="E42" i="8"/>
  <c r="W103" i="11"/>
  <c r="H87"/>
  <c r="W83"/>
  <c r="W104"/>
  <c r="W60"/>
  <c r="W82"/>
  <c r="H70"/>
  <c r="I70" s="1"/>
  <c r="W59"/>
  <c r="W19"/>
  <c r="M58" i="9"/>
  <c r="N54"/>
  <c r="O54" s="1"/>
  <c r="M56"/>
  <c r="AL54"/>
  <c r="F47" i="22" s="1"/>
  <c r="E68" i="8"/>
  <c r="AH74" i="9"/>
  <c r="S16" i="10"/>
  <c r="AH16" s="1"/>
  <c r="C67" i="8"/>
  <c r="AB90" i="10"/>
  <c r="AB91" s="1"/>
  <c r="AB97" s="1"/>
  <c r="AB102" s="1"/>
  <c r="O8" i="11"/>
  <c r="S20"/>
  <c r="D54" i="16"/>
  <c r="AG26" i="9"/>
  <c r="M26"/>
  <c r="B48" i="8"/>
  <c r="B39"/>
  <c r="D33"/>
  <c r="D34" i="22" s="1"/>
  <c r="D32" i="8"/>
  <c r="D43"/>
  <c r="D44" i="22" s="1"/>
  <c r="D69" i="8"/>
  <c r="D79"/>
  <c r="D80" i="22" s="1"/>
  <c r="D62" i="8"/>
  <c r="D76"/>
  <c r="D77" i="22" s="1"/>
  <c r="D59" i="1"/>
  <c r="C114" i="9"/>
  <c r="C90" i="10"/>
  <c r="AG90" s="1"/>
  <c r="T71" i="9"/>
  <c r="AD74"/>
  <c r="O88"/>
  <c r="AG34"/>
  <c r="AH32"/>
  <c r="AI32" s="1"/>
  <c r="AH97"/>
  <c r="AI97" s="1"/>
  <c r="W104"/>
  <c r="J71"/>
  <c r="O68"/>
  <c r="AG99"/>
  <c r="AG104" s="1"/>
  <c r="J60" i="11"/>
  <c r="E10" i="8"/>
  <c r="AL93" i="9"/>
  <c r="I18" i="11"/>
  <c r="I103"/>
  <c r="AB62" i="9"/>
  <c r="AB64" s="1"/>
  <c r="AI74"/>
  <c r="AH86"/>
  <c r="AG72" i="10"/>
  <c r="S113" i="9"/>
  <c r="R97" i="10"/>
  <c r="R102" s="1"/>
  <c r="E16"/>
  <c r="E44"/>
  <c r="E31"/>
  <c r="AD64"/>
  <c r="AD92"/>
  <c r="N45"/>
  <c r="O45"/>
  <c r="E71"/>
  <c r="E68"/>
  <c r="G91"/>
  <c r="V123"/>
  <c r="B20" s="1"/>
  <c r="Q123"/>
  <c r="B19" s="1"/>
  <c r="L123"/>
  <c r="B18" s="1"/>
  <c r="I95"/>
  <c r="J95" s="1"/>
  <c r="I90"/>
  <c r="B54"/>
  <c r="D54" s="1"/>
  <c r="V32"/>
  <c r="X32" s="1"/>
  <c r="Y32" s="1"/>
  <c r="AH83"/>
  <c r="AH82"/>
  <c r="J96"/>
  <c r="AH96"/>
  <c r="E66"/>
  <c r="E36"/>
  <c r="AH29"/>
  <c r="AA32"/>
  <c r="AA60" s="1"/>
  <c r="D52"/>
  <c r="B45"/>
  <c r="E38"/>
  <c r="E30"/>
  <c r="B32"/>
  <c r="G54"/>
  <c r="I54" s="1"/>
  <c r="J54" s="1"/>
  <c r="G32"/>
  <c r="I32" s="1"/>
  <c r="J32" s="1"/>
  <c r="AH81"/>
  <c r="C73"/>
  <c r="C60"/>
  <c r="C62" s="1"/>
  <c r="I49"/>
  <c r="J49" s="1"/>
  <c r="I105"/>
  <c r="N30"/>
  <c r="O30" s="1"/>
  <c r="N39"/>
  <c r="N80"/>
  <c r="N87"/>
  <c r="O87" s="1"/>
  <c r="N88"/>
  <c r="N89"/>
  <c r="O89" s="1"/>
  <c r="E86"/>
  <c r="E84"/>
  <c r="E82"/>
  <c r="M62"/>
  <c r="R52"/>
  <c r="AG22"/>
  <c r="AG16"/>
  <c r="H73"/>
  <c r="Q54"/>
  <c r="L90"/>
  <c r="L54"/>
  <c r="N54" s="1"/>
  <c r="V100"/>
  <c r="X100" s="1"/>
  <c r="Y100" s="1"/>
  <c r="L100"/>
  <c r="N100" s="1"/>
  <c r="O100" s="1"/>
  <c r="Q100"/>
  <c r="S100" s="1"/>
  <c r="B100"/>
  <c r="E67"/>
  <c r="E64"/>
  <c r="E85"/>
  <c r="E83"/>
  <c r="E81"/>
  <c r="R30"/>
  <c r="W107" i="11"/>
  <c r="L107" i="22" s="1"/>
  <c r="L44" i="11"/>
  <c r="N44" s="1"/>
  <c r="O44" s="1"/>
  <c r="E17"/>
  <c r="X17"/>
  <c r="M15" i="1" s="1"/>
  <c r="I42" i="11"/>
  <c r="J42" s="1"/>
  <c r="G44"/>
  <c r="I44" s="1"/>
  <c r="D42"/>
  <c r="V42"/>
  <c r="K40" i="22" s="1"/>
  <c r="B53" i="11"/>
  <c r="B44"/>
  <c r="D44" s="1"/>
  <c r="Y32"/>
  <c r="M30" i="1"/>
  <c r="X50" i="11"/>
  <c r="M48" i="1" s="1"/>
  <c r="X103" i="11"/>
  <c r="S74"/>
  <c r="Q94"/>
  <c r="N32" i="10"/>
  <c r="O32" s="1"/>
  <c r="Y56" i="11"/>
  <c r="I53"/>
  <c r="I93" i="9"/>
  <c r="Y34" i="11"/>
  <c r="X34" i="9"/>
  <c r="Y34" s="1"/>
  <c r="M31" i="1"/>
  <c r="AF60" i="9"/>
  <c r="AH58"/>
  <c r="AI58" s="1"/>
  <c r="L56" i="10"/>
  <c r="N56" s="1"/>
  <c r="O56" s="1"/>
  <c r="W70" i="11"/>
  <c r="I87"/>
  <c r="J87" s="1"/>
  <c r="W87"/>
  <c r="AI16" i="10"/>
  <c r="X18" i="11"/>
  <c r="AL56" i="9"/>
  <c r="F49" i="22" s="1"/>
  <c r="O57" i="9"/>
  <c r="M60"/>
  <c r="E76" i="8"/>
  <c r="D77" i="1"/>
  <c r="E69" i="8"/>
  <c r="E43"/>
  <c r="D44" i="1"/>
  <c r="D33"/>
  <c r="D39" i="8"/>
  <c r="E62"/>
  <c r="E79"/>
  <c r="D80" i="1"/>
  <c r="D34"/>
  <c r="D114" i="9"/>
  <c r="AL114"/>
  <c r="F109" i="22" s="1"/>
  <c r="AI86" i="9"/>
  <c r="R56" i="10"/>
  <c r="AG30"/>
  <c r="R32"/>
  <c r="AG32" s="1"/>
  <c r="S30"/>
  <c r="L91"/>
  <c r="L97" s="1"/>
  <c r="L102" s="1"/>
  <c r="D32"/>
  <c r="E32" s="1"/>
  <c r="G97"/>
  <c r="O88"/>
  <c r="AH89"/>
  <c r="D100"/>
  <c r="E100" s="1"/>
  <c r="O54"/>
  <c r="R54"/>
  <c r="AG54" s="1"/>
  <c r="AG73"/>
  <c r="B56"/>
  <c r="D56" s="1"/>
  <c r="E56" s="1"/>
  <c r="AC32"/>
  <c r="AD32" s="1"/>
  <c r="J90"/>
  <c r="O80"/>
  <c r="V102"/>
  <c r="X102" s="1"/>
  <c r="Y102" s="1"/>
  <c r="Y17" i="11"/>
  <c r="D53"/>
  <c r="E53" s="1"/>
  <c r="E42"/>
  <c r="J53"/>
  <c r="L58" i="10"/>
  <c r="N58" s="1"/>
  <c r="Q99" i="11"/>
  <c r="S99" s="1"/>
  <c r="T99" s="1"/>
  <c r="S94"/>
  <c r="T94" s="1"/>
  <c r="J70"/>
  <c r="R26" i="9"/>
  <c r="AG56" i="10"/>
  <c r="R58"/>
  <c r="T30"/>
  <c r="AA61"/>
  <c r="AC61" s="1"/>
  <c r="AD61" s="1"/>
  <c r="AC60"/>
  <c r="AD60" s="1"/>
  <c r="S32"/>
  <c r="T32" s="1"/>
  <c r="L60"/>
  <c r="L61" s="1"/>
  <c r="N61" s="1"/>
  <c r="O61" s="1"/>
  <c r="AH32"/>
  <c r="D66" i="8"/>
  <c r="D67" i="22" s="1"/>
  <c r="AH64" i="10"/>
  <c r="J59" i="22" s="1"/>
  <c r="R22" i="1"/>
  <c r="T70" i="11"/>
  <c r="T36" i="10"/>
  <c r="AH36"/>
  <c r="J31" i="22" s="1"/>
  <c r="O27" i="10"/>
  <c r="AH27"/>
  <c r="J22" i="22" s="1"/>
  <c r="E90" i="11"/>
  <c r="X90"/>
  <c r="M88" i="22" s="1"/>
  <c r="AD79" i="10"/>
  <c r="O83" i="9"/>
  <c r="J69" i="10"/>
  <c r="AH53"/>
  <c r="J48" i="22" s="1"/>
  <c r="E53" i="10"/>
  <c r="AH38"/>
  <c r="J33" i="22" s="1"/>
  <c r="J38" i="10"/>
  <c r="X90"/>
  <c r="Y80"/>
  <c r="AH80"/>
  <c r="I100"/>
  <c r="J100" s="1"/>
  <c r="AF100"/>
  <c r="AH39"/>
  <c r="J34" i="22" s="1"/>
  <c r="N73" i="10"/>
  <c r="AH34" i="9"/>
  <c r="AF62"/>
  <c r="O77" i="10"/>
  <c r="Y35"/>
  <c r="H73" i="1"/>
  <c r="T65" i="9"/>
  <c r="S75"/>
  <c r="J63" i="10"/>
  <c r="AH63"/>
  <c r="J58" i="22" s="1"/>
  <c r="E46" i="10"/>
  <c r="J52"/>
  <c r="Y87"/>
  <c r="S73"/>
  <c r="AI64"/>
  <c r="J59" i="1"/>
  <c r="E49" i="10"/>
  <c r="AH109"/>
  <c r="J106" i="22" s="1"/>
  <c r="AH108" i="10"/>
  <c r="J105" i="22" s="1"/>
  <c r="AM36" i="9"/>
  <c r="G29" i="22" s="1"/>
  <c r="E29" i="1"/>
  <c r="AM100" i="9"/>
  <c r="E93" i="1"/>
  <c r="AM72" i="9"/>
  <c r="E65" i="1"/>
  <c r="AM51" i="9"/>
  <c r="G44" i="22" s="1"/>
  <c r="E44" i="1"/>
  <c r="AM90" i="9"/>
  <c r="E83" i="1"/>
  <c r="D78" i="8"/>
  <c r="D79" i="22" s="1"/>
  <c r="B79" i="1"/>
  <c r="D75" i="8"/>
  <c r="D76" i="22" s="1"/>
  <c r="B76" i="1"/>
  <c r="D59" i="8"/>
  <c r="D60" i="22" s="1"/>
  <c r="B60" i="1"/>
  <c r="D25" i="8"/>
  <c r="B26" i="1"/>
  <c r="G102" i="10"/>
  <c r="AH105"/>
  <c r="AM31" i="9"/>
  <c r="AM96"/>
  <c r="G89" i="22" s="1"/>
  <c r="AM85" i="9"/>
  <c r="G78" i="22" s="1"/>
  <c r="AM73" i="9"/>
  <c r="G66" i="22" s="1"/>
  <c r="AM67" i="9"/>
  <c r="G60" i="22" s="1"/>
  <c r="AM43" i="9"/>
  <c r="G36" i="22" s="1"/>
  <c r="D31" i="8"/>
  <c r="D23"/>
  <c r="D22"/>
  <c r="D23" i="22" s="1"/>
  <c r="D63" i="8"/>
  <c r="D57"/>
  <c r="D58" i="22" s="1"/>
  <c r="D47" i="8"/>
  <c r="D48" i="22" s="1"/>
  <c r="X39" i="11"/>
  <c r="M37" i="22" s="1"/>
  <c r="M97" i="10"/>
  <c r="M102" s="1"/>
  <c r="M117" s="1"/>
  <c r="M119" s="1"/>
  <c r="D84" i="8"/>
  <c r="D85" i="22" s="1"/>
  <c r="B85" i="1"/>
  <c r="AM44" i="9"/>
  <c r="G37" i="22" s="1"/>
  <c r="E37" i="1"/>
  <c r="AM45" i="9"/>
  <c r="E38" i="1"/>
  <c r="AM55" i="9"/>
  <c r="G48" i="22" s="1"/>
  <c r="E48" i="1"/>
  <c r="AM81" i="9"/>
  <c r="G74" i="22" s="1"/>
  <c r="E74" i="1"/>
  <c r="AM77" i="9"/>
  <c r="G70" i="22" s="1"/>
  <c r="E70" i="1"/>
  <c r="D49" i="8"/>
  <c r="B50" i="1"/>
  <c r="D45" i="8"/>
  <c r="B46" i="1"/>
  <c r="D44" i="8"/>
  <c r="B45" i="1"/>
  <c r="D36" i="8"/>
  <c r="B37" i="1"/>
  <c r="D73" i="8"/>
  <c r="D74" i="22" s="1"/>
  <c r="B74" i="1"/>
  <c r="D64" i="8"/>
  <c r="B65" i="1"/>
  <c r="D60" i="8"/>
  <c r="B61" i="1"/>
  <c r="V44" i="11"/>
  <c r="K42" i="22" s="1"/>
  <c r="G99" i="9"/>
  <c r="AH106" i="10"/>
  <c r="AK28" i="9"/>
  <c r="D38" i="8"/>
  <c r="D53"/>
  <c r="D54" i="22" s="1"/>
  <c r="X40" i="11"/>
  <c r="M38" i="22" s="1"/>
  <c r="M38" i="1"/>
  <c r="W109" i="11"/>
  <c r="L107" i="1"/>
  <c r="G100" i="2"/>
  <c r="H100" s="1"/>
  <c r="C26" i="8"/>
  <c r="C25" i="1"/>
  <c r="G111" i="2"/>
  <c r="G112" s="1"/>
  <c r="G114" s="1"/>
  <c r="G53"/>
  <c r="G56" s="1"/>
  <c r="AM80" i="9"/>
  <c r="G73" i="22" s="1"/>
  <c r="F73" i="1"/>
  <c r="F81"/>
  <c r="F61"/>
  <c r="D97" i="8"/>
  <c r="C98" i="1"/>
  <c r="C46" i="8"/>
  <c r="C43" i="1"/>
  <c r="AM113" i="9"/>
  <c r="F108" i="1"/>
  <c r="C106" i="8"/>
  <c r="C107" i="22" s="1"/>
  <c r="C102" i="1"/>
  <c r="F109"/>
  <c r="F49"/>
  <c r="F47"/>
  <c r="AM23" i="9"/>
  <c r="AM46"/>
  <c r="F39" i="1"/>
  <c r="AM70" i="9"/>
  <c r="F63" i="1"/>
  <c r="F75"/>
  <c r="AM94" i="9"/>
  <c r="F87" i="1"/>
  <c r="AM112" i="9"/>
  <c r="F107" i="1"/>
  <c r="AM71" i="9"/>
  <c r="F64" i="1"/>
  <c r="AM95" i="9"/>
  <c r="F88" i="1"/>
  <c r="R88" s="1"/>
  <c r="C71" i="8"/>
  <c r="C70" i="1"/>
  <c r="R70" s="1"/>
  <c r="D86" i="8"/>
  <c r="C87" i="1"/>
  <c r="R87" s="1"/>
  <c r="AI32" i="10"/>
  <c r="D88" i="8"/>
  <c r="D89" i="22" s="1"/>
  <c r="D94" i="8"/>
  <c r="D95" i="22" s="1"/>
  <c r="F61" i="16"/>
  <c r="E58" i="15"/>
  <c r="I78" i="2"/>
  <c r="I79"/>
  <c r="N9" i="21"/>
  <c r="P9" s="1"/>
  <c r="I84" i="2"/>
  <c r="S54" i="10"/>
  <c r="T54" s="1"/>
  <c r="W10" i="11"/>
  <c r="X10" s="1"/>
  <c r="W71"/>
  <c r="L69" i="22" s="1"/>
  <c r="E51" i="11"/>
  <c r="I29"/>
  <c r="J29" s="1"/>
  <c r="J27"/>
  <c r="N54"/>
  <c r="O54" s="1"/>
  <c r="E46"/>
  <c r="X67"/>
  <c r="M65" i="22" s="1"/>
  <c r="X28" i="11"/>
  <c r="M26" i="22" s="1"/>
  <c r="X91" i="11"/>
  <c r="M89" i="22" s="1"/>
  <c r="J91" i="11"/>
  <c r="O49"/>
  <c r="X49"/>
  <c r="M47" i="22" s="1"/>
  <c r="I54" i="11"/>
  <c r="J54" s="1"/>
  <c r="G55"/>
  <c r="D29"/>
  <c r="E27"/>
  <c r="X27"/>
  <c r="M25" i="22" s="1"/>
  <c r="J41" i="11"/>
  <c r="X41"/>
  <c r="M39" i="22" s="1"/>
  <c r="Q59" i="11"/>
  <c r="Q114" s="1"/>
  <c r="X81"/>
  <c r="M79" i="22" s="1"/>
  <c r="X80" i="11"/>
  <c r="M78" i="22" s="1"/>
  <c r="X65" i="11"/>
  <c r="M63" i="22" s="1"/>
  <c r="X63" i="11"/>
  <c r="M61" i="22" s="1"/>
  <c r="X36" i="11"/>
  <c r="M34" i="22" s="1"/>
  <c r="C91" i="8"/>
  <c r="AM50" i="9"/>
  <c r="AG91" i="10"/>
  <c r="AM114" i="9"/>
  <c r="D55" i="14"/>
  <c r="D56" s="1"/>
  <c r="G61" i="15"/>
  <c r="D64" i="14"/>
  <c r="D65" s="1"/>
  <c r="AN94" i="9"/>
  <c r="C48" i="8"/>
  <c r="C49" i="22" s="1"/>
  <c r="D46" i="8"/>
  <c r="D47" i="22" s="1"/>
  <c r="C50" i="8"/>
  <c r="AL58" i="9"/>
  <c r="F51" i="22" s="1"/>
  <c r="R60" i="9"/>
  <c r="G73" i="1"/>
  <c r="AN80" i="9"/>
  <c r="J72" i="10"/>
  <c r="I73"/>
  <c r="E86" i="8"/>
  <c r="AL47" i="9"/>
  <c r="F40" i="22" s="1"/>
  <c r="AM28" i="9"/>
  <c r="G21" i="22" s="1"/>
  <c r="H97" i="9"/>
  <c r="M6" i="20"/>
  <c r="H6"/>
  <c r="G6"/>
  <c r="E6"/>
  <c r="L6"/>
  <c r="D6"/>
  <c r="E5"/>
  <c r="L5"/>
  <c r="K5"/>
  <c r="B5"/>
  <c r="F5"/>
  <c r="C5"/>
  <c r="G5"/>
  <c r="H5"/>
  <c r="D5"/>
  <c r="M5"/>
  <c r="J5"/>
  <c r="I5"/>
  <c r="AA20" i="4"/>
  <c r="D26" i="14"/>
  <c r="AB117" i="10"/>
  <c r="AB119" s="1"/>
  <c r="E54"/>
  <c r="F69" i="2"/>
  <c r="D18" i="10"/>
  <c r="AF18"/>
  <c r="F71" i="2"/>
  <c r="H71" s="1"/>
  <c r="D20" i="10"/>
  <c r="AF20"/>
  <c r="E44" i="11"/>
  <c r="F70" i="2"/>
  <c r="AF19" i="10"/>
  <c r="D19"/>
  <c r="G63" i="1"/>
  <c r="AN55" i="9"/>
  <c r="E35" i="11"/>
  <c r="X35"/>
  <c r="M33" i="22" s="1"/>
  <c r="X91" i="10"/>
  <c r="Y77"/>
  <c r="B59" i="14"/>
  <c r="N45" i="15"/>
  <c r="O45" i="11"/>
  <c r="E98"/>
  <c r="X98"/>
  <c r="M96" i="22" s="1"/>
  <c r="X78" i="11"/>
  <c r="M76" i="22" s="1"/>
  <c r="O78" i="11"/>
  <c r="G74" i="1"/>
  <c r="AN81" i="9"/>
  <c r="O75" i="11"/>
  <c r="X75"/>
  <c r="M73" i="22" s="1"/>
  <c r="O71" i="11"/>
  <c r="X71"/>
  <c r="M69" i="22" s="1"/>
  <c r="E68" i="11"/>
  <c r="X68"/>
  <c r="M66" i="22" s="1"/>
  <c r="X62" i="11"/>
  <c r="M60" i="22" s="1"/>
  <c r="E62" i="11"/>
  <c r="X60"/>
  <c r="M58" i="22" s="1"/>
  <c r="O60" i="11"/>
  <c r="AC42" i="9"/>
  <c r="AD42" s="1"/>
  <c r="AK42"/>
  <c r="E35" i="22" s="1"/>
  <c r="AN28" i="9"/>
  <c r="D127"/>
  <c r="D133" s="1"/>
  <c r="D146" s="1"/>
  <c r="C133"/>
  <c r="D111" i="14"/>
  <c r="G15" i="7"/>
  <c r="H46" i="13"/>
  <c r="X77" i="11"/>
  <c r="M75" i="22" s="1"/>
  <c r="M75" i="1"/>
  <c r="AH34" i="10"/>
  <c r="J29" i="22" s="1"/>
  <c r="J29" i="1"/>
  <c r="G8" i="7"/>
  <c r="AN50" i="9"/>
  <c r="AN71"/>
  <c r="AN95"/>
  <c r="T77" i="10"/>
  <c r="N17" i="21"/>
  <c r="C66" i="14"/>
  <c r="N54" i="15"/>
  <c r="O54"/>
  <c r="X92" i="11"/>
  <c r="M90" i="22" s="1"/>
  <c r="E92" i="11"/>
  <c r="E24"/>
  <c r="E33" i="7"/>
  <c r="N33" s="1"/>
  <c r="C135" i="14"/>
  <c r="X89" i="11"/>
  <c r="M87" i="22" s="1"/>
  <c r="E89" i="11"/>
  <c r="E83"/>
  <c r="X83"/>
  <c r="M81" i="22" s="1"/>
  <c r="E82" i="11"/>
  <c r="X82"/>
  <c r="M80" i="22" s="1"/>
  <c r="O79" i="11"/>
  <c r="X79"/>
  <c r="M77" i="22" s="1"/>
  <c r="E69" i="11"/>
  <c r="X69"/>
  <c r="M67" i="22" s="1"/>
  <c r="O61" i="11"/>
  <c r="X61"/>
  <c r="M59" i="22" s="1"/>
  <c r="AN51" i="9"/>
  <c r="E37" i="10"/>
  <c r="T26"/>
  <c r="D110" i="14"/>
  <c r="G12" i="7"/>
  <c r="G16"/>
  <c r="R7" i="17"/>
  <c r="R12"/>
  <c r="O12"/>
  <c r="D135" i="14"/>
  <c r="AA62" i="10"/>
  <c r="V123" i="11"/>
  <c r="X86"/>
  <c r="M84" i="22" s="1"/>
  <c r="X85" i="11"/>
  <c r="M83" i="22" s="1"/>
  <c r="X84" i="11"/>
  <c r="M82" i="22" s="1"/>
  <c r="X76" i="11"/>
  <c r="M74" i="22" s="1"/>
  <c r="X73" i="11"/>
  <c r="M71" i="22" s="1"/>
  <c r="X66" i="11"/>
  <c r="M64" i="22" s="1"/>
  <c r="X64" i="11"/>
  <c r="M62" i="22" s="1"/>
  <c r="G19" i="7"/>
  <c r="H12" i="17"/>
  <c r="D137" i="14" s="1"/>
  <c r="H59" i="2"/>
  <c r="I59" s="1"/>
  <c r="F40"/>
  <c r="H40" s="1"/>
  <c r="I40" s="1"/>
  <c r="H35"/>
  <c r="I35" s="1"/>
  <c r="AL49" i="9"/>
  <c r="F42" i="22" s="1"/>
  <c r="S93" i="9"/>
  <c r="AM9"/>
  <c r="Q7"/>
  <c r="S7" s="1"/>
  <c r="T7" s="1"/>
  <c r="Q12" i="17"/>
  <c r="D126" i="14"/>
  <c r="D122"/>
  <c r="D115"/>
  <c r="D120" s="1"/>
  <c r="F17" i="2" s="1"/>
  <c r="H17" s="1"/>
  <c r="I17" s="1"/>
  <c r="D119" i="14"/>
  <c r="H28" i="2"/>
  <c r="I28" s="1"/>
  <c r="D118" i="14"/>
  <c r="AK39" i="9"/>
  <c r="E32" i="22" s="1"/>
  <c r="D102" i="14"/>
  <c r="D99"/>
  <c r="D127"/>
  <c r="D123"/>
  <c r="E123" s="1"/>
  <c r="D116"/>
  <c r="D58" i="15"/>
  <c r="AM18" i="9"/>
  <c r="AN18" s="1"/>
  <c r="AM21"/>
  <c r="AN21" s="1"/>
  <c r="AM19"/>
  <c r="AN19" s="1"/>
  <c r="V33" i="11"/>
  <c r="Y39"/>
  <c r="M37" i="1"/>
  <c r="I54" i="2"/>
  <c r="D51" i="16"/>
  <c r="F22" i="2"/>
  <c r="H22" s="1"/>
  <c r="I22" s="1"/>
  <c r="B7" i="9"/>
  <c r="B26" s="1"/>
  <c r="D26" s="1"/>
  <c r="E26" s="1"/>
  <c r="B5" i="8"/>
  <c r="B6" i="1" s="1"/>
  <c r="AA34" i="9"/>
  <c r="N90" i="10"/>
  <c r="G70" i="2"/>
  <c r="G102"/>
  <c r="H102" s="1"/>
  <c r="G99"/>
  <c r="C74" i="11"/>
  <c r="E66" i="8"/>
  <c r="D67" i="1"/>
  <c r="AM39" i="9"/>
  <c r="E32" i="1"/>
  <c r="AM42" i="9"/>
  <c r="E35" i="1"/>
  <c r="G37"/>
  <c r="AN44" i="9"/>
  <c r="D85" i="1"/>
  <c r="E84" i="8"/>
  <c r="D48" i="1"/>
  <c r="G78"/>
  <c r="AN85" i="9"/>
  <c r="E59" i="8"/>
  <c r="D60" i="1"/>
  <c r="E75" i="8"/>
  <c r="D76" i="1"/>
  <c r="D79"/>
  <c r="E78" i="8"/>
  <c r="AI39" i="10"/>
  <c r="J34" i="1"/>
  <c r="AI38" i="10"/>
  <c r="J33" i="1"/>
  <c r="AI53" i="10"/>
  <c r="J48" i="1"/>
  <c r="K31"/>
  <c r="K81"/>
  <c r="E53" i="8"/>
  <c r="D54" i="1"/>
  <c r="E57" i="8"/>
  <c r="D58" i="1"/>
  <c r="D23"/>
  <c r="G89"/>
  <c r="AN96" i="9"/>
  <c r="J58" i="1"/>
  <c r="T75" i="9"/>
  <c r="AI34"/>
  <c r="M88" i="1"/>
  <c r="J22"/>
  <c r="AI27" i="10"/>
  <c r="J31" i="1"/>
  <c r="AI36" i="10"/>
  <c r="F42" i="1"/>
  <c r="R42" s="1"/>
  <c r="F40"/>
  <c r="F51"/>
  <c r="C52" i="8"/>
  <c r="C53" i="22" s="1"/>
  <c r="C49" i="1"/>
  <c r="W74" i="11"/>
  <c r="L69" i="1"/>
  <c r="E88" i="8"/>
  <c r="D89" i="1"/>
  <c r="E94" i="8"/>
  <c r="D95" i="1"/>
  <c r="C108" i="8"/>
  <c r="C107" i="1"/>
  <c r="AN46" i="9"/>
  <c r="D48" i="8"/>
  <c r="D71"/>
  <c r="G96" i="2"/>
  <c r="M61" i="1"/>
  <c r="M78"/>
  <c r="Y41" i="11"/>
  <c r="M39" i="1"/>
  <c r="Y27" i="11"/>
  <c r="M25" i="1"/>
  <c r="X29" i="11"/>
  <c r="M27" i="22" s="1"/>
  <c r="E29" i="11"/>
  <c r="M89" i="1"/>
  <c r="D74" i="11"/>
  <c r="E74" s="1"/>
  <c r="C94"/>
  <c r="C99" s="1"/>
  <c r="M34" i="1"/>
  <c r="M63"/>
  <c r="M79"/>
  <c r="I55" i="11"/>
  <c r="G57"/>
  <c r="M47" i="1"/>
  <c r="Y49" i="11"/>
  <c r="Y28"/>
  <c r="M26" i="1"/>
  <c r="C96" i="8"/>
  <c r="C97" i="22" s="1"/>
  <c r="E71" i="8"/>
  <c r="AL97" i="9"/>
  <c r="F90" i="22" s="1"/>
  <c r="I97" i="9"/>
  <c r="J97" s="1"/>
  <c r="R62"/>
  <c r="D49" i="1"/>
  <c r="J73" i="10"/>
  <c r="E46" i="8"/>
  <c r="D50"/>
  <c r="D51" i="22" s="1"/>
  <c r="D47" i="1"/>
  <c r="AC34" i="9"/>
  <c r="D7"/>
  <c r="E7" s="1"/>
  <c r="G104"/>
  <c r="Q99"/>
  <c r="M62" i="1"/>
  <c r="AC62" i="10"/>
  <c r="M59" i="1"/>
  <c r="M67"/>
  <c r="M77"/>
  <c r="M80"/>
  <c r="Y83" i="11"/>
  <c r="M81" i="1"/>
  <c r="G9" i="7"/>
  <c r="M58" i="1"/>
  <c r="M60"/>
  <c r="M96"/>
  <c r="Y98" i="11"/>
  <c r="Y35"/>
  <c r="M33" i="1"/>
  <c r="AH18" i="10"/>
  <c r="AI18"/>
  <c r="E18"/>
  <c r="D128" i="14"/>
  <c r="F19" i="2" s="1"/>
  <c r="H19" s="1"/>
  <c r="I19" s="1"/>
  <c r="S7" i="17"/>
  <c r="H99" i="2"/>
  <c r="N91" i="10"/>
  <c r="O91" s="1"/>
  <c r="D5" i="8"/>
  <c r="D6" i="1" s="1"/>
  <c r="B18" i="8"/>
  <c r="D124" i="14"/>
  <c r="F18" i="2" s="1"/>
  <c r="H18" s="1"/>
  <c r="I18" s="1"/>
  <c r="E122" i="14"/>
  <c r="Q26" i="9"/>
  <c r="S26" s="1"/>
  <c r="T26" s="1"/>
  <c r="AN9"/>
  <c r="M64" i="1"/>
  <c r="Y89" i="11"/>
  <c r="M87" i="1"/>
  <c r="M90"/>
  <c r="AN42" i="9"/>
  <c r="M66" i="1"/>
  <c r="M69"/>
  <c r="M73"/>
  <c r="Y78" i="11"/>
  <c r="M76" i="1"/>
  <c r="Y91" i="10"/>
  <c r="X97"/>
  <c r="Y97" s="1"/>
  <c r="AH19"/>
  <c r="AI19"/>
  <c r="E19"/>
  <c r="H70" i="2"/>
  <c r="AH20" i="10"/>
  <c r="AI20" s="1"/>
  <c r="E20"/>
  <c r="H69" i="2"/>
  <c r="I69" s="1"/>
  <c r="C53" i="1"/>
  <c r="C54" i="8"/>
  <c r="AM97" i="9"/>
  <c r="F90" i="1"/>
  <c r="C97"/>
  <c r="I70" i="2"/>
  <c r="J55" i="11"/>
  <c r="M27" i="1"/>
  <c r="Y29" i="11"/>
  <c r="I57"/>
  <c r="R64" i="9"/>
  <c r="D51" i="1"/>
  <c r="AD62" i="10"/>
  <c r="Q104" i="9"/>
  <c r="AD34"/>
  <c r="C55" i="1"/>
  <c r="J57" i="11"/>
  <c r="J44" l="1"/>
  <c r="X44"/>
  <c r="AD44" i="10"/>
  <c r="AH44"/>
  <c r="K64" i="22"/>
  <c r="K64" i="1"/>
  <c r="Y66" i="11"/>
  <c r="AH33" i="10"/>
  <c r="N97"/>
  <c r="O97" s="1"/>
  <c r="G21" i="1"/>
  <c r="M65"/>
  <c r="Q102" i="10"/>
  <c r="N56" i="9"/>
  <c r="M99"/>
  <c r="M104" s="1"/>
  <c r="AF95" i="10"/>
  <c r="K21" i="1"/>
  <c r="H111" i="2"/>
  <c r="I111" s="1"/>
  <c r="B67" i="8"/>
  <c r="AH31" i="10"/>
  <c r="J26" i="1" s="1"/>
  <c r="AF83" i="10"/>
  <c r="AF90" s="1"/>
  <c r="D72"/>
  <c r="AG74"/>
  <c r="V62" i="11"/>
  <c r="Y62" s="1"/>
  <c r="E91" i="22"/>
  <c r="AM98" i="9"/>
  <c r="S98"/>
  <c r="K33" i="1"/>
  <c r="H77"/>
  <c r="H84"/>
  <c r="AH107" i="10"/>
  <c r="K28" i="1"/>
  <c r="AK86" i="9"/>
  <c r="AM86" s="1"/>
  <c r="G79" i="1" s="1"/>
  <c r="AH30" i="10"/>
  <c r="J25" i="1" s="1"/>
  <c r="V72" i="11"/>
  <c r="I71" i="2"/>
  <c r="N11" i="21"/>
  <c r="P11" s="1"/>
  <c r="D19" i="1"/>
  <c r="R40"/>
  <c r="B19"/>
  <c r="B15" i="6"/>
  <c r="B17" s="1"/>
  <c r="B29" s="1"/>
  <c r="K6" i="20"/>
  <c r="B6"/>
  <c r="F6"/>
  <c r="J6"/>
  <c r="I6"/>
  <c r="AK12" i="9"/>
  <c r="R39" i="1"/>
  <c r="R98"/>
  <c r="R61"/>
  <c r="R73"/>
  <c r="S8" i="11"/>
  <c r="T8" s="1"/>
  <c r="L26" i="9"/>
  <c r="N26" s="1"/>
  <c r="O26" s="1"/>
  <c r="AK17" i="4"/>
  <c r="AF26" i="9"/>
  <c r="AH26" s="1"/>
  <c r="AI26" s="1"/>
  <c r="D95" i="14"/>
  <c r="D112" s="1"/>
  <c r="F16" i="2" s="1"/>
  <c r="Q100" i="1"/>
  <c r="F21" i="2"/>
  <c r="H21" s="1"/>
  <c r="I21" s="1"/>
  <c r="D69" i="16"/>
  <c r="D66"/>
  <c r="R112" i="1"/>
  <c r="R34"/>
  <c r="AK13" i="4"/>
  <c r="F53" i="2" s="1"/>
  <c r="H53" s="1"/>
  <c r="I53" s="1"/>
  <c r="D42" i="14"/>
  <c r="D47" s="1"/>
  <c r="D32"/>
  <c r="D36" s="1"/>
  <c r="F8" i="2" s="1"/>
  <c r="D8" i="14"/>
  <c r="F6" i="2" s="1"/>
  <c r="H6" s="1"/>
  <c r="I6" s="1"/>
  <c r="Q98" i="1"/>
  <c r="Q7" i="22"/>
  <c r="S12"/>
  <c r="Q18"/>
  <c r="S18" s="1"/>
  <c r="S20"/>
  <c r="D139" i="14"/>
  <c r="B6" i="22"/>
  <c r="B19" s="1"/>
  <c r="D6"/>
  <c r="D19" s="1"/>
  <c r="Q98"/>
  <c r="M48"/>
  <c r="Y50" i="11"/>
  <c r="S52" i="10"/>
  <c r="AG52"/>
  <c r="B47"/>
  <c r="D47" s="1"/>
  <c r="D45"/>
  <c r="E45" s="1"/>
  <c r="AF45"/>
  <c r="D63" i="22"/>
  <c r="D63" i="1"/>
  <c r="D70" i="22"/>
  <c r="D70" i="1"/>
  <c r="D33" i="22"/>
  <c r="E32" i="8"/>
  <c r="B41"/>
  <c r="B50"/>
  <c r="E50" s="1"/>
  <c r="O74" i="9"/>
  <c r="N75"/>
  <c r="O75" s="1"/>
  <c r="H38" i="22"/>
  <c r="H38" i="1"/>
  <c r="M45" i="22"/>
  <c r="M45" i="1"/>
  <c r="M32" i="22"/>
  <c r="M32" i="1"/>
  <c r="J26" i="22"/>
  <c r="AI31" i="10"/>
  <c r="K60" i="22"/>
  <c r="K60" i="1"/>
  <c r="K42"/>
  <c r="J105"/>
  <c r="J106"/>
  <c r="B58" i="10"/>
  <c r="R60"/>
  <c r="S102"/>
  <c r="T102" s="1"/>
  <c r="D67" i="8"/>
  <c r="N60" i="10"/>
  <c r="O60" s="1"/>
  <c r="L62"/>
  <c r="N62" s="1"/>
  <c r="O62" s="1"/>
  <c r="J84" i="22"/>
  <c r="AI89" i="10"/>
  <c r="J24" i="22"/>
  <c r="J24" i="1"/>
  <c r="D57" i="10"/>
  <c r="E57" s="1"/>
  <c r="AF57"/>
  <c r="H52" i="22" s="1"/>
  <c r="M54"/>
  <c r="M54" i="1"/>
  <c r="N42" i="11"/>
  <c r="L53"/>
  <c r="I56" i="9"/>
  <c r="J56" s="1"/>
  <c r="AK56"/>
  <c r="AM56" s="1"/>
  <c r="AN56" s="1"/>
  <c r="AK40"/>
  <c r="V58"/>
  <c r="L58"/>
  <c r="AK54"/>
  <c r="AM54" s="1"/>
  <c r="AN54" s="1"/>
  <c r="Q60" i="10"/>
  <c r="S58"/>
  <c r="T58" s="1"/>
  <c r="K70" i="22"/>
  <c r="K70" i="1"/>
  <c r="C119" i="9"/>
  <c r="C121" s="1"/>
  <c r="AH46" i="10"/>
  <c r="AH86"/>
  <c r="J81" i="1" s="1"/>
  <c r="B75" i="9"/>
  <c r="AH59" i="10"/>
  <c r="J54" i="1" s="1"/>
  <c r="R52"/>
  <c r="V85" i="11"/>
  <c r="V80"/>
  <c r="V68"/>
  <c r="P19" i="22"/>
  <c r="P92"/>
  <c r="P97" s="1"/>
  <c r="S56" i="10"/>
  <c r="T56" s="1"/>
  <c r="AH88"/>
  <c r="AH84"/>
  <c r="AL32" i="9"/>
  <c r="B94" i="11"/>
  <c r="B60" i="9"/>
  <c r="D60" s="1"/>
  <c r="E60" s="1"/>
  <c r="X32"/>
  <c r="Y32" s="1"/>
  <c r="AM59"/>
  <c r="AA91" i="10"/>
  <c r="AA97" s="1"/>
  <c r="AA102" s="1"/>
  <c r="AK47" i="9"/>
  <c r="AM47" s="1"/>
  <c r="AN47" s="1"/>
  <c r="I47"/>
  <c r="J47" s="1"/>
  <c r="S47"/>
  <c r="T47" s="1"/>
  <c r="AL40"/>
  <c r="F33" i="22" s="1"/>
  <c r="X97" i="9"/>
  <c r="Y97" s="1"/>
  <c r="AF40" i="10"/>
  <c r="Q58" i="9"/>
  <c r="V56" i="10"/>
  <c r="V47"/>
  <c r="X47" s="1"/>
  <c r="Y47" s="1"/>
  <c r="AF105"/>
  <c r="H102" i="22" s="1"/>
  <c r="AF50" i="10"/>
  <c r="H45" i="22" s="1"/>
  <c r="AF51" i="10"/>
  <c r="H49" i="1"/>
  <c r="L88" i="11"/>
  <c r="V40" i="10"/>
  <c r="X40" s="1"/>
  <c r="Y40" s="1"/>
  <c r="AK103" i="9"/>
  <c r="E96" i="22" s="1"/>
  <c r="AK101" i="9"/>
  <c r="AM101" s="1"/>
  <c r="G94" i="22" s="1"/>
  <c r="AF94" i="10"/>
  <c r="H89" i="22" s="1"/>
  <c r="H88" i="1"/>
  <c r="E88"/>
  <c r="AF92" i="10"/>
  <c r="H87" i="1" s="1"/>
  <c r="AK89" i="9"/>
  <c r="AK88"/>
  <c r="AK87"/>
  <c r="AK84"/>
  <c r="E77" i="1" s="1"/>
  <c r="AK82" i="9"/>
  <c r="AM78"/>
  <c r="G71" i="22" s="1"/>
  <c r="AK69" i="9"/>
  <c r="AM69" s="1"/>
  <c r="G62" i="1" s="1"/>
  <c r="AK68" i="9"/>
  <c r="AM68" s="1"/>
  <c r="K46" i="1"/>
  <c r="AK33" i="9"/>
  <c r="K24" i="1"/>
  <c r="D20" i="8"/>
  <c r="AK91" i="9"/>
  <c r="V91" i="11"/>
  <c r="Y91" s="1"/>
  <c r="V90"/>
  <c r="Y90" s="1"/>
  <c r="AF115" i="10"/>
  <c r="H112" i="22" s="1"/>
  <c r="Q112" s="1"/>
  <c r="K110" i="1"/>
  <c r="AF71" i="10"/>
  <c r="H66" i="22" s="1"/>
  <c r="AF69" i="10"/>
  <c r="AF67"/>
  <c r="H62" i="22" s="1"/>
  <c r="AF65" i="10"/>
  <c r="AF63"/>
  <c r="AF75"/>
  <c r="AF77" s="1"/>
  <c r="H72" i="22" s="1"/>
  <c r="S48" i="9"/>
  <c r="Q47" i="10"/>
  <c r="S47" s="1"/>
  <c r="T47" s="1"/>
  <c r="I101"/>
  <c r="J101" s="1"/>
  <c r="B54" i="11"/>
  <c r="V36"/>
  <c r="AG59" i="10"/>
  <c r="I54" i="1" s="1"/>
  <c r="R24" i="10"/>
  <c r="AG24" s="1"/>
  <c r="C44" i="1"/>
  <c r="R44" s="1"/>
  <c r="C59"/>
  <c r="C60"/>
  <c r="R60" s="1"/>
  <c r="AL16" i="9"/>
  <c r="V81" i="11"/>
  <c r="V76"/>
  <c r="V64"/>
  <c r="AD70" i="9"/>
  <c r="AC75"/>
  <c r="AD75" s="1"/>
  <c r="X92"/>
  <c r="Y92" s="1"/>
  <c r="Y84"/>
  <c r="D102"/>
  <c r="E102" s="1"/>
  <c r="AK102"/>
  <c r="AK75"/>
  <c r="E68" i="22" s="1"/>
  <c r="AH60" i="9"/>
  <c r="AG62"/>
  <c r="AG64" s="1"/>
  <c r="AG119" s="1"/>
  <c r="AG121" s="1"/>
  <c r="AC60"/>
  <c r="AA62"/>
  <c r="AA63" s="1"/>
  <c r="AA64" s="1"/>
  <c r="Y65"/>
  <c r="X75"/>
  <c r="Y75" s="1"/>
  <c r="AF99"/>
  <c r="AH93"/>
  <c r="J93"/>
  <c r="AM13"/>
  <c r="G12" i="1" s="1"/>
  <c r="E12"/>
  <c r="N6" i="21"/>
  <c r="P6" s="1"/>
  <c r="L99" i="9"/>
  <c r="E90" i="1"/>
  <c r="E73"/>
  <c r="E71"/>
  <c r="R12"/>
  <c r="S13"/>
  <c r="N9" i="20" s="1"/>
  <c r="F6" i="22"/>
  <c r="E16"/>
  <c r="Q16" s="1"/>
  <c r="E17"/>
  <c r="Q17" s="1"/>
  <c r="F71"/>
  <c r="F74"/>
  <c r="F82"/>
  <c r="F83"/>
  <c r="F84"/>
  <c r="F89"/>
  <c r="F101"/>
  <c r="F103"/>
  <c r="F104"/>
  <c r="F106"/>
  <c r="F112"/>
  <c r="V99" i="9"/>
  <c r="X93"/>
  <c r="Y93" s="1"/>
  <c r="AA99"/>
  <c r="AA104" s="1"/>
  <c r="AC93"/>
  <c r="N10" i="21"/>
  <c r="P10" s="1"/>
  <c r="G44" i="1"/>
  <c r="E52"/>
  <c r="H125" i="9"/>
  <c r="E64" i="1"/>
  <c r="Q12"/>
  <c r="S12" s="1"/>
  <c r="N8" i="20" s="1"/>
  <c r="B79" i="9"/>
  <c r="E8" i="22"/>
  <c r="Q8" s="1"/>
  <c r="E15"/>
  <c r="Q15" s="1"/>
  <c r="F65"/>
  <c r="R65" s="1"/>
  <c r="F66"/>
  <c r="R66" s="1"/>
  <c r="F70"/>
  <c r="R70" s="1"/>
  <c r="F78"/>
  <c r="F80"/>
  <c r="R82"/>
  <c r="F93"/>
  <c r="R93" s="1"/>
  <c r="F94"/>
  <c r="R94" s="1"/>
  <c r="F95"/>
  <c r="F100"/>
  <c r="R101"/>
  <c r="F102"/>
  <c r="R106"/>
  <c r="F110"/>
  <c r="F111"/>
  <c r="R112"/>
  <c r="F33" i="1"/>
  <c r="R33" s="1"/>
  <c r="C77"/>
  <c r="X40" i="9"/>
  <c r="Y40" s="1"/>
  <c r="P115" i="22"/>
  <c r="Y79" i="9"/>
  <c r="G60"/>
  <c r="G62" s="1"/>
  <c r="G63" s="1"/>
  <c r="AK58"/>
  <c r="O85"/>
  <c r="N92"/>
  <c r="AH40"/>
  <c r="D75"/>
  <c r="AI87"/>
  <c r="AH92"/>
  <c r="AI92" s="1"/>
  <c r="AD87"/>
  <c r="AC92"/>
  <c r="AD92" s="1"/>
  <c r="T83"/>
  <c r="S92"/>
  <c r="E81"/>
  <c r="D92"/>
  <c r="E92" s="1"/>
  <c r="S40"/>
  <c r="T40" s="1"/>
  <c r="F7" i="1"/>
  <c r="R7" s="1"/>
  <c r="S7" s="1"/>
  <c r="AH75" i="9"/>
  <c r="S49"/>
  <c r="T49" s="1"/>
  <c r="AM48"/>
  <c r="E69" i="1"/>
  <c r="E60"/>
  <c r="R6" i="22"/>
  <c r="F7"/>
  <c r="R7" s="1"/>
  <c r="E11"/>
  <c r="F23"/>
  <c r="F24"/>
  <c r="F31"/>
  <c r="F34"/>
  <c r="F36"/>
  <c r="F44"/>
  <c r="F48"/>
  <c r="F60"/>
  <c r="R83"/>
  <c r="R84"/>
  <c r="F15"/>
  <c r="G70" i="1"/>
  <c r="E95"/>
  <c r="I58" i="9"/>
  <c r="J58" s="1"/>
  <c r="E96" i="1"/>
  <c r="E36"/>
  <c r="Q36" s="1"/>
  <c r="R60" i="22"/>
  <c r="K77" i="2"/>
  <c r="S7" i="22"/>
  <c r="G7"/>
  <c r="Q11"/>
  <c r="R23"/>
  <c r="R24"/>
  <c r="F26"/>
  <c r="R26" s="1"/>
  <c r="F29"/>
  <c r="R29" s="1"/>
  <c r="R31"/>
  <c r="R34"/>
  <c r="R36"/>
  <c r="F37"/>
  <c r="R37" s="1"/>
  <c r="F38"/>
  <c r="R38" s="1"/>
  <c r="F45"/>
  <c r="R45" s="1"/>
  <c r="F46"/>
  <c r="R46" s="1"/>
  <c r="R48"/>
  <c r="R100"/>
  <c r="R110"/>
  <c r="R111"/>
  <c r="E14"/>
  <c r="R62" i="10"/>
  <c r="AG60"/>
  <c r="Y54"/>
  <c r="AH54"/>
  <c r="X37" i="11"/>
  <c r="E37"/>
  <c r="E88"/>
  <c r="AH49" i="9"/>
  <c r="AI49" s="1"/>
  <c r="AF63"/>
  <c r="AK49"/>
  <c r="G46" i="1"/>
  <c r="G46" i="22"/>
  <c r="O70" i="11"/>
  <c r="X70"/>
  <c r="M28" i="1"/>
  <c r="M28" i="22"/>
  <c r="X23" i="11"/>
  <c r="O23"/>
  <c r="AD40" i="10"/>
  <c r="J41" i="22"/>
  <c r="AI46" i="10"/>
  <c r="J41" i="1"/>
  <c r="O37" i="9"/>
  <c r="N40"/>
  <c r="O40" s="1"/>
  <c r="J81" i="22"/>
  <c r="AD65" i="10"/>
  <c r="AH65"/>
  <c r="X48" i="11"/>
  <c r="AH55" i="10"/>
  <c r="AH50"/>
  <c r="D40" i="9"/>
  <c r="T100" i="10"/>
  <c r="AH100"/>
  <c r="H111" i="1"/>
  <c r="H111" i="22"/>
  <c r="J45" i="10"/>
  <c r="AH45"/>
  <c r="D35" i="22"/>
  <c r="D35" i="1"/>
  <c r="E34" i="8"/>
  <c r="G31" i="1"/>
  <c r="G31" i="22"/>
  <c r="E87" i="11"/>
  <c r="X87"/>
  <c r="E45"/>
  <c r="X45"/>
  <c r="J24"/>
  <c r="X24"/>
  <c r="O48" i="10"/>
  <c r="AH48"/>
  <c r="T37"/>
  <c r="AH37"/>
  <c r="T35"/>
  <c r="AH35"/>
  <c r="AH26"/>
  <c r="E26"/>
  <c r="H112" i="1"/>
  <c r="AD87" i="10"/>
  <c r="AH87"/>
  <c r="AD85"/>
  <c r="AH85"/>
  <c r="AC90"/>
  <c r="AD90" s="1"/>
  <c r="X52" i="11"/>
  <c r="X26"/>
  <c r="X25"/>
  <c r="AH43" i="10"/>
  <c r="I40" i="9"/>
  <c r="AH28" i="10"/>
  <c r="G90" i="1"/>
  <c r="G90" i="22"/>
  <c r="D72" i="1"/>
  <c r="D72" i="22"/>
  <c r="C109" i="1"/>
  <c r="C109" i="22"/>
  <c r="L72" i="1"/>
  <c r="L72" i="22"/>
  <c r="G40"/>
  <c r="C51" i="1"/>
  <c r="C51" i="22"/>
  <c r="G43" i="1"/>
  <c r="G43" i="22"/>
  <c r="C92" i="1"/>
  <c r="C92" i="22"/>
  <c r="D87" i="1"/>
  <c r="D87" i="22"/>
  <c r="C72" i="1"/>
  <c r="C72" i="22"/>
  <c r="G88" i="1"/>
  <c r="G88" i="22"/>
  <c r="G64" i="1"/>
  <c r="G64" i="22"/>
  <c r="G107" i="1"/>
  <c r="G107" i="22"/>
  <c r="G87" i="1"/>
  <c r="G87" i="22"/>
  <c r="AN70" i="9"/>
  <c r="G63" i="22"/>
  <c r="G39" i="1"/>
  <c r="G39" i="22"/>
  <c r="L109" i="1"/>
  <c r="L109" i="22"/>
  <c r="D39" i="1"/>
  <c r="D39" i="22"/>
  <c r="D61" i="1"/>
  <c r="D61" i="22"/>
  <c r="D65" i="1"/>
  <c r="D65" i="22"/>
  <c r="D64" i="1"/>
  <c r="D64" i="22"/>
  <c r="D24" i="1"/>
  <c r="D24" i="22"/>
  <c r="G24" i="1"/>
  <c r="G24" i="22"/>
  <c r="D26" i="1"/>
  <c r="D26" i="22"/>
  <c r="G83" i="1"/>
  <c r="G83" i="22"/>
  <c r="G65" i="1"/>
  <c r="G65" i="22"/>
  <c r="G93" i="1"/>
  <c r="G93" i="22"/>
  <c r="H85" i="1"/>
  <c r="H85" i="22"/>
  <c r="H95" i="1"/>
  <c r="H95" i="22"/>
  <c r="J75" i="1"/>
  <c r="J75" i="22"/>
  <c r="I47" i="1"/>
  <c r="I47" i="22"/>
  <c r="B51"/>
  <c r="B42" i="1"/>
  <c r="B42" i="22"/>
  <c r="L85" i="1"/>
  <c r="L85" i="22"/>
  <c r="E49" i="1"/>
  <c r="E49" i="22"/>
  <c r="I17" i="1"/>
  <c r="I17" i="22"/>
  <c r="J76" i="1"/>
  <c r="J76" i="22"/>
  <c r="J78" i="1"/>
  <c r="J78" i="22"/>
  <c r="F86" i="1"/>
  <c r="F86" i="22"/>
  <c r="B40" i="1"/>
  <c r="B40" i="22"/>
  <c r="L57" i="1"/>
  <c r="L57" i="22"/>
  <c r="L80" i="1"/>
  <c r="L80" i="22"/>
  <c r="L104" i="1"/>
  <c r="R104" s="1"/>
  <c r="L104" i="22"/>
  <c r="G22" i="1"/>
  <c r="G22" i="22"/>
  <c r="AN69" i="9"/>
  <c r="G62" i="22"/>
  <c r="M70" i="1"/>
  <c r="M70" i="22"/>
  <c r="AN86" i="9"/>
  <c r="G79" i="22"/>
  <c r="B27" i="1"/>
  <c r="B27" i="22"/>
  <c r="E25" i="1"/>
  <c r="E25" i="22"/>
  <c r="E47" i="1"/>
  <c r="E47" i="22"/>
  <c r="B72" i="1"/>
  <c r="B72" i="22"/>
  <c r="K27" i="1"/>
  <c r="K27" i="22"/>
  <c r="B90" i="1"/>
  <c r="B90" i="22"/>
  <c r="H90" i="1"/>
  <c r="H90" i="22"/>
  <c r="H79" i="1"/>
  <c r="H79" i="22"/>
  <c r="H81" i="1"/>
  <c r="H81" i="22"/>
  <c r="H32" i="1"/>
  <c r="H32" i="22"/>
  <c r="F8" i="1"/>
  <c r="R8" s="1"/>
  <c r="F8" i="22"/>
  <c r="R8" s="1"/>
  <c r="F11" i="1"/>
  <c r="R11" s="1"/>
  <c r="F11" i="22"/>
  <c r="F21" i="1"/>
  <c r="R21" s="1"/>
  <c r="F21" i="22"/>
  <c r="F58" i="1"/>
  <c r="F58" i="22"/>
  <c r="F91" i="1"/>
  <c r="F91" i="22"/>
  <c r="D43" i="1"/>
  <c r="D43" i="22"/>
  <c r="E58" i="8"/>
  <c r="D59" i="22"/>
  <c r="H35" i="1"/>
  <c r="H35" i="22"/>
  <c r="E22" i="1"/>
  <c r="E22" i="22"/>
  <c r="E23" i="1"/>
  <c r="E23" i="22"/>
  <c r="H31" i="1"/>
  <c r="H31" i="22"/>
  <c r="E45" i="1"/>
  <c r="E45" i="22"/>
  <c r="H46" i="1"/>
  <c r="H46" i="22"/>
  <c r="J104" i="1"/>
  <c r="J104" i="22"/>
  <c r="E94"/>
  <c r="H87"/>
  <c r="E79" i="1"/>
  <c r="E79" i="22"/>
  <c r="E77"/>
  <c r="E75" i="1"/>
  <c r="E75" i="22"/>
  <c r="E58" i="1"/>
  <c r="E58" i="22"/>
  <c r="E54" i="1"/>
  <c r="E54" i="22"/>
  <c r="H48" i="1"/>
  <c r="H48" i="22"/>
  <c r="K44" i="1"/>
  <c r="K44" i="22"/>
  <c r="E39" i="1"/>
  <c r="E39" i="22"/>
  <c r="B38" i="1"/>
  <c r="B38" i="22"/>
  <c r="Q38" s="1"/>
  <c r="H33" i="1"/>
  <c r="H33" i="22"/>
  <c r="B32" i="1"/>
  <c r="B32" i="22"/>
  <c r="B31" i="1"/>
  <c r="B31" i="22"/>
  <c r="K29" i="1"/>
  <c r="K29" i="22"/>
  <c r="D29" i="1"/>
  <c r="D29" i="22"/>
  <c r="H25" i="1"/>
  <c r="H25" i="22"/>
  <c r="K22" i="1"/>
  <c r="K22" i="22"/>
  <c r="K89"/>
  <c r="K88" i="1"/>
  <c r="K88" i="22"/>
  <c r="K91" i="1"/>
  <c r="K91" i="22"/>
  <c r="Q91" s="1"/>
  <c r="H113" i="1"/>
  <c r="H113" i="22"/>
  <c r="B110" i="1"/>
  <c r="B110" i="22"/>
  <c r="I46" i="11"/>
  <c r="G97"/>
  <c r="K93" i="1"/>
  <c r="K93" i="22"/>
  <c r="H67" i="1"/>
  <c r="H67" i="22"/>
  <c r="H65" i="1"/>
  <c r="H65" i="22"/>
  <c r="H63" i="1"/>
  <c r="H63" i="22"/>
  <c r="H61" i="1"/>
  <c r="H61" i="22"/>
  <c r="H59" i="1"/>
  <c r="H59" i="22"/>
  <c r="H71" i="1"/>
  <c r="H71" i="22"/>
  <c r="H69" i="1"/>
  <c r="H69" i="22"/>
  <c r="H76" i="1"/>
  <c r="H76" i="22"/>
  <c r="J54"/>
  <c r="M71" i="1"/>
  <c r="M74"/>
  <c r="M82"/>
  <c r="M83"/>
  <c r="M84"/>
  <c r="D74"/>
  <c r="G48"/>
  <c r="G36"/>
  <c r="G60"/>
  <c r="G66"/>
  <c r="G29"/>
  <c r="AG58" i="10"/>
  <c r="J84" i="1"/>
  <c r="H52"/>
  <c r="V53" i="11"/>
  <c r="E68" i="1"/>
  <c r="K40"/>
  <c r="J36"/>
  <c r="E30"/>
  <c r="H105"/>
  <c r="Q105" s="1"/>
  <c r="E50"/>
  <c r="H109"/>
  <c r="S90" i="10"/>
  <c r="H107" i="1"/>
  <c r="Q107" s="1"/>
  <c r="H24"/>
  <c r="H30"/>
  <c r="H41"/>
  <c r="H50"/>
  <c r="G56" i="10"/>
  <c r="H72" i="1"/>
  <c r="H27"/>
  <c r="E28"/>
  <c r="H28"/>
  <c r="E34"/>
  <c r="H34"/>
  <c r="G41"/>
  <c r="E41"/>
  <c r="H102"/>
  <c r="Q102" s="1"/>
  <c r="H106"/>
  <c r="Q106" s="1"/>
  <c r="S106" s="1"/>
  <c r="H91"/>
  <c r="H74"/>
  <c r="X31" i="11"/>
  <c r="H89" i="1"/>
  <c r="E89"/>
  <c r="E81"/>
  <c r="Q81" s="1"/>
  <c r="K23"/>
  <c r="C56" i="8"/>
  <c r="C57" i="22" s="1"/>
  <c r="C55"/>
  <c r="E48" i="8"/>
  <c r="D49" i="22"/>
  <c r="G35" i="1"/>
  <c r="G35" i="22"/>
  <c r="G32" i="1"/>
  <c r="G32" i="22"/>
  <c r="Y33" i="11"/>
  <c r="K31" i="22"/>
  <c r="G8" i="1"/>
  <c r="G8" i="22"/>
  <c r="J28" i="1"/>
  <c r="J28" i="22"/>
  <c r="I86" i="1"/>
  <c r="I86" i="22"/>
  <c r="G16" i="1"/>
  <c r="G16" i="22"/>
  <c r="G47" i="1"/>
  <c r="G47" i="22"/>
  <c r="G49" i="1"/>
  <c r="G49" i="22"/>
  <c r="G108" i="1"/>
  <c r="G108" i="22"/>
  <c r="C47" i="1"/>
  <c r="C47" i="22"/>
  <c r="D98" i="1"/>
  <c r="D98" i="22"/>
  <c r="C27" i="1"/>
  <c r="C27" i="22"/>
  <c r="E21" i="1"/>
  <c r="E21" i="22"/>
  <c r="J103" i="1"/>
  <c r="J103" i="22"/>
  <c r="D37" i="1"/>
  <c r="D37" i="22"/>
  <c r="D45" i="1"/>
  <c r="D45" i="22"/>
  <c r="D46" i="1"/>
  <c r="D46" i="22"/>
  <c r="D50" i="1"/>
  <c r="D50" i="22"/>
  <c r="G38" i="1"/>
  <c r="G38" i="22"/>
  <c r="D32" i="1"/>
  <c r="D32" i="22"/>
  <c r="G94" i="1"/>
  <c r="J102"/>
  <c r="J102" i="22"/>
  <c r="J27" i="1"/>
  <c r="J27" i="22"/>
  <c r="I27" i="1"/>
  <c r="I27" i="22"/>
  <c r="AI30" i="10"/>
  <c r="J25" i="22"/>
  <c r="I51" i="1"/>
  <c r="I51" i="22"/>
  <c r="I68" i="1"/>
  <c r="I68" i="22"/>
  <c r="I49" i="1"/>
  <c r="R49" s="1"/>
  <c r="I49" i="22"/>
  <c r="R49" s="1"/>
  <c r="I25" i="1"/>
  <c r="I25" i="22"/>
  <c r="D40" i="1"/>
  <c r="D40" i="22"/>
  <c r="L68" i="1"/>
  <c r="L68" i="22"/>
  <c r="M103" i="1"/>
  <c r="M103" i="22"/>
  <c r="I15" i="1"/>
  <c r="I15" i="22"/>
  <c r="J91" i="1"/>
  <c r="J91" i="22"/>
  <c r="J77" i="1"/>
  <c r="J77" i="22"/>
  <c r="J79" i="1"/>
  <c r="J79" i="22"/>
  <c r="J15" i="1"/>
  <c r="J15" i="22"/>
  <c r="I67" i="1"/>
  <c r="I67" i="22"/>
  <c r="I85" i="1"/>
  <c r="I85" i="22"/>
  <c r="B49" i="1"/>
  <c r="Q49" s="1"/>
  <c r="S49" s="1"/>
  <c r="B49" i="22"/>
  <c r="C68" i="1"/>
  <c r="C68" i="22"/>
  <c r="L17" i="1"/>
  <c r="L17" i="22"/>
  <c r="L58" i="1"/>
  <c r="R58" s="1"/>
  <c r="L58" i="22"/>
  <c r="L81" i="1"/>
  <c r="L81" i="22"/>
  <c r="L103" i="1"/>
  <c r="R103" s="1"/>
  <c r="L103" i="22"/>
  <c r="G30" i="1"/>
  <c r="G30" i="22"/>
  <c r="B52" i="1"/>
  <c r="B52" i="22"/>
  <c r="K32" i="1"/>
  <c r="K32" i="22"/>
  <c r="H37" i="1"/>
  <c r="H37" i="22"/>
  <c r="K41" i="1"/>
  <c r="K41" i="22"/>
  <c r="H29" i="1"/>
  <c r="H29" i="22"/>
  <c r="G17" i="1"/>
  <c r="G17" i="22"/>
  <c r="J17" i="1"/>
  <c r="J17" i="22"/>
  <c r="H80" i="1"/>
  <c r="H80" i="22"/>
  <c r="H82" i="1"/>
  <c r="H82" i="22"/>
  <c r="H83" i="1"/>
  <c r="H83" i="22"/>
  <c r="H108" i="1"/>
  <c r="Q108" s="1"/>
  <c r="H108" i="22"/>
  <c r="H21" i="1"/>
  <c r="H21" i="22"/>
  <c r="H43" i="1"/>
  <c r="H43" i="22"/>
  <c r="H103" i="1"/>
  <c r="Q103" s="1"/>
  <c r="H103" i="22"/>
  <c r="F35" i="1"/>
  <c r="R35" s="1"/>
  <c r="F35" i="22"/>
  <c r="E40" i="1"/>
  <c r="E24"/>
  <c r="E24" i="22"/>
  <c r="E43" i="1"/>
  <c r="E43" i="22"/>
  <c r="F43" i="1"/>
  <c r="R43" s="1"/>
  <c r="F43" i="22"/>
  <c r="R43" s="1"/>
  <c r="F16" i="1"/>
  <c r="R16" s="1"/>
  <c r="S16" s="1"/>
  <c r="G103" i="2" s="1"/>
  <c r="G104" s="1"/>
  <c r="H104" s="1"/>
  <c r="F16" i="22"/>
  <c r="R16" s="1"/>
  <c r="F105" i="1"/>
  <c r="R105" s="1"/>
  <c r="F105" i="22"/>
  <c r="D69" i="1"/>
  <c r="D69" i="22"/>
  <c r="C90" i="1"/>
  <c r="C90" i="22"/>
  <c r="R90" s="1"/>
  <c r="K87" i="1"/>
  <c r="K87" i="22"/>
  <c r="B35" i="1"/>
  <c r="B35" i="22"/>
  <c r="H96" i="1"/>
  <c r="Q96" s="1"/>
  <c r="H96" i="22"/>
  <c r="H22" i="1"/>
  <c r="H22" i="22"/>
  <c r="H23" i="1"/>
  <c r="H23" i="22"/>
  <c r="E31" i="1"/>
  <c r="Q31" s="1"/>
  <c r="S31" s="1"/>
  <c r="E31" i="22"/>
  <c r="G45" i="1"/>
  <c r="G45" i="22"/>
  <c r="H45" i="1"/>
  <c r="E46"/>
  <c r="Q46" s="1"/>
  <c r="E46" i="22"/>
  <c r="H104" i="1"/>
  <c r="Q104" s="1"/>
  <c r="S104" s="1"/>
  <c r="H104" i="22"/>
  <c r="C85" i="1"/>
  <c r="C85" i="22"/>
  <c r="E87" i="1"/>
  <c r="E87" i="22"/>
  <c r="E78" i="1"/>
  <c r="E78" i="22"/>
  <c r="E76" i="1"/>
  <c r="Q76" s="1"/>
  <c r="E76" i="22"/>
  <c r="E67" i="1"/>
  <c r="E67" i="22"/>
  <c r="E62" i="1"/>
  <c r="E62" i="22"/>
  <c r="E61" i="1"/>
  <c r="H54"/>
  <c r="H54" i="22"/>
  <c r="H47" i="1"/>
  <c r="Q47" s="1"/>
  <c r="H47" i="22"/>
  <c r="H44" i="1"/>
  <c r="H44" i="22"/>
  <c r="B44" i="1"/>
  <c r="Q44" s="1"/>
  <c r="S44" s="1"/>
  <c r="B44" i="22"/>
  <c r="B43" i="1"/>
  <c r="Q43" s="1"/>
  <c r="B43" i="22"/>
  <c r="Q43" s="1"/>
  <c r="H39" i="1"/>
  <c r="H39" i="22"/>
  <c r="B30" i="1"/>
  <c r="Q30" s="1"/>
  <c r="B30" i="22"/>
  <c r="Q30" s="1"/>
  <c r="B29" i="1"/>
  <c r="Q29" s="1"/>
  <c r="B29" i="22"/>
  <c r="B24" i="1"/>
  <c r="B24" i="22"/>
  <c r="Q24" s="1"/>
  <c r="S24" s="1"/>
  <c r="B23" i="1"/>
  <c r="Q23" s="1"/>
  <c r="B23" i="22"/>
  <c r="B22" i="1"/>
  <c r="Q22" s="1"/>
  <c r="S22" s="1"/>
  <c r="B22" i="22"/>
  <c r="K113" i="1"/>
  <c r="K113" i="22"/>
  <c r="K94" i="1"/>
  <c r="K94" i="22"/>
  <c r="H66" i="1"/>
  <c r="H64"/>
  <c r="H64" i="22"/>
  <c r="H62" i="1"/>
  <c r="H60"/>
  <c r="Q60" s="1"/>
  <c r="H60" i="22"/>
  <c r="H58" i="1"/>
  <c r="H70"/>
  <c r="H70" i="22"/>
  <c r="H78" i="1"/>
  <c r="H78" i="22"/>
  <c r="H75" i="1"/>
  <c r="H75" i="22"/>
  <c r="I91" i="1"/>
  <c r="I91" i="22"/>
  <c r="R90" i="1"/>
  <c r="Q93"/>
  <c r="E66"/>
  <c r="E63"/>
  <c r="E59"/>
  <c r="K45"/>
  <c r="K38"/>
  <c r="D37" i="8"/>
  <c r="K37" i="1"/>
  <c r="Q37" i="22"/>
  <c r="H26" i="1"/>
  <c r="B21"/>
  <c r="E91"/>
  <c r="Q91" s="1"/>
  <c r="K112"/>
  <c r="K111"/>
  <c r="B88"/>
  <c r="Q88" s="1"/>
  <c r="S88" s="1"/>
  <c r="B88" i="22"/>
  <c r="B83" i="1"/>
  <c r="B83" i="22"/>
  <c r="B80" i="1"/>
  <c r="B80" i="22"/>
  <c r="B78" i="1"/>
  <c r="B78" i="22"/>
  <c r="B73" i="1"/>
  <c r="B73" i="22"/>
  <c r="B71" i="1"/>
  <c r="B71" i="22"/>
  <c r="B69" i="1"/>
  <c r="B69" i="22"/>
  <c r="D66" i="1"/>
  <c r="D66" i="22"/>
  <c r="B63" i="1"/>
  <c r="B63" i="22"/>
  <c r="B62" i="1"/>
  <c r="B62" i="22"/>
  <c r="B58" i="1"/>
  <c r="B58" i="22"/>
  <c r="F62" i="1"/>
  <c r="R62" s="1"/>
  <c r="F62" i="22"/>
  <c r="F79" i="1"/>
  <c r="R79" s="1"/>
  <c r="F79" i="22"/>
  <c r="I59" i="1"/>
  <c r="I59" i="22"/>
  <c r="I80" i="1"/>
  <c r="I80" i="22"/>
  <c r="I81" i="1"/>
  <c r="I81" i="22"/>
  <c r="C63" i="1"/>
  <c r="R63" s="1"/>
  <c r="C63" i="22"/>
  <c r="R63" s="1"/>
  <c r="C78" i="1"/>
  <c r="R78" s="1"/>
  <c r="C78" i="22"/>
  <c r="R78" s="1"/>
  <c r="C86" i="1"/>
  <c r="C86" i="22"/>
  <c r="C89" i="1"/>
  <c r="R89" s="1"/>
  <c r="C89" i="22"/>
  <c r="R89" s="1"/>
  <c r="F113" i="1"/>
  <c r="R113" s="1"/>
  <c r="F113" i="22"/>
  <c r="I108" i="1"/>
  <c r="I108" i="22"/>
  <c r="I69" i="1"/>
  <c r="I69" i="22"/>
  <c r="D106" i="8"/>
  <c r="D102" i="22"/>
  <c r="C56" i="1"/>
  <c r="C56" i="22"/>
  <c r="V109" i="11"/>
  <c r="K100" i="22"/>
  <c r="D98" i="8"/>
  <c r="N23" i="20" s="1"/>
  <c r="L23" s="1"/>
  <c r="C99" i="22"/>
  <c r="R99" s="1"/>
  <c r="Q76"/>
  <c r="Q60"/>
  <c r="S60" s="1"/>
  <c r="AH99" i="10"/>
  <c r="AH98"/>
  <c r="AH70"/>
  <c r="F41" i="1"/>
  <c r="R41" s="1"/>
  <c r="AG112" i="10"/>
  <c r="B77"/>
  <c r="V84" i="11"/>
  <c r="V79"/>
  <c r="V75"/>
  <c r="V73"/>
  <c r="V67"/>
  <c r="V63"/>
  <c r="V60"/>
  <c r="R11" i="22"/>
  <c r="S11" s="1"/>
  <c r="C21"/>
  <c r="I21"/>
  <c r="C22"/>
  <c r="K25"/>
  <c r="K26"/>
  <c r="R28"/>
  <c r="R33"/>
  <c r="K34"/>
  <c r="R35"/>
  <c r="R39"/>
  <c r="K39"/>
  <c r="R40"/>
  <c r="R41"/>
  <c r="M41"/>
  <c r="R42"/>
  <c r="I44"/>
  <c r="R44" s="1"/>
  <c r="K47"/>
  <c r="K48"/>
  <c r="K49"/>
  <c r="K50"/>
  <c r="Q50" s="1"/>
  <c r="C54"/>
  <c r="I54"/>
  <c r="K54"/>
  <c r="B84" i="1"/>
  <c r="B84" i="22"/>
  <c r="B82" i="1"/>
  <c r="B82" i="22"/>
  <c r="B77" i="1"/>
  <c r="B77" i="22"/>
  <c r="B75" i="1"/>
  <c r="B75" i="22"/>
  <c r="B70" i="1"/>
  <c r="B70" i="22"/>
  <c r="Q70" s="1"/>
  <c r="B68" i="1"/>
  <c r="B68" i="22"/>
  <c r="B66" i="1"/>
  <c r="B66" i="22"/>
  <c r="B64" i="1"/>
  <c r="B64" i="22"/>
  <c r="Q64" s="1"/>
  <c r="B59" i="1"/>
  <c r="B59" i="22"/>
  <c r="I56" i="1"/>
  <c r="I56" i="22"/>
  <c r="I75" i="1"/>
  <c r="R75" s="1"/>
  <c r="I75" i="22"/>
  <c r="I102" i="1"/>
  <c r="R102" s="1"/>
  <c r="S102" s="1"/>
  <c r="I102" i="22"/>
  <c r="R102" s="1"/>
  <c r="I95" i="1"/>
  <c r="I95" i="22"/>
  <c r="C67" i="1"/>
  <c r="C67" i="22"/>
  <c r="C71" i="1"/>
  <c r="C71" i="22"/>
  <c r="R71" s="1"/>
  <c r="C80" i="1"/>
  <c r="C80" i="22"/>
  <c r="R80" s="1"/>
  <c r="C95" i="1"/>
  <c r="R95" s="1"/>
  <c r="C95" i="22"/>
  <c r="R95" s="1"/>
  <c r="M108" i="1"/>
  <c r="M108" i="22"/>
  <c r="I96" i="1"/>
  <c r="I96" i="22"/>
  <c r="L108" i="1"/>
  <c r="L108" i="22"/>
  <c r="R108" s="1"/>
  <c r="L56" i="1"/>
  <c r="L56" i="22"/>
  <c r="L59" i="1"/>
  <c r="L59" i="22"/>
  <c r="C69" i="1"/>
  <c r="C69" i="22"/>
  <c r="D72" i="8"/>
  <c r="D70"/>
  <c r="D61"/>
  <c r="B34" i="9"/>
  <c r="AH42" i="10"/>
  <c r="D40" i="8"/>
  <c r="D35"/>
  <c r="AH75" i="10"/>
  <c r="AH66"/>
  <c r="R87" i="22"/>
  <c r="R88"/>
  <c r="G91" i="1"/>
  <c r="S101" i="10"/>
  <c r="B73"/>
  <c r="V86" i="11"/>
  <c r="V82"/>
  <c r="V77"/>
  <c r="V87" s="1"/>
  <c r="K85" i="22" s="1"/>
  <c r="V71" i="11"/>
  <c r="V69"/>
  <c r="V65"/>
  <c r="V61"/>
  <c r="L97"/>
  <c r="S8" i="22"/>
  <c r="F17"/>
  <c r="R17" s="1"/>
  <c r="S17" s="1"/>
  <c r="F22"/>
  <c r="B25"/>
  <c r="Q25" s="1"/>
  <c r="Q28"/>
  <c r="F30"/>
  <c r="R30" s="1"/>
  <c r="F32"/>
  <c r="R32" s="1"/>
  <c r="B33"/>
  <c r="B34"/>
  <c r="B36"/>
  <c r="Q36" s="1"/>
  <c r="S36" s="1"/>
  <c r="B39"/>
  <c r="B41"/>
  <c r="Q41" s="1"/>
  <c r="B47"/>
  <c r="B48"/>
  <c r="Q48" s="1"/>
  <c r="S48" s="1"/>
  <c r="F52"/>
  <c r="R52" s="1"/>
  <c r="B54"/>
  <c r="R61"/>
  <c r="R62"/>
  <c r="Q89"/>
  <c r="S89" s="1"/>
  <c r="S99"/>
  <c r="Q103"/>
  <c r="R104"/>
  <c r="Q105"/>
  <c r="Q106"/>
  <c r="S106" s="1"/>
  <c r="Q107"/>
  <c r="S116"/>
  <c r="R73"/>
  <c r="R75"/>
  <c r="R79"/>
  <c r="R81"/>
  <c r="Q93"/>
  <c r="Q96"/>
  <c r="Q100"/>
  <c r="S100" s="1"/>
  <c r="Q101"/>
  <c r="S101" s="1"/>
  <c r="Q102"/>
  <c r="R103"/>
  <c r="Q104"/>
  <c r="R105"/>
  <c r="Q108"/>
  <c r="Q111"/>
  <c r="S111" s="1"/>
  <c r="R113"/>
  <c r="S115"/>
  <c r="S16"/>
  <c r="S98"/>
  <c r="S104"/>
  <c r="S114"/>
  <c r="C19"/>
  <c r="P114"/>
  <c r="P116"/>
  <c r="D18" i="8"/>
  <c r="E18" s="1"/>
  <c r="E5"/>
  <c r="D73" i="14"/>
  <c r="F10" i="2" s="1"/>
  <c r="H10" s="1"/>
  <c r="I10" s="1"/>
  <c r="AM30" i="9"/>
  <c r="S91" i="10"/>
  <c r="T91" s="1"/>
  <c r="I74" i="11"/>
  <c r="H94"/>
  <c r="AG79" i="10"/>
  <c r="AL84" i="9"/>
  <c r="F77" i="22" s="1"/>
  <c r="R77" s="1"/>
  <c r="H60" i="9"/>
  <c r="AM65"/>
  <c r="G58" i="22" s="1"/>
  <c r="W98" i="11"/>
  <c r="O97" i="1"/>
  <c r="O117" s="1"/>
  <c r="R30"/>
  <c r="S30" s="1"/>
  <c r="R92" i="9"/>
  <c r="AL83"/>
  <c r="F76" i="22" s="1"/>
  <c r="R76" s="1"/>
  <c r="M63" i="9"/>
  <c r="AN97"/>
  <c r="AL61"/>
  <c r="F54" i="22" s="1"/>
  <c r="AL103" i="9"/>
  <c r="F96" i="22" s="1"/>
  <c r="AG69" i="10"/>
  <c r="D69"/>
  <c r="AB26" i="9"/>
  <c r="AC26" s="1"/>
  <c r="AD26" s="1"/>
  <c r="H77" i="10"/>
  <c r="H97" s="1"/>
  <c r="H102" s="1"/>
  <c r="I74"/>
  <c r="J74" s="1"/>
  <c r="AG110"/>
  <c r="I110"/>
  <c r="P16" i="1"/>
  <c r="O19"/>
  <c r="O119" s="1"/>
  <c r="C77" i="10"/>
  <c r="D74"/>
  <c r="H66" i="9"/>
  <c r="H74"/>
  <c r="R51" i="1"/>
  <c r="I84" i="9"/>
  <c r="S49" i="10"/>
  <c r="AG23"/>
  <c r="H76" i="9"/>
  <c r="C20" i="11"/>
  <c r="H20"/>
  <c r="P116" i="1"/>
  <c r="R114"/>
  <c r="S114" s="1"/>
  <c r="P115"/>
  <c r="Q41"/>
  <c r="S41" s="1"/>
  <c r="N18" i="21"/>
  <c r="Q24" i="1"/>
  <c r="Q48"/>
  <c r="C113" i="8"/>
  <c r="C117" i="1" s="1"/>
  <c r="C119" s="1"/>
  <c r="Q32"/>
  <c r="S32" s="1"/>
  <c r="D30" i="8"/>
  <c r="D89"/>
  <c r="D90" i="22" s="1"/>
  <c r="D21" i="8"/>
  <c r="D22" i="22" s="1"/>
  <c r="D74" i="8"/>
  <c r="D87"/>
  <c r="D88" i="22" s="1"/>
  <c r="D83" i="8"/>
  <c r="D84" i="22" s="1"/>
  <c r="D82" i="8"/>
  <c r="D81"/>
  <c r="D77"/>
  <c r="D78" i="22" s="1"/>
  <c r="Q70" i="1"/>
  <c r="S70" s="1"/>
  <c r="D29" i="8"/>
  <c r="D30" i="22" s="1"/>
  <c r="P92" i="1"/>
  <c r="P97" s="1"/>
  <c r="P117" s="1"/>
  <c r="AM118" i="9"/>
  <c r="G109" i="1"/>
  <c r="S98"/>
  <c r="N22" i="20" s="1"/>
  <c r="I22" s="1"/>
  <c r="I109" i="11"/>
  <c r="X109" s="1"/>
  <c r="W62" i="9"/>
  <c r="AL60"/>
  <c r="F53" i="22" s="1"/>
  <c r="M62" i="9"/>
  <c r="AL34"/>
  <c r="F28" i="1"/>
  <c r="R28" s="1"/>
  <c r="AM35" i="9"/>
  <c r="G28" i="22" s="1"/>
  <c r="X19" i="11"/>
  <c r="AC79" i="9"/>
  <c r="AB99"/>
  <c r="X104" i="11"/>
  <c r="I107"/>
  <c r="X107" s="1"/>
  <c r="R81" i="1"/>
  <c r="AG77" i="10"/>
  <c r="R108" i="1"/>
  <c r="S108" s="1"/>
  <c r="N34" i="9"/>
  <c r="AH23" i="10"/>
  <c r="H52" i="2"/>
  <c r="I52" s="1"/>
  <c r="F56"/>
  <c r="T21" i="11"/>
  <c r="D77" i="14"/>
  <c r="F11" i="2" s="1"/>
  <c r="H11" s="1"/>
  <c r="I11" s="1"/>
  <c r="Q18" i="1"/>
  <c r="S18" s="1"/>
  <c r="N14" i="20" s="1"/>
  <c r="R71" i="1"/>
  <c r="R93"/>
  <c r="S93" s="1"/>
  <c r="N12" i="20"/>
  <c r="G97" i="2"/>
  <c r="H56"/>
  <c r="I56" s="1"/>
  <c r="R47" i="1"/>
  <c r="Q17"/>
  <c r="D13" i="14"/>
  <c r="V8" i="6" s="1"/>
  <c r="D57" i="14"/>
  <c r="F9" i="2" s="1"/>
  <c r="H9" s="1"/>
  <c r="I9" s="1"/>
  <c r="D17" i="14"/>
  <c r="V9" i="6" s="1"/>
  <c r="H16" i="2"/>
  <c r="I16" s="1"/>
  <c r="C114" i="11"/>
  <c r="F20" i="2"/>
  <c r="H20" s="1"/>
  <c r="I20" s="1"/>
  <c r="S114" i="11"/>
  <c r="T114" s="1"/>
  <c r="Q116"/>
  <c r="L22" i="20"/>
  <c r="M22"/>
  <c r="J22"/>
  <c r="G64" i="9"/>
  <c r="N102" i="10"/>
  <c r="O102" s="1"/>
  <c r="L117"/>
  <c r="N117" s="1"/>
  <c r="O117" s="1"/>
  <c r="N7" i="21"/>
  <c r="P7" s="1"/>
  <c r="I60" i="2"/>
  <c r="B22" i="5"/>
  <c r="AF22" s="1"/>
  <c r="AF9" i="10"/>
  <c r="H8" i="1" s="1"/>
  <c r="F110" i="2"/>
  <c r="D9" i="10"/>
  <c r="V7" i="5"/>
  <c r="G34" i="15"/>
  <c r="H27"/>
  <c r="L6" i="5"/>
  <c r="E34" i="15"/>
  <c r="F61"/>
  <c r="H59"/>
  <c r="D34"/>
  <c r="G5" i="5"/>
  <c r="H24" i="15"/>
  <c r="G14" i="5"/>
  <c r="AF14" s="1"/>
  <c r="H46" i="15"/>
  <c r="C34"/>
  <c r="B6" i="5"/>
  <c r="H30" i="15"/>
  <c r="B12" i="5"/>
  <c r="AF12" s="1"/>
  <c r="H49" i="15"/>
  <c r="C35"/>
  <c r="C37" s="1"/>
  <c r="C62" s="1"/>
  <c r="E35"/>
  <c r="E37" s="1"/>
  <c r="E62" s="1"/>
  <c r="D35"/>
  <c r="D37" s="1"/>
  <c r="D62" s="1"/>
  <c r="D91" i="14"/>
  <c r="F23" i="2" s="1"/>
  <c r="H23" s="1"/>
  <c r="I23" s="1"/>
  <c r="F35" i="15"/>
  <c r="F37" s="1"/>
  <c r="G35"/>
  <c r="G37" s="1"/>
  <c r="H37"/>
  <c r="AC95" i="10"/>
  <c r="AD95" s="1"/>
  <c r="AH94"/>
  <c r="E92"/>
  <c r="D95"/>
  <c r="AH92"/>
  <c r="J87" i="22" s="1"/>
  <c r="AH57" i="10"/>
  <c r="AH103"/>
  <c r="AH51"/>
  <c r="AC40" i="9"/>
  <c r="AD40" s="1"/>
  <c r="D42" i="16"/>
  <c r="V14" i="6" s="1"/>
  <c r="V19" i="5"/>
  <c r="G58" i="15"/>
  <c r="Q19" i="5"/>
  <c r="F58" i="15"/>
  <c r="H58" s="1"/>
  <c r="AA18" i="5" s="1"/>
  <c r="AF18" s="1"/>
  <c r="H56" i="15"/>
  <c r="AH111" i="10"/>
  <c r="P59" i="2"/>
  <c r="S3" i="17"/>
  <c r="S12" s="1"/>
  <c r="V11" i="6"/>
  <c r="D45" i="16"/>
  <c r="L8" i="5"/>
  <c r="AF8" s="1"/>
  <c r="H33" i="15"/>
  <c r="L15" i="5"/>
  <c r="AF15" s="1"/>
  <c r="H55" i="15"/>
  <c r="F34"/>
  <c r="Q5" i="5"/>
  <c r="Q9" s="1"/>
  <c r="G13"/>
  <c r="AF13" s="1"/>
  <c r="H52" i="15"/>
  <c r="H40"/>
  <c r="G10" i="5"/>
  <c r="B11"/>
  <c r="H43" i="15"/>
  <c r="G6" i="4"/>
  <c r="G7" i="9"/>
  <c r="F29" i="2"/>
  <c r="AF17" i="10"/>
  <c r="D17"/>
  <c r="AD63"/>
  <c r="AC73"/>
  <c r="AH93"/>
  <c r="J88" i="22" s="1"/>
  <c r="E93" i="10"/>
  <c r="AF7" i="5"/>
  <c r="AH104" i="10"/>
  <c r="G25" i="7"/>
  <c r="G39" s="1"/>
  <c r="V9" i="5"/>
  <c r="V20" s="1"/>
  <c r="V33" s="1"/>
  <c r="H60" i="15"/>
  <c r="H57"/>
  <c r="J67" i="10"/>
  <c r="AH67"/>
  <c r="V25" i="6"/>
  <c r="F68" i="2" s="1"/>
  <c r="Q15" i="1"/>
  <c r="O61" i="2"/>
  <c r="P61" s="1"/>
  <c r="O60"/>
  <c r="P60" s="1"/>
  <c r="AH68" i="10"/>
  <c r="J63" i="22" s="1"/>
  <c r="AH71" i="10"/>
  <c r="J66" i="22" s="1"/>
  <c r="J71" i="10"/>
  <c r="S125" i="9"/>
  <c r="AM125" s="1"/>
  <c r="Q8" i="1"/>
  <c r="S8" s="1"/>
  <c r="D79" i="10"/>
  <c r="D48" i="16"/>
  <c r="D70" s="1"/>
  <c r="AF113" i="10"/>
  <c r="AH76"/>
  <c r="J8" i="11"/>
  <c r="X8"/>
  <c r="M6" i="22" s="1"/>
  <c r="Q34" i="9"/>
  <c r="P18" i="1"/>
  <c r="R100"/>
  <c r="S100" s="1"/>
  <c r="R83"/>
  <c r="R66"/>
  <c r="R46"/>
  <c r="R38"/>
  <c r="R36"/>
  <c r="R26"/>
  <c r="R23"/>
  <c r="S20"/>
  <c r="V70" i="11"/>
  <c r="AM20" i="9"/>
  <c r="AN20" s="1"/>
  <c r="G51" i="11"/>
  <c r="R99" i="1"/>
  <c r="S99" s="1"/>
  <c r="R111"/>
  <c r="R94"/>
  <c r="R84"/>
  <c r="R82"/>
  <c r="R65"/>
  <c r="R48"/>
  <c r="R45"/>
  <c r="R37"/>
  <c r="R29"/>
  <c r="R24"/>
  <c r="B91" i="10"/>
  <c r="J18" i="1"/>
  <c r="I66" i="2"/>
  <c r="R6" i="1"/>
  <c r="G91" i="22" l="1"/>
  <c r="AN98" i="9"/>
  <c r="E72" i="10"/>
  <c r="AH72"/>
  <c r="O56" i="9"/>
  <c r="AL57"/>
  <c r="B85" i="8"/>
  <c r="B91"/>
  <c r="J39" i="22"/>
  <c r="J39" i="1"/>
  <c r="AI44" i="10"/>
  <c r="M42" i="22"/>
  <c r="M42" i="1"/>
  <c r="Y44" i="11"/>
  <c r="V74"/>
  <c r="K72" i="22" s="1"/>
  <c r="T98" i="9"/>
  <c r="E11" i="1"/>
  <c r="Q11" s="1"/>
  <c r="S11" s="1"/>
  <c r="N7" i="20" s="1"/>
  <c r="AM12" i="9"/>
  <c r="Q37" i="1"/>
  <c r="S105"/>
  <c r="Q94" i="22"/>
  <c r="Q45" i="1"/>
  <c r="Q113" i="22"/>
  <c r="Q87"/>
  <c r="R91"/>
  <c r="S91" s="1"/>
  <c r="R58"/>
  <c r="S112"/>
  <c r="Q45"/>
  <c r="Q38" i="1"/>
  <c r="S60"/>
  <c r="K62" i="22"/>
  <c r="K62" i="1"/>
  <c r="Q62" s="1"/>
  <c r="S62" s="1"/>
  <c r="Y64" i="11"/>
  <c r="K79" i="22"/>
  <c r="Q79" s="1"/>
  <c r="S79" s="1"/>
  <c r="K79" i="1"/>
  <c r="Q79" s="1"/>
  <c r="S79" s="1"/>
  <c r="Y81" i="11"/>
  <c r="K34" i="1"/>
  <c r="Q34" s="1"/>
  <c r="S34" s="1"/>
  <c r="V54" i="11"/>
  <c r="V37"/>
  <c r="Y36"/>
  <c r="AF73" i="10"/>
  <c r="AI63"/>
  <c r="D21" i="22"/>
  <c r="D21" i="1"/>
  <c r="E20" i="8"/>
  <c r="E26" i="22"/>
  <c r="Q26" s="1"/>
  <c r="S26" s="1"/>
  <c r="AM33" i="9"/>
  <c r="E26" i="1"/>
  <c r="Q26" s="1"/>
  <c r="S26" s="1"/>
  <c r="G61" i="22"/>
  <c r="AN68" i="9"/>
  <c r="G61" i="1"/>
  <c r="E81" i="22"/>
  <c r="Q81" s="1"/>
  <c r="AM88" i="9"/>
  <c r="Q60"/>
  <c r="S60" s="1"/>
  <c r="T60" s="1"/>
  <c r="S58"/>
  <c r="T58" s="1"/>
  <c r="G52" i="22"/>
  <c r="AN59" i="9"/>
  <c r="F25" i="22"/>
  <c r="F25" i="1"/>
  <c r="R25" s="1"/>
  <c r="AM32" i="9"/>
  <c r="J83" i="22"/>
  <c r="AI88" i="10"/>
  <c r="J83" i="1"/>
  <c r="K66" i="22"/>
  <c r="Q66" s="1"/>
  <c r="S66" s="1"/>
  <c r="K66" i="1"/>
  <c r="Q66" s="1"/>
  <c r="Y68" i="11"/>
  <c r="K83" i="22"/>
  <c r="K83" i="1"/>
  <c r="Q61" i="10"/>
  <c r="S61" s="1"/>
  <c r="T61" s="1"/>
  <c r="Q62"/>
  <c r="Q117" s="1"/>
  <c r="N58" i="9"/>
  <c r="O58" s="1"/>
  <c r="L60"/>
  <c r="E33" i="22"/>
  <c r="E33" i="1"/>
  <c r="Q33" s="1"/>
  <c r="S33" s="1"/>
  <c r="X42" i="11"/>
  <c r="O42"/>
  <c r="B60" i="10"/>
  <c r="B61" s="1"/>
  <c r="D58"/>
  <c r="E58" s="1"/>
  <c r="H40" i="22"/>
  <c r="AF47" i="10"/>
  <c r="H40" i="1"/>
  <c r="Q40" s="1"/>
  <c r="S40" s="1"/>
  <c r="E47" i="10"/>
  <c r="AH47"/>
  <c r="T52"/>
  <c r="AH52"/>
  <c r="S29" i="1"/>
  <c r="S66"/>
  <c r="Q33" i="22"/>
  <c r="S33" s="1"/>
  <c r="V92" i="11"/>
  <c r="K74" i="22"/>
  <c r="Q74" s="1"/>
  <c r="K74" i="1"/>
  <c r="Q74" s="1"/>
  <c r="D54" i="11"/>
  <c r="X54" s="1"/>
  <c r="B55"/>
  <c r="E84" i="22"/>
  <c r="AM91" i="9"/>
  <c r="E84" i="1"/>
  <c r="AK92" i="9"/>
  <c r="AM82"/>
  <c r="E80" i="22"/>
  <c r="AM87" i="9"/>
  <c r="E80" i="1"/>
  <c r="E82" i="22"/>
  <c r="AM89" i="9"/>
  <c r="E82" i="1"/>
  <c r="N88" i="11"/>
  <c r="L94"/>
  <c r="N94" s="1"/>
  <c r="O94" s="1"/>
  <c r="X56" i="10"/>
  <c r="Y56" s="1"/>
  <c r="V58"/>
  <c r="AC102"/>
  <c r="AA117"/>
  <c r="B99" i="11"/>
  <c r="D99" s="1"/>
  <c r="D94"/>
  <c r="E94" s="1"/>
  <c r="K78" i="22"/>
  <c r="K78" i="1"/>
  <c r="Y80" i="11"/>
  <c r="X58" i="9"/>
  <c r="Y58" s="1"/>
  <c r="V60"/>
  <c r="N53" i="11"/>
  <c r="L55"/>
  <c r="D68" i="22"/>
  <c r="D68" i="1"/>
  <c r="E67" i="8"/>
  <c r="D41"/>
  <c r="B52"/>
  <c r="S38" i="1"/>
  <c r="S47"/>
  <c r="Q83"/>
  <c r="Q87"/>
  <c r="S87" s="1"/>
  <c r="S24"/>
  <c r="S48"/>
  <c r="S23"/>
  <c r="S36"/>
  <c r="C57"/>
  <c r="Q47" i="22"/>
  <c r="Q39"/>
  <c r="S39" s="1"/>
  <c r="Q34"/>
  <c r="S34" s="1"/>
  <c r="S28"/>
  <c r="Q64" i="1"/>
  <c r="R86" i="22"/>
  <c r="Q62"/>
  <c r="Q78"/>
  <c r="S78" s="1"/>
  <c r="Q83"/>
  <c r="S83" s="1"/>
  <c r="Q88"/>
  <c r="S88" s="1"/>
  <c r="H58"/>
  <c r="Q22"/>
  <c r="Q23"/>
  <c r="S23" s="1"/>
  <c r="Q29"/>
  <c r="Q44"/>
  <c r="S44" s="1"/>
  <c r="E61"/>
  <c r="Q46"/>
  <c r="S46" s="1"/>
  <c r="E40"/>
  <c r="Q40" s="1"/>
  <c r="S40" s="1"/>
  <c r="R25"/>
  <c r="Q21"/>
  <c r="R47"/>
  <c r="Q28" i="1"/>
  <c r="S28" s="1"/>
  <c r="Q50"/>
  <c r="K89"/>
  <c r="Q89" s="1"/>
  <c r="S89" s="1"/>
  <c r="E94"/>
  <c r="B51"/>
  <c r="G40"/>
  <c r="AH40" i="10"/>
  <c r="AK60" i="9"/>
  <c r="E53" i="22" s="1"/>
  <c r="S60" i="10"/>
  <c r="T60" s="1"/>
  <c r="G52" i="1"/>
  <c r="G71"/>
  <c r="AK93" i="9"/>
  <c r="D93"/>
  <c r="I8" i="20"/>
  <c r="B8"/>
  <c r="J8"/>
  <c r="C8"/>
  <c r="E8"/>
  <c r="H8"/>
  <c r="L8"/>
  <c r="G8"/>
  <c r="K8"/>
  <c r="D8"/>
  <c r="F8"/>
  <c r="M8"/>
  <c r="K9"/>
  <c r="C9"/>
  <c r="L9"/>
  <c r="M9"/>
  <c r="I9"/>
  <c r="H9"/>
  <c r="F9"/>
  <c r="E9"/>
  <c r="J9"/>
  <c r="G9"/>
  <c r="B9"/>
  <c r="D9"/>
  <c r="N99" i="9"/>
  <c r="O99" s="1"/>
  <c r="L104"/>
  <c r="N104" s="1"/>
  <c r="O104" s="1"/>
  <c r="AF104"/>
  <c r="AH104" s="1"/>
  <c r="AI104" s="1"/>
  <c r="AH99"/>
  <c r="AI99" s="1"/>
  <c r="AD60"/>
  <c r="AC62"/>
  <c r="AI60"/>
  <c r="AH62"/>
  <c r="AI62" s="1"/>
  <c r="S94" i="22"/>
  <c r="B99" i="9"/>
  <c r="D79"/>
  <c r="E79" s="1"/>
  <c r="AK79"/>
  <c r="V104"/>
  <c r="X99"/>
  <c r="Y99" s="1"/>
  <c r="E95" i="22"/>
  <c r="AM102" i="9"/>
  <c r="S93" i="22"/>
  <c r="S70"/>
  <c r="AA119" i="9"/>
  <c r="AA121" s="1"/>
  <c r="R21" i="22"/>
  <c r="R15"/>
  <c r="S15" s="1"/>
  <c r="S25"/>
  <c r="F15" i="1"/>
  <c r="R15" s="1"/>
  <c r="S15" s="1"/>
  <c r="N11" i="20" s="1"/>
  <c r="AM16" i="9"/>
  <c r="S37" i="22"/>
  <c r="S45"/>
  <c r="S43" i="1"/>
  <c r="S38" i="22"/>
  <c r="G41"/>
  <c r="AN48" i="9"/>
  <c r="AI75"/>
  <c r="AI93"/>
  <c r="T92"/>
  <c r="T93"/>
  <c r="E93"/>
  <c r="E75"/>
  <c r="O92"/>
  <c r="O93"/>
  <c r="E51" i="22"/>
  <c r="E51" i="1"/>
  <c r="AM58" i="9"/>
  <c r="S81" i="1"/>
  <c r="S81" i="22"/>
  <c r="S108"/>
  <c r="S102"/>
  <c r="S29"/>
  <c r="Q14"/>
  <c r="K68"/>
  <c r="V88" i="11"/>
  <c r="K86" i="22" s="1"/>
  <c r="J62" i="1"/>
  <c r="J62" i="22"/>
  <c r="J71" i="1"/>
  <c r="J71" i="22"/>
  <c r="J108" i="1"/>
  <c r="J108" i="22"/>
  <c r="J46" i="1"/>
  <c r="J46" i="22"/>
  <c r="J52" i="1"/>
  <c r="J52" i="22"/>
  <c r="J89" i="1"/>
  <c r="J89" i="22"/>
  <c r="J14" i="1"/>
  <c r="J14" i="22"/>
  <c r="I72" i="1"/>
  <c r="I72" i="22"/>
  <c r="M107" i="1"/>
  <c r="M109" s="1"/>
  <c r="M107" i="22"/>
  <c r="M109" s="1"/>
  <c r="M17" i="1"/>
  <c r="M17" i="22"/>
  <c r="D83" i="1"/>
  <c r="D83" i="22"/>
  <c r="D75" i="1"/>
  <c r="D75" i="22"/>
  <c r="C115" i="8"/>
  <c r="C117" i="22"/>
  <c r="C119" s="1"/>
  <c r="I107" i="1"/>
  <c r="R107" s="1"/>
  <c r="S107" s="1"/>
  <c r="I107" i="22"/>
  <c r="R107" s="1"/>
  <c r="S107" s="1"/>
  <c r="I64" i="1"/>
  <c r="R64" s="1"/>
  <c r="I64" i="22"/>
  <c r="R64" s="1"/>
  <c r="S64" s="1"/>
  <c r="L96" i="1"/>
  <c r="L96" i="22"/>
  <c r="R96" s="1"/>
  <c r="S96" s="1"/>
  <c r="K59"/>
  <c r="K59" i="1"/>
  <c r="Q59" s="1"/>
  <c r="Y61" i="11"/>
  <c r="K67" i="22"/>
  <c r="Q67" s="1"/>
  <c r="Y69" i="11"/>
  <c r="K67" i="1"/>
  <c r="Q67" s="1"/>
  <c r="K75" i="22"/>
  <c r="K75" i="1"/>
  <c r="Q75" s="1"/>
  <c r="S75" s="1"/>
  <c r="K84" i="22"/>
  <c r="K84" i="1"/>
  <c r="Q84" s="1"/>
  <c r="S84" s="1"/>
  <c r="T101" i="10"/>
  <c r="AH101"/>
  <c r="J61" i="1"/>
  <c r="J61" i="22"/>
  <c r="D36" i="1"/>
  <c r="D36" i="22"/>
  <c r="J37"/>
  <c r="AI42" i="10"/>
  <c r="J37" i="1"/>
  <c r="D71" i="22"/>
  <c r="E70" i="8"/>
  <c r="D71" i="1"/>
  <c r="K58" i="22"/>
  <c r="K58" i="1"/>
  <c r="Y60" i="11"/>
  <c r="K65" i="22"/>
  <c r="Q65" s="1"/>
  <c r="S65" s="1"/>
  <c r="K65" i="1"/>
  <c r="Q65" s="1"/>
  <c r="K73" i="22"/>
  <c r="Y75" i="11"/>
  <c r="K73" i="1"/>
  <c r="Q73" s="1"/>
  <c r="S73" s="1"/>
  <c r="K82" i="22"/>
  <c r="K82" i="1"/>
  <c r="I109"/>
  <c r="R109" s="1"/>
  <c r="I109" i="22"/>
  <c r="R109" s="1"/>
  <c r="J65" i="1"/>
  <c r="J65" i="22"/>
  <c r="J94" i="1"/>
  <c r="J94" i="22"/>
  <c r="D99" i="1"/>
  <c r="D99" i="22"/>
  <c r="K109" i="1"/>
  <c r="K109" i="22"/>
  <c r="Q109" s="1"/>
  <c r="S109" s="1"/>
  <c r="D107"/>
  <c r="D109" s="1"/>
  <c r="D108" i="8"/>
  <c r="D107" i="1"/>
  <c r="D109" s="1"/>
  <c r="G99" i="11"/>
  <c r="I97"/>
  <c r="J23" i="22"/>
  <c r="J23" i="1"/>
  <c r="AI28" i="10"/>
  <c r="J38" i="1"/>
  <c r="J38" i="22"/>
  <c r="M24"/>
  <c r="M24" i="1"/>
  <c r="J21" i="22"/>
  <c r="J21" i="1"/>
  <c r="AI26" i="10"/>
  <c r="J40" i="22"/>
  <c r="J40" i="1"/>
  <c r="AI45" i="10"/>
  <c r="J95" i="22"/>
  <c r="AI100" i="10"/>
  <c r="J95" i="1"/>
  <c r="J50"/>
  <c r="J50" i="22"/>
  <c r="J60"/>
  <c r="J60" i="1"/>
  <c r="AI65" i="10"/>
  <c r="M21" i="22"/>
  <c r="Y23" i="11"/>
  <c r="M21" i="1"/>
  <c r="AH63" i="9"/>
  <c r="AF64"/>
  <c r="AF119" s="1"/>
  <c r="J49" i="22"/>
  <c r="AI54" i="10"/>
  <c r="J49" i="1"/>
  <c r="I55"/>
  <c r="I55" i="22"/>
  <c r="AG62" i="10"/>
  <c r="R117"/>
  <c r="S62"/>
  <c r="T62" s="1"/>
  <c r="S45" i="1"/>
  <c r="S37"/>
  <c r="S46"/>
  <c r="S83"/>
  <c r="K22" i="20"/>
  <c r="P117" i="22"/>
  <c r="P119" s="1"/>
  <c r="S113"/>
  <c r="S87"/>
  <c r="Q54"/>
  <c r="S41"/>
  <c r="Q82" i="1"/>
  <c r="S82" s="1"/>
  <c r="S76" i="22"/>
  <c r="Q58" i="1"/>
  <c r="S58" s="1"/>
  <c r="Q78"/>
  <c r="S78" s="1"/>
  <c r="S30" i="22"/>
  <c r="S43"/>
  <c r="Q49"/>
  <c r="S49" s="1"/>
  <c r="Q109" i="1"/>
  <c r="Q31" i="22"/>
  <c r="S31" s="1"/>
  <c r="Q32"/>
  <c r="S32" s="1"/>
  <c r="G109"/>
  <c r="R51"/>
  <c r="Q112" i="1"/>
  <c r="S112" s="1"/>
  <c r="H110"/>
  <c r="Q110" s="1"/>
  <c r="S110" s="1"/>
  <c r="N21" i="20" s="1"/>
  <c r="H110" i="22"/>
  <c r="Q110" s="1"/>
  <c r="S110" s="1"/>
  <c r="M104" i="1"/>
  <c r="M104" i="22"/>
  <c r="F27" i="1"/>
  <c r="R27" s="1"/>
  <c r="F27" i="22"/>
  <c r="R27" s="1"/>
  <c r="G113" i="1"/>
  <c r="G113" i="22"/>
  <c r="D82" i="1"/>
  <c r="D82" i="22"/>
  <c r="D31" i="1"/>
  <c r="D31" i="22"/>
  <c r="I14" i="1"/>
  <c r="I19" s="1"/>
  <c r="I14" i="22"/>
  <c r="I19" s="1"/>
  <c r="I74" i="1"/>
  <c r="R74" s="1"/>
  <c r="I74" i="22"/>
  <c r="R74" s="1"/>
  <c r="G23" i="1"/>
  <c r="G23" i="22"/>
  <c r="L99" i="11"/>
  <c r="V97"/>
  <c r="K63" i="22"/>
  <c r="K63" i="1"/>
  <c r="Q63" s="1"/>
  <c r="S63" s="1"/>
  <c r="Y65" i="11"/>
  <c r="K69" i="22"/>
  <c r="Y71" i="11"/>
  <c r="K69" i="1"/>
  <c r="Q69" s="1"/>
  <c r="K80" i="22"/>
  <c r="K80" i="1"/>
  <c r="Q80" s="1"/>
  <c r="Y82" i="11"/>
  <c r="J70" i="1"/>
  <c r="J70" i="22"/>
  <c r="D41" i="1"/>
  <c r="D41" i="22"/>
  <c r="D51" i="8"/>
  <c r="D34" i="9"/>
  <c r="B62"/>
  <c r="B63" s="1"/>
  <c r="B64" s="1"/>
  <c r="D62" i="1"/>
  <c r="D62" i="22"/>
  <c r="D73" i="1"/>
  <c r="D73" i="22"/>
  <c r="K61"/>
  <c r="Q61" s="1"/>
  <c r="S61" s="1"/>
  <c r="K61" i="1"/>
  <c r="Q61" s="1"/>
  <c r="S61" s="1"/>
  <c r="Y63" i="11"/>
  <c r="K71" i="22"/>
  <c r="Q71" s="1"/>
  <c r="S71" s="1"/>
  <c r="K71" i="1"/>
  <c r="Q71" s="1"/>
  <c r="S71" s="1"/>
  <c r="K77" i="22"/>
  <c r="Y79" i="11"/>
  <c r="K77" i="1"/>
  <c r="Q77" s="1"/>
  <c r="J93"/>
  <c r="J93" i="22"/>
  <c r="D38" i="1"/>
  <c r="D38" i="22"/>
  <c r="M29" i="1"/>
  <c r="M29" i="22"/>
  <c r="I56" i="10"/>
  <c r="AF56"/>
  <c r="G58"/>
  <c r="K51" i="22"/>
  <c r="K51" i="1"/>
  <c r="I53"/>
  <c r="I53" i="22"/>
  <c r="R53" s="1"/>
  <c r="J46" i="11"/>
  <c r="X46"/>
  <c r="M23" i="22"/>
  <c r="Y25" i="11"/>
  <c r="M23" i="1"/>
  <c r="M50" i="22"/>
  <c r="M50" i="1"/>
  <c r="J80"/>
  <c r="J80" i="22"/>
  <c r="J82"/>
  <c r="AI87" i="10"/>
  <c r="J82" i="1"/>
  <c r="J30" i="22"/>
  <c r="AI35" i="10"/>
  <c r="J30" i="1"/>
  <c r="J32" i="22"/>
  <c r="J32" i="1"/>
  <c r="AI37" i="10"/>
  <c r="J43" i="22"/>
  <c r="J43" i="1"/>
  <c r="AI48" i="10"/>
  <c r="M22" i="22"/>
  <c r="M22" i="1"/>
  <c r="Y24" i="11"/>
  <c r="M43" i="22"/>
  <c r="M43" i="1"/>
  <c r="Y45" i="11"/>
  <c r="M85" i="1"/>
  <c r="M85" i="22"/>
  <c r="J45" i="1"/>
  <c r="J45" i="22"/>
  <c r="M46"/>
  <c r="M46" i="1"/>
  <c r="J35" i="22"/>
  <c r="AI40" i="10"/>
  <c r="J35" i="1"/>
  <c r="M68"/>
  <c r="M68" i="22"/>
  <c r="E42"/>
  <c r="E42" i="1"/>
  <c r="AM49" i="9"/>
  <c r="M35" i="22"/>
  <c r="M35" i="1"/>
  <c r="Y37" i="11"/>
  <c r="E53" i="1"/>
  <c r="S65"/>
  <c r="S105" i="22"/>
  <c r="S103"/>
  <c r="Q59"/>
  <c r="Q75"/>
  <c r="S75" s="1"/>
  <c r="Q77"/>
  <c r="S77" s="1"/>
  <c r="Q82"/>
  <c r="S82" s="1"/>
  <c r="Q84"/>
  <c r="S84" s="1"/>
  <c r="R54"/>
  <c r="R22"/>
  <c r="S22" s="1"/>
  <c r="N97" i="11"/>
  <c r="O97" s="1"/>
  <c r="S74" i="22"/>
  <c r="S62"/>
  <c r="Q63"/>
  <c r="S63" s="1"/>
  <c r="Q69"/>
  <c r="Q73"/>
  <c r="S73" s="1"/>
  <c r="Q80"/>
  <c r="S80" s="1"/>
  <c r="S103" i="1"/>
  <c r="Q21"/>
  <c r="S21" s="1"/>
  <c r="R86"/>
  <c r="S21" i="22"/>
  <c r="Q113" i="1"/>
  <c r="S113" s="1"/>
  <c r="N25" i="20" s="1"/>
  <c r="Q39" i="1"/>
  <c r="S39" s="1"/>
  <c r="Q54"/>
  <c r="Q94"/>
  <c r="S94" s="1"/>
  <c r="R91"/>
  <c r="S91" s="1"/>
  <c r="Q25"/>
  <c r="S25" s="1"/>
  <c r="R80"/>
  <c r="R17"/>
  <c r="S17" s="1"/>
  <c r="N13" i="20" s="1"/>
  <c r="Q111" i="1"/>
  <c r="S111" s="1"/>
  <c r="L19" i="5"/>
  <c r="Q20"/>
  <c r="Q33" s="1"/>
  <c r="S74" i="1"/>
  <c r="G58"/>
  <c r="AN65" i="9"/>
  <c r="F77" i="1"/>
  <c r="R77" s="1"/>
  <c r="AM84" i="9"/>
  <c r="G77" i="22" s="1"/>
  <c r="J74" i="11"/>
  <c r="X74"/>
  <c r="Y74" s="1"/>
  <c r="H62" i="9"/>
  <c r="H63" s="1"/>
  <c r="I60"/>
  <c r="I94" i="11"/>
  <c r="W94"/>
  <c r="L92" i="22" s="1"/>
  <c r="H99" i="11"/>
  <c r="S97" i="10"/>
  <c r="T97" s="1"/>
  <c r="C21" i="11"/>
  <c r="C116" s="1"/>
  <c r="D20"/>
  <c r="W20"/>
  <c r="H79" i="9"/>
  <c r="AL76"/>
  <c r="F69" i="22" s="1"/>
  <c r="R69" s="1"/>
  <c r="T49" i="10"/>
  <c r="AH49"/>
  <c r="J44" i="22" s="1"/>
  <c r="J84" i="9"/>
  <c r="I92"/>
  <c r="J92" s="1"/>
  <c r="D77" i="10"/>
  <c r="C97"/>
  <c r="H117"/>
  <c r="I102"/>
  <c r="J102" s="1"/>
  <c r="F54" i="1"/>
  <c r="R54" s="1"/>
  <c r="AM61" i="9"/>
  <c r="G54" i="22" s="1"/>
  <c r="AL92" i="9"/>
  <c r="R99"/>
  <c r="I20" i="11"/>
  <c r="I21" s="1"/>
  <c r="J21" s="1"/>
  <c r="H21"/>
  <c r="W26" i="9"/>
  <c r="AL25"/>
  <c r="F14" i="22" s="1"/>
  <c r="I74" i="9"/>
  <c r="J74" s="1"/>
  <c r="AL74"/>
  <c r="F67" i="22" s="1"/>
  <c r="R67" s="1"/>
  <c r="H75" i="9"/>
  <c r="AL66"/>
  <c r="F59" i="22" s="1"/>
  <c r="R59" s="1"/>
  <c r="I66" i="9"/>
  <c r="E74" i="10"/>
  <c r="AH74"/>
  <c r="J69" i="22" s="1"/>
  <c r="I112" i="10"/>
  <c r="AH112" s="1"/>
  <c r="AH110"/>
  <c r="D73"/>
  <c r="E73" s="1"/>
  <c r="E69"/>
  <c r="AH69"/>
  <c r="F96" i="1"/>
  <c r="R96" s="1"/>
  <c r="S96" s="1"/>
  <c r="AM103" i="9"/>
  <c r="G96" i="22" s="1"/>
  <c r="F76" i="1"/>
  <c r="R76" s="1"/>
  <c r="S76" s="1"/>
  <c r="AM83" i="9"/>
  <c r="G76" i="22" s="1"/>
  <c r="I76" i="9"/>
  <c r="J76" s="1"/>
  <c r="I77" i="10"/>
  <c r="L25" i="20"/>
  <c r="G25"/>
  <c r="E89" i="8"/>
  <c r="D90" i="1"/>
  <c r="E21" i="8"/>
  <c r="D22" i="1"/>
  <c r="D24" i="8"/>
  <c r="D25" i="22" s="1"/>
  <c r="D78" i="1"/>
  <c r="E77" i="8"/>
  <c r="E87"/>
  <c r="D88" i="1"/>
  <c r="E29" i="8"/>
  <c r="D30" i="1"/>
  <c r="D84"/>
  <c r="E83" i="8"/>
  <c r="G106" i="2"/>
  <c r="AB104" i="9"/>
  <c r="AC99"/>
  <c r="AD99" s="1"/>
  <c r="AD79"/>
  <c r="AD93"/>
  <c r="M64"/>
  <c r="M119" s="1"/>
  <c r="M121" s="1"/>
  <c r="AL62"/>
  <c r="W63"/>
  <c r="W64" s="1"/>
  <c r="W119" s="1"/>
  <c r="O34"/>
  <c r="G28" i="1"/>
  <c r="AN35" i="9"/>
  <c r="AM40"/>
  <c r="AM60"/>
  <c r="G53" i="22" s="1"/>
  <c r="F53" i="1"/>
  <c r="AL63" i="9"/>
  <c r="K12" i="20"/>
  <c r="D12"/>
  <c r="I12"/>
  <c r="M12"/>
  <c r="G12"/>
  <c r="V15" i="6"/>
  <c r="D18" i="14"/>
  <c r="D28" s="1"/>
  <c r="F7" i="2" s="1"/>
  <c r="K72" i="1"/>
  <c r="D91" i="10"/>
  <c r="B97"/>
  <c r="B102" s="1"/>
  <c r="AF91"/>
  <c r="H86" i="22" s="1"/>
  <c r="I51" i="11"/>
  <c r="G58"/>
  <c r="K68" i="1"/>
  <c r="Y70" i="11"/>
  <c r="S34" i="9"/>
  <c r="Q62"/>
  <c r="AK34"/>
  <c r="E27" i="22" s="1"/>
  <c r="Q27" s="1"/>
  <c r="E21" i="20"/>
  <c r="M21"/>
  <c r="J21"/>
  <c r="D21"/>
  <c r="K21"/>
  <c r="F21"/>
  <c r="H21"/>
  <c r="L21"/>
  <c r="C21"/>
  <c r="B21"/>
  <c r="I21"/>
  <c r="G21"/>
  <c r="D90" i="10"/>
  <c r="E79"/>
  <c r="AH79"/>
  <c r="J63" i="1"/>
  <c r="AI68" i="10"/>
  <c r="H68" i="2"/>
  <c r="F96"/>
  <c r="J88" i="1"/>
  <c r="AI93" i="10"/>
  <c r="G26" i="9"/>
  <c r="I7"/>
  <c r="J7" s="1"/>
  <c r="AK7"/>
  <c r="G19" i="5"/>
  <c r="AF10"/>
  <c r="J87" i="1"/>
  <c r="AI92" i="10"/>
  <c r="AF5" i="5"/>
  <c r="G9"/>
  <c r="F112" i="2"/>
  <c r="H110"/>
  <c r="I110" s="1"/>
  <c r="H8"/>
  <c r="G119" i="9"/>
  <c r="R116" i="11"/>
  <c r="S116" s="1"/>
  <c r="E99"/>
  <c r="D71" i="16"/>
  <c r="V8" i="11" s="1"/>
  <c r="K6" i="22" s="1"/>
  <c r="K19" s="1"/>
  <c r="T3" i="17"/>
  <c r="P67" i="2"/>
  <c r="H64" i="9"/>
  <c r="G62" i="15"/>
  <c r="C63"/>
  <c r="C65" s="1"/>
  <c r="B7" i="10" s="1"/>
  <c r="H61" i="15"/>
  <c r="AA17" i="5" s="1"/>
  <c r="AF17" s="1"/>
  <c r="E63" i="15"/>
  <c r="E65" s="1"/>
  <c r="L7" i="10" s="1"/>
  <c r="D140" i="14"/>
  <c r="F24" i="2"/>
  <c r="H24" s="1"/>
  <c r="K85" i="1"/>
  <c r="Y87" i="11"/>
  <c r="P19" i="1"/>
  <c r="P119" s="1"/>
  <c r="M6"/>
  <c r="Y8" i="11"/>
  <c r="V16" i="6"/>
  <c r="Z16"/>
  <c r="AI71" i="10"/>
  <c r="J66" i="1"/>
  <c r="AC91" i="10"/>
  <c r="AD91" s="1"/>
  <c r="AD73"/>
  <c r="AC97"/>
  <c r="AD97" s="1"/>
  <c r="AH73"/>
  <c r="J68" i="22" s="1"/>
  <c r="AH17" i="10"/>
  <c r="AI17" s="1"/>
  <c r="E17"/>
  <c r="H29" i="2"/>
  <c r="I29" s="1"/>
  <c r="F33"/>
  <c r="G9" i="4"/>
  <c r="G20" s="1"/>
  <c r="AK6"/>
  <c r="AK9" s="1"/>
  <c r="AK20" s="1"/>
  <c r="AF11" i="5"/>
  <c r="B19"/>
  <c r="E95" i="10"/>
  <c r="AH95"/>
  <c r="J90" i="22" s="1"/>
  <c r="AA16" i="5"/>
  <c r="H62" i="15"/>
  <c r="B9" i="5"/>
  <c r="AF6"/>
  <c r="AH9" i="10"/>
  <c r="E9"/>
  <c r="O67" i="2"/>
  <c r="F62" i="15"/>
  <c r="F63" s="1"/>
  <c r="F65" s="1"/>
  <c r="Q7" i="10" s="1"/>
  <c r="H34" i="15"/>
  <c r="D63"/>
  <c r="D65" s="1"/>
  <c r="G7" i="10" s="1"/>
  <c r="L9" i="5"/>
  <c r="L20" s="1"/>
  <c r="L33" s="1"/>
  <c r="G63" i="15"/>
  <c r="G65" s="1"/>
  <c r="V7" i="10" s="1"/>
  <c r="D85" i="8" l="1"/>
  <c r="B86" i="1"/>
  <c r="B86" i="22"/>
  <c r="B96" i="8"/>
  <c r="D91"/>
  <c r="B92" i="22"/>
  <c r="B92" i="1"/>
  <c r="F50" i="22"/>
  <c r="R50" s="1"/>
  <c r="S50" s="1"/>
  <c r="AM57" i="9"/>
  <c r="F50" i="1"/>
  <c r="R50" s="1"/>
  <c r="S50" s="1"/>
  <c r="J67" i="22"/>
  <c r="J67" i="1"/>
  <c r="M7" i="20"/>
  <c r="E7"/>
  <c r="B7"/>
  <c r="J7"/>
  <c r="F7"/>
  <c r="G7"/>
  <c r="C7"/>
  <c r="H7"/>
  <c r="L7"/>
  <c r="D7"/>
  <c r="I7"/>
  <c r="K7"/>
  <c r="AN12" i="9"/>
  <c r="G11" i="22"/>
  <c r="G11" i="1"/>
  <c r="S54"/>
  <c r="B20" i="5"/>
  <c r="Q58" i="22"/>
  <c r="S58" s="1"/>
  <c r="D42"/>
  <c r="D42" i="1"/>
  <c r="D52" i="8"/>
  <c r="L57" i="11"/>
  <c r="N55"/>
  <c r="O55" s="1"/>
  <c r="V62" i="9"/>
  <c r="V63" s="1"/>
  <c r="V64" s="1"/>
  <c r="X60"/>
  <c r="AD102" i="10"/>
  <c r="AC117"/>
  <c r="AD117" s="1"/>
  <c r="O88" i="11"/>
  <c r="X88"/>
  <c r="G82" i="22"/>
  <c r="G82" i="1"/>
  <c r="E85" i="22"/>
  <c r="Q85" s="1"/>
  <c r="E85" i="1"/>
  <c r="G84" i="22"/>
  <c r="G84" i="1"/>
  <c r="D55" i="11"/>
  <c r="B57"/>
  <c r="K90" i="22"/>
  <c r="Q90" s="1"/>
  <c r="S90" s="1"/>
  <c r="Y92" i="11"/>
  <c r="K90" i="1"/>
  <c r="Q90" s="1"/>
  <c r="S90" s="1"/>
  <c r="H42" i="22"/>
  <c r="H42" i="1"/>
  <c r="L62" i="9"/>
  <c r="N60"/>
  <c r="AN32"/>
  <c r="G25" i="1"/>
  <c r="G25" i="22"/>
  <c r="K52"/>
  <c r="Q52" s="1"/>
  <c r="S52" s="1"/>
  <c r="K52" i="1"/>
  <c r="Q52" s="1"/>
  <c r="S52" s="1"/>
  <c r="Q42"/>
  <c r="S42" s="1"/>
  <c r="S47" i="22"/>
  <c r="B53"/>
  <c r="B54" i="8"/>
  <c r="B53" i="1"/>
  <c r="O53" i="11"/>
  <c r="X53"/>
  <c r="X58" i="10"/>
  <c r="Y58" s="1"/>
  <c r="V60"/>
  <c r="G80" i="22"/>
  <c r="G80" i="1"/>
  <c r="AN87" i="9"/>
  <c r="G75" i="22"/>
  <c r="AN82" i="9"/>
  <c r="G75" i="1"/>
  <c r="M52" i="22"/>
  <c r="M52" i="1"/>
  <c r="Y54" i="11"/>
  <c r="J47" i="22"/>
  <c r="AI52" i="10"/>
  <c r="J47" i="1"/>
  <c r="J42" i="22"/>
  <c r="AI47" i="10"/>
  <c r="J42" i="1"/>
  <c r="D61" i="10"/>
  <c r="E61" s="1"/>
  <c r="D60"/>
  <c r="E60" s="1"/>
  <c r="B62"/>
  <c r="D62" s="1"/>
  <c r="M40" i="22"/>
  <c r="M40" i="1"/>
  <c r="Y42" i="11"/>
  <c r="G81" i="22"/>
  <c r="AN88" i="9"/>
  <c r="G81" i="1"/>
  <c r="G26" i="22"/>
  <c r="AN33" i="9"/>
  <c r="G26" i="1"/>
  <c r="H68"/>
  <c r="H68" i="22"/>
  <c r="Q68" s="1"/>
  <c r="K35"/>
  <c r="Q35" s="1"/>
  <c r="S35" s="1"/>
  <c r="K35" i="1"/>
  <c r="Q35" s="1"/>
  <c r="S35" s="1"/>
  <c r="Q85"/>
  <c r="S27" i="22"/>
  <c r="Q68" i="1"/>
  <c r="R53"/>
  <c r="Q42" i="22"/>
  <c r="S42" s="1"/>
  <c r="V55" i="11"/>
  <c r="S64" i="1"/>
  <c r="H11" i="20"/>
  <c r="C11"/>
  <c r="D11"/>
  <c r="F11"/>
  <c r="J11"/>
  <c r="M11"/>
  <c r="B11"/>
  <c r="E11"/>
  <c r="K11"/>
  <c r="I11"/>
  <c r="L11"/>
  <c r="G11"/>
  <c r="G95" i="22"/>
  <c r="G95" i="1"/>
  <c r="AN102" i="9"/>
  <c r="E72" i="22"/>
  <c r="Q72" s="1"/>
  <c r="E72" i="1"/>
  <c r="B104" i="9"/>
  <c r="D99"/>
  <c r="E99" s="1"/>
  <c r="AK99"/>
  <c r="AD62"/>
  <c r="AC63"/>
  <c r="AD63" s="1"/>
  <c r="AM93"/>
  <c r="E86" i="22"/>
  <c r="E86" i="1"/>
  <c r="X104" i="9"/>
  <c r="Y104" s="1"/>
  <c r="V119"/>
  <c r="V121" s="1"/>
  <c r="Q86" i="22"/>
  <c r="S86" s="1"/>
  <c r="Q72" i="1"/>
  <c r="B119" i="9"/>
  <c r="AN58"/>
  <c r="G51" i="1"/>
  <c r="G51" i="22"/>
  <c r="AK26" i="9"/>
  <c r="E6" i="22"/>
  <c r="AN16" i="9"/>
  <c r="G15" i="1"/>
  <c r="G15" i="22"/>
  <c r="AL26" i="9"/>
  <c r="L13" i="20"/>
  <c r="M13"/>
  <c r="K13"/>
  <c r="I13"/>
  <c r="D13"/>
  <c r="G13"/>
  <c r="F56" i="1"/>
  <c r="R56" s="1"/>
  <c r="F56" i="22"/>
  <c r="R56" s="1"/>
  <c r="J64" i="1"/>
  <c r="J64" i="22"/>
  <c r="L14" i="1"/>
  <c r="L19" s="1"/>
  <c r="L14" i="22"/>
  <c r="L19" s="1"/>
  <c r="M44"/>
  <c r="Y46" i="11"/>
  <c r="M44" i="1"/>
  <c r="E62" i="10"/>
  <c r="K53" i="22"/>
  <c r="V57" i="11"/>
  <c r="K53" i="1"/>
  <c r="I58" i="10"/>
  <c r="G60"/>
  <c r="AF58"/>
  <c r="J56"/>
  <c r="AH56"/>
  <c r="E34" i="9"/>
  <c r="D62"/>
  <c r="N99" i="11"/>
  <c r="O99" s="1"/>
  <c r="R119" i="10"/>
  <c r="S117"/>
  <c r="T117" s="1"/>
  <c r="AI63" i="9"/>
  <c r="AH64"/>
  <c r="AI64" s="1"/>
  <c r="J96" i="22"/>
  <c r="J96" i="1"/>
  <c r="AI101" i="10"/>
  <c r="S77" i="1"/>
  <c r="S69" i="22"/>
  <c r="S54"/>
  <c r="S67"/>
  <c r="J74" i="1"/>
  <c r="J74" i="22"/>
  <c r="G33" i="1"/>
  <c r="G33" i="22"/>
  <c r="F55" i="1"/>
  <c r="R55" s="1"/>
  <c r="F55" i="22"/>
  <c r="R55" s="1"/>
  <c r="J107" i="1"/>
  <c r="J109" s="1"/>
  <c r="J107" i="22"/>
  <c r="J109" s="1"/>
  <c r="F19"/>
  <c r="R14"/>
  <c r="S14" s="1"/>
  <c r="U13" s="1"/>
  <c r="F85" i="1"/>
  <c r="R85" s="1"/>
  <c r="F85" i="22"/>
  <c r="R85" s="1"/>
  <c r="S85" s="1"/>
  <c r="M72" i="1"/>
  <c r="M72" i="22"/>
  <c r="G42" i="1"/>
  <c r="G42" i="22"/>
  <c r="AN49" i="9"/>
  <c r="H51" i="1"/>
  <c r="Q51" s="1"/>
  <c r="S51" s="1"/>
  <c r="H51" i="22"/>
  <c r="Q51" s="1"/>
  <c r="S51" s="1"/>
  <c r="B121" i="9"/>
  <c r="D121" s="1"/>
  <c r="D119"/>
  <c r="E119" s="1"/>
  <c r="D52" i="1"/>
  <c r="D52" i="22"/>
  <c r="K95"/>
  <c r="Q95" s="1"/>
  <c r="S95" s="1"/>
  <c r="K95" i="1"/>
  <c r="Q95" s="1"/>
  <c r="S95" s="1"/>
  <c r="V99" i="11"/>
  <c r="I57" i="1"/>
  <c r="I57" i="22"/>
  <c r="AH119" i="9"/>
  <c r="AI119" s="1"/>
  <c r="AF121"/>
  <c r="AH121" s="1"/>
  <c r="X97" i="11"/>
  <c r="J97"/>
  <c r="S85" i="1"/>
  <c r="S59" i="22"/>
  <c r="S80" i="1"/>
  <c r="S109"/>
  <c r="N24" i="20" s="1"/>
  <c r="G20" i="5"/>
  <c r="G33" s="1"/>
  <c r="I99" i="11"/>
  <c r="H114"/>
  <c r="H116" s="1"/>
  <c r="J94"/>
  <c r="X94"/>
  <c r="M92" i="22" s="1"/>
  <c r="W99" i="11"/>
  <c r="L97" i="22" s="1"/>
  <c r="L92" i="1"/>
  <c r="I62" i="9"/>
  <c r="J60"/>
  <c r="AN84"/>
  <c r="G77" i="1"/>
  <c r="J77" i="10"/>
  <c r="I91"/>
  <c r="J91" s="1"/>
  <c r="AN83" i="9"/>
  <c r="G76" i="1"/>
  <c r="AM92" i="9"/>
  <c r="G85" i="22" s="1"/>
  <c r="AN103" i="9"/>
  <c r="G96" i="1"/>
  <c r="AM66" i="9"/>
  <c r="G59" i="22" s="1"/>
  <c r="F59" i="1"/>
  <c r="R59" s="1"/>
  <c r="S59" s="1"/>
  <c r="F67"/>
  <c r="R67" s="1"/>
  <c r="S67" s="1"/>
  <c r="AM74" i="9"/>
  <c r="G67" i="22" s="1"/>
  <c r="X26" i="9"/>
  <c r="Y26" s="1"/>
  <c r="R104"/>
  <c r="S99"/>
  <c r="T99" s="1"/>
  <c r="G54" i="1"/>
  <c r="AN61" i="9"/>
  <c r="C102" i="10"/>
  <c r="AG97"/>
  <c r="AI49"/>
  <c r="J44" i="1"/>
  <c r="F69"/>
  <c r="R69" s="1"/>
  <c r="S69" s="1"/>
  <c r="AM76" i="9"/>
  <c r="G69" i="22" s="1"/>
  <c r="W21" i="11"/>
  <c r="J69" i="1"/>
  <c r="AI74" i="10"/>
  <c r="J66" i="9"/>
  <c r="I75"/>
  <c r="J75" s="1"/>
  <c r="AL75"/>
  <c r="H99"/>
  <c r="F19" i="1"/>
  <c r="AM25" i="9"/>
  <c r="H119" i="10"/>
  <c r="AH77"/>
  <c r="J72" i="22" s="1"/>
  <c r="E77" i="10"/>
  <c r="I79" i="9"/>
  <c r="J79" s="1"/>
  <c r="AL79"/>
  <c r="F72" i="22" s="1"/>
  <c r="R72" s="1"/>
  <c r="S72" s="1"/>
  <c r="X20" i="11"/>
  <c r="D21"/>
  <c r="H63" i="15"/>
  <c r="D25" i="1"/>
  <c r="D26" i="8"/>
  <c r="D27" i="22" s="1"/>
  <c r="E24" i="8"/>
  <c r="W121" i="9"/>
  <c r="X119"/>
  <c r="Y119" s="1"/>
  <c r="G53" i="1"/>
  <c r="AN60" i="9"/>
  <c r="AC104"/>
  <c r="AD104" s="1"/>
  <c r="AB119"/>
  <c r="X121"/>
  <c r="D82" i="14"/>
  <c r="D142" s="1"/>
  <c r="Q24" i="10"/>
  <c r="Q119" s="1"/>
  <c r="L73" i="2" s="1"/>
  <c r="S7" i="10"/>
  <c r="H65" i="15"/>
  <c r="H67" s="1"/>
  <c r="AA7" i="10" s="1"/>
  <c r="J8" i="1"/>
  <c r="AI9" i="10"/>
  <c r="AF16" i="5"/>
  <c r="AA19"/>
  <c r="AA20" s="1"/>
  <c r="AA33" s="1"/>
  <c r="G14" i="20"/>
  <c r="J14"/>
  <c r="D14"/>
  <c r="M14"/>
  <c r="N7" i="10"/>
  <c r="L24"/>
  <c r="L119" s="1"/>
  <c r="L72" i="2" s="1"/>
  <c r="D7" i="10"/>
  <c r="B24"/>
  <c r="AL64" i="9"/>
  <c r="I8" i="2"/>
  <c r="F114"/>
  <c r="H114" s="1"/>
  <c r="I114" s="1"/>
  <c r="H112"/>
  <c r="H96"/>
  <c r="I96" s="1"/>
  <c r="F97"/>
  <c r="E90" i="10"/>
  <c r="D97"/>
  <c r="AH90"/>
  <c r="J85" i="22" s="1"/>
  <c r="Q63" i="9"/>
  <c r="AK62"/>
  <c r="Q64"/>
  <c r="K86" i="1"/>
  <c r="Y88" i="11"/>
  <c r="J51"/>
  <c r="X51"/>
  <c r="M49" i="22" s="1"/>
  <c r="B117" i="10"/>
  <c r="D102"/>
  <c r="IU16" i="6"/>
  <c r="AF9" i="5"/>
  <c r="V17" i="6"/>
  <c r="V29" s="1"/>
  <c r="X7" i="10"/>
  <c r="V24"/>
  <c r="I7"/>
  <c r="G24"/>
  <c r="AI95"/>
  <c r="J90" i="1"/>
  <c r="H33" i="2"/>
  <c r="F41"/>
  <c r="J68" i="1"/>
  <c r="AI73" i="10"/>
  <c r="I24" i="2"/>
  <c r="K6" i="1"/>
  <c r="K19" s="1"/>
  <c r="V21" i="11"/>
  <c r="AM7" i="9"/>
  <c r="E6" i="1"/>
  <c r="E19" s="1"/>
  <c r="I26" i="9"/>
  <c r="J26" s="1"/>
  <c r="G121"/>
  <c r="N5" i="21"/>
  <c r="I68" i="2"/>
  <c r="AM34" i="9"/>
  <c r="G27" i="22" s="1"/>
  <c r="E27" i="1"/>
  <c r="Q27" s="1"/>
  <c r="S27" s="1"/>
  <c r="T34" i="9"/>
  <c r="S62"/>
  <c r="I58" i="11"/>
  <c r="G59"/>
  <c r="H86" i="1"/>
  <c r="AF97" i="10"/>
  <c r="H92" i="22" s="1"/>
  <c r="AH91" i="10"/>
  <c r="J86" i="22" s="1"/>
  <c r="E91" i="10"/>
  <c r="AF19" i="5"/>
  <c r="G50" i="22" l="1"/>
  <c r="G50" i="1"/>
  <c r="D92" i="22"/>
  <c r="D92" i="1"/>
  <c r="E91" i="8"/>
  <c r="D86" i="1"/>
  <c r="E85" i="8"/>
  <c r="D86" i="22"/>
  <c r="D96" i="8"/>
  <c r="B97" i="22"/>
  <c r="B97" i="1"/>
  <c r="AC64" i="9"/>
  <c r="AD64" s="1"/>
  <c r="B55" i="8"/>
  <c r="D54"/>
  <c r="B55" i="22"/>
  <c r="B55" i="1"/>
  <c r="L63" i="9"/>
  <c r="L64"/>
  <c r="L119" s="1"/>
  <c r="B58" i="11"/>
  <c r="D58" s="1"/>
  <c r="E58" s="1"/>
  <c r="B59"/>
  <c r="D57"/>
  <c r="M86" i="22"/>
  <c r="M86" i="1"/>
  <c r="Y60" i="9"/>
  <c r="X62"/>
  <c r="D53" i="22"/>
  <c r="E52" i="8"/>
  <c r="D53" i="1"/>
  <c r="X60" i="10"/>
  <c r="Y60" s="1"/>
  <c r="V61"/>
  <c r="X61" s="1"/>
  <c r="Y61" s="1"/>
  <c r="V62"/>
  <c r="M51" i="22"/>
  <c r="M51" i="1"/>
  <c r="Y53" i="11"/>
  <c r="O60" i="9"/>
  <c r="N62"/>
  <c r="E55" i="11"/>
  <c r="X55"/>
  <c r="L58"/>
  <c r="N58" s="1"/>
  <c r="O58" s="1"/>
  <c r="N57"/>
  <c r="O57" s="1"/>
  <c r="E92" i="22"/>
  <c r="E92" i="1"/>
  <c r="D104" i="9"/>
  <c r="E104" s="1"/>
  <c r="AK104"/>
  <c r="Q92" i="22"/>
  <c r="E19"/>
  <c r="AM26" i="9"/>
  <c r="G6" i="22"/>
  <c r="M14" i="1"/>
  <c r="M19" s="1"/>
  <c r="M14" i="22"/>
  <c r="M19" s="1"/>
  <c r="F68" i="1"/>
  <c r="R68" s="1"/>
  <c r="S68" s="1"/>
  <c r="F68" i="22"/>
  <c r="R68" s="1"/>
  <c r="S68" s="1"/>
  <c r="I92" i="1"/>
  <c r="I92" i="22"/>
  <c r="E24" i="20"/>
  <c r="G24"/>
  <c r="K24"/>
  <c r="I24"/>
  <c r="M24"/>
  <c r="M95" i="22"/>
  <c r="M95" i="1"/>
  <c r="Y97" i="11"/>
  <c r="R19" i="22"/>
  <c r="E62" i="9"/>
  <c r="D63"/>
  <c r="E63" s="1"/>
  <c r="J51" i="1"/>
  <c r="J51" i="22"/>
  <c r="AI56" i="10"/>
  <c r="H53" i="22"/>
  <c r="Q53" s="1"/>
  <c r="S53" s="1"/>
  <c r="H53" i="1"/>
  <c r="J58" i="10"/>
  <c r="AH58"/>
  <c r="E55" i="1"/>
  <c r="E55" i="22"/>
  <c r="F57" i="1"/>
  <c r="R57" s="1"/>
  <c r="F57" i="22"/>
  <c r="R57" s="1"/>
  <c r="G14"/>
  <c r="G19" s="1"/>
  <c r="K97" i="1"/>
  <c r="K97" i="22"/>
  <c r="AF60" i="10"/>
  <c r="I60"/>
  <c r="G61"/>
  <c r="G62" s="1"/>
  <c r="V58" i="11"/>
  <c r="V59" s="1"/>
  <c r="K55" i="22"/>
  <c r="K55" i="1"/>
  <c r="Q53"/>
  <c r="S53" s="1"/>
  <c r="J99" i="11"/>
  <c r="X99"/>
  <c r="M97" i="22" s="1"/>
  <c r="AE95" s="1"/>
  <c r="I63" i="9"/>
  <c r="J63" s="1"/>
  <c r="J62"/>
  <c r="I64"/>
  <c r="J64" s="1"/>
  <c r="W114" i="11"/>
  <c r="L97" i="1"/>
  <c r="Y94" i="11"/>
  <c r="M92" i="1"/>
  <c r="Q86"/>
  <c r="S86" s="1"/>
  <c r="E21" i="11"/>
  <c r="X21"/>
  <c r="F72" i="1"/>
  <c r="R72" s="1"/>
  <c r="S72" s="1"/>
  <c r="AM79" i="9"/>
  <c r="G72" i="22" s="1"/>
  <c r="I99" i="9"/>
  <c r="J99" s="1"/>
  <c r="H104"/>
  <c r="AL99"/>
  <c r="F92" i="22" s="1"/>
  <c r="R92" s="1"/>
  <c r="S92" s="1"/>
  <c r="C117" i="10"/>
  <c r="AG102"/>
  <c r="R119" i="9"/>
  <c r="R121" s="1"/>
  <c r="S104"/>
  <c r="T104" s="1"/>
  <c r="AN66"/>
  <c r="G59" i="1"/>
  <c r="AM75" i="9"/>
  <c r="I97" i="10"/>
  <c r="J97" s="1"/>
  <c r="AI77"/>
  <c r="J72" i="1"/>
  <c r="R19"/>
  <c r="R14"/>
  <c r="S14" s="1"/>
  <c r="G69"/>
  <c r="AN76" i="9"/>
  <c r="AN74"/>
  <c r="G67" i="1"/>
  <c r="G85"/>
  <c r="AN92" i="9"/>
  <c r="D117" i="10"/>
  <c r="D27" i="1"/>
  <c r="E26" i="8"/>
  <c r="AB121" i="9"/>
  <c r="AC121" s="1"/>
  <c r="AC119"/>
  <c r="AD119" s="1"/>
  <c r="H7" i="2"/>
  <c r="F14"/>
  <c r="F25" s="1"/>
  <c r="F47" s="1"/>
  <c r="AA24" i="10"/>
  <c r="AA119" s="1"/>
  <c r="AC7"/>
  <c r="AF7"/>
  <c r="H6" i="22" s="1"/>
  <c r="H19" s="1"/>
  <c r="AF102" i="10"/>
  <c r="H97" i="22" s="1"/>
  <c r="H92" i="1"/>
  <c r="Q92" s="1"/>
  <c r="J86"/>
  <c r="AI91" i="10"/>
  <c r="X58" i="11"/>
  <c r="M56" i="22" s="1"/>
  <c r="J58" i="11"/>
  <c r="G27" i="1"/>
  <c r="AM62" i="9"/>
  <c r="G55" i="22" s="1"/>
  <c r="AN34" i="9"/>
  <c r="N12" i="21"/>
  <c r="P5"/>
  <c r="Y21" i="11"/>
  <c r="AH102" i="10"/>
  <c r="J97" i="22" s="1"/>
  <c r="AD95" s="1"/>
  <c r="E102" i="10"/>
  <c r="Y51" i="11"/>
  <c r="M49" i="1"/>
  <c r="Q119" i="9"/>
  <c r="AK64"/>
  <c r="S63"/>
  <c r="T63" s="1"/>
  <c r="AK63"/>
  <c r="E56" i="22" s="1"/>
  <c r="H97" i="2"/>
  <c r="I97" s="1"/>
  <c r="F106"/>
  <c r="H106" s="1"/>
  <c r="I106" s="1"/>
  <c r="N4" i="20"/>
  <c r="I112" i="2"/>
  <c r="D24" i="10"/>
  <c r="AH7"/>
  <c r="J6" i="22" s="1"/>
  <c r="J19" s="1"/>
  <c r="E7" i="10"/>
  <c r="N24"/>
  <c r="O7"/>
  <c r="F118" i="2"/>
  <c r="B119" i="10"/>
  <c r="B32" i="5" s="1"/>
  <c r="B33" s="1"/>
  <c r="G114" i="11"/>
  <c r="G116" s="1"/>
  <c r="I59"/>
  <c r="S64" i="9"/>
  <c r="T64" s="1"/>
  <c r="T62"/>
  <c r="AN26"/>
  <c r="AN7"/>
  <c r="G6" i="1"/>
  <c r="G19" s="1"/>
  <c r="H41" i="2"/>
  <c r="I41" s="1"/>
  <c r="I33"/>
  <c r="I24" i="10"/>
  <c r="J7"/>
  <c r="X24"/>
  <c r="Y7"/>
  <c r="E117"/>
  <c r="AI90"/>
  <c r="J85" i="1"/>
  <c r="T7" i="10"/>
  <c r="S24"/>
  <c r="AF20" i="5"/>
  <c r="AF33" s="1"/>
  <c r="D97" i="1" l="1"/>
  <c r="AB95" s="1"/>
  <c r="E96" i="8"/>
  <c r="D97" i="22"/>
  <c r="AB95" s="1"/>
  <c r="Q19"/>
  <c r="Q6"/>
  <c r="S6" s="1"/>
  <c r="V117" i="10"/>
  <c r="X62"/>
  <c r="Y62" s="1"/>
  <c r="B114" i="11"/>
  <c r="D59"/>
  <c r="E59" s="1"/>
  <c r="L121" i="9"/>
  <c r="N121" s="1"/>
  <c r="N119"/>
  <c r="O119" s="1"/>
  <c r="D55" i="8"/>
  <c r="B56" i="1"/>
  <c r="B56" i="22"/>
  <c r="M53"/>
  <c r="M53" i="1"/>
  <c r="Y55" i="11"/>
  <c r="N63" i="9"/>
  <c r="O62"/>
  <c r="Y62"/>
  <c r="X63"/>
  <c r="Y63" s="1"/>
  <c r="X64"/>
  <c r="Y64" s="1"/>
  <c r="X57" i="11"/>
  <c r="E57"/>
  <c r="D55" i="1"/>
  <c r="E54" i="8"/>
  <c r="D55" i="22"/>
  <c r="L59" i="11"/>
  <c r="B56" i="8"/>
  <c r="E97" i="1"/>
  <c r="E97" i="22"/>
  <c r="Q97" s="1"/>
  <c r="G68"/>
  <c r="E57" i="1"/>
  <c r="E57" i="22"/>
  <c r="L117" i="1"/>
  <c r="L119" s="1"/>
  <c r="L117" i="22"/>
  <c r="L119" s="1"/>
  <c r="K57"/>
  <c r="V114" i="11"/>
  <c r="K57" i="1"/>
  <c r="I62" i="10"/>
  <c r="G117"/>
  <c r="AF62"/>
  <c r="J60"/>
  <c r="AH60"/>
  <c r="I97" i="1"/>
  <c r="I97" i="22"/>
  <c r="K56"/>
  <c r="K56" i="1"/>
  <c r="I61" i="10"/>
  <c r="AF61"/>
  <c r="H55" i="22"/>
  <c r="Q55" s="1"/>
  <c r="S55" s="1"/>
  <c r="H55" i="1"/>
  <c r="Q55" s="1"/>
  <c r="S55" s="1"/>
  <c r="N18" i="20" s="1"/>
  <c r="J53" i="22"/>
  <c r="J53" i="1"/>
  <c r="AI58" i="10"/>
  <c r="S19" i="22"/>
  <c r="D64" i="9"/>
  <c r="E64" s="1"/>
  <c r="M97" i="1"/>
  <c r="AE95" s="1"/>
  <c r="Y99" i="11"/>
  <c r="W116"/>
  <c r="F92" i="1"/>
  <c r="R92" s="1"/>
  <c r="AM99" i="9"/>
  <c r="G92" i="22" s="1"/>
  <c r="AH97" i="10"/>
  <c r="J92" i="22" s="1"/>
  <c r="U13" i="1"/>
  <c r="G116" i="2"/>
  <c r="N10" i="20"/>
  <c r="G68" i="1"/>
  <c r="AN75" i="9"/>
  <c r="G86" i="22"/>
  <c r="C119" i="10"/>
  <c r="AG119" s="1"/>
  <c r="AG117"/>
  <c r="I104" i="9"/>
  <c r="J104" s="1"/>
  <c r="AL104"/>
  <c r="F97" i="22" s="1"/>
  <c r="H119" i="9"/>
  <c r="G72" i="1"/>
  <c r="AN79" i="9"/>
  <c r="S92" i="1"/>
  <c r="I7" i="2"/>
  <c r="H14"/>
  <c r="I114" i="11"/>
  <c r="J59"/>
  <c r="D119" i="10"/>
  <c r="E24"/>
  <c r="J4" i="20"/>
  <c r="G4"/>
  <c r="M4"/>
  <c r="C4"/>
  <c r="H4"/>
  <c r="L4"/>
  <c r="I4"/>
  <c r="B4"/>
  <c r="D4"/>
  <c r="K4"/>
  <c r="F4"/>
  <c r="E4"/>
  <c r="Q121" i="9"/>
  <c r="S121" s="1"/>
  <c r="S119"/>
  <c r="T119" s="1"/>
  <c r="AK119"/>
  <c r="E117" i="22" s="1"/>
  <c r="J97" i="1"/>
  <c r="AI102" i="10"/>
  <c r="AN62" i="9"/>
  <c r="G55" i="1"/>
  <c r="AF24" i="10"/>
  <c r="H6" i="1"/>
  <c r="H19" s="1"/>
  <c r="T24" i="10"/>
  <c r="S119"/>
  <c r="T119" s="1"/>
  <c r="Y24"/>
  <c r="J24"/>
  <c r="O24"/>
  <c r="N119"/>
  <c r="O119" s="1"/>
  <c r="J6" i="1"/>
  <c r="J19" s="1"/>
  <c r="AI7" i="10"/>
  <c r="AM63" i="9"/>
  <c r="G56" i="22" s="1"/>
  <c r="E56" i="1"/>
  <c r="Y58" i="11"/>
  <c r="M56" i="1"/>
  <c r="H97"/>
  <c r="Q97" s="1"/>
  <c r="AF117" i="10"/>
  <c r="AD7"/>
  <c r="AC24"/>
  <c r="AH24" s="1"/>
  <c r="B57" i="22" l="1"/>
  <c r="B57" i="1"/>
  <c r="D56" i="8"/>
  <c r="E56" s="1"/>
  <c r="B113"/>
  <c r="O63" i="9"/>
  <c r="N64"/>
  <c r="O64" s="1"/>
  <c r="D56" i="22"/>
  <c r="D56" i="1"/>
  <c r="E55" i="8"/>
  <c r="D114" i="11"/>
  <c r="E114" s="1"/>
  <c r="B116"/>
  <c r="D116" s="1"/>
  <c r="X117" i="10"/>
  <c r="V119"/>
  <c r="L74" i="2" s="1"/>
  <c r="L75" s="1"/>
  <c r="R97" i="22"/>
  <c r="S97" s="1"/>
  <c r="N59" i="11"/>
  <c r="L114"/>
  <c r="M55" i="22"/>
  <c r="M57" s="1"/>
  <c r="M55" i="1"/>
  <c r="Y57" i="11"/>
  <c r="M57" i="1"/>
  <c r="D57" i="22"/>
  <c r="D57" i="1"/>
  <c r="I117"/>
  <c r="I119" s="1"/>
  <c r="I117" i="22"/>
  <c r="I119" s="1"/>
  <c r="K18" i="20"/>
  <c r="G18"/>
  <c r="D18"/>
  <c r="C18"/>
  <c r="E18"/>
  <c r="B18"/>
  <c r="M18"/>
  <c r="F18"/>
  <c r="I18"/>
  <c r="H18"/>
  <c r="J18"/>
  <c r="L18"/>
  <c r="H56" i="1"/>
  <c r="H56" i="22"/>
  <c r="Q56" s="1"/>
  <c r="S56" s="1"/>
  <c r="I117" i="10"/>
  <c r="G119"/>
  <c r="H117" i="1"/>
  <c r="H117" i="22"/>
  <c r="H119" s="1"/>
  <c r="E119"/>
  <c r="J61" i="10"/>
  <c r="AH61"/>
  <c r="J55" i="22"/>
  <c r="J55" i="1"/>
  <c r="AI60" i="10"/>
  <c r="H57" i="22"/>
  <c r="H57" i="1"/>
  <c r="Q57" s="1"/>
  <c r="S57" s="1"/>
  <c r="J62" i="10"/>
  <c r="AH62"/>
  <c r="AI62" s="1"/>
  <c r="K117" i="1"/>
  <c r="K119" s="1"/>
  <c r="K117" i="22"/>
  <c r="K119" s="1"/>
  <c r="V116" i="11"/>
  <c r="Q56" i="1"/>
  <c r="S56" s="1"/>
  <c r="N19" i="20" s="1"/>
  <c r="E19" s="1"/>
  <c r="AI24" i="10"/>
  <c r="F97" i="1"/>
  <c r="R97" s="1"/>
  <c r="AM104" i="9"/>
  <c r="G97" i="22" s="1"/>
  <c r="AC95" s="1"/>
  <c r="AF95" s="1"/>
  <c r="G86" i="1"/>
  <c r="AN93" i="9"/>
  <c r="H116" i="2"/>
  <c r="G118"/>
  <c r="AI97" i="10"/>
  <c r="J92" i="1"/>
  <c r="S97"/>
  <c r="N20" i="20" s="1"/>
  <c r="I119" i="9"/>
  <c r="J119" s="1"/>
  <c r="AL119"/>
  <c r="F117" i="22" s="1"/>
  <c r="H121" i="9"/>
  <c r="I121" s="1"/>
  <c r="E10" i="20"/>
  <c r="B10"/>
  <c r="AN99" i="9"/>
  <c r="G92" i="1"/>
  <c r="I14" i="2"/>
  <c r="H25"/>
  <c r="AE94" i="1"/>
  <c r="M117"/>
  <c r="M119" s="1"/>
  <c r="K19" i="20"/>
  <c r="J19"/>
  <c r="F19"/>
  <c r="E117" i="1"/>
  <c r="AM119" i="9"/>
  <c r="AN119" s="1"/>
  <c r="AK121"/>
  <c r="J114" i="11"/>
  <c r="I116"/>
  <c r="AF119" i="10"/>
  <c r="AD24"/>
  <c r="AC119"/>
  <c r="AD119" s="1"/>
  <c r="F20" i="20"/>
  <c r="J20"/>
  <c r="I20"/>
  <c r="B20"/>
  <c r="L20"/>
  <c r="K20"/>
  <c r="G20"/>
  <c r="E20"/>
  <c r="C20"/>
  <c r="M20"/>
  <c r="D20"/>
  <c r="H20"/>
  <c r="AN63" i="9"/>
  <c r="G56" i="1"/>
  <c r="Q6"/>
  <c r="S6" s="1"/>
  <c r="AD95"/>
  <c r="E119" i="10"/>
  <c r="AM64" i="9"/>
  <c r="G57" i="22" s="1"/>
  <c r="Q57" l="1"/>
  <c r="S57" s="1"/>
  <c r="M19" i="20"/>
  <c r="C19"/>
  <c r="L19"/>
  <c r="AB94" i="22"/>
  <c r="D117"/>
  <c r="D119" s="1"/>
  <c r="AE94"/>
  <c r="M117"/>
  <c r="M119" s="1"/>
  <c r="O59" i="11"/>
  <c r="X59"/>
  <c r="Y59" s="1"/>
  <c r="AB94" i="1"/>
  <c r="D117"/>
  <c r="D119" s="1"/>
  <c r="L116" i="11"/>
  <c r="N114"/>
  <c r="Y117" i="10"/>
  <c r="X119"/>
  <c r="Y119" s="1"/>
  <c r="B117" i="22"/>
  <c r="B119" s="1"/>
  <c r="B117" i="1"/>
  <c r="B119" s="1"/>
  <c r="D113" i="8"/>
  <c r="B115"/>
  <c r="N26" i="20"/>
  <c r="D19"/>
  <c r="D26" s="1"/>
  <c r="G19"/>
  <c r="H19"/>
  <c r="H26" s="1"/>
  <c r="B19"/>
  <c r="I19"/>
  <c r="AC94" i="22"/>
  <c r="G117"/>
  <c r="G119" s="1"/>
  <c r="J56"/>
  <c r="J56" i="1"/>
  <c r="J57" s="1"/>
  <c r="AI61" i="10"/>
  <c r="J117"/>
  <c r="AH117"/>
  <c r="I119"/>
  <c r="AH119" s="1"/>
  <c r="AI119" s="1"/>
  <c r="Q117" i="22"/>
  <c r="R117"/>
  <c r="R119" s="1"/>
  <c r="F119"/>
  <c r="J57"/>
  <c r="F117" i="1"/>
  <c r="AL121" i="9"/>
  <c r="AM121" s="1"/>
  <c r="G97" i="1"/>
  <c r="AC95" s="1"/>
  <c r="AN104" i="9"/>
  <c r="AF95" i="1"/>
  <c r="I26" i="20"/>
  <c r="I25" i="2"/>
  <c r="H47"/>
  <c r="H119" i="1"/>
  <c r="Q19"/>
  <c r="G26" i="20"/>
  <c r="B26"/>
  <c r="E26"/>
  <c r="AN64" i="9"/>
  <c r="G57" i="1"/>
  <c r="E119"/>
  <c r="M26" i="20"/>
  <c r="F26"/>
  <c r="C26"/>
  <c r="J26"/>
  <c r="L26"/>
  <c r="K26"/>
  <c r="E113" i="8" l="1"/>
  <c r="D115"/>
  <c r="Q117" i="1"/>
  <c r="Q119" s="1"/>
  <c r="O114" i="11"/>
  <c r="N116"/>
  <c r="X114"/>
  <c r="S117" i="22"/>
  <c r="S119" s="1"/>
  <c r="Q119"/>
  <c r="AK117" i="10"/>
  <c r="AI117"/>
  <c r="AD94" i="22"/>
  <c r="AF94" s="1"/>
  <c r="J117"/>
  <c r="J119" s="1"/>
  <c r="AD94" i="1"/>
  <c r="J117"/>
  <c r="J119" s="1"/>
  <c r="R117"/>
  <c r="R119" s="1"/>
  <c r="F119"/>
  <c r="H118" i="2"/>
  <c r="I118" s="1"/>
  <c r="I47"/>
  <c r="N3" i="20"/>
  <c r="G117" i="1"/>
  <c r="G119" s="1"/>
  <c r="AC94"/>
  <c r="AF94" s="1"/>
  <c r="S19"/>
  <c r="X116" i="11" l="1"/>
  <c r="Y114"/>
  <c r="AF96" i="22"/>
  <c r="AG94" s="1"/>
  <c r="S117" i="1"/>
  <c r="S119" s="1"/>
  <c r="B3" i="20"/>
  <c r="B16" s="1"/>
  <c r="B28" s="1"/>
  <c r="C15" s="1"/>
  <c r="N16"/>
  <c r="N30" s="1"/>
  <c r="D3"/>
  <c r="M3"/>
  <c r="L3"/>
  <c r="G3"/>
  <c r="E3"/>
  <c r="K3"/>
  <c r="C3"/>
  <c r="J3"/>
  <c r="F3"/>
  <c r="I3"/>
  <c r="H3"/>
  <c r="AF96" i="1"/>
  <c r="AG94" s="1"/>
  <c r="C16" i="20" l="1"/>
  <c r="C28" s="1"/>
  <c r="D15" s="1"/>
  <c r="D16" s="1"/>
  <c r="D28" s="1"/>
  <c r="E15" s="1"/>
  <c r="E16" s="1"/>
  <c r="E28" s="1"/>
  <c r="F15" s="1"/>
  <c r="F16" s="1"/>
  <c r="F28" s="1"/>
  <c r="G15" s="1"/>
  <c r="G16" s="1"/>
  <c r="G28" s="1"/>
  <c r="H15" s="1"/>
  <c r="H16" s="1"/>
  <c r="H28" s="1"/>
  <c r="I15" s="1"/>
  <c r="I16" s="1"/>
  <c r="I28" s="1"/>
  <c r="J15" s="1"/>
  <c r="J16" s="1"/>
  <c r="J28" s="1"/>
  <c r="K15" s="1"/>
  <c r="K16" s="1"/>
  <c r="K28" s="1"/>
  <c r="L15" s="1"/>
  <c r="L16" s="1"/>
  <c r="L28" s="1"/>
  <c r="M15" s="1"/>
  <c r="M16" s="1"/>
  <c r="M28" s="1"/>
</calcChain>
</file>

<file path=xl/comments1.xml><?xml version="1.0" encoding="utf-8"?>
<comments xmlns="http://schemas.openxmlformats.org/spreadsheetml/2006/main">
  <authors>
    <author>a</author>
  </authors>
  <commentList>
    <comment ref="D1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PC, irodabútor, szakértői díj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1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KDOP bankszámla nyitóegyenlege + rehab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P15" authorId="0">
      <text>
        <r>
          <rPr>
            <sz val="10"/>
            <color indexed="81"/>
            <rFont val="Tahoma"/>
            <family val="2"/>
            <charset val="238"/>
          </rPr>
          <t xml:space="preserve">adósság 2009-10-ről
</t>
        </r>
      </text>
    </comment>
  </commentList>
</comments>
</file>

<file path=xl/comments2.xml><?xml version="1.0" encoding="utf-8"?>
<comments xmlns="http://schemas.openxmlformats.org/spreadsheetml/2006/main">
  <authors>
    <author>a</author>
  </authors>
  <commentList>
    <comment ref="R61" authorId="0">
      <text>
        <r>
          <rPr>
            <sz val="10"/>
            <color indexed="81"/>
            <rFont val="Tahoma"/>
            <family val="2"/>
            <charset val="238"/>
          </rPr>
          <t xml:space="preserve">- 135 eFt
+1629 eFt KDOP
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H1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TIOP 9653 eFt
TÁMOP 226 eFt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H56" authorId="0">
      <text>
        <r>
          <rPr>
            <sz val="10"/>
            <color indexed="81"/>
            <rFont val="Tahoma"/>
            <family val="2"/>
            <charset val="238"/>
          </rPr>
          <t xml:space="preserve">TIOP
</t>
        </r>
      </text>
    </comment>
    <comment ref="H58" authorId="0">
      <text>
        <r>
          <rPr>
            <sz val="10"/>
            <color indexed="81"/>
            <rFont val="Tahoma"/>
            <family val="2"/>
            <charset val="238"/>
          </rPr>
          <t xml:space="preserve">TIOP
</t>
        </r>
      </text>
    </comment>
    <comment ref="H60" authorId="0">
      <text>
        <r>
          <rPr>
            <sz val="10"/>
            <color indexed="81"/>
            <rFont val="Tahoma"/>
            <family val="2"/>
            <charset val="238"/>
          </rPr>
          <t>TIOP</t>
        </r>
      </text>
    </comment>
    <comment ref="H82" authorId="0">
      <text>
        <r>
          <rPr>
            <b/>
            <sz val="10"/>
            <color indexed="81"/>
            <rFont val="Tahoma"/>
            <family val="2"/>
            <charset val="238"/>
          </rPr>
          <t>TIOP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H83" authorId="0">
      <text>
        <r>
          <rPr>
            <sz val="10"/>
            <color indexed="81"/>
            <rFont val="Tahoma"/>
            <family val="2"/>
            <charset val="238"/>
          </rPr>
          <t xml:space="preserve">TIOP
</t>
        </r>
      </text>
    </comment>
    <comment ref="H10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TIOP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H104" authorId="0">
      <text>
        <r>
          <rPr>
            <b/>
            <sz val="10"/>
            <color indexed="81"/>
            <rFont val="Tahoma"/>
            <family val="2"/>
            <charset val="238"/>
          </rPr>
          <t>TIOP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</author>
  </authors>
  <commentList>
    <comment ref="D1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PC, irodabútor, szakértői díj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G1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KDOP bankszámla nyitóegyenlege + rehab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P15" authorId="0">
      <text>
        <r>
          <rPr>
            <sz val="10"/>
            <color indexed="81"/>
            <rFont val="Tahoma"/>
            <family val="2"/>
            <charset val="238"/>
          </rPr>
          <t xml:space="preserve">adósság 2009-10-ről
</t>
        </r>
      </text>
    </comment>
  </commentList>
</comments>
</file>

<file path=xl/sharedStrings.xml><?xml version="1.0" encoding="utf-8"?>
<sst xmlns="http://schemas.openxmlformats.org/spreadsheetml/2006/main" count="1904" uniqueCount="714">
  <si>
    <t>1. cím</t>
  </si>
  <si>
    <t>1.1 cím</t>
  </si>
  <si>
    <t>1.2. cím</t>
  </si>
  <si>
    <t>1.3 cím</t>
  </si>
  <si>
    <t>2. cím</t>
  </si>
  <si>
    <t>Szent László Völgye Kistérségi Szolgáltató Iroda</t>
  </si>
  <si>
    <t>Szent László Völgye Segítő Szolgálat</t>
  </si>
  <si>
    <t>Szent László Völgye Regiononális Óvoda</t>
  </si>
  <si>
    <t>Kozma Ferenc Általános Iskola</t>
  </si>
  <si>
    <t>Társulás</t>
  </si>
  <si>
    <t>Mindösszesen</t>
  </si>
  <si>
    <t>BEVÉTELEK</t>
  </si>
  <si>
    <t>Normatíva (3. és 8. sz. melléklet kvtv.)</t>
  </si>
  <si>
    <t>Normatíva (5. sz. melléklet kvtv.)/központosított előirányzat</t>
  </si>
  <si>
    <t>Térítési díjak</t>
  </si>
  <si>
    <t>ÁFA</t>
  </si>
  <si>
    <t>Kamatbevétel</t>
  </si>
  <si>
    <t>Támogatás fejezeti kez. előirányzattól</t>
  </si>
  <si>
    <t>Támogatás elkülönített állami pénzalaptól/TB-től</t>
  </si>
  <si>
    <t>Egyéb</t>
  </si>
  <si>
    <t>Eseti keresetkiegészítés</t>
  </si>
  <si>
    <t xml:space="preserve">Önkormányzatoktól működési </t>
  </si>
  <si>
    <t>Önkormányzatoktól felhalmozási</t>
  </si>
  <si>
    <t>Ktgvetési Tv-ből származó további tám., átvett pénzeszközök,pályázatok</t>
  </si>
  <si>
    <t>2010. évi pénzmaradvány igénybevétele</t>
  </si>
  <si>
    <t>BEVÉTELEK ÖSSZESEN</t>
  </si>
  <si>
    <t>KIADÁSOK</t>
  </si>
  <si>
    <t>Garantált illetmény</t>
  </si>
  <si>
    <t>Egyéb kötelező illetménypótlékok</t>
  </si>
  <si>
    <t xml:space="preserve">Ebből címpótlék </t>
  </si>
  <si>
    <t>Egyéb feltételtől függő pótlék, juttatás</t>
  </si>
  <si>
    <t>Teljes munkaidőben foglalkoztatottak rendszeres juttatásai</t>
  </si>
  <si>
    <t>Részmunkaidősök rendszeres személyi juttatása</t>
  </si>
  <si>
    <t>RENDSZERES SZEMÉLYI JUTTATÁSOK ÖSSZESEN</t>
  </si>
  <si>
    <t>Jutalom, teljesitményhez kötött</t>
  </si>
  <si>
    <t>Jutalom normatív</t>
  </si>
  <si>
    <t>Helyettesítés</t>
  </si>
  <si>
    <t>Túlóra</t>
  </si>
  <si>
    <t>Egyéb munkavégzéshez kapcsolódó juttatások</t>
  </si>
  <si>
    <t>Teljes munkaidőben foglalkoztatottak munkavégzéshez kapcsolódó juttatásai</t>
  </si>
  <si>
    <t>Részmunkaidőben foglalkoztatottak munkavégzéshez kapcsolódó juttatásai</t>
  </si>
  <si>
    <t>Munkavégzéshez kapcsolódó juttatások összesen</t>
  </si>
  <si>
    <t>Ker. kiegészítés fedezete</t>
  </si>
  <si>
    <t>Jubileumi jutalom</t>
  </si>
  <si>
    <t>Napidíj</t>
  </si>
  <si>
    <t>Egyéb sajátos juttatások</t>
  </si>
  <si>
    <t>Teljes munkaidőben foglalkoztatottak sajátos juttatásai összesen</t>
  </si>
  <si>
    <t>Részmunkaidőben foglalkoztatottak sajátos juttatásai</t>
  </si>
  <si>
    <t>Foglalkoztatottak sajános juttatásai</t>
  </si>
  <si>
    <t>Közlekedési költségtérítés</t>
  </si>
  <si>
    <t>Étkezési hozzájárulás</t>
  </si>
  <si>
    <t>Üdülési hozzájárulás</t>
  </si>
  <si>
    <t>Egyéb költségtérítés, hozzájárulás</t>
  </si>
  <si>
    <t>Teljes munkaidőben foglalkoztatottak személyhez kapcsolódó költségtérítések és hozzájárulások</t>
  </si>
  <si>
    <t>Részmunkaidős költségtérítés</t>
  </si>
  <si>
    <t>Személyhez kapcsolódó költségtérítések és hozzájárulások összesen</t>
  </si>
  <si>
    <t>Teljes munkaidőben foglalkoztatottak szoc. jellegű juttatásai</t>
  </si>
  <si>
    <t>Teljes munkaidőben foglalkoztatottak nem rendszeres juttatásai</t>
  </si>
  <si>
    <t>Részmunkaidőben foglalkoztatottak nem rendszeres személyi juttatásai</t>
  </si>
  <si>
    <t>NEM RENDSZERES SZEMÉLYI JUTTATÁSOK</t>
  </si>
  <si>
    <t>ÁLLOMÁNYBA NEM TARTOZÓK JUTTATÁSAI</t>
  </si>
  <si>
    <t>SZEMÉLYI JUTTATÁSOK ÖSSZESEN</t>
  </si>
  <si>
    <t>Járulékok (TB, termbeni+pénzbeni ebj, MEP)</t>
  </si>
  <si>
    <t>SZEMÉLYI JELLEGŰ RÁFORDÍTÁSOK MINDÖSSZESEN</t>
  </si>
  <si>
    <t>Irodaszer, nyomtatvány</t>
  </si>
  <si>
    <t>Könyv, folyóirat</t>
  </si>
  <si>
    <t>Egyéb adathordozó</t>
  </si>
  <si>
    <t>Gyógyszer, vegyszer</t>
  </si>
  <si>
    <t>Hajtó- és kenőanyag</t>
  </si>
  <si>
    <t>Egyéb készletbeszerzés</t>
  </si>
  <si>
    <t>Szakmai anyag</t>
  </si>
  <si>
    <t>Tűzelőanyag</t>
  </si>
  <si>
    <t>Munkaruha</t>
  </si>
  <si>
    <t>Kisértékű tárgyi eszköz</t>
  </si>
  <si>
    <t>Készletbeszerzés összesen</t>
  </si>
  <si>
    <t>Nem adatátviteli célú távközlési díjak</t>
  </si>
  <si>
    <t xml:space="preserve">Adatátviteli célú távközlési díjak </t>
  </si>
  <si>
    <t>Egyéb kommunikációs szolg,</t>
  </si>
  <si>
    <t>Kommunikációs szolgáltatás összesen</t>
  </si>
  <si>
    <t>Bérleti és lízingdíjak</t>
  </si>
  <si>
    <t>Vásárolt élelmezés</t>
  </si>
  <si>
    <t>Szállítási szolgáltatás</t>
  </si>
  <si>
    <t>Gázenergia szolgáltatás</t>
  </si>
  <si>
    <t>Villamosenergia szolgáltatás</t>
  </si>
  <si>
    <t>Víz- csatornadíjak</t>
  </si>
  <si>
    <t>Karbantartás</t>
  </si>
  <si>
    <t>Egyéb üzemeltetési szolgáltatás</t>
  </si>
  <si>
    <t>Vásárolt közszolgáltatás</t>
  </si>
  <si>
    <t>Továbbszámlázott szolgáltatás Áht-n belülre</t>
  </si>
  <si>
    <t>Továbbszámlázott kiadás Áht-n kíívülre</t>
  </si>
  <si>
    <t>Pénzügyi szolgáltatás</t>
  </si>
  <si>
    <t>Szolgáltatási kiadások összesen</t>
  </si>
  <si>
    <t>ÁFÁ</t>
  </si>
  <si>
    <t>Kiküldetés</t>
  </si>
  <si>
    <t>Reprezentáció</t>
  </si>
  <si>
    <t>Reklám, propaganda</t>
  </si>
  <si>
    <t>Kiküldetés, reklám</t>
  </si>
  <si>
    <t xml:space="preserve">Egyéb dologi kiadások </t>
  </si>
  <si>
    <t>DOLOGI KIADÁSOK MINDÖSSZESEN</t>
  </si>
  <si>
    <t>Előző évi maradvány visszafizetés</t>
  </si>
  <si>
    <t>Egyéb befizetési kötelezettség (rehab előleg 2010)</t>
  </si>
  <si>
    <t>Szolgáltató Iroda</t>
  </si>
  <si>
    <t>Segítő Szolgálat.</t>
  </si>
  <si>
    <t>Regionális Óvoda</t>
  </si>
  <si>
    <t>Kozma F. Ált. Isk.</t>
  </si>
  <si>
    <t>Munkáltatói szja</t>
  </si>
  <si>
    <t>szem.jell.</t>
  </si>
  <si>
    <t>Díjak, egyéb befizetések</t>
  </si>
  <si>
    <t>dologi</t>
  </si>
  <si>
    <t>DOLOGI ÉS EGYÉB FOLYÓ KIADÁSOK MINDÖSSZESEN</t>
  </si>
  <si>
    <t>BERUHÁZÁSOK</t>
  </si>
  <si>
    <t>Ingatlanfelújítás</t>
  </si>
  <si>
    <t>Gépek, berendezések, felszerelések</t>
  </si>
  <si>
    <t>Ügyviteli célú számítástechnikai eszköz vásárlás</t>
  </si>
  <si>
    <t>Immateriális javak vásárlása</t>
  </si>
  <si>
    <t>Ingatlanvásárlás</t>
  </si>
  <si>
    <t>Járművek vásárlása, létesítése</t>
  </si>
  <si>
    <t>Intézményi beruházási kiadások összesen</t>
  </si>
  <si>
    <t>Intézményi beruházások ÁFÁ-ja</t>
  </si>
  <si>
    <t>FELHALMOZÁSI KIADÁSOK ÖSSZESEN</t>
  </si>
  <si>
    <t>Tám. értékű működési kiadás helyi önkormányzatnak (Int társ)</t>
  </si>
  <si>
    <t>Tám. értékű felhalmozási kiadások</t>
  </si>
  <si>
    <t>Kölcsönök visszafizetése (busz)</t>
  </si>
  <si>
    <t>Célartalék</t>
  </si>
  <si>
    <t>KIADÁSOK MINDÖSSZESEN</t>
  </si>
  <si>
    <t>EGYENLEG ÖSSZESEN</t>
  </si>
  <si>
    <t>Eredeti</t>
  </si>
  <si>
    <t>%</t>
  </si>
  <si>
    <t>előirányzat</t>
  </si>
  <si>
    <t>I</t>
  </si>
  <si>
    <t xml:space="preserve">ÁLLAMI TÁMOGATÁS </t>
  </si>
  <si>
    <t>A</t>
  </si>
  <si>
    <t>KÖZOKTATÁSI NORMATÍVA</t>
  </si>
  <si>
    <t>ALAPNORMATÍVÁK 3. sz. melléklet szerint</t>
  </si>
  <si>
    <t>a</t>
  </si>
  <si>
    <t>Óvodai alapnormativa</t>
  </si>
  <si>
    <t>b</t>
  </si>
  <si>
    <t>Iskolai alapnormatíva</t>
  </si>
  <si>
    <t>c</t>
  </si>
  <si>
    <t>Napközis/tanulószobai foglalkoztatás</t>
  </si>
  <si>
    <t>d</t>
  </si>
  <si>
    <t>SNI</t>
  </si>
  <si>
    <t>e</t>
  </si>
  <si>
    <t>Intézményi társulási normatíva</t>
  </si>
  <si>
    <t>f</t>
  </si>
  <si>
    <t>Kedvezményes étkezés</t>
  </si>
  <si>
    <t>g</t>
  </si>
  <si>
    <t>Tankönyvellátás</t>
  </si>
  <si>
    <t>h</t>
  </si>
  <si>
    <t>Informatikai támogatás</t>
  </si>
  <si>
    <t>3. sz. melléklet szerint összesen (1.a-1.g)</t>
  </si>
  <si>
    <t>KÖTÖTT FELHASZNÁLÁSÚ NORMATÍVÁK 8 sz. melléklet szerint</t>
  </si>
  <si>
    <t>bejáró gyerekek</t>
  </si>
  <si>
    <t>autóbusszal utaztatott gyerekek</t>
  </si>
  <si>
    <t>tagintézményi támogatás</t>
  </si>
  <si>
    <t>kistelepülési tagintézményi támogatás</t>
  </si>
  <si>
    <t>szakszolgálati feladatok</t>
  </si>
  <si>
    <t>Pedagógiai szakvizsga</t>
  </si>
  <si>
    <t>Osztályfőnöki pótlék</t>
  </si>
  <si>
    <t>i</t>
  </si>
  <si>
    <t>Gyógypedagógiai pótlék</t>
  </si>
  <si>
    <t>8. sz. melléklet szerint összesen (2.a-2.f)</t>
  </si>
  <si>
    <t xml:space="preserve">A </t>
  </si>
  <si>
    <t>KÖZOKTATÁSI NORMATÍVA ÖSSZESEN (1+2)</t>
  </si>
  <si>
    <t>B</t>
  </si>
  <si>
    <t>SZOCIÁLIS NORMATÍVA</t>
  </si>
  <si>
    <t>SZOCIÁLIS ALAPNORMATIVA 3. sz. melléklet szerint</t>
  </si>
  <si>
    <t>Családsegítés</t>
  </si>
  <si>
    <t>Gyermekjóléti alapszolgáltatás</t>
  </si>
  <si>
    <t>Házi segítségnyújtás</t>
  </si>
  <si>
    <t>Idősek nappali ellátása</t>
  </si>
  <si>
    <t>Falugondnoki feladatellátás</t>
  </si>
  <si>
    <t xml:space="preserve">3. sz. melléklet szerint összesen </t>
  </si>
  <si>
    <t>SZOCIÁLIS NORMATÍVA 8. sz. melléklet szerint</t>
  </si>
  <si>
    <t>Szociális továbbképzés</t>
  </si>
  <si>
    <t>TKT által ellátott családsegítés</t>
  </si>
  <si>
    <t>TKT által ellátott házi segítségnyújtás</t>
  </si>
  <si>
    <t>TKT által ellátott idősek klubja</t>
  </si>
  <si>
    <t>TKT által ellátott gyermekjóléti szolgáltatás</t>
  </si>
  <si>
    <t>SZOCIÁLIS NORMATÍVA ÖSSZESEN (1+2)</t>
  </si>
  <si>
    <t>C</t>
  </si>
  <si>
    <t>TÖBBCÉLÚ TÁRSULÁS TÁMOGATÁSA</t>
  </si>
  <si>
    <t>D</t>
  </si>
  <si>
    <t>BELSŐ ELLENŐRZÉS</t>
  </si>
  <si>
    <t>ÁLLAMI TÁMOGATÁS MINDÖSSZESEN (A+B+C+D+E)</t>
  </si>
  <si>
    <t>II.</t>
  </si>
  <si>
    <t>PÉNZESZKÖZ ÁTVÉTEL</t>
  </si>
  <si>
    <t>E</t>
  </si>
  <si>
    <t>MŰKÖDÉSI CÉLÚ BEVÉTELEK</t>
  </si>
  <si>
    <t>ÁLLAMI TÁMOGATÁSOK</t>
  </si>
  <si>
    <t>OEP támogatás</t>
  </si>
  <si>
    <t>NFGM támogatás</t>
  </si>
  <si>
    <t>SZCSM pályázat</t>
  </si>
  <si>
    <t>Prémium évek program</t>
  </si>
  <si>
    <t>MVH (iskolatej)</t>
  </si>
  <si>
    <t>ÁLLAMI TÁMOGATÁSOK ÖSSZESEN (a-c)</t>
  </si>
  <si>
    <t>ÖNKORMÁNYZATI HOZZÁJÁRULÁSOK</t>
  </si>
  <si>
    <t>központi orvosi ügyelethez (lakosságarányos)</t>
  </si>
  <si>
    <t>ügyelet deficitje</t>
  </si>
  <si>
    <t>felosztása önkormányzatok között</t>
  </si>
  <si>
    <t>2010.01,01 lakosságszám</t>
  </si>
  <si>
    <t>Baracska 2739</t>
  </si>
  <si>
    <t>Baracska</t>
  </si>
  <si>
    <t>Ercsi  8765</t>
  </si>
  <si>
    <t>Ercsi</t>
  </si>
  <si>
    <t>Gyúró  1222</t>
  </si>
  <si>
    <t>Gyúró</t>
  </si>
  <si>
    <t>Kajászó 1091</t>
  </si>
  <si>
    <t>Kajászó</t>
  </si>
  <si>
    <t>Martonvásár 5684</t>
  </si>
  <si>
    <t>Martonvásár</t>
  </si>
  <si>
    <t>Ráckeresztúr 3357</t>
  </si>
  <si>
    <t>Ráckeresztúr</t>
  </si>
  <si>
    <t>Tordas 1960</t>
  </si>
  <si>
    <t>Tordas</t>
  </si>
  <si>
    <t>közoktatási intézményekhez</t>
  </si>
  <si>
    <r>
      <t xml:space="preserve">Baracska </t>
    </r>
    <r>
      <rPr>
        <sz val="8"/>
        <rFont val="Times New Roman"/>
        <family val="1"/>
        <charset val="238"/>
      </rPr>
      <t>(saját intézmények + hozzjárulás székhelyhez + KIK-hez)</t>
    </r>
  </si>
  <si>
    <t xml:space="preserve">Gyúró </t>
  </si>
  <si>
    <t xml:space="preserve">  átvezetési korrekció óvodáról Gyúró</t>
  </si>
  <si>
    <t xml:space="preserve">  átvezetési korrekció óvodáról Ráckeresztúr</t>
  </si>
  <si>
    <t xml:space="preserve">  átvezetési korrekció óvodáról Tordas</t>
  </si>
  <si>
    <t>szociális feladatellátáshoz</t>
  </si>
  <si>
    <t xml:space="preserve">Martonvásár </t>
  </si>
  <si>
    <t>tagdij 250</t>
  </si>
  <si>
    <t>tagdíj</t>
  </si>
  <si>
    <t>MŰKÖDÉSI CÉLÚ BEVÉTELEK ÖSSZESEN (1+2)</t>
  </si>
  <si>
    <t>F</t>
  </si>
  <si>
    <t>FELHALMOZÁSI CÉLÚ BEVÉTELEK</t>
  </si>
  <si>
    <t>KDOP pályázat</t>
  </si>
  <si>
    <t>TÁMOP/TIOP pályázat</t>
  </si>
  <si>
    <t>INFRASTRUKTURÁLIS PÁLYÁZAT</t>
  </si>
  <si>
    <t>PÉNZESZKÖZ ÁTVÉTEL ÖSSZESEN (F+G)</t>
  </si>
  <si>
    <t>III.</t>
  </si>
  <si>
    <t>SAJÁT BEVÉTEL</t>
  </si>
  <si>
    <t>KAMATBEVÉTEL</t>
  </si>
  <si>
    <t>TÉRÍTÉSI DÍJAK</t>
  </si>
  <si>
    <t xml:space="preserve">óvodai (székhely óvoda étkezés ÁFÁ-val) </t>
  </si>
  <si>
    <t xml:space="preserve">szociális </t>
  </si>
  <si>
    <t>TÉRÍTÉSI DÍJAK ÖSSZESEN</t>
  </si>
  <si>
    <t>SAJÁT BEVÉTEL ÖSSZESEN</t>
  </si>
  <si>
    <t>IV.</t>
  </si>
  <si>
    <t>2010. ÉVI PÉNZMARADVÁNY FELHASZNÁLÁSA</t>
  </si>
  <si>
    <t>BEVÉTELEK MINDÖSSZESEN (I+II+III)</t>
  </si>
  <si>
    <t>IRODA</t>
  </si>
  <si>
    <t>eredeti</t>
  </si>
  <si>
    <t xml:space="preserve"> módosított</t>
  </si>
  <si>
    <t>teljesítés</t>
  </si>
  <si>
    <t>Normatíva</t>
  </si>
  <si>
    <t xml:space="preserve">   TKT-K általános támogatása</t>
  </si>
  <si>
    <t xml:space="preserve">   Belső ellenőri feladatellátás</t>
  </si>
  <si>
    <t>Normatíva összesen</t>
  </si>
  <si>
    <t>Saját bevétel</t>
  </si>
  <si>
    <t>Támogatás elkülönített állami pénzalaptól/OEPtől</t>
  </si>
  <si>
    <t>IDŐSEK NAPPALI ELLÁTÁSA</t>
  </si>
  <si>
    <t>GYERMEKJÓLÉTI SZOLGÁLAT</t>
  </si>
  <si>
    <t>HÁZI SEGÍTSÉGNYÚJTÁS</t>
  </si>
  <si>
    <t>CSALÁDSEGÍTÉS</t>
  </si>
  <si>
    <t>TÁMOGATÓ SZOLGÁLAT</t>
  </si>
  <si>
    <t>KÖZÖSSÉGI SZOLGÁLAT</t>
  </si>
  <si>
    <t>FALUGONDNOKI SZOLGÁLTATÁS</t>
  </si>
  <si>
    <t>SEGÍTŐ SZOLGÁLAT EGYÜTT</t>
  </si>
  <si>
    <t xml:space="preserve"> 3. melléklet szerint</t>
  </si>
  <si>
    <t xml:space="preserve"> 8. melléklet szerint</t>
  </si>
  <si>
    <t xml:space="preserve"> szoc továbbképzés</t>
  </si>
  <si>
    <t xml:space="preserve">Egyéb </t>
  </si>
  <si>
    <t>létszám</t>
  </si>
  <si>
    <t>REGIONÁLIS ÓVODA</t>
  </si>
  <si>
    <t>BARACSKAI TAGÓVODA</t>
  </si>
  <si>
    <t>GÉZENGÚZ TAGÓVODA</t>
  </si>
  <si>
    <t>MOSOLY TAGÓVODA</t>
  </si>
  <si>
    <t xml:space="preserve">TORDASI TAGÓVODA </t>
  </si>
  <si>
    <t>KÖZPONTI IGAZGATÁS</t>
  </si>
  <si>
    <t xml:space="preserve">KISTÉRSÉGI ÓVODA EGYÜTT </t>
  </si>
  <si>
    <t xml:space="preserve">     Közoktatási alapnormatíva</t>
  </si>
  <si>
    <t xml:space="preserve">     Kedvezményes étkeztetés</t>
  </si>
  <si>
    <t xml:space="preserve">     SNI</t>
  </si>
  <si>
    <t xml:space="preserve">     Intézményi társulási normatíva</t>
  </si>
  <si>
    <t>Normatíva 3. sz. melléklet szerint</t>
  </si>
  <si>
    <t xml:space="preserve">     Bejáró</t>
  </si>
  <si>
    <t xml:space="preserve">     Tagintézményi</t>
  </si>
  <si>
    <t xml:space="preserve">     Kistelepülési</t>
  </si>
  <si>
    <t xml:space="preserve">     Autóbusz</t>
  </si>
  <si>
    <t xml:space="preserve">     Helyben tanulók</t>
  </si>
  <si>
    <t xml:space="preserve">     Külterületi utaztatás</t>
  </si>
  <si>
    <t xml:space="preserve">     Gyógyped.pótlék</t>
  </si>
  <si>
    <t xml:space="preserve">     Nevelési tanácsadás</t>
  </si>
  <si>
    <t xml:space="preserve">     Logopédia</t>
  </si>
  <si>
    <t>Normatíva 8. sz. melléklet szerint</t>
  </si>
  <si>
    <t>NORMATIVA ÖSSZESEN</t>
  </si>
  <si>
    <t>2009. évi pénzmaradvány igénybevétele</t>
  </si>
  <si>
    <t>Önkormányzatoktól felhalmozási (infrastruk.pály. önrész)</t>
  </si>
  <si>
    <t xml:space="preserve">ÁLTALÁNOS ISKOLAI TANULÓK </t>
  </si>
  <si>
    <t>TANKÖNYV FORGALMAZÁS</t>
  </si>
  <si>
    <t>NEVELÉSE, OKTATÁSA 1-4. évf.</t>
  </si>
  <si>
    <t>NEVELÉSE, OKTATÁSA 5-8 évf.</t>
  </si>
  <si>
    <t>NAPKÖZI</t>
  </si>
  <si>
    <t>ÖSSZESEN</t>
  </si>
  <si>
    <t xml:space="preserve">    Kedvezményes étkeztetés</t>
  </si>
  <si>
    <t xml:space="preserve">    Alapnormatíva 1-4</t>
  </si>
  <si>
    <t xml:space="preserve">    Alapnormatíva 5-8</t>
  </si>
  <si>
    <t xml:space="preserve">    Napközis normatíva</t>
  </si>
  <si>
    <t xml:space="preserve">    SNI</t>
  </si>
  <si>
    <t xml:space="preserve">    Tankönyvellátás</t>
  </si>
  <si>
    <t xml:space="preserve">    Informatikai támogatás</t>
  </si>
  <si>
    <t>Normatava 8. sz. melléklet szerint</t>
  </si>
  <si>
    <t>NORMATÍVA ÖSSZESEN</t>
  </si>
  <si>
    <t>Egyéb (Alapítvány, térítés, prémium évek)</t>
  </si>
  <si>
    <t>gyereklétszám</t>
  </si>
  <si>
    <t>pedagógus létszám teljes</t>
  </si>
  <si>
    <t xml:space="preserve">                                  rész</t>
  </si>
  <si>
    <t>átlag</t>
  </si>
  <si>
    <t>beiskolázás</t>
  </si>
  <si>
    <t xml:space="preserve">  átvezetési korrekció óvodáról </t>
  </si>
  <si>
    <t>fajlagos összeg</t>
  </si>
  <si>
    <t>Tordas-Gyúró</t>
  </si>
  <si>
    <t>Martonvásár-Kajászó</t>
  </si>
  <si>
    <t>Int. társulások</t>
  </si>
  <si>
    <t>T-GY</t>
  </si>
  <si>
    <t>Mv_K</t>
  </si>
  <si>
    <t>összeg</t>
  </si>
  <si>
    <t>időarányos</t>
  </si>
  <si>
    <t>kerekítve</t>
  </si>
  <si>
    <t>Ft</t>
  </si>
  <si>
    <t>ezreselve</t>
  </si>
  <si>
    <t>bejáró ovi és 1-4 8 hónap</t>
  </si>
  <si>
    <t>bejáró 5-8  8 hónap</t>
  </si>
  <si>
    <t>bejáró 8 hónap összesen</t>
  </si>
  <si>
    <t>bejáró ovi és 1-4 4 hónap</t>
  </si>
  <si>
    <t>bejáró 5-8 4 hónap</t>
  </si>
  <si>
    <t>bejáró 4 hónap összesen</t>
  </si>
  <si>
    <t>Bejáró összesen</t>
  </si>
  <si>
    <t>helyben tanulók ovi és 1-4 8 hónap</t>
  </si>
  <si>
    <t xml:space="preserve">helyben tanulók 5-8 8 hónap </t>
  </si>
  <si>
    <t>helyben tanulók 8 hónap</t>
  </si>
  <si>
    <t>helyben tanulók ovi és 1-4 4 hónap</t>
  </si>
  <si>
    <t>helyben tanulók 5-8 4 hónap</t>
  </si>
  <si>
    <t>helyben tanulók 4 hónap</t>
  </si>
  <si>
    <t>Helyben tanulók összesen</t>
  </si>
  <si>
    <t>busszal utaztatott gyerekek  8 hónap</t>
  </si>
  <si>
    <t>busszal utaztatott gyerekek 4 hónap</t>
  </si>
  <si>
    <t>Busszal utaztatott összesen</t>
  </si>
  <si>
    <t>külterületről utaztatott 8 hónap</t>
  </si>
  <si>
    <t>külterületről utaztatott 4 hónap</t>
  </si>
  <si>
    <t>Külterületről utaztatott összesen</t>
  </si>
  <si>
    <t>tagintézményi 8 hónap</t>
  </si>
  <si>
    <t>tagintézményi 4 hónap</t>
  </si>
  <si>
    <t xml:space="preserve">Tagintézményi összesen </t>
  </si>
  <si>
    <t>kistelepülési 8 hónap</t>
  </si>
  <si>
    <t>kistelepülési 4 hónap</t>
  </si>
  <si>
    <t>Kistelepülési összesen</t>
  </si>
  <si>
    <t>logopédia 8 hónap</t>
  </si>
  <si>
    <t>logopédia 4 hónap</t>
  </si>
  <si>
    <t>Logopédia összesen</t>
  </si>
  <si>
    <t>gyógytestnevelés 8 hónap</t>
  </si>
  <si>
    <t>gyógytestnevelés 4 hónap</t>
  </si>
  <si>
    <t>Gyógytestnevelés összesen</t>
  </si>
  <si>
    <t>nev.tan 8 hónap</t>
  </si>
  <si>
    <t>nev.tan. 4 hónap</t>
  </si>
  <si>
    <t>Nevelési tanácsadás összesen</t>
  </si>
  <si>
    <t>INTÉZMÉNYI TÁRSULÁSI NORMATIVA MINDÖSSZESEN</t>
  </si>
  <si>
    <t xml:space="preserve">IRODA </t>
  </si>
  <si>
    <t>Normatíva (3. és 8. sz.. melléklet kvtv.)</t>
  </si>
  <si>
    <t>Normatíva (5. sz.. melléklet kvtv.)</t>
  </si>
  <si>
    <t>Egyéb kommunikációs szolgáltatás</t>
  </si>
  <si>
    <t xml:space="preserve">Egyéb üzemeltetési szolgáltatás </t>
  </si>
  <si>
    <t>Vásárolt közszolgáltatás (belső ellenőrzés)</t>
  </si>
  <si>
    <t>Továbbszámlázott kiadás Áht-n belülre</t>
  </si>
  <si>
    <t>Pénzügyi  szolgáltatás (bankktg.)</t>
  </si>
  <si>
    <t>Egyéb dologi kiadások</t>
  </si>
  <si>
    <t>Egyéb befizetési kötelezettség</t>
  </si>
  <si>
    <t>Díjak, egyéb befizetések (biztosítás)</t>
  </si>
  <si>
    <t>Működési célra átadott pénzeszköz Martonvásár Önkormányzatának</t>
  </si>
  <si>
    <t>Kölcsönök visszafizetése</t>
  </si>
  <si>
    <t>Céltartalék (területfejlesztési feladatokra)</t>
  </si>
  <si>
    <t>Adatok: eFt-ban</t>
  </si>
  <si>
    <t>TANYAGONDNOKI SZOLGÁLTATÁS</t>
  </si>
  <si>
    <t>Ebből: Baracska</t>
  </si>
  <si>
    <t xml:space="preserve">          Gyúró</t>
  </si>
  <si>
    <t xml:space="preserve">          Kajászó</t>
  </si>
  <si>
    <t xml:space="preserve">          Martonvásár</t>
  </si>
  <si>
    <t xml:space="preserve">          Ráckeresztúr</t>
  </si>
  <si>
    <t xml:space="preserve">         Tordas</t>
  </si>
  <si>
    <t>ÁLLOMÁNYBA NEM TARTOZÓK JUTTATÁSAI (KDOP)</t>
  </si>
  <si>
    <t>Továbbszámlázott szolgáltatás Áht-n kívülre</t>
  </si>
  <si>
    <t>Reprezentáció (rendezvény vendéglátása)</t>
  </si>
  <si>
    <t>Egyéb dologi kiadások KDOP</t>
  </si>
  <si>
    <t>Díjak, egyéb befizetések (rehab)</t>
  </si>
  <si>
    <t>Ingatlan felújítás</t>
  </si>
  <si>
    <t>Ingatlanvásárlás, létesítés</t>
  </si>
  <si>
    <t>Kölcsön visszafizetése</t>
  </si>
  <si>
    <t>megoszlás</t>
  </si>
  <si>
    <t>IDŐSEK</t>
  </si>
  <si>
    <t>TÖBBI SZOC. FELADAT</t>
  </si>
  <si>
    <t>TANYAGONDNOK</t>
  </si>
  <si>
    <t>Önkormányzatoktól működési  (Baracskánál 2 eFt kieg. támogatással együtt)</t>
  </si>
  <si>
    <t xml:space="preserve">ebből: Baracska  </t>
  </si>
  <si>
    <t xml:space="preserve">           Gyúró</t>
  </si>
  <si>
    <t xml:space="preserve">           Ráckeresztúr</t>
  </si>
  <si>
    <t xml:space="preserve">           Tordas</t>
  </si>
  <si>
    <t>Vásárolt élelmezés (35 gyermek *668 Ft * 220 nap)</t>
  </si>
  <si>
    <t>Vásárolt termék, szolgáltatás ÁFÁ-ja</t>
  </si>
  <si>
    <t>Ingatlanvásárlás, felújítás</t>
  </si>
  <si>
    <t xml:space="preserve">Célartalék </t>
  </si>
  <si>
    <t>EGYENLEG ÖSSZESEN (átvezetve az Egyéb befizetési kötelezettségek csökkentésére)</t>
  </si>
  <si>
    <t>Egyenleg felosztás</t>
  </si>
  <si>
    <t>Székhely óvoda</t>
  </si>
  <si>
    <t>Központi irányítás</t>
  </si>
  <si>
    <t>szülői befizetés 405*35*220</t>
  </si>
  <si>
    <t>ÁLTALÁNOS ISKOLA</t>
  </si>
  <si>
    <t>Továbbszámlázott kiadás Áht-n kívülre</t>
  </si>
  <si>
    <t>DOLOGI KIADÁSOK ÖSSZESEN</t>
  </si>
  <si>
    <t>Tám. értékű működési kiadás önkormányzatnak (Int társ)</t>
  </si>
  <si>
    <t>létszámarányos rehab</t>
  </si>
  <si>
    <t>Adatok: fő</t>
  </si>
  <si>
    <t>Közalkalmazotti státuszok</t>
  </si>
  <si>
    <t>1. cím Szent László Völgye Kistérségi Szolgáltató Iroda</t>
  </si>
  <si>
    <t>1.1 cím Szent László Völgye Segítő Szolgálat</t>
  </si>
  <si>
    <t>1.2 cím Szent László Regionális Óvoda</t>
  </si>
  <si>
    <t>1. 3 cím Kozma Ferenc Általános Iskola</t>
  </si>
  <si>
    <t>Összesen</t>
  </si>
  <si>
    <t>ENGEDÉLYEZETT LÉTSZÁM</t>
  </si>
  <si>
    <t>Irodavezető</t>
  </si>
  <si>
    <t>Gazdasági vezető</t>
  </si>
  <si>
    <t>Belső ellenőr</t>
  </si>
  <si>
    <t>Pénzügyi ügyintéző</t>
  </si>
  <si>
    <t>Gazdasági-munkaügyi ügyintéző</t>
  </si>
  <si>
    <t>Általános ügyintéző</t>
  </si>
  <si>
    <t>Szolgáltató Iroda Összesen</t>
  </si>
  <si>
    <t>Segítő Szolgálat</t>
  </si>
  <si>
    <t>Intézményvezető</t>
  </si>
  <si>
    <t>Családsegítés csopvez.</t>
  </si>
  <si>
    <t>Közösségi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</si>
  <si>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</si>
  <si>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</si>
  <si>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</si>
  <si>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</si>
  <si>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</si>
  <si>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</si>
  <si>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</si>
  <si>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Adminisztrátor</t>
  </si>
  <si>
    <t>Közösségi pszichiátriai gondozó</t>
  </si>
  <si>
    <t>Segítő Szolgálat Összesen</t>
  </si>
  <si>
    <t>Intézményvezető (G7)</t>
  </si>
  <si>
    <t>Tagintézmény vezető</t>
  </si>
  <si>
    <t>Pedagógus</t>
  </si>
  <si>
    <t>Dajka</t>
  </si>
  <si>
    <t>Konyhai kisegítő</t>
  </si>
  <si>
    <t>Logopédus</t>
  </si>
  <si>
    <t>Gyógypedagógus</t>
  </si>
  <si>
    <t>Óvodatitkár</t>
  </si>
  <si>
    <t xml:space="preserve">Prémium évek </t>
  </si>
  <si>
    <t>Regionális Óvoda Összesen</t>
  </si>
  <si>
    <t>Kozma Iskola</t>
  </si>
  <si>
    <t>gazd.ügyint</t>
  </si>
  <si>
    <t>Takarító</t>
  </si>
  <si>
    <t>Karbantartó</t>
  </si>
  <si>
    <t>Kozma Iskola Összesen</t>
  </si>
  <si>
    <t>Státusz összesen</t>
  </si>
  <si>
    <t>eredeti igénylés</t>
  </si>
  <si>
    <t>mutató</t>
  </si>
  <si>
    <t>Összeg</t>
  </si>
  <si>
    <t>2010/11</t>
  </si>
  <si>
    <t>2011/12</t>
  </si>
  <si>
    <t>ÓVODA</t>
  </si>
  <si>
    <t>2011. 8 hónapra</t>
  </si>
  <si>
    <t>2011. 4 hónapra</t>
  </si>
  <si>
    <t>ÓVODAI ALAPNORMATÍVA ÖSSZESEN</t>
  </si>
  <si>
    <t>ISKOLA</t>
  </si>
  <si>
    <t>1-2. évfolyam</t>
  </si>
  <si>
    <t>3. évfolyam</t>
  </si>
  <si>
    <t>4. évfolyam</t>
  </si>
  <si>
    <t>1-4. évfolyam</t>
  </si>
  <si>
    <t>5-6. évfolyam</t>
  </si>
  <si>
    <t>7. évfolyam</t>
  </si>
  <si>
    <t>8. évfolyam</t>
  </si>
  <si>
    <t>5-8. évfolyam</t>
  </si>
  <si>
    <t xml:space="preserve">8 hónapra </t>
  </si>
  <si>
    <t>4 hónapra</t>
  </si>
  <si>
    <t>ISKOLAI ALAPNORMATIVA ÖSSZESEN</t>
  </si>
  <si>
    <t>NAPKÖZIS NORMATIVA</t>
  </si>
  <si>
    <t>KIEGÉSZÍTŐ HOZZÁJÁRULÁSOK</t>
  </si>
  <si>
    <t>Óvoda</t>
  </si>
  <si>
    <t>Iskola</t>
  </si>
  <si>
    <t>Organikus összesen</t>
  </si>
  <si>
    <t>Nem organikus összesen</t>
  </si>
  <si>
    <t>SNI MINDÖSSZESEN</t>
  </si>
  <si>
    <t>INTÉZMÉNYI TÁRSULÁSI NORMATÍVA</t>
  </si>
  <si>
    <t>Iskola összesen</t>
  </si>
  <si>
    <t>8. hónapra összesen</t>
  </si>
  <si>
    <t>7-8. évfolyam</t>
  </si>
  <si>
    <t>4. hónapra összesen</t>
  </si>
  <si>
    <t xml:space="preserve">INTÉZMÉNYI TÁRSULÁSI NORMATÍVA </t>
  </si>
  <si>
    <t>KEDVEZMÉNYES ÉTKEZTETÉS 12 hónapra</t>
  </si>
  <si>
    <t>KEDVEZMÉNYES ÉTKEZTETÉS ÖSSZESEN</t>
  </si>
  <si>
    <t>INFORMATIKAI TÁMOGATÁS</t>
  </si>
  <si>
    <t>TANKÖNYV ELLÁTÁS INGYENES</t>
  </si>
  <si>
    <t>NORMATÍVA 3. SZ. MELLÉKLET SZERINT</t>
  </si>
  <si>
    <t xml:space="preserve">Pedagógus szakvizsga </t>
  </si>
  <si>
    <t xml:space="preserve">          8 hónap</t>
  </si>
  <si>
    <t xml:space="preserve">          4 hónap</t>
  </si>
  <si>
    <t>Bejáró gyerekek</t>
  </si>
  <si>
    <t xml:space="preserve">       TKT </t>
  </si>
  <si>
    <t xml:space="preserve">       Intézményi társulás: óvoda + alsó</t>
  </si>
  <si>
    <t xml:space="preserve">       Intézményi társulás:5-8. évf.</t>
  </si>
  <si>
    <t xml:space="preserve">       TKT fenntartású intézmény székhelyén állandó lakhellyel rendelkezők támogatása</t>
  </si>
  <si>
    <t xml:space="preserve">       Intézményi társulások által fenntartott intézmény székhelyén állandó lakhellyel rendelkezők támogatása óvoda + alsó</t>
  </si>
  <si>
    <t xml:space="preserve">       Intézményi társulások által fenntartott intézmény székhelyén állandó lakhellyel rendelkezők támogatása, 5-8. évf.</t>
  </si>
  <si>
    <t>bejáró gyerekek összesen</t>
  </si>
  <si>
    <t xml:space="preserve">       nem külterületről</t>
  </si>
  <si>
    <t xml:space="preserve">       külterületről</t>
  </si>
  <si>
    <t>autóbusszal utaztatott gyerekek összesen</t>
  </si>
  <si>
    <t>korrekció</t>
  </si>
  <si>
    <t xml:space="preserve">        8 hónap</t>
  </si>
  <si>
    <t xml:space="preserve">        4 hónap</t>
  </si>
  <si>
    <t>tagintézményi támogatás összesen</t>
  </si>
  <si>
    <t>kistelepülési tagintézményi támogatás összesen</t>
  </si>
  <si>
    <t xml:space="preserve">      logopédia </t>
  </si>
  <si>
    <t xml:space="preserve">          8 hónap kétszeres</t>
  </si>
  <si>
    <t xml:space="preserve">          4 hónap kétszeres</t>
  </si>
  <si>
    <t xml:space="preserve">     gyógytestnevelés</t>
  </si>
  <si>
    <t xml:space="preserve">     nevelési tanácsadás</t>
  </si>
  <si>
    <t>szakszolgálati feladatok összesen</t>
  </si>
  <si>
    <t>NORMATIVA 8. SZ. MELLÉKLET SZERINT</t>
  </si>
  <si>
    <t>KÖZOKTATÁS MINDÖSZESEN</t>
  </si>
  <si>
    <t>tanítási együttható</t>
  </si>
  <si>
    <t>közoktatási alaphozzájárulás</t>
  </si>
  <si>
    <t>létszám/csoportszám*tanítási együttható</t>
  </si>
  <si>
    <t xml:space="preserve">   óvoda 8 hó</t>
  </si>
  <si>
    <t xml:space="preserve">   óvoda 4 hó</t>
  </si>
  <si>
    <t>2010/2011 8 hó</t>
  </si>
  <si>
    <t>MOVI</t>
  </si>
  <si>
    <t>BOVI</t>
  </si>
  <si>
    <t>GYOVI</t>
  </si>
  <si>
    <t>ROVI</t>
  </si>
  <si>
    <t>TOVI</t>
  </si>
  <si>
    <t>2011/2012 4 hó</t>
  </si>
  <si>
    <t>fajlagos mutató</t>
  </si>
  <si>
    <t>összesen</t>
  </si>
  <si>
    <t>alapnormatíva</t>
  </si>
  <si>
    <t>8 hóra</t>
  </si>
  <si>
    <t>4 hóra</t>
  </si>
  <si>
    <t>kedvezményes étkezés</t>
  </si>
  <si>
    <t xml:space="preserve">kedvezményes étk. </t>
  </si>
  <si>
    <t>8 hó</t>
  </si>
  <si>
    <t>4 hó</t>
  </si>
  <si>
    <t>KF</t>
  </si>
  <si>
    <t>fő</t>
  </si>
  <si>
    <t>intézményi társulási normatíva</t>
  </si>
  <si>
    <t>gyógypedagógiai pótlék (KIK-nél)</t>
  </si>
  <si>
    <t>int.társ. norm. 8 hóra</t>
  </si>
  <si>
    <t>arányosítva</t>
  </si>
  <si>
    <t>bejáró</t>
  </si>
  <si>
    <t>tagintézményi</t>
  </si>
  <si>
    <t>helyben tanulók</t>
  </si>
  <si>
    <t>int társ. Norm. 4 hóra</t>
  </si>
  <si>
    <t>kistelepülési</t>
  </si>
  <si>
    <t xml:space="preserve">autóbusz </t>
  </si>
  <si>
    <t>autóbusz  külterületről</t>
  </si>
  <si>
    <t>logopédia (KIK-nél)</t>
  </si>
  <si>
    <t>nevelési tanácsadás (KIK-nél)</t>
  </si>
  <si>
    <t>NORMATÍVA MINDÖSSZESEN</t>
  </si>
  <si>
    <t>logopédia és nev.tan nélkül és gyógypedpótlék nélkül</t>
  </si>
  <si>
    <t>LOGOPÉDIA + NEVTAN KIKNÉL</t>
  </si>
  <si>
    <t xml:space="preserve">időarányos </t>
  </si>
  <si>
    <t>helyben tanuló</t>
  </si>
  <si>
    <t>autobusszal bejáró</t>
  </si>
  <si>
    <t>külterületi</t>
  </si>
  <si>
    <t>2010/2011</t>
  </si>
  <si>
    <t>ovik együtt</t>
  </si>
  <si>
    <t>ovi + KF</t>
  </si>
  <si>
    <t>2011/2012</t>
  </si>
  <si>
    <t>átlaglétszám</t>
  </si>
  <si>
    <t>int.tipus együttható</t>
  </si>
  <si>
    <t>1-2 o.</t>
  </si>
  <si>
    <t>3. o.</t>
  </si>
  <si>
    <t>4. o.</t>
  </si>
  <si>
    <t>5-6 o.</t>
  </si>
  <si>
    <t>7. o.</t>
  </si>
  <si>
    <t>8. o.</t>
  </si>
  <si>
    <t>tanulószoba</t>
  </si>
  <si>
    <t>1-4</t>
  </si>
  <si>
    <t>5-8</t>
  </si>
  <si>
    <t>int. társ. normativa</t>
  </si>
  <si>
    <t>"1-4</t>
  </si>
  <si>
    <t>5-7</t>
  </si>
  <si>
    <t>8</t>
  </si>
  <si>
    <t>tankönyvellátás</t>
  </si>
  <si>
    <t>napközis normatíva</t>
  </si>
  <si>
    <t xml:space="preserve">kedvezményes étkezés 12 hónapra </t>
  </si>
  <si>
    <t>informatikai támogatás</t>
  </si>
  <si>
    <t>pedagógus továbbképzés</t>
  </si>
  <si>
    <t>osztályfőnöki pótlék</t>
  </si>
  <si>
    <t>logopédia</t>
  </si>
  <si>
    <t>nevelési tanácsadás</t>
  </si>
  <si>
    <t>2010/12</t>
  </si>
  <si>
    <t>Mv-K int.társ</t>
  </si>
  <si>
    <t>T-Gy. int.társ.</t>
  </si>
  <si>
    <t>Baracska ovi</t>
  </si>
  <si>
    <t>Baracska KF</t>
  </si>
  <si>
    <t>Ercsi (ovi + isk)</t>
  </si>
  <si>
    <t>T-Gy isk.</t>
  </si>
  <si>
    <t>Gyovi</t>
  </si>
  <si>
    <t>Movi</t>
  </si>
  <si>
    <t>MV M-K</t>
  </si>
  <si>
    <t>Rácker ovi</t>
  </si>
  <si>
    <t>Tovi</t>
  </si>
  <si>
    <t>Int.társ + Ercsi</t>
  </si>
  <si>
    <t>Mutató</t>
  </si>
  <si>
    <t>lakosságszám</t>
  </si>
  <si>
    <t xml:space="preserve">     Családsegítés</t>
  </si>
  <si>
    <t xml:space="preserve">     Gyermekjóléti szolgálat</t>
  </si>
  <si>
    <t xml:space="preserve">     Általános feladatok összesen (lakosságszám/5000*3950000)</t>
  </si>
  <si>
    <t xml:space="preserve">     Házi segítségnyújtás (166.080 Ft/fő)</t>
  </si>
  <si>
    <t xml:space="preserve">     Idősek klubja (88.580 Ft/fő)</t>
  </si>
  <si>
    <t xml:space="preserve">     Otthonközeli ellátás összesen</t>
  </si>
  <si>
    <t xml:space="preserve">     Falugondnoki feladatellátás (1.996.550 Ft)</t>
  </si>
  <si>
    <t>működési hó</t>
  </si>
  <si>
    <t>3. sz. melléklet szerint</t>
  </si>
  <si>
    <t xml:space="preserve">     Szociális továbbképzés (9.400 Ft/fő)</t>
  </si>
  <si>
    <t xml:space="preserve">     TKT által ellátott családsegítés (320 Ft/fő)</t>
  </si>
  <si>
    <t xml:space="preserve">     TKT által ellátott házi segítségnyújtás (60.000 Ft/fő)</t>
  </si>
  <si>
    <t xml:space="preserve">     TKT által ellátott idősek klubja (90.000 Ft/fő)</t>
  </si>
  <si>
    <t xml:space="preserve">    TKT által ellátott gyermekjóléti szolgáltatás (1.200 Ft/fő)</t>
  </si>
  <si>
    <t>8. sz. melléklet szerint</t>
  </si>
  <si>
    <t>SZOCIÁLIS NORMATÍVA ÖSSZESEN (3 + 8. sz. melléklet)</t>
  </si>
  <si>
    <t>SZCSM támogatás</t>
  </si>
  <si>
    <t xml:space="preserve">     Támogató szolgálat</t>
  </si>
  <si>
    <t xml:space="preserve">     Közösségi szolgálat</t>
  </si>
  <si>
    <t>SZCSM TÁMOGATÁS ÖSSZESEN</t>
  </si>
  <si>
    <t>SZOCIÁLIS NORMATÍVA ÉS TÁMOGATÁS MINDÖSSZESEN</t>
  </si>
  <si>
    <t>Többcélú kistérségi társulások általános támogatása (min 18.300.000 Ft/társulás)</t>
  </si>
  <si>
    <t>Belső ellenőrzési feladatainak támogatása (intézmény*79.000 Ft)</t>
  </si>
  <si>
    <t>költségvetési szerv</t>
  </si>
  <si>
    <t>TKT KÖTTÖTT FELHASZNÁLÁSÚ TÁMOGATÁSAI  8. sz. melléklet szerint</t>
  </si>
  <si>
    <t>Bevételek</t>
  </si>
  <si>
    <t>Támogatás elkülönített állami pénzalaptól</t>
  </si>
  <si>
    <t>Előző havi záró pénzállomány</t>
  </si>
  <si>
    <t>Kiadások</t>
  </si>
  <si>
    <t>Beruházás</t>
  </si>
  <si>
    <t>Tartalék</t>
  </si>
  <si>
    <t>Munkaadót terhelő járulékok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</si>
  <si>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</si>
  <si>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</si>
  <si>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</si>
  <si>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</si>
  <si>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</si>
  <si>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</si>
  <si>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</si>
  <si>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</si>
  <si>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</si>
  <si>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</si>
  <si>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</si>
  <si>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</si>
  <si>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Év összesen</t>
  </si>
  <si>
    <t xml:space="preserve">Átvezetési korrekció óvodáról </t>
  </si>
  <si>
    <t>Korrekciós átvezetés óvodai többletből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</si>
  <si>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</si>
  <si>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</si>
  <si>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Normatív támogatás</t>
  </si>
  <si>
    <t>Személyi juttatások</t>
  </si>
  <si>
    <t>Dologi és egyéb folyó kiadások</t>
  </si>
  <si>
    <t>Összeg eFt-ban</t>
  </si>
  <si>
    <t>Átvezetési korrekció</t>
  </si>
  <si>
    <t>bank és pénztár egyenlege 2010.12.31.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</si>
  <si>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</si>
  <si>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</si>
  <si>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</si>
  <si>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</si>
  <si>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</si>
  <si>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</si>
  <si>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</si>
  <si>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</si>
  <si>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</si>
  <si>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</si>
  <si>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</si>
  <si>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</si>
  <si>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Év együtt</t>
  </si>
  <si>
    <t>Mutatószám</t>
  </si>
  <si>
    <t>Összeg Eft</t>
  </si>
  <si>
    <t>iskolai dolgozók után 2010-ben fizetendő rehab.</t>
  </si>
  <si>
    <t>Óvodai egyenlegek</t>
  </si>
  <si>
    <t>EGYENLEG</t>
  </si>
  <si>
    <t>KIADÁS ÖSSZESEN</t>
  </si>
  <si>
    <t>BEVÉTEL ÖSSZESEN</t>
  </si>
  <si>
    <t>Szociális és gyermekjóléti alapszolgáltatás 3 sz. melléklet szerint</t>
  </si>
  <si>
    <t xml:space="preserve">Kötött felhasználású normatívák 8 sz. melléklet szerint </t>
  </si>
  <si>
    <t>TKT-nak fizetendő</t>
  </si>
  <si>
    <t>TKT által fizetendő</t>
  </si>
  <si>
    <t xml:space="preserve"> módosítás</t>
  </si>
  <si>
    <t>módosított</t>
  </si>
  <si>
    <t>módosítás</t>
  </si>
  <si>
    <t>Módosítás</t>
  </si>
  <si>
    <t>Felmentési járandóság és rendkívüli kiadások</t>
  </si>
  <si>
    <t>2010-ről elfogadott pénzmaradvány</t>
  </si>
  <si>
    <t>ÓVODAI  PÁLYÁZAT</t>
  </si>
  <si>
    <t xml:space="preserve">6. </t>
  </si>
  <si>
    <t>ÖNKORMÁNYZATI FELHALMOZÁSI HOZZÁJÁRULÁS</t>
  </si>
  <si>
    <t>adósság előző évekről</t>
  </si>
  <si>
    <t>ÖNKORMÁNYZATI HOZZÁJÁRULÁSOK ÖSSZESEN (a+b+c+d+e)</t>
  </si>
  <si>
    <t>2010. évről elfogadott pénzmaradvány</t>
  </si>
  <si>
    <t>Működési célú PÁ Martonvásárnak</t>
  </si>
  <si>
    <t>Működési célú PÁ int. társ-nak</t>
  </si>
  <si>
    <t>Felmentésre adott bér + járulék</t>
  </si>
  <si>
    <t>Az önkormányzatok és a TKT közötti pénzeszköz átadás</t>
  </si>
  <si>
    <t>Felmentésre adott bér és járulék</t>
  </si>
  <si>
    <t>Martonvásárnak mük.re átadott pe.</t>
  </si>
  <si>
    <t>Célartalék  területfejlesztési támogatás</t>
  </si>
  <si>
    <t>Céltartalék Segítő Szolgálat kiadásaira</t>
  </si>
  <si>
    <t>Célartalék tagdíjból</t>
  </si>
  <si>
    <t>Céltartalék szabad pénzmaradvány</t>
  </si>
  <si>
    <t>Módosított előirányzat</t>
  </si>
  <si>
    <t>Önkorm.tól kapott működési hozzájárulás</t>
  </si>
  <si>
    <t>Önkorm.tól kapott felhalmozási bevételek</t>
  </si>
  <si>
    <t>Ktgvetési Tv-ből származó tám., átvett pe,pályázatok</t>
  </si>
</sst>
</file>

<file path=xl/styles.xml><?xml version="1.0" encoding="utf-8"?>
<styleSheet xmlns="http://schemas.openxmlformats.org/spreadsheetml/2006/main">
  <numFmts count="12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0"/>
    <numFmt numFmtId="168" formatCode="#,##0.000"/>
    <numFmt numFmtId="169" formatCode="#,##0_ ;\-#,##0\ "/>
    <numFmt numFmtId="170" formatCode="0.000"/>
    <numFmt numFmtId="171" formatCode="0.000000"/>
    <numFmt numFmtId="172" formatCode="#,##0\ _F_t"/>
    <numFmt numFmtId="173" formatCode="_-* #,##0.0\ _F_t_-;\-* #,##0.0\ _F_t_-;_-* &quot;-&quot;??\ _F_t_-;_-@_-"/>
    <numFmt numFmtId="174" formatCode="_-* #,##0\ _F_t_-;\-* #,##0\ _F_t_-;_-* &quot;-&quot;??\ _F_t_-;_-@_-"/>
  </numFmts>
  <fonts count="57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Symbol"/>
      <family val="1"/>
      <charset val="2"/>
    </font>
    <font>
      <b/>
      <sz val="9"/>
      <name val="Times New Roman"/>
      <family val="1"/>
      <charset val="238"/>
    </font>
    <font>
      <sz val="10"/>
      <name val="Cambria"/>
      <family val="1"/>
      <charset val="238"/>
    </font>
    <font>
      <i/>
      <sz val="10"/>
      <name val="Cambria"/>
      <family val="1"/>
      <charset val="238"/>
    </font>
    <font>
      <i/>
      <sz val="9"/>
      <name val="Times New Roman"/>
      <family val="1"/>
      <charset val="238"/>
    </font>
    <font>
      <b/>
      <sz val="10"/>
      <name val="Cambria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10"/>
      <color rgb="FFFF0000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</cellStyleXfs>
  <cellXfs count="2505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3" fontId="21" fillId="0" borderId="0" xfId="0" applyNumberFormat="1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 wrapText="1"/>
    </xf>
    <xf numFmtId="3" fontId="27" fillId="0" borderId="0" xfId="0" applyNumberFormat="1" applyFont="1" applyFill="1" applyBorder="1" applyAlignment="1">
      <alignment horizontal="center" wrapText="1"/>
    </xf>
    <xf numFmtId="0" fontId="28" fillId="0" borderId="13" xfId="0" applyFont="1" applyBorder="1" applyAlignment="1">
      <alignment horizontal="justify"/>
    </xf>
    <xf numFmtId="0" fontId="21" fillId="0" borderId="14" xfId="0" applyFont="1" applyBorder="1" applyAlignment="1">
      <alignment horizontal="justify"/>
    </xf>
    <xf numFmtId="0" fontId="21" fillId="0" borderId="15" xfId="0" applyFont="1" applyFill="1" applyBorder="1" applyAlignment="1">
      <alignment wrapText="1"/>
    </xf>
    <xf numFmtId="0" fontId="21" fillId="0" borderId="16" xfId="0" applyFont="1" applyBorder="1" applyAlignment="1">
      <alignment horizontal="left"/>
    </xf>
    <xf numFmtId="0" fontId="28" fillId="0" borderId="17" xfId="0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wrapText="1"/>
    </xf>
    <xf numFmtId="3" fontId="21" fillId="0" borderId="19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1" xfId="0" applyNumberFormat="1" applyFont="1" applyFill="1" applyBorder="1" applyAlignment="1">
      <alignment wrapText="1"/>
    </xf>
    <xf numFmtId="3" fontId="21" fillId="0" borderId="22" xfId="0" applyNumberFormat="1" applyFont="1" applyFill="1" applyBorder="1" applyAlignment="1">
      <alignment wrapText="1"/>
    </xf>
    <xf numFmtId="3" fontId="21" fillId="0" borderId="23" xfId="0" applyNumberFormat="1" applyFont="1" applyFill="1" applyBorder="1" applyAlignment="1">
      <alignment wrapText="1"/>
    </xf>
    <xf numFmtId="3" fontId="28" fillId="0" borderId="24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0" fontId="21" fillId="0" borderId="14" xfId="0" applyFont="1" applyFill="1" applyBorder="1" applyAlignment="1">
      <alignment wrapText="1"/>
    </xf>
    <xf numFmtId="3" fontId="21" fillId="0" borderId="25" xfId="0" applyNumberFormat="1" applyFont="1" applyFill="1" applyBorder="1" applyAlignment="1">
      <alignment wrapText="1"/>
    </xf>
    <xf numFmtId="0" fontId="21" fillId="0" borderId="26" xfId="0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16" xfId="0" applyFont="1" applyFill="1" applyBorder="1" applyAlignment="1">
      <alignment wrapText="1"/>
    </xf>
    <xf numFmtId="0" fontId="21" fillId="0" borderId="28" xfId="0" applyFont="1" applyFill="1" applyBorder="1" applyAlignment="1">
      <alignment wrapText="1"/>
    </xf>
    <xf numFmtId="0" fontId="21" fillId="0" borderId="29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 wrapText="1"/>
    </xf>
    <xf numFmtId="168" fontId="21" fillId="0" borderId="0" xfId="0" applyNumberFormat="1" applyFont="1" applyFill="1" applyBorder="1" applyAlignment="1">
      <alignment wrapText="1"/>
    </xf>
    <xf numFmtId="0" fontId="29" fillId="0" borderId="16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3" fontId="21" fillId="0" borderId="0" xfId="0" applyNumberFormat="1" applyFont="1" applyAlignment="1">
      <alignment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wrapText="1"/>
    </xf>
    <xf numFmtId="0" fontId="21" fillId="0" borderId="0" xfId="0" applyFont="1" applyBorder="1"/>
    <xf numFmtId="0" fontId="21" fillId="0" borderId="32" xfId="0" applyFont="1" applyBorder="1" applyAlignment="1">
      <alignment horizontal="center"/>
    </xf>
    <xf numFmtId="3" fontId="21" fillId="0" borderId="33" xfId="0" applyNumberFormat="1" applyFont="1" applyBorder="1"/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3" fontId="21" fillId="0" borderId="34" xfId="0" applyNumberFormat="1" applyFont="1" applyBorder="1"/>
    <xf numFmtId="0" fontId="21" fillId="0" borderId="36" xfId="0" applyFont="1" applyBorder="1" applyAlignment="1">
      <alignment horizontal="center"/>
    </xf>
    <xf numFmtId="3" fontId="21" fillId="0" borderId="37" xfId="0" applyNumberFormat="1" applyFont="1" applyBorder="1"/>
    <xf numFmtId="3" fontId="21" fillId="0" borderId="0" xfId="0" applyNumberFormat="1" applyFont="1" applyBorder="1"/>
    <xf numFmtId="0" fontId="21" fillId="0" borderId="34" xfId="0" applyFont="1" applyBorder="1"/>
    <xf numFmtId="0" fontId="21" fillId="0" borderId="34" xfId="0" applyFont="1" applyBorder="1" applyAlignment="1">
      <alignment wrapText="1"/>
    </xf>
    <xf numFmtId="0" fontId="26" fillId="0" borderId="0" xfId="0" applyFont="1" applyAlignment="1">
      <alignment horizontal="justify"/>
    </xf>
    <xf numFmtId="0" fontId="19" fillId="0" borderId="0" xfId="0" applyFont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166" fontId="27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166" fontId="21" fillId="0" borderId="38" xfId="0" applyNumberFormat="1" applyFont="1" applyFill="1" applyBorder="1" applyAlignment="1">
      <alignment horizontal="center" vertical="top" wrapText="1"/>
    </xf>
    <xf numFmtId="49" fontId="27" fillId="0" borderId="39" xfId="0" applyNumberFormat="1" applyFont="1" applyBorder="1" applyAlignment="1">
      <alignment vertical="top" wrapText="1"/>
    </xf>
    <xf numFmtId="0" fontId="21" fillId="0" borderId="40" xfId="0" applyFont="1" applyBorder="1" applyAlignment="1">
      <alignment horizontal="justify" vertical="center"/>
    </xf>
    <xf numFmtId="3" fontId="21" fillId="0" borderId="41" xfId="0" applyNumberFormat="1" applyFont="1" applyFill="1" applyBorder="1" applyAlignment="1">
      <alignment vertical="center" wrapText="1"/>
    </xf>
    <xf numFmtId="3" fontId="21" fillId="0" borderId="42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166" fontId="21" fillId="0" borderId="43" xfId="0" applyNumberFormat="1" applyFont="1" applyFill="1" applyBorder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4" xfId="0" applyFont="1" applyBorder="1" applyAlignment="1">
      <alignment horizontal="justify" vertical="center"/>
    </xf>
    <xf numFmtId="3" fontId="21" fillId="0" borderId="29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166" fontId="21" fillId="0" borderId="38" xfId="0" applyNumberFormat="1" applyFont="1" applyFill="1" applyBorder="1" applyAlignment="1">
      <alignment vertical="center" wrapText="1"/>
    </xf>
    <xf numFmtId="0" fontId="21" fillId="0" borderId="44" xfId="0" applyFont="1" applyFill="1" applyBorder="1" applyAlignment="1">
      <alignment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22" xfId="0" applyNumberFormat="1" applyFont="1" applyFill="1" applyBorder="1" applyAlignment="1">
      <alignment vertical="center" wrapText="1"/>
    </xf>
    <xf numFmtId="166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166" fontId="21" fillId="0" borderId="48" xfId="0" applyNumberFormat="1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3" fontId="21" fillId="0" borderId="49" xfId="0" applyNumberFormat="1" applyFont="1" applyFill="1" applyBorder="1" applyAlignment="1">
      <alignment vertical="center" wrapText="1"/>
    </xf>
    <xf numFmtId="3" fontId="21" fillId="0" borderId="25" xfId="0" applyNumberFormat="1" applyFont="1" applyFill="1" applyBorder="1" applyAlignment="1">
      <alignment vertical="center" wrapText="1"/>
    </xf>
    <xf numFmtId="166" fontId="21" fillId="0" borderId="50" xfId="0" applyNumberFormat="1" applyFont="1" applyFill="1" applyBorder="1" applyAlignment="1">
      <alignment vertical="center" wrapText="1"/>
    </xf>
    <xf numFmtId="3" fontId="21" fillId="0" borderId="0" xfId="0" applyNumberFormat="1" applyFont="1" applyBorder="1" applyAlignment="1">
      <alignment vertical="center" wrapText="1"/>
    </xf>
    <xf numFmtId="0" fontId="21" fillId="0" borderId="15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left"/>
    </xf>
    <xf numFmtId="166" fontId="28" fillId="0" borderId="0" xfId="0" applyNumberFormat="1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1" fillId="0" borderId="51" xfId="0" applyFont="1" applyBorder="1" applyAlignment="1">
      <alignment horizontal="left"/>
    </xf>
    <xf numFmtId="3" fontId="21" fillId="0" borderId="52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166" fontId="21" fillId="0" borderId="54" xfId="0" applyNumberFormat="1" applyFont="1" applyFill="1" applyBorder="1" applyAlignment="1">
      <alignment vertical="center" wrapText="1"/>
    </xf>
    <xf numFmtId="166" fontId="21" fillId="0" borderId="0" xfId="0" applyNumberFormat="1" applyFont="1" applyBorder="1" applyAlignment="1">
      <alignment wrapText="1"/>
    </xf>
    <xf numFmtId="166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Border="1" applyAlignment="1">
      <alignment wrapText="1"/>
    </xf>
    <xf numFmtId="3" fontId="21" fillId="27" borderId="0" xfId="0" applyNumberFormat="1" applyFont="1" applyFill="1" applyBorder="1" applyAlignment="1">
      <alignment wrapText="1"/>
    </xf>
    <xf numFmtId="166" fontId="21" fillId="0" borderId="0" xfId="0" applyNumberFormat="1" applyFont="1" applyAlignment="1">
      <alignment wrapText="1"/>
    </xf>
    <xf numFmtId="0" fontId="31" fillId="0" borderId="0" xfId="0" applyFont="1" applyAlignment="1">
      <alignment horizontal="justify"/>
    </xf>
    <xf numFmtId="3" fontId="28" fillId="0" borderId="0" xfId="0" applyNumberFormat="1" applyFont="1" applyFill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center" wrapText="1"/>
    </xf>
    <xf numFmtId="49" fontId="27" fillId="0" borderId="36" xfId="0" applyNumberFormat="1" applyFont="1" applyFill="1" applyBorder="1" applyAlignment="1">
      <alignment horizontal="center" vertical="center"/>
    </xf>
    <xf numFmtId="49" fontId="27" fillId="0" borderId="55" xfId="0" applyNumberFormat="1" applyFont="1" applyBorder="1" applyAlignment="1">
      <alignment horizontal="center" vertical="center"/>
    </xf>
    <xf numFmtId="166" fontId="21" fillId="0" borderId="38" xfId="0" applyNumberFormat="1" applyFont="1" applyFill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 wrapText="1"/>
    </xf>
    <xf numFmtId="49" fontId="27" fillId="0" borderId="56" xfId="0" applyNumberFormat="1" applyFont="1" applyBorder="1" applyAlignment="1">
      <alignment horizontal="center" vertical="center" wrapText="1"/>
    </xf>
    <xf numFmtId="49" fontId="21" fillId="0" borderId="57" xfId="0" applyNumberFormat="1" applyFont="1" applyBorder="1" applyAlignment="1">
      <alignment horizontal="center" vertical="center" wrapText="1"/>
    </xf>
    <xf numFmtId="3" fontId="21" fillId="0" borderId="41" xfId="0" applyNumberFormat="1" applyFont="1" applyFill="1" applyBorder="1" applyAlignment="1">
      <alignment wrapText="1"/>
    </xf>
    <xf numFmtId="3" fontId="21" fillId="0" borderId="58" xfId="0" applyNumberFormat="1" applyFont="1" applyFill="1" applyBorder="1" applyAlignment="1">
      <alignment wrapText="1"/>
    </xf>
    <xf numFmtId="166" fontId="21" fillId="0" borderId="43" xfId="0" applyNumberFormat="1" applyFont="1" applyFill="1" applyBorder="1" applyAlignment="1">
      <alignment wrapText="1"/>
    </xf>
    <xf numFmtId="3" fontId="21" fillId="0" borderId="59" xfId="0" applyNumberFormat="1" applyFont="1" applyFill="1" applyBorder="1" applyAlignment="1">
      <alignment wrapText="1"/>
    </xf>
    <xf numFmtId="3" fontId="21" fillId="0" borderId="42" xfId="0" applyNumberFormat="1" applyFont="1" applyFill="1" applyBorder="1" applyAlignment="1">
      <alignment wrapText="1"/>
    </xf>
    <xf numFmtId="0" fontId="21" fillId="0" borderId="18" xfId="0" applyFont="1" applyFill="1" applyBorder="1" applyAlignment="1">
      <alignment horizontal="justify"/>
    </xf>
    <xf numFmtId="3" fontId="28" fillId="0" borderId="41" xfId="0" applyNumberFormat="1" applyFont="1" applyFill="1" applyBorder="1" applyAlignment="1">
      <alignment wrapText="1"/>
    </xf>
    <xf numFmtId="3" fontId="21" fillId="0" borderId="49" xfId="0" applyNumberFormat="1" applyFont="1" applyFill="1" applyBorder="1" applyAlignment="1">
      <alignment wrapText="1"/>
    </xf>
    <xf numFmtId="3" fontId="21" fillId="0" borderId="60" xfId="0" applyNumberFormat="1" applyFont="1" applyFill="1" applyBorder="1" applyAlignment="1">
      <alignment wrapText="1"/>
    </xf>
    <xf numFmtId="0" fontId="21" fillId="0" borderId="31" xfId="0" applyFont="1" applyFill="1" applyBorder="1" applyAlignment="1">
      <alignment horizontal="justify"/>
    </xf>
    <xf numFmtId="3" fontId="21" fillId="0" borderId="61" xfId="0" applyNumberFormat="1" applyFont="1" applyFill="1" applyBorder="1" applyAlignment="1">
      <alignment wrapText="1"/>
    </xf>
    <xf numFmtId="166" fontId="21" fillId="0" borderId="38" xfId="0" applyNumberFormat="1" applyFont="1" applyFill="1" applyBorder="1" applyAlignment="1">
      <alignment wrapText="1"/>
    </xf>
    <xf numFmtId="3" fontId="21" fillId="0" borderId="62" xfId="0" applyNumberFormat="1" applyFont="1" applyFill="1" applyBorder="1" applyAlignment="1">
      <alignment wrapText="1"/>
    </xf>
    <xf numFmtId="3" fontId="28" fillId="0" borderId="61" xfId="0" applyNumberFormat="1" applyFont="1" applyFill="1" applyBorder="1" applyAlignment="1">
      <alignment wrapText="1"/>
    </xf>
    <xf numFmtId="3" fontId="21" fillId="0" borderId="55" xfId="0" applyNumberFormat="1" applyFont="1" applyFill="1" applyBorder="1" applyAlignment="1">
      <alignment wrapText="1"/>
    </xf>
    <xf numFmtId="0" fontId="28" fillId="0" borderId="30" xfId="0" applyFont="1" applyFill="1" applyBorder="1" applyAlignment="1">
      <alignment horizontal="justify"/>
    </xf>
    <xf numFmtId="3" fontId="28" fillId="0" borderId="45" xfId="0" applyNumberFormat="1" applyFont="1" applyFill="1" applyBorder="1" applyAlignment="1">
      <alignment wrapText="1"/>
    </xf>
    <xf numFmtId="3" fontId="28" fillId="0" borderId="22" xfId="0" applyNumberFormat="1" applyFont="1" applyFill="1" applyBorder="1" applyAlignment="1">
      <alignment wrapText="1"/>
    </xf>
    <xf numFmtId="3" fontId="28" fillId="0" borderId="63" xfId="0" applyNumberFormat="1" applyFont="1" applyFill="1" applyBorder="1" applyAlignment="1">
      <alignment wrapText="1"/>
    </xf>
    <xf numFmtId="166" fontId="28" fillId="0" borderId="46" xfId="0" applyNumberFormat="1" applyFont="1" applyFill="1" applyBorder="1" applyAlignment="1">
      <alignment wrapText="1"/>
    </xf>
    <xf numFmtId="166" fontId="28" fillId="0" borderId="0" xfId="0" applyNumberFormat="1" applyFont="1" applyFill="1" applyBorder="1" applyAlignment="1">
      <alignment wrapText="1"/>
    </xf>
    <xf numFmtId="3" fontId="28" fillId="0" borderId="64" xfId="0" applyNumberFormat="1" applyFont="1" applyFill="1" applyBorder="1" applyAlignment="1">
      <alignment wrapText="1"/>
    </xf>
    <xf numFmtId="0" fontId="28" fillId="0" borderId="0" xfId="0" applyFont="1" applyAlignment="1">
      <alignment wrapText="1"/>
    </xf>
    <xf numFmtId="3" fontId="21" fillId="0" borderId="65" xfId="0" applyNumberFormat="1" applyFont="1" applyFill="1" applyBorder="1" applyAlignment="1">
      <alignment wrapText="1"/>
    </xf>
    <xf numFmtId="0" fontId="21" fillId="0" borderId="16" xfId="0" applyFont="1" applyFill="1" applyBorder="1" applyAlignment="1">
      <alignment horizontal="left"/>
    </xf>
    <xf numFmtId="166" fontId="21" fillId="0" borderId="49" xfId="0" applyNumberFormat="1" applyFont="1" applyFill="1" applyBorder="1" applyAlignment="1">
      <alignment wrapText="1"/>
    </xf>
    <xf numFmtId="3" fontId="21" fillId="0" borderId="29" xfId="0" applyNumberFormat="1" applyFont="1" applyFill="1" applyBorder="1" applyAlignment="1">
      <alignment wrapText="1"/>
    </xf>
    <xf numFmtId="3" fontId="21" fillId="0" borderId="66" xfId="0" applyNumberFormat="1" applyFont="1" applyFill="1" applyBorder="1" applyAlignment="1">
      <alignment wrapText="1"/>
    </xf>
    <xf numFmtId="166" fontId="21" fillId="0" borderId="67" xfId="0" applyNumberFormat="1" applyFont="1" applyFill="1" applyBorder="1" applyAlignment="1">
      <alignment wrapText="1"/>
    </xf>
    <xf numFmtId="166" fontId="21" fillId="0" borderId="29" xfId="0" applyNumberFormat="1" applyFont="1" applyFill="1" applyBorder="1" applyAlignment="1">
      <alignment wrapText="1"/>
    </xf>
    <xf numFmtId="3" fontId="21" fillId="0" borderId="68" xfId="0" applyNumberFormat="1" applyFont="1" applyFill="1" applyBorder="1" applyAlignment="1">
      <alignment wrapText="1"/>
    </xf>
    <xf numFmtId="166" fontId="21" fillId="0" borderId="50" xfId="0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3" fontId="21" fillId="0" borderId="0" xfId="85" applyNumberFormat="1" applyFont="1" applyAlignment="1">
      <alignment wrapText="1"/>
    </xf>
    <xf numFmtId="0" fontId="33" fillId="0" borderId="0" xfId="0" applyFont="1" applyBorder="1" applyAlignment="1">
      <alignment horizontal="justify" vertical="center"/>
    </xf>
    <xf numFmtId="0" fontId="2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6" fontId="27" fillId="0" borderId="36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justify"/>
    </xf>
    <xf numFmtId="166" fontId="21" fillId="0" borderId="43" xfId="85" applyNumberFormat="1" applyFont="1" applyFill="1" applyBorder="1" applyAlignment="1">
      <alignment wrapText="1"/>
    </xf>
    <xf numFmtId="3" fontId="21" fillId="0" borderId="58" xfId="0" applyNumberFormat="1" applyFont="1" applyFill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 wrapText="1"/>
    </xf>
    <xf numFmtId="0" fontId="21" fillId="0" borderId="36" xfId="0" applyFont="1" applyBorder="1" applyAlignment="1">
      <alignment horizontal="justify" vertical="center"/>
    </xf>
    <xf numFmtId="3" fontId="21" fillId="0" borderId="62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0" fontId="28" fillId="0" borderId="30" xfId="0" applyFont="1" applyBorder="1" applyAlignment="1">
      <alignment horizontal="justify"/>
    </xf>
    <xf numFmtId="3" fontId="28" fillId="0" borderId="45" xfId="0" applyNumberFormat="1" applyFont="1" applyFill="1" applyBorder="1" applyAlignment="1">
      <alignment vertical="center" wrapText="1"/>
    </xf>
    <xf numFmtId="3" fontId="28" fillId="0" borderId="22" xfId="0" applyNumberFormat="1" applyFont="1" applyFill="1" applyBorder="1" applyAlignment="1">
      <alignment vertical="center" wrapText="1"/>
    </xf>
    <xf numFmtId="3" fontId="28" fillId="0" borderId="63" xfId="0" applyNumberFormat="1" applyFont="1" applyFill="1" applyBorder="1" applyAlignment="1">
      <alignment vertical="center" wrapText="1"/>
    </xf>
    <xf numFmtId="166" fontId="28" fillId="0" borderId="46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166" fontId="21" fillId="0" borderId="70" xfId="0" applyNumberFormat="1" applyFont="1" applyFill="1" applyBorder="1" applyAlignment="1">
      <alignment vertical="center" wrapText="1"/>
    </xf>
    <xf numFmtId="0" fontId="28" fillId="27" borderId="71" xfId="0" applyFont="1" applyFill="1" applyBorder="1" applyAlignment="1">
      <alignment horizontal="justify" vertical="center"/>
    </xf>
    <xf numFmtId="3" fontId="28" fillId="27" borderId="72" xfId="0" applyNumberFormat="1" applyFont="1" applyFill="1" applyBorder="1" applyAlignment="1">
      <alignment vertical="center" wrapText="1"/>
    </xf>
    <xf numFmtId="3" fontId="28" fillId="27" borderId="73" xfId="0" applyNumberFormat="1" applyFont="1" applyFill="1" applyBorder="1" applyAlignment="1">
      <alignment vertical="center" wrapText="1"/>
    </xf>
    <xf numFmtId="166" fontId="28" fillId="27" borderId="74" xfId="0" applyNumberFormat="1" applyFont="1" applyFill="1" applyBorder="1" applyAlignment="1">
      <alignment vertical="center" wrapText="1"/>
    </xf>
    <xf numFmtId="166" fontId="28" fillId="27" borderId="0" xfId="0" applyNumberFormat="1" applyFont="1" applyFill="1" applyBorder="1" applyAlignment="1">
      <alignment vertical="center" wrapText="1"/>
    </xf>
    <xf numFmtId="166" fontId="34" fillId="27" borderId="74" xfId="0" applyNumberFormat="1" applyFont="1" applyFill="1" applyBorder="1" applyAlignment="1">
      <alignment vertical="center" wrapText="1"/>
    </xf>
    <xf numFmtId="0" fontId="28" fillId="27" borderId="0" xfId="0" applyFont="1" applyFill="1" applyBorder="1" applyAlignment="1">
      <alignment vertical="center" wrapText="1"/>
    </xf>
    <xf numFmtId="166" fontId="21" fillId="0" borderId="67" xfId="0" applyNumberFormat="1" applyFont="1" applyFill="1" applyBorder="1" applyAlignment="1">
      <alignment vertical="center" wrapText="1"/>
    </xf>
    <xf numFmtId="166" fontId="21" fillId="0" borderId="0" xfId="85" applyNumberFormat="1" applyFont="1" applyAlignment="1">
      <alignment wrapText="1"/>
    </xf>
    <xf numFmtId="0" fontId="28" fillId="28" borderId="0" xfId="0" applyFont="1" applyFill="1" applyBorder="1" applyAlignment="1">
      <alignment horizontal="center" vertical="top" wrapText="1"/>
    </xf>
    <xf numFmtId="3" fontId="28" fillId="28" borderId="0" xfId="0" applyNumberFormat="1" applyFont="1" applyFill="1" applyBorder="1" applyAlignment="1">
      <alignment horizontal="center" wrapText="1"/>
    </xf>
    <xf numFmtId="0" fontId="21" fillId="28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28" fillId="28" borderId="0" xfId="0" applyFont="1" applyFill="1" applyBorder="1" applyAlignment="1">
      <alignment horizontal="center" wrapText="1"/>
    </xf>
    <xf numFmtId="0" fontId="21" fillId="28" borderId="0" xfId="0" applyFont="1" applyFill="1" applyBorder="1" applyAlignment="1">
      <alignment horizontal="center" wrapText="1"/>
    </xf>
    <xf numFmtId="3" fontId="21" fillId="28" borderId="0" xfId="0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vertical="center"/>
    </xf>
    <xf numFmtId="0" fontId="21" fillId="28" borderId="0" xfId="0" applyFont="1" applyFill="1" applyBorder="1" applyAlignment="1">
      <alignment horizontal="center" vertical="center"/>
    </xf>
    <xf numFmtId="3" fontId="21" fillId="28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7" fillId="0" borderId="55" xfId="0" applyNumberFormat="1" applyFont="1" applyBorder="1" applyAlignment="1">
      <alignment horizontal="center" vertical="center" wrapText="1"/>
    </xf>
    <xf numFmtId="0" fontId="21" fillId="28" borderId="0" xfId="0" applyFont="1" applyFill="1" applyBorder="1" applyAlignment="1">
      <alignment horizontal="center" vertical="center" wrapText="1"/>
    </xf>
    <xf numFmtId="3" fontId="21" fillId="28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justify"/>
    </xf>
    <xf numFmtId="3" fontId="21" fillId="0" borderId="75" xfId="0" applyNumberFormat="1" applyFont="1" applyFill="1" applyBorder="1" applyAlignment="1">
      <alignment wrapText="1"/>
    </xf>
    <xf numFmtId="3" fontId="21" fillId="0" borderId="76" xfId="0" applyNumberFormat="1" applyFont="1" applyFill="1" applyBorder="1" applyAlignment="1">
      <alignment wrapText="1"/>
    </xf>
    <xf numFmtId="166" fontId="21" fillId="0" borderId="77" xfId="0" applyNumberFormat="1" applyFont="1" applyFill="1" applyBorder="1" applyAlignment="1">
      <alignment wrapText="1"/>
    </xf>
    <xf numFmtId="166" fontId="21" fillId="28" borderId="0" xfId="0" applyNumberFormat="1" applyFont="1" applyFill="1" applyBorder="1" applyAlignment="1">
      <alignment wrapText="1"/>
    </xf>
    <xf numFmtId="3" fontId="21" fillId="28" borderId="0" xfId="0" applyNumberFormat="1" applyFont="1" applyFill="1" applyBorder="1" applyAlignment="1">
      <alignment wrapText="1"/>
    </xf>
    <xf numFmtId="3" fontId="21" fillId="0" borderId="78" xfId="0" applyNumberFormat="1" applyFont="1" applyFill="1" applyBorder="1" applyAlignment="1">
      <alignment wrapText="1"/>
    </xf>
    <xf numFmtId="3" fontId="21" fillId="0" borderId="61" xfId="0" applyNumberFormat="1" applyFont="1" applyBorder="1" applyAlignment="1">
      <alignment wrapText="1"/>
    </xf>
    <xf numFmtId="0" fontId="21" fillId="0" borderId="36" xfId="0" applyFont="1" applyBorder="1" applyAlignment="1">
      <alignment horizontal="justify"/>
    </xf>
    <xf numFmtId="3" fontId="21" fillId="0" borderId="69" xfId="0" applyNumberFormat="1" applyFont="1" applyFill="1" applyBorder="1" applyAlignment="1">
      <alignment wrapText="1"/>
    </xf>
    <xf numFmtId="166" fontId="21" fillId="0" borderId="70" xfId="0" applyNumberFormat="1" applyFont="1" applyFill="1" applyBorder="1" applyAlignment="1">
      <alignment wrapText="1"/>
    </xf>
    <xf numFmtId="3" fontId="21" fillId="0" borderId="79" xfId="0" applyNumberFormat="1" applyFont="1" applyFill="1" applyBorder="1" applyAlignment="1">
      <alignment wrapText="1"/>
    </xf>
    <xf numFmtId="0" fontId="28" fillId="0" borderId="44" xfId="0" applyFont="1" applyBorder="1" applyAlignment="1">
      <alignment horizontal="justify"/>
    </xf>
    <xf numFmtId="166" fontId="28" fillId="28" borderId="0" xfId="0" applyNumberFormat="1" applyFont="1" applyFill="1" applyBorder="1" applyAlignment="1">
      <alignment wrapText="1"/>
    </xf>
    <xf numFmtId="3" fontId="28" fillId="28" borderId="0" xfId="0" applyNumberFormat="1" applyFont="1" applyFill="1" applyBorder="1" applyAlignment="1">
      <alignment wrapText="1"/>
    </xf>
    <xf numFmtId="0" fontId="28" fillId="28" borderId="0" xfId="0" applyFont="1" applyFill="1" applyBorder="1" applyAlignment="1">
      <alignment wrapText="1"/>
    </xf>
    <xf numFmtId="0" fontId="28" fillId="0" borderId="80" xfId="0" applyFont="1" applyBorder="1" applyAlignment="1">
      <alignment horizontal="justify"/>
    </xf>
    <xf numFmtId="3" fontId="28" fillId="0" borderId="81" xfId="0" applyNumberFormat="1" applyFont="1" applyFill="1" applyBorder="1" applyAlignment="1">
      <alignment wrapText="1"/>
    </xf>
    <xf numFmtId="3" fontId="28" fillId="0" borderId="82" xfId="0" applyNumberFormat="1" applyFont="1" applyFill="1" applyBorder="1" applyAlignment="1">
      <alignment wrapText="1"/>
    </xf>
    <xf numFmtId="166" fontId="28" fillId="0" borderId="83" xfId="0" applyNumberFormat="1" applyFont="1" applyFill="1" applyBorder="1" applyAlignment="1">
      <alignment wrapText="1"/>
    </xf>
    <xf numFmtId="3" fontId="28" fillId="0" borderId="84" xfId="0" applyNumberFormat="1" applyFont="1" applyFill="1" applyBorder="1" applyAlignment="1">
      <alignment wrapText="1"/>
    </xf>
    <xf numFmtId="3" fontId="28" fillId="0" borderId="0" xfId="0" applyNumberFormat="1" applyFont="1" applyAlignment="1">
      <alignment wrapText="1"/>
    </xf>
    <xf numFmtId="0" fontId="28" fillId="0" borderId="85" xfId="0" applyFont="1" applyBorder="1" applyAlignment="1">
      <alignment horizontal="justify"/>
    </xf>
    <xf numFmtId="3" fontId="28" fillId="0" borderId="86" xfId="0" applyNumberFormat="1" applyFont="1" applyFill="1" applyBorder="1" applyAlignment="1">
      <alignment wrapText="1"/>
    </xf>
    <xf numFmtId="166" fontId="28" fillId="0" borderId="87" xfId="0" applyNumberFormat="1" applyFont="1" applyFill="1" applyBorder="1" applyAlignment="1">
      <alignment wrapText="1"/>
    </xf>
    <xf numFmtId="3" fontId="28" fillId="0" borderId="88" xfId="0" applyNumberFormat="1" applyFont="1" applyFill="1" applyBorder="1" applyAlignment="1">
      <alignment wrapText="1"/>
    </xf>
    <xf numFmtId="166" fontId="28" fillId="0" borderId="0" xfId="0" applyNumberFormat="1" applyFont="1" applyAlignment="1">
      <alignment wrapText="1"/>
    </xf>
    <xf numFmtId="0" fontId="21" fillId="0" borderId="89" xfId="0" applyFont="1" applyBorder="1" applyAlignment="1">
      <alignment wrapText="1"/>
    </xf>
    <xf numFmtId="0" fontId="21" fillId="0" borderId="90" xfId="0" applyFont="1" applyBorder="1" applyAlignment="1">
      <alignment wrapText="1"/>
    </xf>
    <xf numFmtId="0" fontId="21" fillId="0" borderId="15" xfId="0" applyFont="1" applyFill="1" applyBorder="1" applyAlignment="1">
      <alignment horizontal="left"/>
    </xf>
    <xf numFmtId="0" fontId="21" fillId="0" borderId="91" xfId="0" applyFont="1" applyBorder="1" applyAlignment="1">
      <alignment wrapText="1"/>
    </xf>
    <xf numFmtId="0" fontId="21" fillId="0" borderId="23" xfId="0" applyFont="1" applyFill="1" applyBorder="1" applyAlignment="1">
      <alignment vertical="center" wrapText="1"/>
    </xf>
    <xf numFmtId="0" fontId="21" fillId="0" borderId="67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21" fillId="0" borderId="50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 wrapText="1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0" fontId="21" fillId="0" borderId="60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21" fillId="0" borderId="53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vertical="center" wrapText="1"/>
    </xf>
    <xf numFmtId="0" fontId="21" fillId="0" borderId="52" xfId="0" applyFont="1" applyFill="1" applyBorder="1" applyAlignment="1">
      <alignment vertical="center" wrapText="1"/>
    </xf>
    <xf numFmtId="3" fontId="21" fillId="0" borderId="92" xfId="0" applyNumberFormat="1" applyFont="1" applyFill="1" applyBorder="1" applyAlignment="1">
      <alignment vertical="center" wrapText="1"/>
    </xf>
    <xf numFmtId="0" fontId="21" fillId="0" borderId="92" xfId="0" applyFont="1" applyFill="1" applyBorder="1" applyAlignment="1">
      <alignment vertical="center" wrapText="1"/>
    </xf>
    <xf numFmtId="166" fontId="28" fillId="28" borderId="0" xfId="0" applyNumberFormat="1" applyFont="1" applyFill="1" applyBorder="1" applyAlignment="1">
      <alignment vertical="center" wrapText="1"/>
    </xf>
    <xf numFmtId="3" fontId="28" fillId="28" borderId="0" xfId="0" applyNumberFormat="1" applyFont="1" applyFill="1" applyBorder="1" applyAlignment="1">
      <alignment vertical="center" wrapText="1"/>
    </xf>
    <xf numFmtId="0" fontId="28" fillId="28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3" fontId="29" fillId="0" borderId="0" xfId="0" applyNumberFormat="1" applyFont="1" applyAlignment="1">
      <alignment wrapText="1"/>
    </xf>
    <xf numFmtId="166" fontId="29" fillId="0" borderId="0" xfId="0" applyNumberFormat="1" applyFont="1" applyAlignment="1">
      <alignment wrapText="1"/>
    </xf>
    <xf numFmtId="166" fontId="29" fillId="28" borderId="0" xfId="0" applyNumberFormat="1" applyFont="1" applyFill="1" applyBorder="1" applyAlignment="1">
      <alignment wrapText="1"/>
    </xf>
    <xf numFmtId="3" fontId="29" fillId="28" borderId="0" xfId="0" applyNumberFormat="1" applyFont="1" applyFill="1" applyBorder="1" applyAlignment="1">
      <alignment wrapText="1"/>
    </xf>
    <xf numFmtId="0" fontId="29" fillId="28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1" fillId="0" borderId="0" xfId="0" applyFont="1"/>
    <xf numFmtId="0" fontId="21" fillId="0" borderId="75" xfId="0" applyFont="1" applyBorder="1" applyAlignment="1">
      <alignment horizontal="center"/>
    </xf>
    <xf numFmtId="0" fontId="21" fillId="0" borderId="0" xfId="0" applyFont="1" applyAlignment="1">
      <alignment horizontal="center"/>
    </xf>
    <xf numFmtId="168" fontId="21" fillId="0" borderId="0" xfId="0" applyNumberFormat="1" applyFont="1" applyAlignment="1"/>
    <xf numFmtId="3" fontId="21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right"/>
    </xf>
    <xf numFmtId="0" fontId="31" fillId="0" borderId="0" xfId="0" applyFont="1" applyAlignment="1">
      <alignment vertical="top"/>
    </xf>
    <xf numFmtId="3" fontId="31" fillId="0" borderId="93" xfId="0" applyNumberFormat="1" applyFont="1" applyFill="1" applyBorder="1" applyAlignment="1">
      <alignment horizontal="center" vertical="top"/>
    </xf>
    <xf numFmtId="3" fontId="31" fillId="0" borderId="94" xfId="0" applyNumberFormat="1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3" fontId="31" fillId="0" borderId="0" xfId="0" applyNumberFormat="1" applyFont="1" applyAlignment="1">
      <alignment horizontal="center" vertical="top"/>
    </xf>
    <xf numFmtId="3" fontId="31" fillId="0" borderId="0" xfId="0" applyNumberFormat="1" applyFont="1" applyFill="1" applyBorder="1" applyAlignment="1">
      <alignment horizontal="center" vertical="top"/>
    </xf>
    <xf numFmtId="168" fontId="31" fillId="0" borderId="0" xfId="0" applyNumberFormat="1" applyFont="1" applyAlignment="1">
      <alignment horizontal="center" vertical="top"/>
    </xf>
    <xf numFmtId="3" fontId="35" fillId="0" borderId="0" xfId="0" applyNumberFormat="1" applyFont="1" applyAlignment="1">
      <alignment horizontal="center" vertical="top"/>
    </xf>
    <xf numFmtId="3" fontId="35" fillId="0" borderId="0" xfId="0" applyNumberFormat="1" applyFont="1" applyFill="1" applyBorder="1" applyAlignment="1">
      <alignment horizontal="right" vertical="top"/>
    </xf>
    <xf numFmtId="0" fontId="21" fillId="27" borderId="40" xfId="0" applyFont="1" applyFill="1" applyBorder="1"/>
    <xf numFmtId="3" fontId="21" fillId="27" borderId="95" xfId="0" applyNumberFormat="1" applyFont="1" applyFill="1" applyBorder="1" applyAlignment="1">
      <alignment horizontal="center"/>
    </xf>
    <xf numFmtId="3" fontId="21" fillId="27" borderId="76" xfId="0" applyNumberFormat="1" applyFont="1" applyFill="1" applyBorder="1"/>
    <xf numFmtId="3" fontId="21" fillId="0" borderId="0" xfId="0" applyNumberFormat="1" applyFont="1"/>
    <xf numFmtId="167" fontId="21" fillId="0" borderId="0" xfId="0" applyNumberFormat="1" applyFont="1"/>
    <xf numFmtId="3" fontId="35" fillId="0" borderId="0" xfId="0" applyNumberFormat="1" applyFont="1"/>
    <xf numFmtId="0" fontId="21" fillId="27" borderId="15" xfId="0" applyFont="1" applyFill="1" applyBorder="1"/>
    <xf numFmtId="3" fontId="21" fillId="27" borderId="96" xfId="0" applyNumberFormat="1" applyFont="1" applyFill="1" applyBorder="1" applyAlignment="1">
      <alignment horizontal="center"/>
    </xf>
    <xf numFmtId="3" fontId="21" fillId="27" borderId="65" xfId="0" applyNumberFormat="1" applyFont="1" applyFill="1" applyBorder="1"/>
    <xf numFmtId="3" fontId="28" fillId="0" borderId="0" xfId="0" applyNumberFormat="1" applyFont="1"/>
    <xf numFmtId="0" fontId="29" fillId="27" borderId="15" xfId="0" applyFont="1" applyFill="1" applyBorder="1"/>
    <xf numFmtId="3" fontId="29" fillId="27" borderId="96" xfId="0" applyNumberFormat="1" applyFont="1" applyFill="1" applyBorder="1" applyAlignment="1">
      <alignment horizontal="center"/>
    </xf>
    <xf numFmtId="0" fontId="29" fillId="27" borderId="60" xfId="0" applyFont="1" applyFill="1" applyBorder="1" applyAlignment="1">
      <alignment horizontal="center"/>
    </xf>
    <xf numFmtId="3" fontId="29" fillId="27" borderId="65" xfId="0" applyNumberFormat="1" applyFont="1" applyFill="1" applyBorder="1"/>
    <xf numFmtId="0" fontId="29" fillId="0" borderId="0" xfId="0" applyFont="1"/>
    <xf numFmtId="3" fontId="29" fillId="0" borderId="0" xfId="0" applyNumberFormat="1" applyFont="1"/>
    <xf numFmtId="3" fontId="36" fillId="0" borderId="0" xfId="0" applyNumberFormat="1" applyFont="1"/>
    <xf numFmtId="3" fontId="36" fillId="0" borderId="0" xfId="0" applyNumberFormat="1" applyFont="1" applyAlignment="1">
      <alignment horizontal="right"/>
    </xf>
    <xf numFmtId="0" fontId="29" fillId="27" borderId="26" xfId="0" applyFont="1" applyFill="1" applyBorder="1"/>
    <xf numFmtId="3" fontId="29" fillId="27" borderId="97" xfId="0" applyNumberFormat="1" applyFont="1" applyFill="1" applyBorder="1" applyAlignment="1">
      <alignment horizontal="center"/>
    </xf>
    <xf numFmtId="0" fontId="29" fillId="27" borderId="68" xfId="0" applyFont="1" applyFill="1" applyBorder="1" applyAlignment="1">
      <alignment horizontal="center"/>
    </xf>
    <xf numFmtId="3" fontId="29" fillId="27" borderId="66" xfId="0" applyNumberFormat="1" applyFont="1" applyFill="1" applyBorder="1"/>
    <xf numFmtId="3" fontId="29" fillId="0" borderId="0" xfId="0" applyNumberFormat="1" applyFont="1" applyAlignment="1">
      <alignment vertical="top"/>
    </xf>
    <xf numFmtId="3" fontId="36" fillId="0" borderId="0" xfId="0" applyNumberFormat="1" applyFont="1" applyAlignment="1">
      <alignment vertical="top"/>
    </xf>
    <xf numFmtId="3" fontId="36" fillId="0" borderId="0" xfId="0" applyNumberFormat="1" applyFont="1" applyAlignment="1">
      <alignment horizontal="right" vertical="top"/>
    </xf>
    <xf numFmtId="0" fontId="37" fillId="0" borderId="0" xfId="0" applyFont="1" applyAlignment="1">
      <alignment vertical="top"/>
    </xf>
    <xf numFmtId="0" fontId="21" fillId="27" borderId="44" xfId="0" applyFont="1" applyFill="1" applyBorder="1"/>
    <xf numFmtId="3" fontId="21" fillId="27" borderId="98" xfId="0" applyNumberFormat="1" applyFont="1" applyFill="1" applyBorder="1" applyAlignment="1">
      <alignment horizontal="center"/>
    </xf>
    <xf numFmtId="3" fontId="21" fillId="27" borderId="63" xfId="0" applyNumberFormat="1" applyFont="1" applyFill="1" applyBorder="1"/>
    <xf numFmtId="3" fontId="21" fillId="27" borderId="98" xfId="0" applyNumberFormat="1" applyFont="1" applyFill="1" applyBorder="1"/>
    <xf numFmtId="0" fontId="21" fillId="27" borderId="0" xfId="0" applyFont="1" applyFill="1"/>
    <xf numFmtId="3" fontId="21" fillId="27" borderId="0" xfId="0" applyNumberFormat="1" applyFont="1" applyFill="1" applyAlignment="1">
      <alignment vertical="top"/>
    </xf>
    <xf numFmtId="3" fontId="35" fillId="27" borderId="0" xfId="0" applyNumberFormat="1" applyFont="1" applyFill="1" applyAlignment="1">
      <alignment vertical="top"/>
    </xf>
    <xf numFmtId="3" fontId="35" fillId="27" borderId="0" xfId="0" applyNumberFormat="1" applyFont="1" applyFill="1" applyAlignment="1">
      <alignment horizontal="right" vertical="top"/>
    </xf>
    <xf numFmtId="0" fontId="31" fillId="27" borderId="0" xfId="0" applyFont="1" applyFill="1" applyAlignment="1">
      <alignment vertical="top"/>
    </xf>
    <xf numFmtId="0" fontId="21" fillId="27" borderId="14" xfId="0" applyFont="1" applyFill="1" applyBorder="1"/>
    <xf numFmtId="3" fontId="21" fillId="27" borderId="99" xfId="0" applyNumberFormat="1" applyFont="1" applyFill="1" applyBorder="1" applyAlignment="1">
      <alignment horizontal="center"/>
    </xf>
    <xf numFmtId="3" fontId="21" fillId="27" borderId="58" xfId="0" applyNumberFormat="1" applyFont="1" applyFill="1" applyBorder="1"/>
    <xf numFmtId="3" fontId="21" fillId="0" borderId="0" xfId="0" applyNumberFormat="1" applyFont="1" applyAlignment="1">
      <alignment horizontal="right" vertical="top"/>
    </xf>
    <xf numFmtId="3" fontId="35" fillId="0" borderId="0" xfId="0" applyNumberFormat="1" applyFont="1" applyAlignment="1">
      <alignment horizontal="right" vertical="top"/>
    </xf>
    <xf numFmtId="3" fontId="29" fillId="0" borderId="0" xfId="0" applyNumberFormat="1" applyFont="1" applyAlignment="1">
      <alignment horizontal="right" vertical="top"/>
    </xf>
    <xf numFmtId="3" fontId="21" fillId="0" borderId="0" xfId="0" applyNumberFormat="1" applyFont="1" applyAlignment="1">
      <alignment horizontal="right"/>
    </xf>
    <xf numFmtId="0" fontId="21" fillId="27" borderId="26" xfId="0" applyFont="1" applyFill="1" applyBorder="1"/>
    <xf numFmtId="3" fontId="21" fillId="27" borderId="97" xfId="0" applyNumberFormat="1" applyFont="1" applyFill="1" applyBorder="1" applyAlignment="1">
      <alignment horizontal="center"/>
    </xf>
    <xf numFmtId="3" fontId="21" fillId="27" borderId="66" xfId="0" applyNumberFormat="1" applyFont="1" applyFill="1" applyBorder="1"/>
    <xf numFmtId="0" fontId="21" fillId="27" borderId="100" xfId="0" applyFont="1" applyFill="1" applyBorder="1"/>
    <xf numFmtId="3" fontId="21" fillId="27" borderId="101" xfId="0" applyNumberFormat="1" applyFont="1" applyFill="1" applyBorder="1" applyAlignment="1">
      <alignment horizontal="center"/>
    </xf>
    <xf numFmtId="3" fontId="21" fillId="27" borderId="102" xfId="0" applyNumberFormat="1" applyFont="1" applyFill="1" applyBorder="1"/>
    <xf numFmtId="0" fontId="21" fillId="27" borderId="103" xfId="0" applyFont="1" applyFill="1" applyBorder="1"/>
    <xf numFmtId="3" fontId="21" fillId="27" borderId="104" xfId="0" applyNumberFormat="1" applyFont="1" applyFill="1" applyBorder="1" applyAlignment="1">
      <alignment horizontal="center"/>
    </xf>
    <xf numFmtId="3" fontId="21" fillId="27" borderId="79" xfId="0" applyNumberFormat="1" applyFont="1" applyFill="1" applyBorder="1"/>
    <xf numFmtId="3" fontId="21" fillId="27" borderId="42" xfId="0" applyNumberFormat="1" applyFont="1" applyFill="1" applyBorder="1" applyAlignment="1">
      <alignment horizontal="center"/>
    </xf>
    <xf numFmtId="2" fontId="21" fillId="0" borderId="0" xfId="0" applyNumberFormat="1" applyFont="1"/>
    <xf numFmtId="3" fontId="21" fillId="27" borderId="68" xfId="0" applyNumberFormat="1" applyFont="1" applyFill="1" applyBorder="1" applyAlignment="1">
      <alignment horizontal="center"/>
    </xf>
    <xf numFmtId="0" fontId="21" fillId="27" borderId="105" xfId="0" applyFont="1" applyFill="1" applyBorder="1"/>
    <xf numFmtId="3" fontId="21" fillId="27" borderId="64" xfId="0" applyNumberFormat="1" applyFont="1" applyFill="1" applyBorder="1" applyAlignment="1">
      <alignment horizontal="center"/>
    </xf>
    <xf numFmtId="168" fontId="21" fillId="0" borderId="0" xfId="0" applyNumberFormat="1" applyFont="1"/>
    <xf numFmtId="0" fontId="28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1" fillId="0" borderId="0" xfId="0" applyFont="1" applyFill="1" applyAlignment="1">
      <alignment horizontal="center"/>
    </xf>
    <xf numFmtId="3" fontId="32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32" fillId="0" borderId="0" xfId="0" applyNumberFormat="1" applyFont="1"/>
    <xf numFmtId="3" fontId="19" fillId="0" borderId="0" xfId="0" applyNumberFormat="1" applyFont="1"/>
    <xf numFmtId="168" fontId="19" fillId="0" borderId="0" xfId="0" applyNumberFormat="1" applyFont="1"/>
    <xf numFmtId="164" fontId="19" fillId="0" borderId="0" xfId="0" applyNumberFormat="1" applyFont="1"/>
    <xf numFmtId="0" fontId="19" fillId="0" borderId="0" xfId="0" applyFont="1"/>
    <xf numFmtId="3" fontId="19" fillId="0" borderId="0" xfId="0" applyNumberFormat="1" applyFont="1" applyAlignment="1"/>
    <xf numFmtId="4" fontId="19" fillId="0" borderId="0" xfId="0" applyNumberFormat="1" applyFont="1" applyAlignment="1"/>
    <xf numFmtId="2" fontId="19" fillId="0" borderId="0" xfId="0" applyNumberFormat="1" applyFont="1"/>
    <xf numFmtId="165" fontId="19" fillId="0" borderId="0" xfId="0" applyNumberFormat="1" applyFont="1"/>
    <xf numFmtId="3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3" fontId="38" fillId="0" borderId="0" xfId="0" applyNumberFormat="1" applyFont="1" applyAlignment="1">
      <alignment horizontal="right"/>
    </xf>
    <xf numFmtId="168" fontId="32" fillId="0" borderId="0" xfId="0" applyNumberFormat="1" applyFont="1"/>
    <xf numFmtId="3" fontId="38" fillId="0" borderId="0" xfId="0" applyNumberFormat="1" applyFont="1"/>
    <xf numFmtId="0" fontId="32" fillId="0" borderId="0" xfId="0" applyFont="1"/>
    <xf numFmtId="165" fontId="19" fillId="0" borderId="0" xfId="0" applyNumberFormat="1" applyFont="1" applyAlignment="1">
      <alignment horizontal="right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3" fontId="21" fillId="0" borderId="0" xfId="0" applyNumberFormat="1" applyFont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Border="1"/>
    <xf numFmtId="3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49" fontId="27" fillId="0" borderId="0" xfId="0" applyNumberFormat="1" applyFont="1" applyFill="1" applyBorder="1" applyAlignment="1">
      <alignment horizontal="center" vertical="top" wrapText="1"/>
    </xf>
    <xf numFmtId="3" fontId="21" fillId="0" borderId="23" xfId="0" applyNumberFormat="1" applyFont="1" applyBorder="1"/>
    <xf numFmtId="3" fontId="29" fillId="0" borderId="25" xfId="0" applyNumberFormat="1" applyFont="1" applyFill="1" applyBorder="1" applyAlignment="1">
      <alignment wrapText="1"/>
    </xf>
    <xf numFmtId="3" fontId="21" fillId="0" borderId="75" xfId="0" applyNumberFormat="1" applyFont="1" applyBorder="1"/>
    <xf numFmtId="166" fontId="21" fillId="0" borderId="0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 vertical="top" wrapText="1"/>
    </xf>
    <xf numFmtId="49" fontId="21" fillId="0" borderId="74" xfId="0" applyNumberFormat="1" applyFont="1" applyBorder="1" applyAlignment="1">
      <alignment horizontal="right" vertical="top" wrapText="1"/>
    </xf>
    <xf numFmtId="3" fontId="21" fillId="0" borderId="49" xfId="54" applyNumberFormat="1" applyFont="1" applyFill="1" applyBorder="1" applyAlignment="1">
      <alignment horizontal="right" wrapText="1"/>
    </xf>
    <xf numFmtId="169" fontId="21" fillId="0" borderId="0" xfId="54" applyNumberFormat="1" applyFont="1" applyFill="1" applyBorder="1" applyAlignment="1">
      <alignment wrapText="1"/>
    </xf>
    <xf numFmtId="3" fontId="21" fillId="0" borderId="49" xfId="54" applyNumberFormat="1" applyFont="1" applyFill="1" applyBorder="1" applyAlignment="1">
      <alignment wrapText="1"/>
    </xf>
    <xf numFmtId="169" fontId="21" fillId="0" borderId="25" xfId="54" applyNumberFormat="1" applyFont="1" applyFill="1" applyBorder="1" applyAlignment="1">
      <alignment wrapText="1"/>
    </xf>
    <xf numFmtId="43" fontId="21" fillId="0" borderId="0" xfId="54" applyFont="1" applyFill="1" applyBorder="1" applyAlignment="1">
      <alignment wrapText="1"/>
    </xf>
    <xf numFmtId="43" fontId="21" fillId="0" borderId="25" xfId="54" applyFont="1" applyFill="1" applyBorder="1" applyAlignment="1">
      <alignment wrapText="1"/>
    </xf>
    <xf numFmtId="166" fontId="21" fillId="0" borderId="50" xfId="0" applyNumberFormat="1" applyFont="1" applyFill="1" applyBorder="1" applyAlignment="1">
      <alignment horizontal="right" wrapText="1"/>
    </xf>
    <xf numFmtId="3" fontId="29" fillId="0" borderId="49" xfId="0" applyNumberFormat="1" applyFont="1" applyFill="1" applyBorder="1" applyAlignment="1">
      <alignment wrapText="1"/>
    </xf>
    <xf numFmtId="166" fontId="29" fillId="0" borderId="0" xfId="0" applyNumberFormat="1" applyFont="1" applyFill="1" applyBorder="1" applyAlignment="1">
      <alignment wrapText="1"/>
    </xf>
    <xf numFmtId="3" fontId="29" fillId="0" borderId="0" xfId="0" applyNumberFormat="1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166" fontId="21" fillId="0" borderId="43" xfId="0" applyNumberFormat="1" applyFont="1" applyFill="1" applyBorder="1" applyAlignment="1">
      <alignment horizontal="right" wrapText="1"/>
    </xf>
    <xf numFmtId="3" fontId="29" fillId="0" borderId="19" xfId="0" applyNumberFormat="1" applyFont="1" applyFill="1" applyBorder="1" applyAlignment="1">
      <alignment wrapText="1"/>
    </xf>
    <xf numFmtId="3" fontId="29" fillId="0" borderId="23" xfId="0" applyNumberFormat="1" applyFont="1" applyFill="1" applyBorder="1" applyAlignment="1">
      <alignment wrapText="1"/>
    </xf>
    <xf numFmtId="3" fontId="29" fillId="0" borderId="29" xfId="0" applyNumberFormat="1" applyFont="1" applyFill="1" applyBorder="1" applyAlignment="1">
      <alignment wrapText="1"/>
    </xf>
    <xf numFmtId="3" fontId="29" fillId="0" borderId="20" xfId="0" applyNumberFormat="1" applyFont="1" applyFill="1" applyBorder="1" applyAlignment="1">
      <alignment wrapText="1"/>
    </xf>
    <xf numFmtId="3" fontId="21" fillId="0" borderId="45" xfId="0" applyNumberFormat="1" applyFont="1" applyFill="1" applyBorder="1" applyAlignment="1">
      <alignment wrapText="1"/>
    </xf>
    <xf numFmtId="166" fontId="21" fillId="0" borderId="46" xfId="0" applyNumberFormat="1" applyFont="1" applyFill="1" applyBorder="1" applyAlignment="1">
      <alignment horizontal="right" wrapText="1"/>
    </xf>
    <xf numFmtId="0" fontId="4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wrapText="1"/>
    </xf>
    <xf numFmtId="3" fontId="21" fillId="0" borderId="86" xfId="0" applyNumberFormat="1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0" fontId="21" fillId="0" borderId="23" xfId="0" applyFont="1" applyFill="1" applyBorder="1" applyAlignment="1">
      <alignment wrapText="1"/>
    </xf>
    <xf numFmtId="0" fontId="21" fillId="0" borderId="19" xfId="0" applyFont="1" applyFill="1" applyBorder="1" applyAlignment="1">
      <alignment wrapText="1"/>
    </xf>
    <xf numFmtId="166" fontId="21" fillId="0" borderId="0" xfId="85" applyNumberFormat="1" applyFont="1" applyFill="1" applyBorder="1" applyAlignment="1">
      <alignment wrapText="1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85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42" fillId="0" borderId="0" xfId="0" applyNumberFormat="1" applyFont="1" applyFill="1" applyBorder="1" applyAlignment="1">
      <alignment wrapText="1"/>
    </xf>
    <xf numFmtId="3" fontId="40" fillId="0" borderId="0" xfId="0" applyNumberFormat="1" applyFont="1" applyFill="1" applyBorder="1" applyAlignment="1">
      <alignment wrapText="1"/>
    </xf>
    <xf numFmtId="3" fontId="40" fillId="0" borderId="0" xfId="85" applyNumberFormat="1" applyFont="1" applyFill="1" applyBorder="1" applyAlignment="1">
      <alignment wrapText="1"/>
    </xf>
    <xf numFmtId="3" fontId="21" fillId="0" borderId="0" xfId="85" applyNumberFormat="1" applyFont="1" applyFill="1" applyBorder="1" applyAlignment="1">
      <alignment wrapText="1"/>
    </xf>
    <xf numFmtId="1" fontId="21" fillId="0" borderId="0" xfId="85" applyNumberFormat="1" applyFont="1" applyFill="1" applyBorder="1" applyAlignment="1">
      <alignment wrapText="1"/>
    </xf>
    <xf numFmtId="3" fontId="21" fillId="0" borderId="0" xfId="0" applyNumberFormat="1" applyFont="1" applyFill="1" applyAlignment="1">
      <alignment wrapText="1"/>
    </xf>
    <xf numFmtId="0" fontId="28" fillId="0" borderId="31" xfId="0" applyFont="1" applyFill="1" applyBorder="1" applyAlignment="1">
      <alignment horizontal="center" vertical="top" wrapText="1"/>
    </xf>
    <xf numFmtId="3" fontId="28" fillId="0" borderId="31" xfId="0" applyNumberFormat="1" applyFont="1" applyFill="1" applyBorder="1" applyAlignment="1">
      <alignment horizontal="center" wrapText="1"/>
    </xf>
    <xf numFmtId="0" fontId="21" fillId="0" borderId="31" xfId="0" applyFont="1" applyFill="1" applyBorder="1" applyAlignment="1">
      <alignment wrapText="1"/>
    </xf>
    <xf numFmtId="0" fontId="27" fillId="0" borderId="0" xfId="0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0" fontId="27" fillId="0" borderId="106" xfId="0" applyFont="1" applyFill="1" applyBorder="1" applyAlignment="1">
      <alignment horizontal="center" wrapText="1"/>
    </xf>
    <xf numFmtId="3" fontId="27" fillId="0" borderId="106" xfId="0" applyNumberFormat="1" applyFont="1" applyFill="1" applyBorder="1" applyAlignment="1">
      <alignment horizontal="center" wrapText="1"/>
    </xf>
    <xf numFmtId="3" fontId="21" fillId="0" borderId="90" xfId="0" applyNumberFormat="1" applyFont="1" applyFill="1" applyBorder="1" applyAlignment="1">
      <alignment wrapText="1"/>
    </xf>
    <xf numFmtId="166" fontId="21" fillId="0" borderId="48" xfId="0" applyNumberFormat="1" applyFont="1" applyFill="1" applyBorder="1" applyAlignment="1">
      <alignment wrapText="1"/>
    </xf>
    <xf numFmtId="3" fontId="21" fillId="0" borderId="47" xfId="0" applyNumberFormat="1" applyFont="1" applyFill="1" applyBorder="1" applyAlignment="1">
      <alignment wrapText="1"/>
    </xf>
    <xf numFmtId="0" fontId="26" fillId="0" borderId="0" xfId="0" applyFont="1"/>
    <xf numFmtId="0" fontId="44" fillId="0" borderId="0" xfId="0" applyFont="1"/>
    <xf numFmtId="3" fontId="21" fillId="0" borderId="0" xfId="0" applyNumberFormat="1" applyFont="1" applyFill="1" applyAlignment="1">
      <alignment horizontal="right"/>
    </xf>
    <xf numFmtId="3" fontId="21" fillId="0" borderId="25" xfId="0" applyNumberFormat="1" applyFont="1" applyFill="1" applyBorder="1" applyAlignment="1">
      <alignment horizontal="right"/>
    </xf>
    <xf numFmtId="3" fontId="21" fillId="0" borderId="23" xfId="0" applyNumberFormat="1" applyFont="1" applyFill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3" fontId="21" fillId="0" borderId="19" xfId="0" applyNumberFormat="1" applyFont="1" applyFill="1" applyBorder="1" applyAlignment="1">
      <alignment horizontal="right"/>
    </xf>
    <xf numFmtId="3" fontId="21" fillId="0" borderId="82" xfId="0" applyNumberFormat="1" applyFont="1" applyFill="1" applyBorder="1" applyAlignment="1">
      <alignment horizontal="right"/>
    </xf>
    <xf numFmtId="3" fontId="21" fillId="0" borderId="21" xfId="0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horizontal="right"/>
    </xf>
    <xf numFmtId="3" fontId="21" fillId="0" borderId="20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3" fontId="28" fillId="0" borderId="24" xfId="0" applyNumberFormat="1" applyFont="1" applyFill="1" applyBorder="1" applyAlignment="1">
      <alignment horizontal="right"/>
    </xf>
    <xf numFmtId="0" fontId="28" fillId="0" borderId="0" xfId="0" applyFont="1"/>
    <xf numFmtId="3" fontId="28" fillId="0" borderId="73" xfId="0" applyNumberFormat="1" applyFont="1" applyFill="1" applyBorder="1" applyAlignment="1">
      <alignment horizontal="right"/>
    </xf>
    <xf numFmtId="3" fontId="28" fillId="0" borderId="20" xfId="0" applyNumberFormat="1" applyFont="1" applyFill="1" applyBorder="1" applyAlignment="1">
      <alignment horizontal="right"/>
    </xf>
    <xf numFmtId="3" fontId="19" fillId="0" borderId="0" xfId="0" applyNumberFormat="1" applyFont="1" applyFill="1"/>
    <xf numFmtId="3" fontId="28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164" fontId="27" fillId="0" borderId="0" xfId="0" applyNumberFormat="1" applyFont="1" applyAlignment="1">
      <alignment horizontal="center" vertical="top" wrapText="1"/>
    </xf>
    <xf numFmtId="4" fontId="21" fillId="0" borderId="0" xfId="0" applyNumberFormat="1" applyFont="1"/>
    <xf numFmtId="164" fontId="21" fillId="0" borderId="0" xfId="0" applyNumberFormat="1" applyFont="1"/>
    <xf numFmtId="3" fontId="21" fillId="0" borderId="0" xfId="0" applyNumberFormat="1" applyFont="1" applyFill="1" applyAlignment="1">
      <alignment horizontal="center"/>
    </xf>
    <xf numFmtId="4" fontId="21" fillId="0" borderId="0" xfId="0" applyNumberFormat="1" applyFont="1" applyFill="1"/>
    <xf numFmtId="164" fontId="21" fillId="0" borderId="0" xfId="0" applyNumberFormat="1" applyFont="1" applyFill="1"/>
    <xf numFmtId="0" fontId="28" fillId="0" borderId="0" xfId="0" applyFont="1" applyFill="1"/>
    <xf numFmtId="3" fontId="28" fillId="0" borderId="0" xfId="0" applyNumberFormat="1" applyFont="1" applyFill="1" applyAlignment="1">
      <alignment horizontal="center"/>
    </xf>
    <xf numFmtId="0" fontId="21" fillId="0" borderId="119" xfId="0" applyFont="1" applyFill="1" applyBorder="1" applyAlignment="1">
      <alignment horizontal="center" vertical="center"/>
    </xf>
    <xf numFmtId="3" fontId="21" fillId="0" borderId="119" xfId="0" applyNumberFormat="1" applyFont="1" applyFill="1" applyBorder="1" applyAlignment="1">
      <alignment horizontal="center" vertical="center"/>
    </xf>
    <xf numFmtId="0" fontId="21" fillId="0" borderId="1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21" xfId="0" applyFont="1" applyBorder="1"/>
    <xf numFmtId="3" fontId="21" fillId="0" borderId="99" xfId="0" applyNumberFormat="1" applyFont="1" applyBorder="1" applyAlignment="1">
      <alignment horizontal="center"/>
    </xf>
    <xf numFmtId="3" fontId="21" fillId="0" borderId="99" xfId="0" applyNumberFormat="1" applyFont="1" applyBorder="1"/>
    <xf numFmtId="17" fontId="21" fillId="0" borderId="122" xfId="0" applyNumberFormat="1" applyFont="1" applyBorder="1"/>
    <xf numFmtId="3" fontId="21" fillId="0" borderId="104" xfId="0" quotePrefix="1" applyNumberFormat="1" applyFont="1" applyBorder="1" applyAlignment="1">
      <alignment horizontal="center"/>
    </xf>
    <xf numFmtId="3" fontId="21" fillId="0" borderId="104" xfId="0" applyNumberFormat="1" applyFont="1" applyBorder="1"/>
    <xf numFmtId="3" fontId="21" fillId="0" borderId="123" xfId="0" applyNumberFormat="1" applyFont="1" applyBorder="1"/>
    <xf numFmtId="0" fontId="21" fillId="0" borderId="105" xfId="0" applyFont="1" applyBorder="1"/>
    <xf numFmtId="3" fontId="21" fillId="0" borderId="98" xfId="0" applyNumberFormat="1" applyFont="1" applyBorder="1" applyAlignment="1">
      <alignment horizontal="center"/>
    </xf>
    <xf numFmtId="3" fontId="21" fillId="0" borderId="98" xfId="0" applyNumberFormat="1" applyFont="1" applyBorder="1"/>
    <xf numFmtId="3" fontId="21" fillId="0" borderId="124" xfId="0" applyNumberFormat="1" applyFont="1" applyBorder="1"/>
    <xf numFmtId="0" fontId="21" fillId="0" borderId="125" xfId="0" applyFont="1" applyBorder="1"/>
    <xf numFmtId="3" fontId="21" fillId="0" borderId="101" xfId="0" applyNumberFormat="1" applyFont="1" applyBorder="1" applyAlignment="1">
      <alignment horizontal="center"/>
    </xf>
    <xf numFmtId="3" fontId="21" fillId="0" borderId="101" xfId="0" applyNumberFormat="1" applyFont="1" applyBorder="1"/>
    <xf numFmtId="3" fontId="21" fillId="0" borderId="126" xfId="0" applyNumberFormat="1" applyFont="1" applyBorder="1"/>
    <xf numFmtId="1" fontId="21" fillId="0" borderId="0" xfId="0" applyNumberFormat="1" applyFont="1"/>
    <xf numFmtId="3" fontId="21" fillId="0" borderId="115" xfId="0" applyNumberFormat="1" applyFont="1" applyBorder="1"/>
    <xf numFmtId="0" fontId="21" fillId="0" borderId="127" xfId="0" applyFont="1" applyBorder="1"/>
    <xf numFmtId="16" fontId="21" fillId="0" borderId="0" xfId="0" quotePrefix="1" applyNumberFormat="1" applyFont="1"/>
    <xf numFmtId="3" fontId="21" fillId="0" borderId="104" xfId="0" applyNumberFormat="1" applyFont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3" fontId="28" fillId="0" borderId="0" xfId="0" applyNumberFormat="1" applyFont="1" applyBorder="1"/>
    <xf numFmtId="3" fontId="21" fillId="0" borderId="0" xfId="0" quotePrefix="1" applyNumberFormat="1" applyFont="1"/>
    <xf numFmtId="0" fontId="21" fillId="0" borderId="114" xfId="0" applyFont="1" applyBorder="1"/>
    <xf numFmtId="3" fontId="21" fillId="0" borderId="115" xfId="0" applyNumberFormat="1" applyFont="1" applyBorder="1" applyAlignment="1">
      <alignment horizontal="center"/>
    </xf>
    <xf numFmtId="3" fontId="21" fillId="0" borderId="117" xfId="0" applyNumberFormat="1" applyFont="1" applyBorder="1"/>
    <xf numFmtId="0" fontId="28" fillId="1" borderId="118" xfId="0" applyFont="1" applyFill="1" applyBorder="1"/>
    <xf numFmtId="3" fontId="28" fillId="1" borderId="119" xfId="0" applyNumberFormat="1" applyFont="1" applyFill="1" applyBorder="1"/>
    <xf numFmtId="0" fontId="21" fillId="27" borderId="121" xfId="0" applyFont="1" applyFill="1" applyBorder="1"/>
    <xf numFmtId="3" fontId="21" fillId="27" borderId="95" xfId="54" applyNumberFormat="1" applyFont="1" applyFill="1" applyBorder="1"/>
    <xf numFmtId="3" fontId="21" fillId="27" borderId="128" xfId="54" applyNumberFormat="1" applyFont="1" applyFill="1" applyBorder="1"/>
    <xf numFmtId="17" fontId="21" fillId="27" borderId="129" xfId="0" applyNumberFormat="1" applyFont="1" applyFill="1" applyBorder="1"/>
    <xf numFmtId="3" fontId="21" fillId="27" borderId="104" xfId="54" applyNumberFormat="1" applyFont="1" applyFill="1" applyBorder="1"/>
    <xf numFmtId="3" fontId="21" fillId="27" borderId="123" xfId="54" applyNumberFormat="1" applyFont="1" applyFill="1" applyBorder="1"/>
    <xf numFmtId="3" fontId="21" fillId="27" borderId="98" xfId="54" applyNumberFormat="1" applyFont="1" applyFill="1" applyBorder="1"/>
    <xf numFmtId="3" fontId="21" fillId="27" borderId="124" xfId="54" applyNumberFormat="1" applyFont="1" applyFill="1" applyBorder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1" fillId="0" borderId="113" xfId="0" applyNumberFormat="1" applyFont="1" applyBorder="1"/>
    <xf numFmtId="0" fontId="21" fillId="0" borderId="105" xfId="0" applyFont="1" applyFill="1" applyBorder="1"/>
    <xf numFmtId="3" fontId="21" fillId="0" borderId="98" xfId="0" applyNumberFormat="1" applyFont="1" applyFill="1" applyBorder="1" applyAlignment="1">
      <alignment horizontal="center"/>
    </xf>
    <xf numFmtId="3" fontId="21" fillId="0" borderId="98" xfId="0" applyNumberFormat="1" applyFont="1" applyFill="1" applyBorder="1"/>
    <xf numFmtId="3" fontId="21" fillId="0" borderId="124" xfId="0" applyNumberFormat="1" applyFont="1" applyFill="1" applyBorder="1"/>
    <xf numFmtId="3" fontId="21" fillId="0" borderId="101" xfId="0" applyNumberFormat="1" applyFont="1" applyFill="1" applyBorder="1" applyAlignment="1">
      <alignment horizontal="center"/>
    </xf>
    <xf numFmtId="3" fontId="21" fillId="0" borderId="101" xfId="0" applyNumberFormat="1" applyFont="1" applyFill="1" applyBorder="1"/>
    <xf numFmtId="3" fontId="21" fillId="0" borderId="126" xfId="0" applyNumberFormat="1" applyFont="1" applyFill="1" applyBorder="1"/>
    <xf numFmtId="3" fontId="21" fillId="0" borderId="104" xfId="0" applyNumberFormat="1" applyFont="1" applyFill="1" applyBorder="1" applyAlignment="1">
      <alignment horizontal="center"/>
    </xf>
    <xf numFmtId="3" fontId="21" fillId="0" borderId="104" xfId="0" applyNumberFormat="1" applyFont="1" applyFill="1" applyBorder="1"/>
    <xf numFmtId="3" fontId="21" fillId="0" borderId="123" xfId="0" applyNumberFormat="1" applyFont="1" applyFill="1" applyBorder="1"/>
    <xf numFmtId="3" fontId="21" fillId="0" borderId="115" xfId="0" applyNumberFormat="1" applyFont="1" applyFill="1" applyBorder="1" applyAlignment="1">
      <alignment horizontal="center"/>
    </xf>
    <xf numFmtId="3" fontId="21" fillId="0" borderId="115" xfId="0" applyNumberFormat="1" applyFont="1" applyFill="1" applyBorder="1"/>
    <xf numFmtId="3" fontId="21" fillId="0" borderId="117" xfId="0" applyNumberFormat="1" applyFont="1" applyFill="1" applyBorder="1"/>
    <xf numFmtId="3" fontId="21" fillId="0" borderId="126" xfId="54" applyNumberFormat="1" applyFont="1" applyFill="1" applyBorder="1"/>
    <xf numFmtId="3" fontId="21" fillId="0" borderId="123" xfId="54" applyNumberFormat="1" applyFont="1" applyFill="1" applyBorder="1"/>
    <xf numFmtId="3" fontId="21" fillId="0" borderId="124" xfId="54" applyNumberFormat="1" applyFont="1" applyFill="1" applyBorder="1"/>
    <xf numFmtId="3" fontId="21" fillId="0" borderId="97" xfId="0" applyNumberFormat="1" applyFont="1" applyFill="1" applyBorder="1" applyAlignment="1">
      <alignment horizontal="center"/>
    </xf>
    <xf numFmtId="3" fontId="21" fillId="0" borderId="97" xfId="0" applyNumberFormat="1" applyFont="1" applyFill="1" applyBorder="1"/>
    <xf numFmtId="3" fontId="21" fillId="0" borderId="130" xfId="0" applyNumberFormat="1" applyFont="1" applyFill="1" applyBorder="1"/>
    <xf numFmtId="0" fontId="21" fillId="0" borderId="131" xfId="0" applyFont="1" applyFill="1" applyBorder="1"/>
    <xf numFmtId="3" fontId="21" fillId="0" borderId="111" xfId="0" applyNumberFormat="1" applyFont="1" applyFill="1" applyBorder="1" applyAlignment="1">
      <alignment horizontal="center"/>
    </xf>
    <xf numFmtId="3" fontId="21" fillId="0" borderId="111" xfId="0" applyNumberFormat="1" applyFont="1" applyFill="1" applyBorder="1"/>
    <xf numFmtId="3" fontId="21" fillId="0" borderId="113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/>
    <xf numFmtId="3" fontId="28" fillId="0" borderId="0" xfId="0" applyNumberFormat="1" applyFont="1" applyFill="1"/>
    <xf numFmtId="3" fontId="21" fillId="0" borderId="101" xfId="54" applyNumberFormat="1" applyFont="1" applyFill="1" applyBorder="1"/>
    <xf numFmtId="3" fontId="21" fillId="0" borderId="104" xfId="54" applyNumberFormat="1" applyFont="1" applyFill="1" applyBorder="1"/>
    <xf numFmtId="0" fontId="21" fillId="0" borderId="114" xfId="0" applyFont="1" applyFill="1" applyBorder="1"/>
    <xf numFmtId="3" fontId="21" fillId="0" borderId="115" xfId="54" applyNumberFormat="1" applyFont="1" applyFill="1" applyBorder="1"/>
    <xf numFmtId="3" fontId="21" fillId="0" borderId="117" xfId="54" applyNumberFormat="1" applyFont="1" applyFill="1" applyBorder="1"/>
    <xf numFmtId="3" fontId="28" fillId="1" borderId="119" xfId="0" applyNumberFormat="1" applyFont="1" applyFill="1" applyBorder="1" applyAlignment="1">
      <alignment horizontal="center"/>
    </xf>
    <xf numFmtId="0" fontId="28" fillId="0" borderId="132" xfId="0" applyFont="1" applyFill="1" applyBorder="1"/>
    <xf numFmtId="3" fontId="28" fillId="0" borderId="133" xfId="0" applyNumberFormat="1" applyFont="1" applyFill="1" applyBorder="1" applyAlignment="1">
      <alignment horizontal="center"/>
    </xf>
    <xf numFmtId="3" fontId="28" fillId="0" borderId="119" xfId="0" applyNumberFormat="1" applyFont="1" applyFill="1" applyBorder="1"/>
    <xf numFmtId="3" fontId="28" fillId="0" borderId="120" xfId="0" applyNumberFormat="1" applyFont="1" applyFill="1" applyBorder="1"/>
    <xf numFmtId="0" fontId="21" fillId="0" borderId="0" xfId="0" applyFont="1" applyFill="1" applyBorder="1"/>
    <xf numFmtId="4" fontId="21" fillId="0" borderId="0" xfId="0" applyNumberFormat="1" applyFont="1" applyAlignment="1">
      <alignment horizontal="center"/>
    </xf>
    <xf numFmtId="4" fontId="28" fillId="0" borderId="0" xfId="0" applyNumberFormat="1" applyFont="1"/>
    <xf numFmtId="17" fontId="28" fillId="0" borderId="0" xfId="0" applyNumberFormat="1" applyFont="1"/>
    <xf numFmtId="165" fontId="21" fillId="0" borderId="0" xfId="0" applyNumberFormat="1" applyFont="1"/>
    <xf numFmtId="3" fontId="21" fillId="0" borderId="0" xfId="0" applyNumberFormat="1" applyFont="1" applyAlignment="1"/>
    <xf numFmtId="4" fontId="21" fillId="0" borderId="0" xfId="0" applyNumberFormat="1" applyFont="1" applyAlignment="1"/>
    <xf numFmtId="0" fontId="21" fillId="0" borderId="0" xfId="0" applyFont="1" applyAlignment="1">
      <alignment horizontal="right"/>
    </xf>
    <xf numFmtId="2" fontId="21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center"/>
    </xf>
    <xf numFmtId="170" fontId="19" fillId="0" borderId="0" xfId="0" applyNumberFormat="1" applyFont="1"/>
    <xf numFmtId="16" fontId="19" fillId="0" borderId="0" xfId="0" applyNumberFormat="1" applyFont="1"/>
    <xf numFmtId="0" fontId="19" fillId="0" borderId="0" xfId="0" quotePrefix="1" applyFont="1"/>
    <xf numFmtId="16" fontId="19" fillId="0" borderId="0" xfId="0" quotePrefix="1" applyNumberFormat="1" applyFont="1"/>
    <xf numFmtId="0" fontId="19" fillId="0" borderId="0" xfId="0" applyFont="1" applyAlignment="1">
      <alignment vertical="center"/>
    </xf>
    <xf numFmtId="1" fontId="19" fillId="0" borderId="118" xfId="0" applyNumberFormat="1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3" fontId="19" fillId="0" borderId="120" xfId="0" applyNumberFormat="1" applyFont="1" applyBorder="1" applyAlignment="1">
      <alignment horizontal="center" vertical="center"/>
    </xf>
    <xf numFmtId="168" fontId="19" fillId="0" borderId="0" xfId="0" applyNumberFormat="1" applyFont="1" applyAlignment="1">
      <alignment vertical="center"/>
    </xf>
    <xf numFmtId="170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19" fillId="0" borderId="121" xfId="0" applyFont="1" applyBorder="1"/>
    <xf numFmtId="1" fontId="19" fillId="0" borderId="135" xfId="0" applyNumberFormat="1" applyFont="1" applyBorder="1" applyAlignment="1">
      <alignment horizontal="center"/>
    </xf>
    <xf numFmtId="3" fontId="19" fillId="0" borderId="95" xfId="0" applyNumberFormat="1" applyFont="1" applyBorder="1" applyAlignment="1">
      <alignment horizontal="center"/>
    </xf>
    <xf numFmtId="169" fontId="19" fillId="0" borderId="136" xfId="54" applyNumberFormat="1" applyFont="1" applyBorder="1"/>
    <xf numFmtId="17" fontId="19" fillId="0" borderId="129" xfId="0" quotePrefix="1" applyNumberFormat="1" applyFont="1" applyBorder="1"/>
    <xf numFmtId="1" fontId="19" fillId="0" borderId="137" xfId="0" quotePrefix="1" applyNumberFormat="1" applyFont="1" applyBorder="1" applyAlignment="1">
      <alignment horizontal="center"/>
    </xf>
    <xf numFmtId="3" fontId="19" fillId="0" borderId="104" xfId="0" quotePrefix="1" applyNumberFormat="1" applyFont="1" applyBorder="1" applyAlignment="1">
      <alignment horizontal="center"/>
    </xf>
    <xf numFmtId="169" fontId="19" fillId="0" borderId="138" xfId="54" applyNumberFormat="1" applyFont="1" applyBorder="1"/>
    <xf numFmtId="0" fontId="19" fillId="0" borderId="105" xfId="0" applyFont="1" applyBorder="1"/>
    <xf numFmtId="1" fontId="19" fillId="0" borderId="139" xfId="0" applyNumberFormat="1" applyFont="1" applyBorder="1" applyAlignment="1">
      <alignment horizontal="center"/>
    </xf>
    <xf numFmtId="3" fontId="19" fillId="0" borderId="98" xfId="0" applyNumberFormat="1" applyFont="1" applyBorder="1" applyAlignment="1">
      <alignment horizontal="center"/>
    </xf>
    <xf numFmtId="169" fontId="19" fillId="0" borderId="140" xfId="54" applyNumberFormat="1" applyFont="1" applyBorder="1"/>
    <xf numFmtId="0" fontId="19" fillId="0" borderId="127" xfId="0" applyFont="1" applyBorder="1"/>
    <xf numFmtId="1" fontId="19" fillId="0" borderId="141" xfId="0" applyNumberFormat="1" applyFont="1" applyBorder="1" applyAlignment="1">
      <alignment horizontal="center"/>
    </xf>
    <xf numFmtId="3" fontId="19" fillId="0" borderId="99" xfId="0" applyNumberFormat="1" applyFont="1" applyBorder="1" applyAlignment="1">
      <alignment horizontal="center"/>
    </xf>
    <xf numFmtId="169" fontId="19" fillId="0" borderId="142" xfId="54" applyNumberFormat="1" applyFont="1" applyBorder="1"/>
    <xf numFmtId="3" fontId="19" fillId="0" borderId="97" xfId="0" quotePrefix="1" applyNumberFormat="1" applyFont="1" applyBorder="1" applyAlignment="1">
      <alignment horizontal="center"/>
    </xf>
    <xf numFmtId="17" fontId="19" fillId="0" borderId="105" xfId="0" applyNumberFormat="1" applyFont="1" applyBorder="1"/>
    <xf numFmtId="1" fontId="19" fillId="0" borderId="98" xfId="0" applyNumberFormat="1" applyFont="1" applyBorder="1" applyAlignment="1">
      <alignment horizontal="center"/>
    </xf>
    <xf numFmtId="3" fontId="19" fillId="0" borderId="98" xfId="0" quotePrefix="1" applyNumberFormat="1" applyFont="1" applyBorder="1" applyAlignment="1">
      <alignment horizontal="center"/>
    </xf>
    <xf numFmtId="3" fontId="19" fillId="0" borderId="99" xfId="0" quotePrefix="1" applyNumberFormat="1" applyFont="1" applyBorder="1" applyAlignment="1">
      <alignment horizontal="center"/>
    </xf>
    <xf numFmtId="169" fontId="19" fillId="0" borderId="138" xfId="54" applyNumberFormat="1" applyFont="1" applyFill="1" applyBorder="1"/>
    <xf numFmtId="0" fontId="19" fillId="0" borderId="110" xfId="0" applyFont="1" applyBorder="1"/>
    <xf numFmtId="1" fontId="19" fillId="0" borderId="143" xfId="0" applyNumberFormat="1" applyFont="1" applyBorder="1" applyAlignment="1">
      <alignment horizontal="center"/>
    </xf>
    <xf numFmtId="0" fontId="19" fillId="0" borderId="125" xfId="0" applyFont="1" applyBorder="1"/>
    <xf numFmtId="1" fontId="19" fillId="0" borderId="144" xfId="0" applyNumberFormat="1" applyFont="1" applyBorder="1" applyAlignment="1">
      <alignment horizontal="center"/>
    </xf>
    <xf numFmtId="3" fontId="19" fillId="0" borderId="101" xfId="0" applyNumberFormat="1" applyFont="1" applyBorder="1" applyAlignment="1">
      <alignment horizontal="center"/>
    </xf>
    <xf numFmtId="169" fontId="19" fillId="0" borderId="145" xfId="54" applyNumberFormat="1" applyFont="1" applyBorder="1"/>
    <xf numFmtId="17" fontId="19" fillId="0" borderId="122" xfId="0" quotePrefix="1" applyNumberFormat="1" applyFont="1" applyBorder="1"/>
    <xf numFmtId="1" fontId="19" fillId="0" borderId="146" xfId="0" quotePrefix="1" applyNumberFormat="1" applyFont="1" applyBorder="1" applyAlignment="1">
      <alignment horizontal="center"/>
    </xf>
    <xf numFmtId="3" fontId="19" fillId="0" borderId="104" xfId="0" applyNumberFormat="1" applyFont="1" applyBorder="1" applyAlignment="1">
      <alignment horizontal="center"/>
    </xf>
    <xf numFmtId="169" fontId="19" fillId="0" borderId="147" xfId="54" applyNumberFormat="1" applyFont="1" applyBorder="1"/>
    <xf numFmtId="0" fontId="19" fillId="0" borderId="148" xfId="0" applyFont="1" applyBorder="1"/>
    <xf numFmtId="1" fontId="19" fillId="0" borderId="149" xfId="0" applyNumberFormat="1" applyFont="1" applyBorder="1" applyAlignment="1">
      <alignment horizontal="center"/>
    </xf>
    <xf numFmtId="3" fontId="19" fillId="0" borderId="150" xfId="0" applyNumberFormat="1" applyFont="1" applyBorder="1" applyAlignment="1">
      <alignment horizontal="center"/>
    </xf>
    <xf numFmtId="169" fontId="19" fillId="0" borderId="151" xfId="54" applyNumberFormat="1" applyFont="1" applyBorder="1"/>
    <xf numFmtId="0" fontId="32" fillId="1" borderId="118" xfId="0" applyFont="1" applyFill="1" applyBorder="1"/>
    <xf numFmtId="1" fontId="32" fillId="1" borderId="134" xfId="0" applyNumberFormat="1" applyFont="1" applyFill="1" applyBorder="1" applyAlignment="1">
      <alignment horizontal="center"/>
    </xf>
    <xf numFmtId="3" fontId="32" fillId="1" borderId="119" xfId="0" applyNumberFormat="1" applyFont="1" applyFill="1" applyBorder="1" applyAlignment="1">
      <alignment horizontal="center"/>
    </xf>
    <xf numFmtId="169" fontId="32" fillId="1" borderId="152" xfId="54" applyNumberFormat="1" applyFont="1" applyFill="1" applyBorder="1"/>
    <xf numFmtId="1" fontId="19" fillId="27" borderId="135" xfId="0" applyNumberFormat="1" applyFont="1" applyFill="1" applyBorder="1" applyAlignment="1">
      <alignment horizontal="center"/>
    </xf>
    <xf numFmtId="3" fontId="19" fillId="27" borderId="95" xfId="0" applyNumberFormat="1" applyFont="1" applyFill="1" applyBorder="1" applyAlignment="1">
      <alignment horizontal="center"/>
    </xf>
    <xf numFmtId="169" fontId="19" fillId="27" borderId="136" xfId="54" applyNumberFormat="1" applyFont="1" applyFill="1" applyBorder="1"/>
    <xf numFmtId="1" fontId="19" fillId="27" borderId="137" xfId="0" applyNumberFormat="1" applyFont="1" applyFill="1" applyBorder="1" applyAlignment="1">
      <alignment horizontal="center"/>
    </xf>
    <xf numFmtId="3" fontId="19" fillId="27" borderId="97" xfId="0" applyNumberFormat="1" applyFont="1" applyFill="1" applyBorder="1" applyAlignment="1">
      <alignment horizontal="center"/>
    </xf>
    <xf numFmtId="169" fontId="19" fillId="27" borderId="138" xfId="54" applyNumberFormat="1" applyFont="1" applyFill="1" applyBorder="1"/>
    <xf numFmtId="0" fontId="19" fillId="0" borderId="105" xfId="0" applyFont="1" applyFill="1" applyBorder="1"/>
    <xf numFmtId="1" fontId="19" fillId="0" borderId="139" xfId="0" applyNumberFormat="1" applyFont="1" applyFill="1" applyBorder="1" applyAlignment="1">
      <alignment horizontal="center"/>
    </xf>
    <xf numFmtId="3" fontId="19" fillId="0" borderId="98" xfId="0" applyNumberFormat="1" applyFont="1" applyFill="1" applyBorder="1" applyAlignment="1">
      <alignment horizontal="center"/>
    </xf>
    <xf numFmtId="169" fontId="19" fillId="0" borderId="140" xfId="54" applyNumberFormat="1" applyFont="1" applyFill="1" applyBorder="1"/>
    <xf numFmtId="169" fontId="19" fillId="0" borderId="124" xfId="54" applyNumberFormat="1" applyFont="1" applyBorder="1"/>
    <xf numFmtId="3" fontId="19" fillId="0" borderId="115" xfId="0" applyNumberFormat="1" applyFont="1" applyFill="1" applyBorder="1" applyAlignment="1">
      <alignment horizontal="center"/>
    </xf>
    <xf numFmtId="169" fontId="19" fillId="0" borderId="117" xfId="54" applyNumberFormat="1" applyFont="1" applyBorder="1"/>
    <xf numFmtId="1" fontId="19" fillId="0" borderId="98" xfId="0" applyNumberFormat="1" applyFont="1" applyFill="1" applyBorder="1" applyAlignment="1">
      <alignment horizontal="center"/>
    </xf>
    <xf numFmtId="0" fontId="19" fillId="0" borderId="0" xfId="0" applyFont="1" applyBorder="1"/>
    <xf numFmtId="3" fontId="19" fillId="0" borderId="0" xfId="0" applyNumberFormat="1" applyFont="1" applyBorder="1"/>
    <xf numFmtId="170" fontId="19" fillId="0" borderId="0" xfId="0" applyNumberFormat="1" applyFont="1" applyBorder="1"/>
    <xf numFmtId="0" fontId="32" fillId="1" borderId="132" xfId="0" applyFont="1" applyFill="1" applyBorder="1"/>
    <xf numFmtId="1" fontId="32" fillId="1" borderId="153" xfId="0" applyNumberFormat="1" applyFont="1" applyFill="1" applyBorder="1" applyAlignment="1">
      <alignment horizontal="center"/>
    </xf>
    <xf numFmtId="3" fontId="19" fillId="1" borderId="133" xfId="0" applyNumberFormat="1" applyFont="1" applyFill="1" applyBorder="1" applyAlignment="1">
      <alignment horizontal="center"/>
    </xf>
    <xf numFmtId="169" fontId="19" fillId="1" borderId="154" xfId="54" applyNumberFormat="1" applyFont="1" applyFill="1" applyBorder="1"/>
    <xf numFmtId="0" fontId="32" fillId="0" borderId="118" xfId="0" applyFont="1" applyFill="1" applyBorder="1"/>
    <xf numFmtId="1" fontId="32" fillId="0" borderId="134" xfId="0" applyNumberFormat="1" applyFont="1" applyFill="1" applyBorder="1" applyAlignment="1">
      <alignment horizontal="center"/>
    </xf>
    <xf numFmtId="3" fontId="32" fillId="0" borderId="119" xfId="0" applyNumberFormat="1" applyFont="1" applyFill="1" applyBorder="1" applyAlignment="1">
      <alignment horizontal="center"/>
    </xf>
    <xf numFmtId="169" fontId="32" fillId="0" borderId="120" xfId="54" applyNumberFormat="1" applyFont="1" applyBorder="1"/>
    <xf numFmtId="17" fontId="19" fillId="0" borderId="0" xfId="0" quotePrefix="1" applyNumberFormat="1" applyFont="1"/>
    <xf numFmtId="0" fontId="21" fillId="0" borderId="36" xfId="0" applyFont="1" applyBorder="1" applyAlignment="1"/>
    <xf numFmtId="0" fontId="21" fillId="0" borderId="155" xfId="0" applyFont="1" applyBorder="1" applyAlignment="1">
      <alignment horizontal="center"/>
    </xf>
    <xf numFmtId="0" fontId="21" fillId="0" borderId="156" xfId="0" applyFont="1" applyBorder="1" applyAlignment="1">
      <alignment horizontal="center"/>
    </xf>
    <xf numFmtId="17" fontId="21" fillId="0" borderId="156" xfId="0" applyNumberFormat="1" applyFont="1" applyBorder="1" applyAlignment="1">
      <alignment horizontal="center"/>
    </xf>
    <xf numFmtId="0" fontId="21" fillId="0" borderId="57" xfId="0" applyFont="1" applyBorder="1" applyAlignment="1">
      <alignment horizontal="center"/>
    </xf>
    <xf numFmtId="1" fontId="21" fillId="0" borderId="41" xfId="0" applyNumberFormat="1" applyFont="1" applyBorder="1" applyAlignment="1">
      <alignment horizontal="center"/>
    </xf>
    <xf numFmtId="169" fontId="21" fillId="0" borderId="19" xfId="54" applyNumberFormat="1" applyFont="1" applyBorder="1"/>
    <xf numFmtId="169" fontId="21" fillId="0" borderId="19" xfId="54" applyNumberFormat="1" applyFont="1" applyBorder="1" applyAlignment="1">
      <alignment horizontal="center"/>
    </xf>
    <xf numFmtId="1" fontId="21" fillId="0" borderId="59" xfId="0" applyNumberFormat="1" applyFont="1" applyBorder="1" applyAlignment="1">
      <alignment horizontal="center"/>
    </xf>
    <xf numFmtId="1" fontId="21" fillId="0" borderId="75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3" fontId="21" fillId="0" borderId="19" xfId="0" applyNumberFormat="1" applyFont="1" applyBorder="1"/>
    <xf numFmtId="0" fontId="21" fillId="0" borderId="19" xfId="0" applyFont="1" applyBorder="1" applyAlignment="1">
      <alignment horizontal="center"/>
    </xf>
    <xf numFmtId="3" fontId="21" fillId="0" borderId="43" xfId="0" applyNumberFormat="1" applyFont="1" applyBorder="1"/>
    <xf numFmtId="3" fontId="21" fillId="0" borderId="59" xfId="0" applyNumberFormat="1" applyFont="1" applyBorder="1"/>
    <xf numFmtId="3" fontId="21" fillId="0" borderId="77" xfId="0" applyNumberFormat="1" applyFont="1" applyBorder="1"/>
    <xf numFmtId="1" fontId="21" fillId="0" borderId="49" xfId="0" applyNumberFormat="1" applyFont="1" applyBorder="1" applyAlignment="1">
      <alignment horizontal="center"/>
    </xf>
    <xf numFmtId="169" fontId="21" fillId="0" borderId="25" xfId="54" applyNumberFormat="1" applyFont="1" applyBorder="1"/>
    <xf numFmtId="169" fontId="21" fillId="0" borderId="25" xfId="54" applyNumberFormat="1" applyFont="1" applyBorder="1" applyAlignment="1">
      <alignment horizontal="center"/>
    </xf>
    <xf numFmtId="169" fontId="21" fillId="0" borderId="50" xfId="54" applyNumberFormat="1" applyFont="1" applyBorder="1"/>
    <xf numFmtId="0" fontId="21" fillId="0" borderId="25" xfId="0" applyFont="1" applyBorder="1" applyAlignment="1">
      <alignment horizontal="center"/>
    </xf>
    <xf numFmtId="1" fontId="21" fillId="0" borderId="25" xfId="0" applyNumberFormat="1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3" fontId="21" fillId="0" borderId="49" xfId="0" applyNumberFormat="1" applyFont="1" applyBorder="1" applyAlignment="1">
      <alignment horizontal="center"/>
    </xf>
    <xf numFmtId="3" fontId="21" fillId="0" borderId="25" xfId="0" applyNumberFormat="1" applyFont="1" applyBorder="1"/>
    <xf numFmtId="3" fontId="21" fillId="0" borderId="25" xfId="0" applyNumberFormat="1" applyFont="1" applyBorder="1" applyAlignment="1">
      <alignment horizontal="center"/>
    </xf>
    <xf numFmtId="3" fontId="21" fillId="0" borderId="50" xfId="0" applyNumberFormat="1" applyFont="1" applyBorder="1"/>
    <xf numFmtId="3" fontId="21" fillId="0" borderId="49" xfId="0" applyNumberFormat="1" applyFont="1" applyBorder="1"/>
    <xf numFmtId="3" fontId="21" fillId="0" borderId="50" xfId="0" applyNumberFormat="1" applyFont="1" applyBorder="1" applyAlignment="1">
      <alignment horizontal="center"/>
    </xf>
    <xf numFmtId="1" fontId="21" fillId="0" borderId="29" xfId="0" applyNumberFormat="1" applyFont="1" applyBorder="1" applyAlignment="1">
      <alignment horizontal="center"/>
    </xf>
    <xf numFmtId="169" fontId="21" fillId="0" borderId="23" xfId="54" applyNumberFormat="1" applyFont="1" applyBorder="1"/>
    <xf numFmtId="169" fontId="21" fillId="0" borderId="23" xfId="54" applyNumberFormat="1" applyFont="1" applyBorder="1" applyAlignment="1">
      <alignment horizontal="center"/>
    </xf>
    <xf numFmtId="169" fontId="21" fillId="0" borderId="67" xfId="54" applyNumberFormat="1" applyFont="1" applyBorder="1"/>
    <xf numFmtId="3" fontId="21" fillId="0" borderId="29" xfId="0" applyNumberFormat="1" applyFont="1" applyBorder="1" applyAlignment="1">
      <alignment horizontal="center"/>
    </xf>
    <xf numFmtId="1" fontId="21" fillId="0" borderId="23" xfId="0" applyNumberFormat="1" applyFont="1" applyBorder="1" applyAlignment="1">
      <alignment horizontal="center"/>
    </xf>
    <xf numFmtId="3" fontId="21" fillId="0" borderId="67" xfId="0" applyNumberFormat="1" applyFont="1" applyBorder="1"/>
    <xf numFmtId="1" fontId="21" fillId="0" borderId="52" xfId="0" applyNumberFormat="1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1" fontId="21" fillId="0" borderId="53" xfId="0" applyNumberFormat="1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3" fontId="21" fillId="0" borderId="29" xfId="0" applyNumberFormat="1" applyFont="1" applyBorder="1"/>
    <xf numFmtId="0" fontId="28" fillId="0" borderId="17" xfId="0" applyFont="1" applyBorder="1"/>
    <xf numFmtId="1" fontId="28" fillId="0" borderId="86" xfId="0" applyNumberFormat="1" applyFont="1" applyBorder="1" applyAlignment="1">
      <alignment horizontal="center"/>
    </xf>
    <xf numFmtId="4" fontId="28" fillId="0" borderId="24" xfId="0" applyNumberFormat="1" applyFont="1" applyBorder="1"/>
    <xf numFmtId="1" fontId="28" fillId="0" borderId="24" xfId="0" applyNumberFormat="1" applyFont="1" applyBorder="1" applyAlignment="1">
      <alignment horizontal="center"/>
    </xf>
    <xf numFmtId="4" fontId="28" fillId="0" borderId="87" xfId="0" applyNumberFormat="1" applyFont="1" applyBorder="1"/>
    <xf numFmtId="3" fontId="28" fillId="0" borderId="24" xfId="0" applyNumberFormat="1" applyFont="1" applyBorder="1"/>
    <xf numFmtId="3" fontId="28" fillId="0" borderId="87" xfId="0" applyNumberFormat="1" applyFont="1" applyBorder="1"/>
    <xf numFmtId="3" fontId="28" fillId="0" borderId="86" xfId="0" applyNumberFormat="1" applyFont="1" applyBorder="1"/>
    <xf numFmtId="169" fontId="21" fillId="0" borderId="0" xfId="54" applyNumberFormat="1" applyFont="1"/>
    <xf numFmtId="164" fontId="21" fillId="0" borderId="0" xfId="54" applyNumberFormat="1" applyFont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172" fontId="26" fillId="0" borderId="0" xfId="0" applyNumberFormat="1" applyFont="1" applyFill="1" applyBorder="1" applyAlignment="1">
      <alignment horizontal="center" wrapText="1"/>
    </xf>
    <xf numFmtId="3" fontId="26" fillId="0" borderId="0" xfId="0" applyNumberFormat="1" applyFont="1"/>
    <xf numFmtId="0" fontId="26" fillId="0" borderId="0" xfId="0" applyFont="1" applyFill="1" applyBorder="1" applyAlignment="1">
      <alignment wrapText="1"/>
    </xf>
    <xf numFmtId="3" fontId="26" fillId="0" borderId="0" xfId="0" applyNumberFormat="1" applyFont="1" applyAlignment="1">
      <alignment horizontal="center"/>
    </xf>
    <xf numFmtId="0" fontId="44" fillId="0" borderId="40" xfId="0" applyFont="1" applyFill="1" applyBorder="1" applyAlignment="1">
      <alignment wrapText="1"/>
    </xf>
    <xf numFmtId="0" fontId="26" fillId="0" borderId="0" xfId="0" applyFont="1" applyFill="1" applyBorder="1"/>
    <xf numFmtId="0" fontId="26" fillId="0" borderId="15" xfId="0" applyFont="1" applyFill="1" applyBorder="1" applyAlignment="1">
      <alignment wrapText="1"/>
    </xf>
    <xf numFmtId="0" fontId="26" fillId="0" borderId="96" xfId="0" applyFont="1" applyFill="1" applyBorder="1" applyAlignment="1">
      <alignment horizontal="center"/>
    </xf>
    <xf numFmtId="4" fontId="26" fillId="0" borderId="157" xfId="0" applyNumberFormat="1" applyFont="1" applyFill="1" applyBorder="1" applyAlignment="1">
      <alignment horizontal="right"/>
    </xf>
    <xf numFmtId="4" fontId="26" fillId="0" borderId="158" xfId="0" applyNumberFormat="1" applyFont="1" applyFill="1" applyBorder="1" applyAlignment="1">
      <alignment horizontal="right"/>
    </xf>
    <xf numFmtId="3" fontId="26" fillId="0" borderId="159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0" fontId="26" fillId="0" borderId="26" xfId="0" applyFont="1" applyFill="1" applyBorder="1" applyAlignment="1">
      <alignment wrapText="1"/>
    </xf>
    <xf numFmtId="0" fontId="26" fillId="0" borderId="97" xfId="0" applyFont="1" applyFill="1" applyBorder="1" applyAlignment="1">
      <alignment horizontal="center"/>
    </xf>
    <xf numFmtId="3" fontId="26" fillId="0" borderId="130" xfId="0" applyNumberFormat="1" applyFont="1" applyFill="1" applyBorder="1" applyAlignment="1">
      <alignment horizontal="right"/>
    </xf>
    <xf numFmtId="0" fontId="26" fillId="0" borderId="98" xfId="0" applyFont="1" applyFill="1" applyBorder="1" applyAlignment="1">
      <alignment horizontal="center"/>
    </xf>
    <xf numFmtId="172" fontId="26" fillId="0" borderId="0" xfId="0" applyNumberFormat="1" applyFont="1" applyFill="1" applyBorder="1"/>
    <xf numFmtId="0" fontId="26" fillId="0" borderId="99" xfId="0" applyFont="1" applyFill="1" applyBorder="1" applyAlignment="1">
      <alignment horizontal="center"/>
    </xf>
    <xf numFmtId="3" fontId="26" fillId="0" borderId="137" xfId="0" applyNumberFormat="1" applyFont="1" applyFill="1" applyBorder="1" applyAlignment="1">
      <alignment horizontal="right"/>
    </xf>
    <xf numFmtId="3" fontId="26" fillId="0" borderId="139" xfId="0" applyNumberFormat="1" applyFont="1" applyFill="1" applyBorder="1" applyAlignment="1">
      <alignment horizontal="right"/>
    </xf>
    <xf numFmtId="0" fontId="44" fillId="0" borderId="71" xfId="0" applyFont="1" applyFill="1" applyBorder="1" applyAlignment="1">
      <alignment wrapText="1"/>
    </xf>
    <xf numFmtId="0" fontId="44" fillId="0" borderId="111" xfId="0" applyFont="1" applyFill="1" applyBorder="1" applyAlignment="1">
      <alignment horizontal="center"/>
    </xf>
    <xf numFmtId="3" fontId="44" fillId="0" borderId="112" xfId="0" applyNumberFormat="1" applyFont="1" applyFill="1" applyBorder="1" applyAlignment="1">
      <alignment horizontal="right"/>
    </xf>
    <xf numFmtId="3" fontId="44" fillId="0" borderId="160" xfId="0" applyNumberFormat="1" applyFont="1" applyFill="1" applyBorder="1" applyAlignment="1">
      <alignment horizontal="right"/>
    </xf>
    <xf numFmtId="3" fontId="44" fillId="0" borderId="0" xfId="0" applyNumberFormat="1" applyFont="1" applyFill="1" applyBorder="1"/>
    <xf numFmtId="0" fontId="44" fillId="0" borderId="36" xfId="0" applyFont="1" applyFill="1" applyBorder="1" applyAlignment="1">
      <alignment wrapText="1"/>
    </xf>
    <xf numFmtId="0" fontId="26" fillId="0" borderId="161" xfId="0" applyFont="1" applyFill="1" applyBorder="1" applyAlignment="1">
      <alignment horizontal="center"/>
    </xf>
    <xf numFmtId="3" fontId="26" fillId="0" borderId="162" xfId="0" applyNumberFormat="1" applyFont="1" applyFill="1" applyBorder="1" applyAlignment="1">
      <alignment horizontal="right"/>
    </xf>
    <xf numFmtId="3" fontId="26" fillId="0" borderId="143" xfId="0" applyNumberFormat="1" applyFont="1" applyFill="1" applyBorder="1" applyAlignment="1">
      <alignment horizontal="right"/>
    </xf>
    <xf numFmtId="3" fontId="26" fillId="0" borderId="37" xfId="0" applyNumberFormat="1" applyFont="1" applyFill="1" applyBorder="1" applyAlignment="1">
      <alignment horizontal="right"/>
    </xf>
    <xf numFmtId="3" fontId="26" fillId="0" borderId="157" xfId="0" applyNumberFormat="1" applyFont="1" applyFill="1" applyBorder="1" applyAlignment="1">
      <alignment horizontal="right"/>
    </xf>
    <xf numFmtId="3" fontId="26" fillId="0" borderId="158" xfId="0" applyNumberFormat="1" applyFont="1" applyFill="1" applyBorder="1" applyAlignment="1">
      <alignment horizontal="right"/>
    </xf>
    <xf numFmtId="172" fontId="44" fillId="0" borderId="0" xfId="0" applyNumberFormat="1" applyFont="1" applyFill="1" applyBorder="1"/>
    <xf numFmtId="0" fontId="44" fillId="0" borderId="44" xfId="0" applyFont="1" applyFill="1" applyBorder="1" applyAlignment="1">
      <alignment wrapText="1"/>
    </xf>
    <xf numFmtId="3" fontId="44" fillId="0" borderId="124" xfId="0" applyNumberFormat="1" applyFont="1" applyFill="1" applyBorder="1" applyAlignment="1">
      <alignment horizontal="right"/>
    </xf>
    <xf numFmtId="3" fontId="26" fillId="0" borderId="0" xfId="0" applyNumberFormat="1" applyFont="1" applyFill="1"/>
    <xf numFmtId="3" fontId="44" fillId="0" borderId="0" xfId="0" applyNumberFormat="1" applyFont="1"/>
    <xf numFmtId="0" fontId="26" fillId="0" borderId="36" xfId="0" applyFont="1" applyFill="1" applyBorder="1" applyAlignment="1">
      <alignment wrapText="1"/>
    </xf>
    <xf numFmtId="0" fontId="44" fillId="1" borderId="44" xfId="0" applyFont="1" applyFill="1" applyBorder="1" applyAlignment="1">
      <alignment wrapText="1"/>
    </xf>
    <xf numFmtId="0" fontId="44" fillId="1" borderId="98" xfId="0" applyFont="1" applyFill="1" applyBorder="1" applyAlignment="1">
      <alignment horizontal="center"/>
    </xf>
    <xf numFmtId="4" fontId="44" fillId="1" borderId="163" xfId="0" applyNumberFormat="1" applyFont="1" applyFill="1" applyBorder="1" applyAlignment="1">
      <alignment horizontal="right"/>
    </xf>
    <xf numFmtId="4" fontId="44" fillId="1" borderId="139" xfId="0" applyNumberFormat="1" applyFont="1" applyFill="1" applyBorder="1" applyAlignment="1">
      <alignment horizontal="right"/>
    </xf>
    <xf numFmtId="3" fontId="44" fillId="1" borderId="124" xfId="0" applyNumberFormat="1" applyFont="1" applyFill="1" applyBorder="1" applyAlignment="1">
      <alignment horizontal="right"/>
    </xf>
    <xf numFmtId="3" fontId="44" fillId="0" borderId="0" xfId="0" applyNumberFormat="1" applyFont="1" applyFill="1"/>
    <xf numFmtId="0" fontId="26" fillId="0" borderId="100" xfId="0" applyFont="1" applyFill="1" applyBorder="1" applyAlignment="1">
      <alignment wrapText="1"/>
    </xf>
    <xf numFmtId="0" fontId="26" fillId="0" borderId="101" xfId="0" applyFont="1" applyFill="1" applyBorder="1" applyAlignment="1">
      <alignment horizontal="center"/>
    </xf>
    <xf numFmtId="4" fontId="26" fillId="0" borderId="164" xfId="0" applyNumberFormat="1" applyFont="1" applyFill="1" applyBorder="1" applyAlignment="1">
      <alignment horizontal="right"/>
    </xf>
    <xf numFmtId="4" fontId="26" fillId="0" borderId="144" xfId="0" applyNumberFormat="1" applyFont="1" applyFill="1" applyBorder="1" applyAlignment="1">
      <alignment horizontal="right"/>
    </xf>
    <xf numFmtId="3" fontId="26" fillId="0" borderId="126" xfId="0" applyNumberFormat="1" applyFont="1" applyFill="1" applyBorder="1" applyAlignment="1">
      <alignment horizontal="right"/>
    </xf>
    <xf numFmtId="0" fontId="26" fillId="0" borderId="103" xfId="0" applyFont="1" applyFill="1" applyBorder="1" applyAlignment="1">
      <alignment wrapText="1"/>
    </xf>
    <xf numFmtId="0" fontId="26" fillId="0" borderId="104" xfId="0" applyFont="1" applyFill="1" applyBorder="1" applyAlignment="1">
      <alignment horizontal="center"/>
    </xf>
    <xf numFmtId="4" fontId="26" fillId="0" borderId="165" xfId="0" applyNumberFormat="1" applyFont="1" applyFill="1" applyBorder="1" applyAlignment="1">
      <alignment horizontal="right"/>
    </xf>
    <xf numFmtId="4" fontId="26" fillId="0" borderId="146" xfId="0" applyNumberFormat="1" applyFont="1" applyFill="1" applyBorder="1" applyAlignment="1">
      <alignment horizontal="right"/>
    </xf>
    <xf numFmtId="3" fontId="26" fillId="0" borderId="123" xfId="0" applyNumberFormat="1" applyFont="1" applyFill="1" applyBorder="1" applyAlignment="1">
      <alignment horizontal="right"/>
    </xf>
    <xf numFmtId="4" fontId="26" fillId="0" borderId="162" xfId="0" applyNumberFormat="1" applyFont="1" applyFill="1" applyBorder="1" applyAlignment="1">
      <alignment horizontal="right"/>
    </xf>
    <xf numFmtId="4" fontId="26" fillId="0" borderId="143" xfId="0" applyNumberFormat="1" applyFont="1" applyFill="1" applyBorder="1" applyAlignment="1">
      <alignment horizontal="right"/>
    </xf>
    <xf numFmtId="0" fontId="44" fillId="0" borderId="85" xfId="0" applyFont="1" applyFill="1" applyBorder="1" applyAlignment="1">
      <alignment wrapText="1"/>
    </xf>
    <xf numFmtId="0" fontId="44" fillId="0" borderId="119" xfId="0" applyFont="1" applyFill="1" applyBorder="1" applyAlignment="1">
      <alignment horizontal="center"/>
    </xf>
    <xf numFmtId="4" fontId="44" fillId="0" borderId="166" xfId="0" applyNumberFormat="1" applyFont="1" applyFill="1" applyBorder="1" applyAlignment="1">
      <alignment horizontal="right"/>
    </xf>
    <xf numFmtId="4" fontId="44" fillId="0" borderId="134" xfId="0" applyNumberFormat="1" applyFont="1" applyFill="1" applyBorder="1" applyAlignment="1">
      <alignment horizontal="right"/>
    </xf>
    <xf numFmtId="3" fontId="44" fillId="0" borderId="120" xfId="0" applyNumberFormat="1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4" fontId="26" fillId="0" borderId="0" xfId="0" applyNumberFormat="1" applyFont="1" applyBorder="1" applyAlignment="1">
      <alignment horizontal="right"/>
    </xf>
    <xf numFmtId="4" fontId="26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6" fillId="0" borderId="0" xfId="0" applyFont="1" applyFill="1"/>
    <xf numFmtId="172" fontId="26" fillId="0" borderId="0" xfId="0" applyNumberFormat="1" applyFont="1"/>
    <xf numFmtId="0" fontId="21" fillId="0" borderId="32" xfId="0" applyFont="1" applyBorder="1" applyAlignment="1">
      <alignment wrapText="1"/>
    </xf>
    <xf numFmtId="0" fontId="21" fillId="0" borderId="32" xfId="0" applyFont="1" applyBorder="1"/>
    <xf numFmtId="0" fontId="21" fillId="0" borderId="35" xfId="0" applyFont="1" applyBorder="1" applyAlignment="1">
      <alignment wrapText="1"/>
    </xf>
    <xf numFmtId="0" fontId="21" fillId="0" borderId="35" xfId="0" applyFont="1" applyBorder="1"/>
    <xf numFmtId="0" fontId="26" fillId="0" borderId="32" xfId="0" applyFont="1" applyBorder="1" applyAlignment="1">
      <alignment wrapText="1"/>
    </xf>
    <xf numFmtId="0" fontId="26" fillId="0" borderId="32" xfId="0" applyFont="1" applyBorder="1" applyAlignment="1">
      <alignment horizontal="center"/>
    </xf>
    <xf numFmtId="4" fontId="26" fillId="0" borderId="32" xfId="0" applyNumberFormat="1" applyFont="1" applyBorder="1" applyAlignment="1">
      <alignment horizontal="right"/>
    </xf>
    <xf numFmtId="3" fontId="26" fillId="0" borderId="32" xfId="0" applyNumberFormat="1" applyFont="1" applyBorder="1" applyAlignment="1">
      <alignment horizontal="right"/>
    </xf>
    <xf numFmtId="0" fontId="26" fillId="0" borderId="32" xfId="0" applyFont="1" applyBorder="1"/>
    <xf numFmtId="172" fontId="26" fillId="0" borderId="32" xfId="0" applyNumberFormat="1" applyFont="1" applyBorder="1"/>
    <xf numFmtId="0" fontId="26" fillId="0" borderId="34" xfId="0" applyFont="1" applyBorder="1" applyAlignment="1">
      <alignment wrapText="1"/>
    </xf>
    <xf numFmtId="0" fontId="26" fillId="0" borderId="34" xfId="0" applyFont="1" applyBorder="1" applyAlignment="1">
      <alignment horizontal="center"/>
    </xf>
    <xf numFmtId="4" fontId="26" fillId="0" borderId="34" xfId="0" applyNumberFormat="1" applyFont="1" applyBorder="1" applyAlignment="1">
      <alignment horizontal="right"/>
    </xf>
    <xf numFmtId="3" fontId="26" fillId="0" borderId="34" xfId="0" applyNumberFormat="1" applyFont="1" applyBorder="1" applyAlignment="1">
      <alignment horizontal="right"/>
    </xf>
    <xf numFmtId="0" fontId="26" fillId="0" borderId="34" xfId="0" applyFont="1" applyBorder="1"/>
    <xf numFmtId="172" fontId="26" fillId="0" borderId="34" xfId="0" applyNumberFormat="1" applyFont="1" applyBorder="1"/>
    <xf numFmtId="0" fontId="26" fillId="0" borderId="35" xfId="0" applyFont="1" applyBorder="1" applyAlignment="1">
      <alignment wrapText="1"/>
    </xf>
    <xf numFmtId="0" fontId="26" fillId="0" borderId="35" xfId="0" applyFont="1" applyBorder="1" applyAlignment="1">
      <alignment horizontal="center"/>
    </xf>
    <xf numFmtId="4" fontId="26" fillId="0" borderId="35" xfId="0" applyNumberFormat="1" applyFont="1" applyBorder="1" applyAlignment="1">
      <alignment horizontal="right"/>
    </xf>
    <xf numFmtId="3" fontId="26" fillId="0" borderId="35" xfId="0" applyNumberFormat="1" applyFont="1" applyBorder="1" applyAlignment="1">
      <alignment horizontal="right"/>
    </xf>
    <xf numFmtId="0" fontId="26" fillId="0" borderId="35" xfId="0" applyFont="1" applyBorder="1"/>
    <xf numFmtId="172" fontId="26" fillId="0" borderId="35" xfId="0" applyNumberFormat="1" applyFont="1" applyBorder="1"/>
    <xf numFmtId="3" fontId="21" fillId="0" borderId="32" xfId="0" applyNumberFormat="1" applyFont="1" applyBorder="1"/>
    <xf numFmtId="3" fontId="21" fillId="0" borderId="35" xfId="0" applyNumberFormat="1" applyFont="1" applyBorder="1"/>
    <xf numFmtId="0" fontId="19" fillId="0" borderId="32" xfId="0" applyFont="1" applyBorder="1"/>
    <xf numFmtId="1" fontId="19" fillId="0" borderId="32" xfId="0" applyNumberFormat="1" applyFont="1" applyBorder="1" applyAlignment="1">
      <alignment horizontal="center"/>
    </xf>
    <xf numFmtId="3" fontId="19" fillId="0" borderId="32" xfId="0" applyNumberFormat="1" applyFont="1" applyBorder="1"/>
    <xf numFmtId="168" fontId="19" fillId="0" borderId="32" xfId="0" applyNumberFormat="1" applyFont="1" applyBorder="1"/>
    <xf numFmtId="0" fontId="19" fillId="0" borderId="34" xfId="0" applyFont="1" applyBorder="1"/>
    <xf numFmtId="1" fontId="19" fillId="0" borderId="34" xfId="0" applyNumberFormat="1" applyFont="1" applyBorder="1" applyAlignment="1">
      <alignment horizontal="center"/>
    </xf>
    <xf numFmtId="3" fontId="19" fillId="0" borderId="34" xfId="0" applyNumberFormat="1" applyFont="1" applyBorder="1"/>
    <xf numFmtId="168" fontId="19" fillId="0" borderId="34" xfId="0" applyNumberFormat="1" applyFont="1" applyBorder="1"/>
    <xf numFmtId="0" fontId="19" fillId="0" borderId="35" xfId="0" applyFont="1" applyBorder="1"/>
    <xf numFmtId="1" fontId="19" fillId="0" borderId="35" xfId="0" applyNumberFormat="1" applyFont="1" applyBorder="1" applyAlignment="1">
      <alignment horizontal="center"/>
    </xf>
    <xf numFmtId="3" fontId="19" fillId="0" borderId="35" xfId="0" applyNumberFormat="1" applyFont="1" applyBorder="1"/>
    <xf numFmtId="168" fontId="19" fillId="0" borderId="35" xfId="0" applyNumberFormat="1" applyFont="1" applyBorder="1"/>
    <xf numFmtId="3" fontId="21" fillId="0" borderId="32" xfId="0" applyNumberFormat="1" applyFont="1" applyBorder="1" applyAlignment="1">
      <alignment horizontal="center"/>
    </xf>
    <xf numFmtId="4" fontId="21" fillId="0" borderId="32" xfId="0" applyNumberFormat="1" applyFont="1" applyBorder="1"/>
    <xf numFmtId="3" fontId="21" fillId="0" borderId="34" xfId="0" applyNumberFormat="1" applyFont="1" applyBorder="1" applyAlignment="1">
      <alignment horizontal="center"/>
    </xf>
    <xf numFmtId="4" fontId="21" fillId="0" borderId="34" xfId="0" applyNumberFormat="1" applyFont="1" applyBorder="1"/>
    <xf numFmtId="3" fontId="21" fillId="0" borderId="35" xfId="0" applyNumberFormat="1" applyFont="1" applyBorder="1" applyAlignment="1">
      <alignment horizontal="center"/>
    </xf>
    <xf numFmtId="4" fontId="21" fillId="0" borderId="35" xfId="0" applyNumberFormat="1" applyFont="1" applyBorder="1"/>
    <xf numFmtId="3" fontId="21" fillId="0" borderId="32" xfId="0" applyNumberFormat="1" applyFont="1" applyBorder="1" applyAlignment="1">
      <alignment wrapText="1"/>
    </xf>
    <xf numFmtId="3" fontId="21" fillId="0" borderId="34" xfId="0" applyNumberFormat="1" applyFont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35" xfId="0" applyNumberFormat="1" applyFont="1" applyBorder="1" applyAlignment="1">
      <alignment wrapText="1"/>
    </xf>
    <xf numFmtId="3" fontId="21" fillId="0" borderId="35" xfId="0" applyNumberFormat="1" applyFont="1" applyFill="1" applyBorder="1" applyAlignment="1">
      <alignment wrapText="1"/>
    </xf>
    <xf numFmtId="3" fontId="28" fillId="0" borderId="34" xfId="0" applyNumberFormat="1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166" fontId="21" fillId="0" borderId="32" xfId="0" applyNumberFormat="1" applyFont="1" applyFill="1" applyBorder="1" applyAlignment="1">
      <alignment wrapText="1"/>
    </xf>
    <xf numFmtId="166" fontId="21" fillId="0" borderId="34" xfId="0" applyNumberFormat="1" applyFont="1" applyFill="1" applyBorder="1" applyAlignment="1">
      <alignment wrapText="1"/>
    </xf>
    <xf numFmtId="166" fontId="21" fillId="0" borderId="35" xfId="0" applyNumberFormat="1" applyFont="1" applyFill="1" applyBorder="1" applyAlignment="1">
      <alignment wrapText="1"/>
    </xf>
    <xf numFmtId="0" fontId="21" fillId="0" borderId="32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166" fontId="21" fillId="0" borderId="32" xfId="0" applyNumberFormat="1" applyFont="1" applyBorder="1" applyAlignment="1">
      <alignment wrapText="1"/>
    </xf>
    <xf numFmtId="166" fontId="21" fillId="28" borderId="32" xfId="0" applyNumberFormat="1" applyFont="1" applyFill="1" applyBorder="1" applyAlignment="1">
      <alignment wrapText="1"/>
    </xf>
    <xf numFmtId="166" fontId="21" fillId="0" borderId="34" xfId="0" applyNumberFormat="1" applyFont="1" applyBorder="1" applyAlignment="1">
      <alignment wrapText="1"/>
    </xf>
    <xf numFmtId="166" fontId="21" fillId="28" borderId="34" xfId="0" applyNumberFormat="1" applyFont="1" applyFill="1" applyBorder="1" applyAlignment="1">
      <alignment wrapText="1"/>
    </xf>
    <xf numFmtId="166" fontId="21" fillId="0" borderId="35" xfId="0" applyNumberFormat="1" applyFont="1" applyBorder="1" applyAlignment="1">
      <alignment wrapText="1"/>
    </xf>
    <xf numFmtId="166" fontId="21" fillId="28" borderId="35" xfId="0" applyNumberFormat="1" applyFont="1" applyFill="1" applyBorder="1" applyAlignment="1">
      <alignment wrapText="1"/>
    </xf>
    <xf numFmtId="0" fontId="31" fillId="0" borderId="34" xfId="0" applyFont="1" applyBorder="1" applyAlignment="1">
      <alignment wrapText="1"/>
    </xf>
    <xf numFmtId="0" fontId="31" fillId="0" borderId="35" xfId="0" applyFont="1" applyBorder="1" applyAlignment="1">
      <alignment wrapText="1"/>
    </xf>
    <xf numFmtId="0" fontId="21" fillId="0" borderId="32" xfId="0" applyFont="1" applyFill="1" applyBorder="1" applyAlignment="1">
      <alignment wrapText="1"/>
    </xf>
    <xf numFmtId="0" fontId="21" fillId="0" borderId="34" xfId="0" applyFont="1" applyFill="1" applyBorder="1" applyAlignment="1">
      <alignment wrapText="1"/>
    </xf>
    <xf numFmtId="0" fontId="21" fillId="0" borderId="35" xfId="0" applyFont="1" applyFill="1" applyBorder="1" applyAlignment="1">
      <alignment wrapText="1"/>
    </xf>
    <xf numFmtId="169" fontId="21" fillId="0" borderId="41" xfId="54" applyNumberFormat="1" applyFont="1" applyFill="1" applyBorder="1" applyAlignment="1">
      <alignment wrapText="1"/>
    </xf>
    <xf numFmtId="169" fontId="21" fillId="0" borderId="0" xfId="54" applyNumberFormat="1" applyFont="1" applyFill="1" applyBorder="1" applyAlignment="1">
      <alignment vertical="center" wrapText="1"/>
    </xf>
    <xf numFmtId="169" fontId="21" fillId="0" borderId="49" xfId="54" applyNumberFormat="1" applyFont="1" applyFill="1" applyBorder="1" applyAlignment="1">
      <alignment wrapText="1"/>
    </xf>
    <xf numFmtId="169" fontId="21" fillId="0" borderId="32" xfId="54" applyNumberFormat="1" applyFont="1" applyFill="1" applyBorder="1" applyAlignment="1">
      <alignment wrapText="1"/>
    </xf>
    <xf numFmtId="169" fontId="28" fillId="0" borderId="0" xfId="54" applyNumberFormat="1" applyFont="1" applyFill="1" applyBorder="1" applyAlignment="1">
      <alignment vertical="center" wrapText="1"/>
    </xf>
    <xf numFmtId="169" fontId="21" fillId="0" borderId="34" xfId="54" applyNumberFormat="1" applyFont="1" applyFill="1" applyBorder="1" applyAlignment="1">
      <alignment vertical="center" wrapText="1"/>
    </xf>
    <xf numFmtId="0" fontId="26" fillId="0" borderId="0" xfId="77" applyFont="1"/>
    <xf numFmtId="3" fontId="26" fillId="0" borderId="0" xfId="77" applyNumberFormat="1" applyFont="1"/>
    <xf numFmtId="0" fontId="26" fillId="0" borderId="0" xfId="77" applyFont="1" applyFill="1"/>
    <xf numFmtId="3" fontId="26" fillId="0" borderId="0" xfId="77" applyNumberFormat="1" applyFont="1" applyFill="1"/>
    <xf numFmtId="0" fontId="26" fillId="0" borderId="0" xfId="77" applyFont="1" applyBorder="1"/>
    <xf numFmtId="0" fontId="44" fillId="0" borderId="0" xfId="77" applyFont="1" applyBorder="1"/>
    <xf numFmtId="3" fontId="44" fillId="0" borderId="0" xfId="77" applyNumberFormat="1" applyFont="1" applyBorder="1"/>
    <xf numFmtId="3" fontId="26" fillId="0" borderId="0" xfId="77" applyNumberFormat="1" applyFont="1" applyFill="1" applyBorder="1"/>
    <xf numFmtId="0" fontId="26" fillId="0" borderId="0" xfId="77" applyFont="1" applyFill="1" applyBorder="1"/>
    <xf numFmtId="3" fontId="26" fillId="0" borderId="0" xfId="77" applyNumberFormat="1" applyFont="1" applyBorder="1"/>
    <xf numFmtId="0" fontId="44" fillId="0" borderId="0" xfId="77" applyFont="1"/>
    <xf numFmtId="0" fontId="26" fillId="0" borderId="32" xfId="77" applyFont="1" applyBorder="1"/>
    <xf numFmtId="0" fontId="26" fillId="0" borderId="34" xfId="77" applyFont="1" applyBorder="1"/>
    <xf numFmtId="0" fontId="26" fillId="0" borderId="35" xfId="77" applyFont="1" applyBorder="1"/>
    <xf numFmtId="1" fontId="21" fillId="0" borderId="61" xfId="0" applyNumberFormat="1" applyFont="1" applyBorder="1" applyAlignment="1">
      <alignment horizontal="center"/>
    </xf>
    <xf numFmtId="169" fontId="21" fillId="0" borderId="20" xfId="54" applyNumberFormat="1" applyFont="1" applyBorder="1"/>
    <xf numFmtId="169" fontId="21" fillId="0" borderId="20" xfId="54" applyNumberFormat="1" applyFont="1" applyBorder="1" applyAlignment="1">
      <alignment horizontal="center"/>
    </xf>
    <xf numFmtId="16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2" fontId="19" fillId="0" borderId="0" xfId="0" applyNumberFormat="1" applyFont="1" applyBorder="1"/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center"/>
    </xf>
    <xf numFmtId="3" fontId="21" fillId="0" borderId="0" xfId="0" applyNumberFormat="1" applyFont="1" applyBorder="1" applyAlignment="1"/>
    <xf numFmtId="4" fontId="21" fillId="0" borderId="0" xfId="0" applyNumberFormat="1" applyFont="1" applyBorder="1" applyAlignment="1"/>
    <xf numFmtId="1" fontId="26" fillId="0" borderId="152" xfId="0" applyNumberFormat="1" applyFont="1" applyFill="1" applyBorder="1" applyAlignment="1">
      <alignment horizontal="center" vertical="top" wrapText="1"/>
    </xf>
    <xf numFmtId="0" fontId="21" fillId="0" borderId="14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26" xfId="0" applyFont="1" applyBorder="1" applyAlignment="1">
      <alignment wrapText="1"/>
    </xf>
    <xf numFmtId="0" fontId="21" fillId="0" borderId="44" xfId="0" applyFont="1" applyBorder="1" applyAlignment="1">
      <alignment wrapText="1"/>
    </xf>
    <xf numFmtId="0" fontId="21" fillId="0" borderId="44" xfId="0" applyFont="1" applyFill="1" applyBorder="1" applyAlignment="1">
      <alignment wrapText="1"/>
    </xf>
    <xf numFmtId="0" fontId="21" fillId="0" borderId="80" xfId="0" applyFont="1" applyFill="1" applyBorder="1" applyAlignment="1">
      <alignment wrapText="1"/>
    </xf>
    <xf numFmtId="0" fontId="21" fillId="0" borderId="71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1" fillId="0" borderId="36" xfId="0" applyFont="1" applyBorder="1" applyAlignment="1">
      <alignment wrapText="1"/>
    </xf>
    <xf numFmtId="0" fontId="21" fillId="28" borderId="44" xfId="0" applyFont="1" applyFill="1" applyBorder="1" applyAlignment="1">
      <alignment wrapText="1"/>
    </xf>
    <xf numFmtId="0" fontId="21" fillId="0" borderId="71" xfId="0" applyFont="1" applyFill="1" applyBorder="1" applyAlignment="1">
      <alignment wrapText="1"/>
    </xf>
    <xf numFmtId="0" fontId="21" fillId="0" borderId="103" xfId="0" applyFont="1" applyBorder="1" applyAlignment="1">
      <alignment wrapText="1"/>
    </xf>
    <xf numFmtId="0" fontId="28" fillId="0" borderId="85" xfId="0" applyFont="1" applyBorder="1" applyAlignment="1">
      <alignment wrapText="1"/>
    </xf>
    <xf numFmtId="0" fontId="28" fillId="0" borderId="36" xfId="0" applyFont="1" applyBorder="1" applyAlignment="1">
      <alignment wrapText="1"/>
    </xf>
    <xf numFmtId="0" fontId="28" fillId="0" borderId="15" xfId="0" applyFont="1" applyBorder="1" applyAlignment="1">
      <alignment wrapText="1"/>
    </xf>
    <xf numFmtId="0" fontId="21" fillId="0" borderId="15" xfId="0" applyFont="1" applyBorder="1" applyAlignment="1">
      <alignment horizontal="left" wrapText="1"/>
    </xf>
    <xf numFmtId="0" fontId="28" fillId="0" borderId="71" xfId="0" applyFont="1" applyBorder="1" applyAlignment="1">
      <alignment wrapText="1"/>
    </xf>
    <xf numFmtId="3" fontId="21" fillId="0" borderId="61" xfId="0" applyNumberFormat="1" applyFont="1" applyFill="1" applyBorder="1" applyAlignment="1">
      <alignment horizontal="right"/>
    </xf>
    <xf numFmtId="3" fontId="21" fillId="0" borderId="38" xfId="0" applyNumberFormat="1" applyFont="1" applyFill="1" applyBorder="1" applyAlignment="1">
      <alignment horizontal="right"/>
    </xf>
    <xf numFmtId="3" fontId="21" fillId="0" borderId="41" xfId="0" applyNumberFormat="1" applyFont="1" applyFill="1" applyBorder="1" applyAlignment="1">
      <alignment horizontal="right"/>
    </xf>
    <xf numFmtId="3" fontId="21" fillId="0" borderId="43" xfId="0" applyNumberFormat="1" applyFont="1" applyFill="1" applyBorder="1" applyAlignment="1">
      <alignment horizontal="right"/>
    </xf>
    <xf numFmtId="3" fontId="21" fillId="0" borderId="49" xfId="0" applyNumberFormat="1" applyFont="1" applyFill="1" applyBorder="1" applyAlignment="1">
      <alignment horizontal="right"/>
    </xf>
    <xf numFmtId="3" fontId="21" fillId="0" borderId="50" xfId="0" applyNumberFormat="1" applyFont="1" applyFill="1" applyBorder="1" applyAlignment="1">
      <alignment horizontal="right"/>
    </xf>
    <xf numFmtId="3" fontId="21" fillId="0" borderId="29" xfId="0" applyNumberFormat="1" applyFont="1" applyFill="1" applyBorder="1" applyAlignment="1">
      <alignment horizontal="right"/>
    </xf>
    <xf numFmtId="3" fontId="21" fillId="0" borderId="67" xfId="0" applyNumberFormat="1" applyFont="1" applyFill="1" applyBorder="1" applyAlignment="1">
      <alignment horizontal="right"/>
    </xf>
    <xf numFmtId="3" fontId="21" fillId="0" borderId="45" xfId="0" applyNumberFormat="1" applyFont="1" applyFill="1" applyBorder="1" applyAlignment="1">
      <alignment horizontal="right"/>
    </xf>
    <xf numFmtId="3" fontId="21" fillId="0" borderId="46" xfId="0" applyNumberFormat="1" applyFont="1" applyFill="1" applyBorder="1" applyAlignment="1">
      <alignment horizontal="right"/>
    </xf>
    <xf numFmtId="3" fontId="21" fillId="0" borderId="81" xfId="0" applyNumberFormat="1" applyFont="1" applyFill="1" applyBorder="1" applyAlignment="1">
      <alignment horizontal="right"/>
    </xf>
    <xf numFmtId="3" fontId="21" fillId="0" borderId="83" xfId="0" applyNumberFormat="1" applyFont="1" applyFill="1" applyBorder="1" applyAlignment="1">
      <alignment horizontal="right"/>
    </xf>
    <xf numFmtId="3" fontId="21" fillId="0" borderId="169" xfId="0" applyNumberFormat="1" applyFont="1" applyFill="1" applyBorder="1" applyAlignment="1">
      <alignment horizontal="right"/>
    </xf>
    <xf numFmtId="3" fontId="21" fillId="0" borderId="72" xfId="0" applyNumberFormat="1" applyFont="1" applyFill="1" applyBorder="1" applyAlignment="1">
      <alignment horizontal="right"/>
    </xf>
    <xf numFmtId="3" fontId="21" fillId="0" borderId="74" xfId="0" applyNumberFormat="1" applyFont="1" applyFill="1" applyBorder="1" applyAlignment="1">
      <alignment horizontal="right"/>
    </xf>
    <xf numFmtId="3" fontId="21" fillId="1" borderId="46" xfId="0" applyNumberFormat="1" applyFont="1" applyFill="1" applyBorder="1"/>
    <xf numFmtId="3" fontId="21" fillId="0" borderId="69" xfId="0" applyNumberFormat="1" applyFont="1" applyFill="1" applyBorder="1" applyAlignment="1">
      <alignment horizontal="right"/>
    </xf>
    <xf numFmtId="3" fontId="21" fillId="0" borderId="70" xfId="0" applyNumberFormat="1" applyFont="1" applyFill="1" applyBorder="1" applyAlignment="1">
      <alignment horizontal="right"/>
    </xf>
    <xf numFmtId="3" fontId="28" fillId="0" borderId="86" xfId="0" applyNumberFormat="1" applyFont="1" applyFill="1" applyBorder="1" applyAlignment="1">
      <alignment horizontal="right"/>
    </xf>
    <xf numFmtId="3" fontId="28" fillId="0" borderId="87" xfId="0" applyNumberFormat="1" applyFont="1" applyFill="1" applyBorder="1" applyAlignment="1">
      <alignment horizontal="right"/>
    </xf>
    <xf numFmtId="3" fontId="28" fillId="0" borderId="61" xfId="0" applyNumberFormat="1" applyFont="1" applyFill="1" applyBorder="1" applyAlignment="1">
      <alignment horizontal="right"/>
    </xf>
    <xf numFmtId="3" fontId="28" fillId="0" borderId="38" xfId="0" applyNumberFormat="1" applyFont="1" applyFill="1" applyBorder="1" applyAlignment="1">
      <alignment horizontal="right"/>
    </xf>
    <xf numFmtId="3" fontId="21" fillId="0" borderId="50" xfId="54" applyNumberFormat="1" applyFont="1" applyFill="1" applyBorder="1" applyAlignment="1">
      <alignment horizontal="right"/>
    </xf>
    <xf numFmtId="3" fontId="21" fillId="0" borderId="67" xfId="54" applyNumberFormat="1" applyFont="1" applyFill="1" applyBorder="1" applyAlignment="1">
      <alignment horizontal="right"/>
    </xf>
    <xf numFmtId="3" fontId="21" fillId="1" borderId="46" xfId="54" applyNumberFormat="1" applyFont="1" applyFill="1" applyBorder="1" applyAlignment="1">
      <alignment horizontal="right"/>
    </xf>
    <xf numFmtId="3" fontId="28" fillId="0" borderId="72" xfId="0" applyNumberFormat="1" applyFont="1" applyFill="1" applyBorder="1" applyAlignment="1">
      <alignment horizontal="right"/>
    </xf>
    <xf numFmtId="3" fontId="28" fillId="0" borderId="74" xfId="0" applyNumberFormat="1" applyFont="1" applyFill="1" applyBorder="1" applyAlignment="1">
      <alignment horizontal="right"/>
    </xf>
    <xf numFmtId="3" fontId="28" fillId="0" borderId="87" xfId="54" applyNumberFormat="1" applyFont="1" applyFill="1" applyBorder="1" applyAlignment="1">
      <alignment horizontal="right"/>
    </xf>
    <xf numFmtId="3" fontId="26" fillId="0" borderId="169" xfId="0" applyNumberFormat="1" applyFont="1" applyFill="1" applyBorder="1" applyAlignment="1">
      <alignment horizontal="right"/>
    </xf>
    <xf numFmtId="3" fontId="26" fillId="0" borderId="142" xfId="0" applyNumberFormat="1" applyFont="1" applyFill="1" applyBorder="1" applyAlignment="1">
      <alignment horizontal="right"/>
    </xf>
    <xf numFmtId="3" fontId="26" fillId="0" borderId="165" xfId="0" applyNumberFormat="1" applyFont="1" applyFill="1" applyBorder="1" applyAlignment="1">
      <alignment horizontal="right"/>
    </xf>
    <xf numFmtId="3" fontId="26" fillId="0" borderId="146" xfId="0" applyNumberFormat="1" applyFont="1" applyFill="1" applyBorder="1" applyAlignment="1">
      <alignment horizontal="right"/>
    </xf>
    <xf numFmtId="3" fontId="26" fillId="0" borderId="34" xfId="0" applyNumberFormat="1" applyFont="1" applyFill="1" applyBorder="1" applyAlignment="1">
      <alignment horizontal="right"/>
    </xf>
    <xf numFmtId="3" fontId="26" fillId="0" borderId="35" xfId="0" applyNumberFormat="1" applyFont="1" applyFill="1" applyBorder="1" applyAlignment="1">
      <alignment horizontal="right"/>
    </xf>
    <xf numFmtId="3" fontId="26" fillId="0" borderId="170" xfId="0" applyNumberFormat="1" applyFont="1" applyFill="1" applyBorder="1" applyAlignment="1">
      <alignment horizontal="right"/>
    </xf>
    <xf numFmtId="3" fontId="26" fillId="0" borderId="147" xfId="0" applyNumberFormat="1" applyFont="1" applyFill="1" applyBorder="1" applyAlignment="1">
      <alignment horizontal="right"/>
    </xf>
    <xf numFmtId="3" fontId="44" fillId="0" borderId="171" xfId="0" applyNumberFormat="1" applyFont="1" applyFill="1" applyBorder="1" applyAlignment="1">
      <alignment horizontal="right"/>
    </xf>
    <xf numFmtId="3" fontId="26" fillId="0" borderId="90" xfId="0" applyNumberFormat="1" applyFont="1" applyFill="1" applyBorder="1" applyAlignment="1">
      <alignment horizontal="right"/>
    </xf>
    <xf numFmtId="0" fontId="26" fillId="0" borderId="119" xfId="0" applyFont="1" applyFill="1" applyBorder="1" applyAlignment="1">
      <alignment horizontal="center" vertical="top" wrapText="1"/>
    </xf>
    <xf numFmtId="4" fontId="26" fillId="0" borderId="172" xfId="0" applyNumberFormat="1" applyFont="1" applyFill="1" applyBorder="1" applyAlignment="1">
      <alignment horizontal="right"/>
    </xf>
    <xf numFmtId="4" fontId="26" fillId="0" borderId="141" xfId="0" applyNumberFormat="1" applyFont="1" applyFill="1" applyBorder="1" applyAlignment="1">
      <alignment horizontal="right"/>
    </xf>
    <xf numFmtId="0" fontId="43" fillId="0" borderId="0" xfId="0" applyFont="1" applyBorder="1" applyAlignment="1">
      <alignment wrapText="1"/>
    </xf>
    <xf numFmtId="0" fontId="43" fillId="0" borderId="173" xfId="0" applyFont="1" applyBorder="1" applyAlignment="1">
      <alignment horizontal="center" wrapText="1"/>
    </xf>
    <xf numFmtId="49" fontId="43" fillId="0" borderId="174" xfId="0" applyNumberFormat="1" applyFont="1" applyFill="1" applyBorder="1" applyAlignment="1">
      <alignment horizontal="center" vertical="top" wrapText="1"/>
    </xf>
    <xf numFmtId="49" fontId="43" fillId="0" borderId="175" xfId="0" applyNumberFormat="1" applyFont="1" applyFill="1" applyBorder="1" applyAlignment="1">
      <alignment horizontal="center" vertical="top" wrapText="1"/>
    </xf>
    <xf numFmtId="0" fontId="43" fillId="0" borderId="0" xfId="0" applyFont="1"/>
    <xf numFmtId="0" fontId="43" fillId="0" borderId="40" xfId="0" applyFont="1" applyBorder="1" applyAlignment="1">
      <alignment wrapText="1"/>
    </xf>
    <xf numFmtId="0" fontId="43" fillId="0" borderId="121" xfId="0" applyFont="1" applyBorder="1" applyAlignment="1">
      <alignment horizontal="center" vertical="center" wrapText="1"/>
    </xf>
    <xf numFmtId="3" fontId="43" fillId="0" borderId="77" xfId="0" applyNumberFormat="1" applyFont="1" applyBorder="1" applyAlignment="1">
      <alignment horizontal="right"/>
    </xf>
    <xf numFmtId="0" fontId="43" fillId="0" borderId="26" xfId="0" applyFont="1" applyBorder="1" applyAlignment="1">
      <alignment vertical="center" wrapText="1"/>
    </xf>
    <xf numFmtId="0" fontId="43" fillId="0" borderId="148" xfId="0" applyFont="1" applyBorder="1" applyAlignment="1">
      <alignment horizontal="center" vertical="center" wrapText="1"/>
    </xf>
    <xf numFmtId="3" fontId="43" fillId="0" borderId="54" xfId="0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0" fillId="0" borderId="132" xfId="0" applyFont="1" applyFill="1" applyBorder="1" applyAlignment="1">
      <alignment horizontal="center" vertical="center"/>
    </xf>
    <xf numFmtId="4" fontId="40" fillId="0" borderId="176" xfId="0" applyNumberFormat="1" applyFont="1" applyFill="1" applyBorder="1" applyAlignment="1">
      <alignment horizontal="center" vertical="center"/>
    </xf>
    <xf numFmtId="3" fontId="40" fillId="0" borderId="57" xfId="0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center" vertical="center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right"/>
    </xf>
    <xf numFmtId="3" fontId="43" fillId="0" borderId="0" xfId="0" applyNumberFormat="1" applyFont="1" applyAlignment="1">
      <alignment horizontal="right"/>
    </xf>
    <xf numFmtId="0" fontId="43" fillId="0" borderId="0" xfId="0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0" fontId="43" fillId="0" borderId="32" xfId="0" applyFont="1" applyBorder="1" applyAlignment="1">
      <alignment wrapText="1"/>
    </xf>
    <xf numFmtId="0" fontId="43" fillId="0" borderId="32" xfId="0" applyFont="1" applyBorder="1" applyAlignment="1">
      <alignment horizontal="right"/>
    </xf>
    <xf numFmtId="3" fontId="43" fillId="0" borderId="32" xfId="0" applyNumberFormat="1" applyFont="1" applyBorder="1" applyAlignment="1">
      <alignment horizontal="right"/>
    </xf>
    <xf numFmtId="0" fontId="43" fillId="0" borderId="32" xfId="0" applyFont="1" applyBorder="1"/>
    <xf numFmtId="0" fontId="43" fillId="0" borderId="34" xfId="0" applyFont="1" applyBorder="1" applyAlignment="1">
      <alignment wrapText="1"/>
    </xf>
    <xf numFmtId="0" fontId="43" fillId="0" borderId="34" xfId="0" applyFont="1" applyBorder="1" applyAlignment="1">
      <alignment horizontal="right"/>
    </xf>
    <xf numFmtId="3" fontId="43" fillId="0" borderId="34" xfId="0" applyNumberFormat="1" applyFont="1" applyBorder="1" applyAlignment="1">
      <alignment horizontal="right"/>
    </xf>
    <xf numFmtId="0" fontId="43" fillId="0" borderId="34" xfId="0" applyFont="1" applyBorder="1"/>
    <xf numFmtId="0" fontId="43" fillId="0" borderId="35" xfId="0" applyFont="1" applyBorder="1" applyAlignment="1">
      <alignment wrapText="1"/>
    </xf>
    <xf numFmtId="0" fontId="43" fillId="0" borderId="35" xfId="0" applyFont="1" applyBorder="1" applyAlignment="1">
      <alignment horizontal="right"/>
    </xf>
    <xf numFmtId="3" fontId="43" fillId="0" borderId="35" xfId="0" applyNumberFormat="1" applyFont="1" applyBorder="1" applyAlignment="1">
      <alignment horizontal="right"/>
    </xf>
    <xf numFmtId="0" fontId="43" fillId="0" borderId="35" xfId="0" applyFont="1" applyBorder="1"/>
    <xf numFmtId="0" fontId="43" fillId="0" borderId="0" xfId="0" applyFont="1" applyAlignment="1"/>
    <xf numFmtId="0" fontId="40" fillId="0" borderId="85" xfId="0" applyFont="1" applyFill="1" applyBorder="1" applyAlignment="1">
      <alignment horizontal="left" vertical="center" wrapText="1"/>
    </xf>
    <xf numFmtId="3" fontId="31" fillId="0" borderId="0" xfId="77" applyNumberFormat="1" applyFont="1" applyBorder="1"/>
    <xf numFmtId="3" fontId="29" fillId="0" borderId="41" xfId="0" applyNumberFormat="1" applyFont="1" applyFill="1" applyBorder="1" applyAlignment="1">
      <alignment wrapText="1"/>
    </xf>
    <xf numFmtId="166" fontId="27" fillId="0" borderId="0" xfId="0" applyNumberFormat="1" applyFont="1" applyFill="1" applyBorder="1" applyAlignment="1">
      <alignment wrapText="1"/>
    </xf>
    <xf numFmtId="0" fontId="21" fillId="0" borderId="91" xfId="0" applyFont="1" applyBorder="1" applyAlignment="1">
      <alignment horizontal="center"/>
    </xf>
    <xf numFmtId="169" fontId="21" fillId="0" borderId="142" xfId="54" applyNumberFormat="1" applyFont="1" applyBorder="1"/>
    <xf numFmtId="0" fontId="21" fillId="0" borderId="13" xfId="0" applyFont="1" applyBorder="1"/>
    <xf numFmtId="0" fontId="21" fillId="0" borderId="16" xfId="0" applyFont="1" applyBorder="1"/>
    <xf numFmtId="0" fontId="21" fillId="0" borderId="177" xfId="0" applyFont="1" applyBorder="1"/>
    <xf numFmtId="0" fontId="26" fillId="0" borderId="14" xfId="0" applyFont="1" applyFill="1" applyBorder="1" applyAlignment="1">
      <alignment wrapText="1"/>
    </xf>
    <xf numFmtId="0" fontId="26" fillId="0" borderId="95" xfId="0" applyFont="1" applyFill="1" applyBorder="1" applyAlignment="1">
      <alignment horizontal="center"/>
    </xf>
    <xf numFmtId="4" fontId="26" fillId="0" borderId="178" xfId="0" applyNumberFormat="1" applyFont="1" applyFill="1" applyBorder="1" applyAlignment="1">
      <alignment horizontal="right"/>
    </xf>
    <xf numFmtId="4" fontId="26" fillId="0" borderId="135" xfId="0" applyNumberFormat="1" applyFont="1" applyFill="1" applyBorder="1" applyAlignment="1">
      <alignment horizontal="right"/>
    </xf>
    <xf numFmtId="3" fontId="26" fillId="0" borderId="136" xfId="0" applyNumberFormat="1" applyFont="1" applyFill="1" applyBorder="1" applyAlignment="1">
      <alignment horizontal="right"/>
    </xf>
    <xf numFmtId="0" fontId="21" fillId="0" borderId="91" xfId="0" applyFont="1" applyFill="1" applyBorder="1" applyAlignment="1">
      <alignment vertical="center"/>
    </xf>
    <xf numFmtId="3" fontId="21" fillId="0" borderId="118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91" xfId="77" applyFont="1" applyBorder="1" applyAlignment="1">
      <alignment horizontal="center"/>
    </xf>
    <xf numFmtId="0" fontId="44" fillId="0" borderId="179" xfId="77" applyFont="1" applyBorder="1"/>
    <xf numFmtId="0" fontId="26" fillId="0" borderId="18" xfId="77" applyFont="1" applyBorder="1"/>
    <xf numFmtId="0" fontId="26" fillId="0" borderId="16" xfId="77" applyFont="1" applyBorder="1"/>
    <xf numFmtId="0" fontId="26" fillId="0" borderId="28" xfId="77" applyFont="1" applyBorder="1"/>
    <xf numFmtId="0" fontId="44" fillId="0" borderId="18" xfId="77" applyFont="1" applyFill="1" applyBorder="1"/>
    <xf numFmtId="0" fontId="26" fillId="0" borderId="31" xfId="77" applyFont="1" applyFill="1" applyBorder="1"/>
    <xf numFmtId="0" fontId="44" fillId="27" borderId="17" xfId="77" applyFont="1" applyFill="1" applyBorder="1"/>
    <xf numFmtId="0" fontId="21" fillId="0" borderId="100" xfId="0" applyFont="1" applyFill="1" applyBorder="1" applyAlignment="1">
      <alignment wrapText="1"/>
    </xf>
    <xf numFmtId="0" fontId="21" fillId="27" borderId="36" xfId="0" applyFont="1" applyFill="1" applyBorder="1"/>
    <xf numFmtId="3" fontId="21" fillId="27" borderId="161" xfId="0" applyNumberFormat="1" applyFont="1" applyFill="1" applyBorder="1" applyAlignment="1">
      <alignment horizontal="center"/>
    </xf>
    <xf numFmtId="3" fontId="21" fillId="27" borderId="55" xfId="0" applyNumberFormat="1" applyFont="1" applyFill="1" applyBorder="1" applyAlignment="1">
      <alignment horizontal="center"/>
    </xf>
    <xf numFmtId="3" fontId="21" fillId="27" borderId="62" xfId="0" applyNumberFormat="1" applyFont="1" applyFill="1" applyBorder="1"/>
    <xf numFmtId="3" fontId="21" fillId="27" borderId="181" xfId="0" applyNumberFormat="1" applyFont="1" applyFill="1" applyBorder="1" applyAlignment="1">
      <alignment horizontal="center"/>
    </xf>
    <xf numFmtId="3" fontId="21" fillId="27" borderId="60" xfId="0" applyNumberFormat="1" applyFont="1" applyFill="1" applyBorder="1" applyAlignment="1">
      <alignment horizontal="center"/>
    </xf>
    <xf numFmtId="3" fontId="21" fillId="27" borderId="64" xfId="0" applyNumberFormat="1" applyFont="1" applyFill="1" applyBorder="1"/>
    <xf numFmtId="3" fontId="21" fillId="27" borderId="182" xfId="0" applyNumberFormat="1" applyFont="1" applyFill="1" applyBorder="1" applyAlignment="1">
      <alignment horizontal="center"/>
    </xf>
    <xf numFmtId="3" fontId="21" fillId="27" borderId="183" xfId="0" applyNumberFormat="1" applyFont="1" applyFill="1" applyBorder="1" applyAlignment="1">
      <alignment horizontal="center"/>
    </xf>
    <xf numFmtId="0" fontId="31" fillId="0" borderId="184" xfId="0" applyFont="1" applyBorder="1" applyAlignment="1">
      <alignment horizontal="center" vertical="top"/>
    </xf>
    <xf numFmtId="3" fontId="31" fillId="0" borderId="185" xfId="0" applyNumberFormat="1" applyFont="1" applyBorder="1" applyAlignment="1">
      <alignment horizontal="center" vertical="top"/>
    </xf>
    <xf numFmtId="0" fontId="21" fillId="27" borderId="186" xfId="0" applyFont="1" applyFill="1" applyBorder="1" applyAlignment="1">
      <alignment horizontal="center"/>
    </xf>
    <xf numFmtId="3" fontId="21" fillId="27" borderId="187" xfId="0" applyNumberFormat="1" applyFont="1" applyFill="1" applyBorder="1"/>
    <xf numFmtId="0" fontId="21" fillId="27" borderId="188" xfId="0" applyFont="1" applyFill="1" applyBorder="1" applyAlignment="1">
      <alignment horizontal="center"/>
    </xf>
    <xf numFmtId="3" fontId="21" fillId="27" borderId="189" xfId="0" applyNumberFormat="1" applyFont="1" applyFill="1" applyBorder="1"/>
    <xf numFmtId="0" fontId="29" fillId="27" borderId="188" xfId="0" applyFont="1" applyFill="1" applyBorder="1" applyAlignment="1">
      <alignment horizontal="center"/>
    </xf>
    <xf numFmtId="3" fontId="29" fillId="27" borderId="189" xfId="0" applyNumberFormat="1" applyFont="1" applyFill="1" applyBorder="1"/>
    <xf numFmtId="0" fontId="29" fillId="27" borderId="190" xfId="0" applyFont="1" applyFill="1" applyBorder="1" applyAlignment="1">
      <alignment horizontal="center"/>
    </xf>
    <xf numFmtId="3" fontId="29" fillId="27" borderId="191" xfId="0" applyNumberFormat="1" applyFont="1" applyFill="1" applyBorder="1"/>
    <xf numFmtId="0" fontId="21" fillId="27" borderId="192" xfId="0" applyFont="1" applyFill="1" applyBorder="1" applyAlignment="1">
      <alignment horizontal="center"/>
    </xf>
    <xf numFmtId="3" fontId="21" fillId="27" borderId="193" xfId="0" applyNumberFormat="1" applyFont="1" applyFill="1" applyBorder="1"/>
    <xf numFmtId="0" fontId="21" fillId="27" borderId="194" xfId="0" applyFont="1" applyFill="1" applyBorder="1" applyAlignment="1">
      <alignment horizontal="center"/>
    </xf>
    <xf numFmtId="3" fontId="21" fillId="27" borderId="195" xfId="0" applyNumberFormat="1" applyFont="1" applyFill="1" applyBorder="1"/>
    <xf numFmtId="0" fontId="21" fillId="27" borderId="190" xfId="0" applyFont="1" applyFill="1" applyBorder="1" applyAlignment="1">
      <alignment horizontal="center"/>
    </xf>
    <xf numFmtId="3" fontId="21" fillId="27" borderId="191" xfId="0" applyNumberFormat="1" applyFont="1" applyFill="1" applyBorder="1"/>
    <xf numFmtId="0" fontId="21" fillId="27" borderId="196" xfId="0" applyFont="1" applyFill="1" applyBorder="1" applyAlignment="1">
      <alignment horizontal="center"/>
    </xf>
    <xf numFmtId="3" fontId="21" fillId="27" borderId="197" xfId="0" applyNumberFormat="1" applyFont="1" applyFill="1" applyBorder="1"/>
    <xf numFmtId="0" fontId="21" fillId="27" borderId="198" xfId="0" applyFont="1" applyFill="1" applyBorder="1" applyAlignment="1">
      <alignment horizontal="center"/>
    </xf>
    <xf numFmtId="3" fontId="21" fillId="27" borderId="199" xfId="0" applyNumberFormat="1" applyFont="1" applyFill="1" applyBorder="1"/>
    <xf numFmtId="3" fontId="21" fillId="27" borderId="194" xfId="0" applyNumberFormat="1" applyFont="1" applyFill="1" applyBorder="1" applyAlignment="1">
      <alignment horizontal="center"/>
    </xf>
    <xf numFmtId="3" fontId="21" fillId="27" borderId="190" xfId="0" applyNumberFormat="1" applyFont="1" applyFill="1" applyBorder="1" applyAlignment="1">
      <alignment horizontal="center"/>
    </xf>
    <xf numFmtId="3" fontId="21" fillId="27" borderId="192" xfId="0" applyNumberFormat="1" applyFont="1" applyFill="1" applyBorder="1" applyAlignment="1">
      <alignment horizontal="center"/>
    </xf>
    <xf numFmtId="3" fontId="21" fillId="27" borderId="200" xfId="0" applyNumberFormat="1" applyFont="1" applyFill="1" applyBorder="1" applyAlignment="1">
      <alignment horizontal="center"/>
    </xf>
    <xf numFmtId="3" fontId="21" fillId="27" borderId="201" xfId="0" applyNumberFormat="1" applyFont="1" applyFill="1" applyBorder="1"/>
    <xf numFmtId="0" fontId="21" fillId="0" borderId="106" xfId="0" applyFont="1" applyFill="1" applyBorder="1" applyAlignment="1">
      <alignment horizontal="center" vertical="center" wrapText="1"/>
    </xf>
    <xf numFmtId="49" fontId="27" fillId="0" borderId="41" xfId="0" applyNumberFormat="1" applyFont="1" applyFill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166" fontId="21" fillId="0" borderId="43" xfId="0" applyNumberFormat="1" applyFont="1" applyFill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center" vertical="center" wrapText="1"/>
    </xf>
    <xf numFmtId="166" fontId="21" fillId="0" borderId="19" xfId="0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 wrapText="1"/>
    </xf>
    <xf numFmtId="49" fontId="27" fillId="0" borderId="202" xfId="0" applyNumberFormat="1" applyFont="1" applyFill="1" applyBorder="1" applyAlignment="1">
      <alignment horizontal="center" vertical="top" wrapText="1"/>
    </xf>
    <xf numFmtId="49" fontId="27" fillId="0" borderId="203" xfId="0" applyNumberFormat="1" applyFont="1" applyBorder="1" applyAlignment="1">
      <alignment horizontal="center" vertical="top" wrapText="1"/>
    </xf>
    <xf numFmtId="166" fontId="21" fillId="0" borderId="175" xfId="0" applyNumberFormat="1" applyFont="1" applyFill="1" applyBorder="1" applyAlignment="1">
      <alignment horizontal="center" vertical="top" wrapText="1"/>
    </xf>
    <xf numFmtId="0" fontId="21" fillId="0" borderId="26" xfId="0" applyFont="1" applyFill="1" applyBorder="1" applyAlignment="1">
      <alignment vertical="top" wrapText="1"/>
    </xf>
    <xf numFmtId="3" fontId="21" fillId="0" borderId="29" xfId="0" applyNumberFormat="1" applyFont="1" applyFill="1" applyBorder="1" applyAlignment="1">
      <alignment vertical="top" wrapText="1"/>
    </xf>
    <xf numFmtId="3" fontId="21" fillId="0" borderId="23" xfId="0" applyNumberFormat="1" applyFont="1" applyFill="1" applyBorder="1" applyAlignment="1">
      <alignment vertical="top" wrapText="1"/>
    </xf>
    <xf numFmtId="166" fontId="21" fillId="0" borderId="38" xfId="0" applyNumberFormat="1" applyFont="1" applyFill="1" applyBorder="1" applyAlignment="1">
      <alignment vertical="top" wrapText="1"/>
    </xf>
    <xf numFmtId="166" fontId="21" fillId="0" borderId="0" xfId="0" applyNumberFormat="1" applyFont="1" applyFill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28" fillId="1" borderId="118" xfId="0" applyFont="1" applyFill="1" applyBorder="1" applyAlignment="1">
      <alignment vertical="center"/>
    </xf>
    <xf numFmtId="3" fontId="28" fillId="1" borderId="119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70" fontId="21" fillId="0" borderId="0" xfId="0" applyNumberFormat="1" applyFont="1" applyAlignment="1">
      <alignment vertical="center"/>
    </xf>
    <xf numFmtId="3" fontId="21" fillId="0" borderId="0" xfId="0" quotePrefix="1" applyNumberFormat="1" applyFont="1" applyAlignment="1">
      <alignment vertical="center"/>
    </xf>
    <xf numFmtId="3" fontId="19" fillId="0" borderId="101" xfId="0" applyNumberFormat="1" applyFont="1" applyFill="1" applyBorder="1" applyAlignment="1">
      <alignment horizontal="center"/>
    </xf>
    <xf numFmtId="169" fontId="19" fillId="0" borderId="145" xfId="54" applyNumberFormat="1" applyFont="1" applyFill="1" applyBorder="1"/>
    <xf numFmtId="3" fontId="19" fillId="0" borderId="104" xfId="0" applyNumberFormat="1" applyFont="1" applyFill="1" applyBorder="1" applyAlignment="1">
      <alignment horizontal="center"/>
    </xf>
    <xf numFmtId="169" fontId="19" fillId="0" borderId="147" xfId="54" applyNumberFormat="1" applyFont="1" applyFill="1" applyBorder="1"/>
    <xf numFmtId="169" fontId="19" fillId="0" borderId="126" xfId="54" applyNumberFormat="1" applyFont="1" applyBorder="1"/>
    <xf numFmtId="1" fontId="19" fillId="0" borderId="146" xfId="0" applyNumberFormat="1" applyFont="1" applyBorder="1" applyAlignment="1">
      <alignment horizontal="center"/>
    </xf>
    <xf numFmtId="169" fontId="19" fillId="0" borderId="123" xfId="54" applyNumberFormat="1" applyFont="1" applyBorder="1"/>
    <xf numFmtId="4" fontId="43" fillId="0" borderId="76" xfId="0" applyNumberFormat="1" applyFont="1" applyBorder="1" applyAlignment="1">
      <alignment horizontal="center"/>
    </xf>
    <xf numFmtId="1" fontId="43" fillId="0" borderId="94" xfId="0" applyNumberFormat="1" applyFont="1" applyBorder="1" applyAlignment="1">
      <alignment horizontal="center" vertical="center"/>
    </xf>
    <xf numFmtId="4" fontId="43" fillId="0" borderId="0" xfId="0" applyNumberFormat="1" applyFont="1" applyAlignment="1">
      <alignment horizontal="center"/>
    </xf>
    <xf numFmtId="4" fontId="43" fillId="0" borderId="0" xfId="0" applyNumberFormat="1" applyFont="1" applyBorder="1" applyAlignment="1">
      <alignment horizontal="center"/>
    </xf>
    <xf numFmtId="4" fontId="43" fillId="0" borderId="32" xfId="0" applyNumberFormat="1" applyFont="1" applyBorder="1" applyAlignment="1">
      <alignment horizontal="center"/>
    </xf>
    <xf numFmtId="4" fontId="43" fillId="0" borderId="34" xfId="0" applyNumberFormat="1" applyFont="1" applyBorder="1" applyAlignment="1">
      <alignment horizontal="center"/>
    </xf>
    <xf numFmtId="4" fontId="43" fillId="0" borderId="35" xfId="0" applyNumberFormat="1" applyFont="1" applyBorder="1" applyAlignment="1">
      <alignment horizontal="center"/>
    </xf>
    <xf numFmtId="3" fontId="21" fillId="29" borderId="124" xfId="0" applyNumberFormat="1" applyFont="1" applyFill="1" applyBorder="1"/>
    <xf numFmtId="0" fontId="31" fillId="29" borderId="0" xfId="0" applyFont="1" applyFill="1" applyAlignment="1">
      <alignment wrapText="1"/>
    </xf>
    <xf numFmtId="3" fontId="21" fillId="29" borderId="0" xfId="0" applyNumberFormat="1" applyFont="1" applyFill="1" applyAlignment="1">
      <alignment wrapText="1"/>
    </xf>
    <xf numFmtId="166" fontId="21" fillId="29" borderId="0" xfId="0" applyNumberFormat="1" applyFont="1" applyFill="1" applyAlignment="1">
      <alignment wrapText="1"/>
    </xf>
    <xf numFmtId="166" fontId="21" fillId="29" borderId="0" xfId="0" applyNumberFormat="1" applyFont="1" applyFill="1" applyBorder="1" applyAlignment="1">
      <alignment wrapText="1"/>
    </xf>
    <xf numFmtId="0" fontId="21" fillId="29" borderId="0" xfId="0" applyFont="1" applyFill="1" applyAlignment="1">
      <alignment wrapText="1"/>
    </xf>
    <xf numFmtId="166" fontId="21" fillId="27" borderId="0" xfId="0" applyNumberFormat="1" applyFont="1" applyFill="1" applyAlignment="1">
      <alignment wrapText="1"/>
    </xf>
    <xf numFmtId="3" fontId="21" fillId="27" borderId="0" xfId="0" applyNumberFormat="1" applyFont="1" applyFill="1" applyAlignment="1">
      <alignment wrapText="1"/>
    </xf>
    <xf numFmtId="166" fontId="21" fillId="27" borderId="0" xfId="0" applyNumberFormat="1" applyFont="1" applyFill="1" applyBorder="1" applyAlignment="1">
      <alignment wrapText="1"/>
    </xf>
    <xf numFmtId="0" fontId="21" fillId="27" borderId="0" xfId="0" applyFont="1" applyFill="1" applyBorder="1" applyAlignment="1">
      <alignment wrapText="1"/>
    </xf>
    <xf numFmtId="0" fontId="21" fillId="27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166" fontId="21" fillId="0" borderId="0" xfId="0" applyNumberFormat="1" applyFont="1" applyFill="1" applyAlignment="1">
      <alignment wrapText="1"/>
    </xf>
    <xf numFmtId="0" fontId="31" fillId="0" borderId="32" xfId="0" applyFont="1" applyFill="1" applyBorder="1" applyAlignment="1">
      <alignment wrapText="1"/>
    </xf>
    <xf numFmtId="3" fontId="21" fillId="0" borderId="32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3" fontId="21" fillId="0" borderId="19" xfId="54" applyNumberFormat="1" applyFont="1" applyFill="1" applyBorder="1" applyAlignment="1">
      <alignment horizontal="right"/>
    </xf>
    <xf numFmtId="169" fontId="21" fillId="0" borderId="19" xfId="54" applyNumberFormat="1" applyFont="1" applyFill="1" applyBorder="1" applyAlignment="1">
      <alignment horizontal="right"/>
    </xf>
    <xf numFmtId="0" fontId="29" fillId="0" borderId="28" xfId="0" applyFont="1" applyFill="1" applyBorder="1" applyAlignment="1">
      <alignment horizontal="left"/>
    </xf>
    <xf numFmtId="3" fontId="21" fillId="0" borderId="20" xfId="54" applyNumberFormat="1" applyFont="1" applyFill="1" applyBorder="1" applyAlignment="1">
      <alignment horizontal="right"/>
    </xf>
    <xf numFmtId="0" fontId="21" fillId="0" borderId="30" xfId="0" applyFont="1" applyFill="1" applyBorder="1" applyAlignment="1">
      <alignment horizontal="left"/>
    </xf>
    <xf numFmtId="0" fontId="31" fillId="30" borderId="0" xfId="0" applyFont="1" applyFill="1" applyAlignment="1">
      <alignment wrapText="1"/>
    </xf>
    <xf numFmtId="3" fontId="21" fillId="30" borderId="0" xfId="0" applyNumberFormat="1" applyFont="1" applyFill="1" applyAlignment="1">
      <alignment wrapText="1"/>
    </xf>
    <xf numFmtId="166" fontId="21" fillId="30" borderId="0" xfId="0" applyNumberFormat="1" applyFont="1" applyFill="1" applyAlignment="1">
      <alignment wrapText="1"/>
    </xf>
    <xf numFmtId="166" fontId="21" fillId="30" borderId="0" xfId="0" applyNumberFormat="1" applyFont="1" applyFill="1" applyBorder="1" applyAlignment="1">
      <alignment wrapText="1"/>
    </xf>
    <xf numFmtId="0" fontId="21" fillId="30" borderId="0" xfId="0" applyFont="1" applyFill="1" applyAlignment="1">
      <alignment wrapText="1"/>
    </xf>
    <xf numFmtId="3" fontId="21" fillId="30" borderId="0" xfId="0" applyNumberFormat="1" applyFont="1" applyFill="1" applyBorder="1" applyAlignment="1">
      <alignment wrapText="1"/>
    </xf>
    <xf numFmtId="0" fontId="28" fillId="29" borderId="17" xfId="0" applyFont="1" applyFill="1" applyBorder="1" applyAlignment="1">
      <alignment vertical="center" wrapText="1"/>
    </xf>
    <xf numFmtId="3" fontId="28" fillId="29" borderId="86" xfId="0" applyNumberFormat="1" applyFont="1" applyFill="1" applyBorder="1" applyAlignment="1">
      <alignment vertical="center" wrapText="1"/>
    </xf>
    <xf numFmtId="166" fontId="28" fillId="29" borderId="87" xfId="0" applyNumberFormat="1" applyFont="1" applyFill="1" applyBorder="1" applyAlignment="1">
      <alignment vertical="center" wrapText="1"/>
    </xf>
    <xf numFmtId="3" fontId="28" fillId="29" borderId="24" xfId="0" applyNumberFormat="1" applyFont="1" applyFill="1" applyBorder="1" applyAlignment="1">
      <alignment vertical="center" wrapText="1"/>
    </xf>
    <xf numFmtId="0" fontId="28" fillId="29" borderId="85" xfId="0" applyFont="1" applyFill="1" applyBorder="1" applyAlignment="1">
      <alignment vertical="center" wrapText="1"/>
    </xf>
    <xf numFmtId="3" fontId="28" fillId="29" borderId="86" xfId="0" applyNumberFormat="1" applyFont="1" applyFill="1" applyBorder="1" applyAlignment="1">
      <alignment wrapText="1"/>
    </xf>
    <xf numFmtId="166" fontId="28" fillId="29" borderId="87" xfId="0" applyNumberFormat="1" applyFont="1" applyFill="1" applyBorder="1" applyAlignment="1">
      <alignment wrapText="1"/>
    </xf>
    <xf numFmtId="3" fontId="28" fillId="29" borderId="24" xfId="0" applyNumberFormat="1" applyFont="1" applyFill="1" applyBorder="1" applyAlignment="1">
      <alignment wrapText="1"/>
    </xf>
    <xf numFmtId="166" fontId="21" fillId="29" borderId="38" xfId="0" applyNumberFormat="1" applyFont="1" applyFill="1" applyBorder="1" applyAlignment="1">
      <alignment wrapText="1"/>
    </xf>
    <xf numFmtId="166" fontId="21" fillId="29" borderId="50" xfId="0" applyNumberFormat="1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3" fontId="21" fillId="0" borderId="0" xfId="54" applyNumberFormat="1" applyFont="1" applyFill="1" applyAlignment="1">
      <alignment wrapText="1"/>
    </xf>
    <xf numFmtId="169" fontId="21" fillId="0" borderId="0" xfId="54" applyNumberFormat="1" applyFont="1" applyFill="1" applyAlignment="1">
      <alignment wrapText="1"/>
    </xf>
    <xf numFmtId="3" fontId="21" fillId="27" borderId="41" xfId="0" applyNumberFormat="1" applyFont="1" applyFill="1" applyBorder="1" applyAlignment="1">
      <alignment horizontal="right"/>
    </xf>
    <xf numFmtId="3" fontId="21" fillId="27" borderId="19" xfId="0" applyNumberFormat="1" applyFont="1" applyFill="1" applyBorder="1" applyAlignment="1">
      <alignment horizontal="right"/>
    </xf>
    <xf numFmtId="3" fontId="21" fillId="27" borderId="61" xfId="0" applyNumberFormat="1" applyFont="1" applyFill="1" applyBorder="1" applyAlignment="1">
      <alignment horizontal="right"/>
    </xf>
    <xf numFmtId="3" fontId="21" fillId="27" borderId="20" xfId="0" applyNumberFormat="1" applyFont="1" applyFill="1" applyBorder="1" applyAlignment="1">
      <alignment horizontal="right"/>
    </xf>
    <xf numFmtId="3" fontId="21" fillId="27" borderId="45" xfId="0" applyNumberFormat="1" applyFont="1" applyFill="1" applyBorder="1" applyAlignment="1">
      <alignment horizontal="right"/>
    </xf>
    <xf numFmtId="3" fontId="21" fillId="27" borderId="22" xfId="0" applyNumberFormat="1" applyFont="1" applyFill="1" applyBorder="1" applyAlignment="1">
      <alignment horizontal="right"/>
    </xf>
    <xf numFmtId="0" fontId="21" fillId="27" borderId="14" xfId="0" applyFont="1" applyFill="1" applyBorder="1" applyAlignment="1">
      <alignment wrapText="1"/>
    </xf>
    <xf numFmtId="0" fontId="21" fillId="27" borderId="15" xfId="0" applyFont="1" applyFill="1" applyBorder="1" applyAlignment="1">
      <alignment wrapText="1"/>
    </xf>
    <xf numFmtId="0" fontId="21" fillId="27" borderId="26" xfId="0" applyFont="1" applyFill="1" applyBorder="1" applyAlignment="1">
      <alignment wrapText="1"/>
    </xf>
    <xf numFmtId="3" fontId="21" fillId="27" borderId="49" xfId="0" applyNumberFormat="1" applyFont="1" applyFill="1" applyBorder="1" applyAlignment="1">
      <alignment horizontal="right"/>
    </xf>
    <xf numFmtId="3" fontId="21" fillId="27" borderId="25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justify"/>
    </xf>
    <xf numFmtId="3" fontId="21" fillId="0" borderId="75" xfId="54" applyNumberFormat="1" applyFont="1" applyFill="1" applyBorder="1" applyAlignment="1">
      <alignment horizontal="right"/>
    </xf>
    <xf numFmtId="3" fontId="21" fillId="0" borderId="75" xfId="0" applyNumberFormat="1" applyFont="1" applyFill="1" applyBorder="1" applyAlignment="1">
      <alignment horizontal="right"/>
    </xf>
    <xf numFmtId="169" fontId="21" fillId="0" borderId="75" xfId="54" applyNumberFormat="1" applyFont="1" applyFill="1" applyBorder="1" applyAlignment="1">
      <alignment horizontal="right"/>
    </xf>
    <xf numFmtId="0" fontId="21" fillId="0" borderId="14" xfId="0" applyFont="1" applyFill="1" applyBorder="1" applyAlignment="1">
      <alignment horizontal="justify"/>
    </xf>
    <xf numFmtId="3" fontId="28" fillId="0" borderId="24" xfId="54" applyNumberFormat="1" applyFont="1" applyFill="1" applyBorder="1" applyAlignment="1">
      <alignment horizontal="right"/>
    </xf>
    <xf numFmtId="0" fontId="29" fillId="0" borderId="16" xfId="0" applyFont="1" applyFill="1" applyBorder="1" applyAlignment="1">
      <alignment horizontal="left"/>
    </xf>
    <xf numFmtId="0" fontId="21" fillId="0" borderId="18" xfId="0" applyFont="1" applyFill="1" applyBorder="1" applyAlignment="1">
      <alignment horizontal="left"/>
    </xf>
    <xf numFmtId="0" fontId="29" fillId="0" borderId="204" xfId="0" applyFont="1" applyFill="1" applyBorder="1" applyAlignment="1">
      <alignment horizontal="left"/>
    </xf>
    <xf numFmtId="0" fontId="28" fillId="0" borderId="17" xfId="0" applyFont="1" applyFill="1" applyBorder="1" applyAlignment="1">
      <alignment horizontal="left"/>
    </xf>
    <xf numFmtId="3" fontId="21" fillId="0" borderId="22" xfId="54" applyNumberFormat="1" applyFont="1" applyFill="1" applyBorder="1" applyAlignment="1">
      <alignment wrapText="1"/>
    </xf>
    <xf numFmtId="0" fontId="28" fillId="27" borderId="0" xfId="0" applyFont="1" applyFill="1" applyBorder="1" applyAlignment="1">
      <alignment horizontal="center" vertical="top" wrapText="1"/>
    </xf>
    <xf numFmtId="0" fontId="21" fillId="27" borderId="0" xfId="0" applyFont="1" applyFill="1" applyBorder="1" applyAlignment="1">
      <alignment horizontal="center" wrapText="1"/>
    </xf>
    <xf numFmtId="166" fontId="27" fillId="27" borderId="0" xfId="0" applyNumberFormat="1" applyFont="1" applyFill="1" applyBorder="1" applyAlignment="1">
      <alignment horizontal="center" vertical="top" wrapText="1"/>
    </xf>
    <xf numFmtId="166" fontId="28" fillId="27" borderId="0" xfId="0" applyNumberFormat="1" applyFont="1" applyFill="1" applyBorder="1" applyAlignment="1">
      <alignment wrapText="1"/>
    </xf>
    <xf numFmtId="166" fontId="21" fillId="27" borderId="0" xfId="0" applyNumberFormat="1" applyFont="1" applyFill="1" applyBorder="1" applyAlignment="1">
      <alignment vertical="center" wrapText="1"/>
    </xf>
    <xf numFmtId="3" fontId="28" fillId="27" borderId="0" xfId="0" applyNumberFormat="1" applyFont="1" applyFill="1" applyBorder="1" applyAlignment="1">
      <alignment vertical="center" wrapText="1"/>
    </xf>
    <xf numFmtId="3" fontId="21" fillId="27" borderId="22" xfId="0" applyNumberFormat="1" applyFont="1" applyFill="1" applyBorder="1"/>
    <xf numFmtId="3" fontId="28" fillId="27" borderId="0" xfId="0" applyNumberFormat="1" applyFont="1" applyFill="1" applyBorder="1" applyAlignment="1">
      <alignment wrapText="1"/>
    </xf>
    <xf numFmtId="166" fontId="21" fillId="0" borderId="0" xfId="0" applyNumberFormat="1" applyFont="1" applyFill="1" applyAlignment="1">
      <alignment horizontal="right" wrapText="1"/>
    </xf>
    <xf numFmtId="0" fontId="21" fillId="0" borderId="0" xfId="0" applyFont="1" applyFill="1" applyAlignment="1">
      <alignment horizontal="justify"/>
    </xf>
    <xf numFmtId="169" fontId="21" fillId="0" borderId="25" xfId="54" applyNumberFormat="1" applyFont="1" applyFill="1" applyBorder="1" applyAlignment="1">
      <alignment horizontal="right" wrapText="1"/>
    </xf>
    <xf numFmtId="43" fontId="21" fillId="0" borderId="25" xfId="54" applyFont="1" applyFill="1" applyBorder="1" applyAlignment="1">
      <alignment horizontal="right" wrapText="1"/>
    </xf>
    <xf numFmtId="3" fontId="21" fillId="0" borderId="25" xfId="0" applyNumberFormat="1" applyFont="1" applyFill="1" applyBorder="1" applyAlignment="1"/>
    <xf numFmtId="3" fontId="29" fillId="0" borderId="25" xfId="0" applyNumberFormat="1" applyFont="1" applyFill="1" applyBorder="1" applyAlignment="1"/>
    <xf numFmtId="3" fontId="29" fillId="0" borderId="23" xfId="0" applyNumberFormat="1" applyFont="1" applyFill="1" applyBorder="1" applyAlignment="1"/>
    <xf numFmtId="3" fontId="21" fillId="0" borderId="22" xfId="0" applyNumberFormat="1" applyFont="1" applyFill="1" applyBorder="1" applyAlignment="1"/>
    <xf numFmtId="3" fontId="21" fillId="0" borderId="19" xfId="0" applyNumberFormat="1" applyFont="1" applyFill="1" applyBorder="1" applyAlignment="1"/>
    <xf numFmtId="3" fontId="28" fillId="0" borderId="0" xfId="0" applyNumberFormat="1" applyFont="1" applyFill="1" applyAlignment="1">
      <alignment wrapText="1"/>
    </xf>
    <xf numFmtId="166" fontId="28" fillId="0" borderId="0" xfId="0" applyNumberFormat="1" applyFont="1" applyFill="1" applyAlignment="1">
      <alignment wrapText="1"/>
    </xf>
    <xf numFmtId="164" fontId="21" fillId="0" borderId="0" xfId="0" applyNumberFormat="1" applyFont="1" applyFill="1" applyAlignment="1">
      <alignment wrapText="1"/>
    </xf>
    <xf numFmtId="3" fontId="21" fillId="0" borderId="0" xfId="0" applyNumberFormat="1" applyFont="1" applyFill="1" applyAlignment="1">
      <alignment horizontal="right" wrapText="1"/>
    </xf>
    <xf numFmtId="3" fontId="21" fillId="0" borderId="0" xfId="85" applyNumberFormat="1" applyFont="1" applyFill="1" applyAlignment="1">
      <alignment wrapText="1"/>
    </xf>
    <xf numFmtId="1" fontId="21" fillId="0" borderId="0" xfId="0" applyNumberFormat="1" applyFont="1" applyFill="1" applyAlignment="1">
      <alignment wrapText="1"/>
    </xf>
    <xf numFmtId="9" fontId="21" fillId="0" borderId="0" xfId="85" applyFont="1" applyFill="1" applyAlignment="1">
      <alignment wrapText="1"/>
    </xf>
    <xf numFmtId="173" fontId="27" fillId="0" borderId="0" xfId="54" applyNumberFormat="1" applyFont="1" applyFill="1" applyAlignment="1">
      <alignment horizontal="right" wrapText="1"/>
    </xf>
    <xf numFmtId="43" fontId="27" fillId="0" borderId="0" xfId="54" applyFont="1" applyFill="1" applyAlignment="1">
      <alignment horizontal="right" wrapText="1"/>
    </xf>
    <xf numFmtId="166" fontId="27" fillId="0" borderId="0" xfId="0" applyNumberFormat="1" applyFont="1" applyFill="1" applyAlignment="1">
      <alignment horizontal="right" wrapText="1"/>
    </xf>
    <xf numFmtId="0" fontId="28" fillId="27" borderId="0" xfId="0" applyFont="1" applyFill="1" applyBorder="1" applyAlignment="1">
      <alignment wrapText="1"/>
    </xf>
    <xf numFmtId="3" fontId="28" fillId="27" borderId="0" xfId="0" applyNumberFormat="1" applyFont="1" applyFill="1" applyBorder="1" applyAlignment="1">
      <alignment horizontal="center" wrapText="1"/>
    </xf>
    <xf numFmtId="3" fontId="21" fillId="27" borderId="0" xfId="0" applyNumberFormat="1" applyFont="1" applyFill="1" applyBorder="1" applyAlignment="1">
      <alignment horizontal="center" wrapText="1"/>
    </xf>
    <xf numFmtId="3" fontId="21" fillId="27" borderId="0" xfId="0" applyNumberFormat="1" applyFont="1" applyFill="1"/>
    <xf numFmtId="49" fontId="27" fillId="29" borderId="41" xfId="0" applyNumberFormat="1" applyFont="1" applyFill="1" applyBorder="1" applyAlignment="1">
      <alignment horizontal="center" vertical="center"/>
    </xf>
    <xf numFmtId="49" fontId="27" fillId="29" borderId="19" xfId="0" applyNumberFormat="1" applyFont="1" applyFill="1" applyBorder="1" applyAlignment="1">
      <alignment horizontal="center" vertical="center"/>
    </xf>
    <xf numFmtId="166" fontId="21" fillId="29" borderId="43" xfId="0" applyNumberFormat="1" applyFont="1" applyFill="1" applyBorder="1" applyAlignment="1">
      <alignment horizontal="center" vertical="center"/>
    </xf>
    <xf numFmtId="49" fontId="27" fillId="29" borderId="53" xfId="0" applyNumberFormat="1" applyFont="1" applyFill="1" applyBorder="1" applyAlignment="1">
      <alignment horizontal="center" vertical="center" wrapText="1"/>
    </xf>
    <xf numFmtId="49" fontId="21" fillId="29" borderId="54" xfId="0" applyNumberFormat="1" applyFont="1" applyFill="1" applyBorder="1" applyAlignment="1">
      <alignment horizontal="center" vertical="center" wrapText="1"/>
    </xf>
    <xf numFmtId="3" fontId="21" fillId="29" borderId="59" xfId="0" applyNumberFormat="1" applyFont="1" applyFill="1" applyBorder="1" applyAlignment="1">
      <alignment wrapText="1"/>
    </xf>
    <xf numFmtId="3" fontId="21" fillId="29" borderId="75" xfId="0" applyNumberFormat="1" applyFont="1" applyFill="1" applyBorder="1" applyAlignment="1">
      <alignment wrapText="1"/>
    </xf>
    <xf numFmtId="3" fontId="21" fillId="29" borderId="58" xfId="0" applyNumberFormat="1" applyFont="1" applyFill="1" applyBorder="1" applyAlignment="1">
      <alignment wrapText="1"/>
    </xf>
    <xf numFmtId="166" fontId="21" fillId="29" borderId="43" xfId="0" applyNumberFormat="1" applyFont="1" applyFill="1" applyBorder="1" applyAlignment="1">
      <alignment wrapText="1"/>
    </xf>
    <xf numFmtId="3" fontId="21" fillId="29" borderId="41" xfId="0" applyNumberFormat="1" applyFont="1" applyFill="1" applyBorder="1" applyAlignment="1">
      <alignment wrapText="1"/>
    </xf>
    <xf numFmtId="3" fontId="21" fillId="29" borderId="25" xfId="0" applyNumberFormat="1" applyFont="1" applyFill="1" applyBorder="1" applyAlignment="1">
      <alignment wrapText="1"/>
    </xf>
    <xf numFmtId="3" fontId="21" fillId="29" borderId="23" xfId="0" applyNumberFormat="1" applyFont="1" applyFill="1" applyBorder="1" applyAlignment="1">
      <alignment wrapText="1"/>
    </xf>
    <xf numFmtId="3" fontId="28" fillId="29" borderId="45" xfId="0" applyNumberFormat="1" applyFont="1" applyFill="1" applyBorder="1" applyAlignment="1">
      <alignment wrapText="1"/>
    </xf>
    <xf numFmtId="3" fontId="28" fillId="29" borderId="22" xfId="0" applyNumberFormat="1" applyFont="1" applyFill="1" applyBorder="1" applyAlignment="1">
      <alignment wrapText="1"/>
    </xf>
    <xf numFmtId="3" fontId="28" fillId="29" borderId="63" xfId="0" applyNumberFormat="1" applyFont="1" applyFill="1" applyBorder="1" applyAlignment="1">
      <alignment wrapText="1"/>
    </xf>
    <xf numFmtId="166" fontId="28" fillId="29" borderId="46" xfId="0" applyNumberFormat="1" applyFont="1" applyFill="1" applyBorder="1" applyAlignment="1">
      <alignment wrapText="1"/>
    </xf>
    <xf numFmtId="166" fontId="21" fillId="29" borderId="67" xfId="0" applyNumberFormat="1" applyFont="1" applyFill="1" applyBorder="1" applyAlignment="1">
      <alignment wrapText="1"/>
    </xf>
    <xf numFmtId="0" fontId="19" fillId="27" borderId="0" xfId="0" applyFont="1" applyFill="1" applyBorder="1" applyAlignment="1">
      <alignment horizontal="center" wrapText="1"/>
    </xf>
    <xf numFmtId="0" fontId="19" fillId="27" borderId="19" xfId="0" applyFont="1" applyFill="1" applyBorder="1" applyAlignment="1">
      <alignment horizontal="center" wrapText="1"/>
    </xf>
    <xf numFmtId="0" fontId="19" fillId="27" borderId="53" xfId="0" applyFont="1" applyFill="1" applyBorder="1" applyAlignment="1">
      <alignment horizontal="center" wrapText="1"/>
    </xf>
    <xf numFmtId="166" fontId="21" fillId="27" borderId="32" xfId="0" applyNumberFormat="1" applyFont="1" applyFill="1" applyBorder="1" applyAlignment="1">
      <alignment wrapText="1"/>
    </xf>
    <xf numFmtId="166" fontId="21" fillId="27" borderId="34" xfId="0" applyNumberFormat="1" applyFont="1" applyFill="1" applyBorder="1" applyAlignment="1">
      <alignment wrapText="1"/>
    </xf>
    <xf numFmtId="166" fontId="21" fillId="27" borderId="35" xfId="0" applyNumberFormat="1" applyFont="1" applyFill="1" applyBorder="1" applyAlignment="1">
      <alignment wrapText="1"/>
    </xf>
    <xf numFmtId="49" fontId="27" fillId="29" borderId="36" xfId="0" applyNumberFormat="1" applyFont="1" applyFill="1" applyBorder="1" applyAlignment="1">
      <alignment horizontal="center" vertical="center"/>
    </xf>
    <xf numFmtId="49" fontId="27" fillId="29" borderId="55" xfId="0" applyNumberFormat="1" applyFont="1" applyFill="1" applyBorder="1" applyAlignment="1">
      <alignment horizontal="center" vertical="center"/>
    </xf>
    <xf numFmtId="166" fontId="21" fillId="29" borderId="38" xfId="0" applyNumberFormat="1" applyFont="1" applyFill="1" applyBorder="1" applyAlignment="1">
      <alignment horizontal="center" vertical="center"/>
    </xf>
    <xf numFmtId="49" fontId="27" fillId="29" borderId="56" xfId="0" applyNumberFormat="1" applyFont="1" applyFill="1" applyBorder="1" applyAlignment="1">
      <alignment horizontal="center" vertical="center" wrapText="1"/>
    </xf>
    <xf numFmtId="49" fontId="21" fillId="29" borderId="57" xfId="0" applyNumberFormat="1" applyFont="1" applyFill="1" applyBorder="1" applyAlignment="1">
      <alignment horizontal="center" vertical="center" wrapText="1"/>
    </xf>
    <xf numFmtId="3" fontId="21" fillId="29" borderId="19" xfId="0" applyNumberFormat="1" applyFont="1" applyFill="1" applyBorder="1" applyAlignment="1">
      <alignment wrapText="1"/>
    </xf>
    <xf numFmtId="166" fontId="21" fillId="29" borderId="43" xfId="85" applyNumberFormat="1" applyFont="1" applyFill="1" applyBorder="1" applyAlignment="1">
      <alignment wrapText="1"/>
    </xf>
    <xf numFmtId="3" fontId="21" fillId="29" borderId="41" xfId="0" applyNumberFormat="1" applyFont="1" applyFill="1" applyBorder="1" applyAlignment="1">
      <alignment vertical="center" wrapText="1"/>
    </xf>
    <xf numFmtId="3" fontId="21" fillId="29" borderId="19" xfId="0" applyNumberFormat="1" applyFont="1" applyFill="1" applyBorder="1" applyAlignment="1">
      <alignment vertical="center" wrapText="1"/>
    </xf>
    <xf numFmtId="166" fontId="21" fillId="29" borderId="43" xfId="0" applyNumberFormat="1" applyFont="1" applyFill="1" applyBorder="1" applyAlignment="1">
      <alignment vertical="center" wrapText="1"/>
    </xf>
    <xf numFmtId="3" fontId="21" fillId="29" borderId="20" xfId="0" applyNumberFormat="1" applyFont="1" applyFill="1" applyBorder="1" applyAlignment="1">
      <alignment vertical="center" wrapText="1"/>
    </xf>
    <xf numFmtId="166" fontId="21" fillId="29" borderId="38" xfId="0" applyNumberFormat="1" applyFont="1" applyFill="1" applyBorder="1" applyAlignment="1">
      <alignment vertical="center" wrapText="1"/>
    </xf>
    <xf numFmtId="3" fontId="28" fillId="29" borderId="45" xfId="0" applyNumberFormat="1" applyFont="1" applyFill="1" applyBorder="1" applyAlignment="1">
      <alignment vertical="center" wrapText="1"/>
    </xf>
    <xf numFmtId="3" fontId="28" fillId="29" borderId="22" xfId="0" applyNumberFormat="1" applyFont="1" applyFill="1" applyBorder="1" applyAlignment="1">
      <alignment vertical="center" wrapText="1"/>
    </xf>
    <xf numFmtId="3" fontId="28" fillId="29" borderId="63" xfId="0" applyNumberFormat="1" applyFont="1" applyFill="1" applyBorder="1" applyAlignment="1">
      <alignment vertical="center" wrapText="1"/>
    </xf>
    <xf numFmtId="166" fontId="28" fillId="29" borderId="46" xfId="0" applyNumberFormat="1" applyFont="1" applyFill="1" applyBorder="1" applyAlignment="1">
      <alignment vertical="center" wrapText="1"/>
    </xf>
    <xf numFmtId="3" fontId="21" fillId="29" borderId="27" xfId="0" applyNumberFormat="1" applyFont="1" applyFill="1" applyBorder="1" applyAlignment="1">
      <alignment vertical="center" wrapText="1"/>
    </xf>
    <xf numFmtId="166" fontId="21" fillId="29" borderId="48" xfId="0" applyNumberFormat="1" applyFont="1" applyFill="1" applyBorder="1" applyAlignment="1">
      <alignment vertical="center" wrapText="1"/>
    </xf>
    <xf numFmtId="3" fontId="21" fillId="29" borderId="25" xfId="0" applyNumberFormat="1" applyFont="1" applyFill="1" applyBorder="1" applyAlignment="1">
      <alignment vertical="center" wrapText="1"/>
    </xf>
    <xf numFmtId="166" fontId="21" fillId="29" borderId="50" xfId="0" applyNumberFormat="1" applyFont="1" applyFill="1" applyBorder="1" applyAlignment="1">
      <alignment vertical="center" wrapText="1"/>
    </xf>
    <xf numFmtId="3" fontId="21" fillId="29" borderId="21" xfId="0" applyNumberFormat="1" applyFont="1" applyFill="1" applyBorder="1" applyAlignment="1">
      <alignment vertical="center" wrapText="1"/>
    </xf>
    <xf numFmtId="166" fontId="21" fillId="29" borderId="70" xfId="0" applyNumberFormat="1" applyFont="1" applyFill="1" applyBorder="1" applyAlignment="1">
      <alignment vertical="center" wrapText="1"/>
    </xf>
    <xf numFmtId="3" fontId="28" fillId="29" borderId="72" xfId="0" applyNumberFormat="1" applyFont="1" applyFill="1" applyBorder="1" applyAlignment="1">
      <alignment vertical="center" wrapText="1"/>
    </xf>
    <xf numFmtId="3" fontId="28" fillId="29" borderId="73" xfId="0" applyNumberFormat="1" applyFont="1" applyFill="1" applyBorder="1" applyAlignment="1">
      <alignment vertical="center" wrapText="1"/>
    </xf>
    <xf numFmtId="166" fontId="34" fillId="29" borderId="74" xfId="0" applyNumberFormat="1" applyFont="1" applyFill="1" applyBorder="1" applyAlignment="1">
      <alignment vertical="center" wrapText="1"/>
    </xf>
    <xf numFmtId="3" fontId="21" fillId="29" borderId="49" xfId="0" applyNumberFormat="1" applyFont="1" applyFill="1" applyBorder="1" applyAlignment="1">
      <alignment vertical="center" wrapText="1"/>
    </xf>
    <xf numFmtId="3" fontId="21" fillId="29" borderId="29" xfId="0" applyNumberFormat="1" applyFont="1" applyFill="1" applyBorder="1" applyAlignment="1">
      <alignment vertical="center" wrapText="1"/>
    </xf>
    <xf numFmtId="3" fontId="21" fillId="29" borderId="23" xfId="0" applyNumberFormat="1" applyFont="1" applyFill="1" applyBorder="1" applyAlignment="1">
      <alignment vertical="center" wrapText="1"/>
    </xf>
    <xf numFmtId="166" fontId="21" fillId="29" borderId="67" xfId="0" applyNumberFormat="1" applyFont="1" applyFill="1" applyBorder="1" applyAlignment="1">
      <alignment vertical="center" wrapText="1"/>
    </xf>
    <xf numFmtId="3" fontId="21" fillId="29" borderId="52" xfId="0" applyNumberFormat="1" applyFont="1" applyFill="1" applyBorder="1" applyAlignment="1">
      <alignment vertical="center" wrapText="1"/>
    </xf>
    <xf numFmtId="3" fontId="21" fillId="29" borderId="53" xfId="0" applyNumberFormat="1" applyFont="1" applyFill="1" applyBorder="1" applyAlignment="1">
      <alignment vertical="center" wrapText="1"/>
    </xf>
    <xf numFmtId="166" fontId="21" fillId="29" borderId="54" xfId="0" applyNumberFormat="1" applyFont="1" applyFill="1" applyBorder="1" applyAlignment="1">
      <alignment vertical="center" wrapText="1"/>
    </xf>
    <xf numFmtId="166" fontId="34" fillId="29" borderId="87" xfId="0" applyNumberFormat="1" applyFont="1" applyFill="1" applyBorder="1" applyAlignment="1">
      <alignment vertical="center" wrapText="1"/>
    </xf>
    <xf numFmtId="3" fontId="28" fillId="29" borderId="205" xfId="0" applyNumberFormat="1" applyFont="1" applyFill="1" applyBorder="1" applyAlignment="1">
      <alignment vertical="center" wrapText="1"/>
    </xf>
    <xf numFmtId="3" fontId="28" fillId="29" borderId="206" xfId="0" applyNumberFormat="1" applyFont="1" applyFill="1" applyBorder="1" applyAlignment="1">
      <alignment vertical="center" wrapText="1"/>
    </xf>
    <xf numFmtId="3" fontId="28" fillId="29" borderId="155" xfId="0" applyNumberFormat="1" applyFont="1" applyFill="1" applyBorder="1" applyAlignment="1">
      <alignment vertical="center" wrapText="1"/>
    </xf>
    <xf numFmtId="3" fontId="28" fillId="29" borderId="156" xfId="0" applyNumberFormat="1" applyFont="1" applyFill="1" applyBorder="1" applyAlignment="1">
      <alignment vertical="center" wrapText="1"/>
    </xf>
    <xf numFmtId="166" fontId="28" fillId="29" borderId="57" xfId="0" applyNumberFormat="1" applyFont="1" applyFill="1" applyBorder="1" applyAlignment="1">
      <alignment vertical="center" wrapText="1"/>
    </xf>
    <xf numFmtId="3" fontId="28" fillId="29" borderId="56" xfId="0" applyNumberFormat="1" applyFont="1" applyFill="1" applyBorder="1" applyAlignment="1">
      <alignment vertical="center" wrapText="1"/>
    </xf>
    <xf numFmtId="3" fontId="28" fillId="29" borderId="106" xfId="0" applyNumberFormat="1" applyFont="1" applyFill="1" applyBorder="1" applyAlignment="1">
      <alignment vertical="center" wrapText="1"/>
    </xf>
    <xf numFmtId="49" fontId="27" fillId="29" borderId="55" xfId="0" applyNumberFormat="1" applyFont="1" applyFill="1" applyBorder="1" applyAlignment="1">
      <alignment horizontal="center" vertical="center" wrapText="1"/>
    </xf>
    <xf numFmtId="49" fontId="21" fillId="29" borderId="38" xfId="0" applyNumberFormat="1" applyFont="1" applyFill="1" applyBorder="1" applyAlignment="1">
      <alignment horizontal="center" vertical="center" wrapText="1"/>
    </xf>
    <xf numFmtId="166" fontId="21" fillId="29" borderId="77" xfId="0" applyNumberFormat="1" applyFont="1" applyFill="1" applyBorder="1" applyAlignment="1">
      <alignment wrapText="1"/>
    </xf>
    <xf numFmtId="3" fontId="21" fillId="29" borderId="49" xfId="0" applyNumberFormat="1" applyFont="1" applyFill="1" applyBorder="1" applyAlignment="1">
      <alignment wrapText="1"/>
    </xf>
    <xf numFmtId="3" fontId="21" fillId="29" borderId="29" xfId="0" applyNumberFormat="1" applyFont="1" applyFill="1" applyBorder="1" applyAlignment="1">
      <alignment wrapText="1"/>
    </xf>
    <xf numFmtId="3" fontId="28" fillId="29" borderId="155" xfId="0" applyNumberFormat="1" applyFont="1" applyFill="1" applyBorder="1" applyAlignment="1">
      <alignment wrapText="1"/>
    </xf>
    <xf numFmtId="3" fontId="28" fillId="29" borderId="156" xfId="0" applyNumberFormat="1" applyFont="1" applyFill="1" applyBorder="1" applyAlignment="1">
      <alignment wrapText="1"/>
    </xf>
    <xf numFmtId="166" fontId="28" fillId="29" borderId="57" xfId="0" applyNumberFormat="1" applyFont="1" applyFill="1" applyBorder="1" applyAlignment="1">
      <alignment wrapText="1"/>
    </xf>
    <xf numFmtId="166" fontId="21" fillId="29" borderId="50" xfId="85" applyNumberFormat="1" applyFont="1" applyFill="1" applyBorder="1" applyAlignment="1">
      <alignment vertical="center" wrapText="1"/>
    </xf>
    <xf numFmtId="166" fontId="21" fillId="29" borderId="67" xfId="85" applyNumberFormat="1" applyFont="1" applyFill="1" applyBorder="1" applyAlignment="1">
      <alignment vertical="center" wrapText="1"/>
    </xf>
    <xf numFmtId="0" fontId="28" fillId="29" borderId="85" xfId="0" applyFont="1" applyFill="1" applyBorder="1" applyAlignment="1">
      <alignment vertical="center"/>
    </xf>
    <xf numFmtId="3" fontId="28" fillId="29" borderId="119" xfId="0" applyNumberFormat="1" applyFont="1" applyFill="1" applyBorder="1" applyAlignment="1">
      <alignment horizontal="center" vertical="center"/>
    </xf>
    <xf numFmtId="0" fontId="28" fillId="29" borderId="207" xfId="0" applyFont="1" applyFill="1" applyBorder="1" applyAlignment="1">
      <alignment horizontal="center" vertical="center"/>
    </xf>
    <xf numFmtId="3" fontId="28" fillId="29" borderId="208" xfId="0" applyNumberFormat="1" applyFont="1" applyFill="1" applyBorder="1" applyAlignment="1">
      <alignment vertical="center"/>
    </xf>
    <xf numFmtId="3" fontId="28" fillId="29" borderId="205" xfId="0" applyNumberFormat="1" applyFont="1" applyFill="1" applyBorder="1" applyAlignment="1">
      <alignment vertical="center"/>
    </xf>
    <xf numFmtId="3" fontId="28" fillId="29" borderId="24" xfId="0" applyNumberFormat="1" applyFont="1" applyFill="1" applyBorder="1" applyAlignment="1">
      <alignment vertical="center"/>
    </xf>
    <xf numFmtId="3" fontId="28" fillId="29" borderId="120" xfId="0" applyNumberFormat="1" applyFont="1" applyFill="1" applyBorder="1" applyAlignment="1">
      <alignment vertical="center"/>
    </xf>
    <xf numFmtId="3" fontId="21" fillId="29" borderId="128" xfId="0" applyNumberFormat="1" applyFont="1" applyFill="1" applyBorder="1" applyAlignment="1">
      <alignment horizontal="right"/>
    </xf>
    <xf numFmtId="3" fontId="21" fillId="29" borderId="159" xfId="0" applyNumberFormat="1" applyFont="1" applyFill="1" applyBorder="1" applyAlignment="1">
      <alignment horizontal="right"/>
    </xf>
    <xf numFmtId="3" fontId="29" fillId="29" borderId="159" xfId="0" applyNumberFormat="1" applyFont="1" applyFill="1" applyBorder="1"/>
    <xf numFmtId="3" fontId="29" fillId="29" borderId="130" xfId="0" applyNumberFormat="1" applyFont="1" applyFill="1" applyBorder="1"/>
    <xf numFmtId="3" fontId="21" fillId="29" borderId="33" xfId="0" applyNumberFormat="1" applyFont="1" applyFill="1" applyBorder="1" applyAlignment="1">
      <alignment horizontal="right"/>
    </xf>
    <xf numFmtId="3" fontId="21" fillId="29" borderId="159" xfId="0" applyNumberFormat="1" applyFont="1" applyFill="1" applyBorder="1"/>
    <xf numFmtId="3" fontId="21" fillId="29" borderId="33" xfId="0" applyNumberFormat="1" applyFont="1" applyFill="1" applyBorder="1"/>
    <xf numFmtId="3" fontId="21" fillId="29" borderId="130" xfId="0" applyNumberFormat="1" applyFont="1" applyFill="1" applyBorder="1"/>
    <xf numFmtId="3" fontId="21" fillId="29" borderId="37" xfId="0" applyNumberFormat="1" applyFont="1" applyFill="1" applyBorder="1"/>
    <xf numFmtId="3" fontId="21" fillId="27" borderId="43" xfId="0" applyNumberFormat="1" applyFont="1" applyFill="1" applyBorder="1" applyAlignment="1">
      <alignment horizontal="center"/>
    </xf>
    <xf numFmtId="17" fontId="21" fillId="27" borderId="52" xfId="0" quotePrefix="1" applyNumberFormat="1" applyFont="1" applyFill="1" applyBorder="1" applyAlignment="1">
      <alignment horizontal="center"/>
    </xf>
    <xf numFmtId="17" fontId="21" fillId="27" borderId="53" xfId="0" quotePrefix="1" applyNumberFormat="1" applyFont="1" applyFill="1" applyBorder="1" applyAlignment="1">
      <alignment horizontal="center"/>
    </xf>
    <xf numFmtId="3" fontId="21" fillId="27" borderId="54" xfId="0" applyNumberFormat="1" applyFont="1" applyFill="1" applyBorder="1" applyAlignment="1">
      <alignment horizontal="right"/>
    </xf>
    <xf numFmtId="0" fontId="28" fillId="27" borderId="202" xfId="0" applyFont="1" applyFill="1" applyBorder="1" applyAlignment="1">
      <alignment wrapText="1"/>
    </xf>
    <xf numFmtId="3" fontId="21" fillId="27" borderId="38" xfId="0" applyNumberFormat="1" applyFont="1" applyFill="1" applyBorder="1" applyAlignment="1">
      <alignment horizontal="right"/>
    </xf>
    <xf numFmtId="3" fontId="21" fillId="27" borderId="43" xfId="0" applyNumberFormat="1" applyFont="1" applyFill="1" applyBorder="1" applyAlignment="1">
      <alignment horizontal="right"/>
    </xf>
    <xf numFmtId="3" fontId="21" fillId="27" borderId="50" xfId="0" applyNumberFormat="1" applyFont="1" applyFill="1" applyBorder="1" applyAlignment="1">
      <alignment horizontal="right"/>
    </xf>
    <xf numFmtId="3" fontId="21" fillId="27" borderId="29" xfId="0" applyNumberFormat="1" applyFont="1" applyFill="1" applyBorder="1" applyAlignment="1">
      <alignment horizontal="right"/>
    </xf>
    <xf numFmtId="3" fontId="21" fillId="27" borderId="23" xfId="0" applyNumberFormat="1" applyFont="1" applyFill="1" applyBorder="1" applyAlignment="1">
      <alignment horizontal="right"/>
    </xf>
    <xf numFmtId="3" fontId="21" fillId="27" borderId="67" xfId="0" applyNumberFormat="1" applyFont="1" applyFill="1" applyBorder="1" applyAlignment="1">
      <alignment horizontal="right"/>
    </xf>
    <xf numFmtId="0" fontId="21" fillId="27" borderId="44" xfId="0" applyFont="1" applyFill="1" applyBorder="1" applyAlignment="1">
      <alignment wrapText="1"/>
    </xf>
    <xf numFmtId="3" fontId="21" fillId="27" borderId="46" xfId="0" applyNumberFormat="1" applyFont="1" applyFill="1" applyBorder="1" applyAlignment="1">
      <alignment horizontal="right"/>
    </xf>
    <xf numFmtId="0" fontId="21" fillId="27" borderId="80" xfId="0" applyFont="1" applyFill="1" applyBorder="1" applyAlignment="1">
      <alignment wrapText="1"/>
    </xf>
    <xf numFmtId="3" fontId="21" fillId="27" borderId="81" xfId="0" applyNumberFormat="1" applyFont="1" applyFill="1" applyBorder="1" applyAlignment="1">
      <alignment horizontal="right"/>
    </xf>
    <xf numFmtId="3" fontId="21" fillId="27" borderId="82" xfId="0" applyNumberFormat="1" applyFont="1" applyFill="1" applyBorder="1" applyAlignment="1">
      <alignment horizontal="right"/>
    </xf>
    <xf numFmtId="3" fontId="21" fillId="27" borderId="83" xfId="0" applyNumberFormat="1" applyFont="1" applyFill="1" applyBorder="1" applyAlignment="1">
      <alignment horizontal="right"/>
    </xf>
    <xf numFmtId="3" fontId="21" fillId="27" borderId="27" xfId="0" applyNumberFormat="1" applyFont="1" applyFill="1" applyBorder="1" applyAlignment="1">
      <alignment horizontal="right"/>
    </xf>
    <xf numFmtId="3" fontId="21" fillId="27" borderId="169" xfId="0" applyNumberFormat="1" applyFont="1" applyFill="1" applyBorder="1" applyAlignment="1">
      <alignment horizontal="right"/>
    </xf>
    <xf numFmtId="3" fontId="21" fillId="27" borderId="21" xfId="0" applyNumberFormat="1" applyFont="1" applyFill="1" applyBorder="1" applyAlignment="1">
      <alignment horizontal="right"/>
    </xf>
    <xf numFmtId="0" fontId="21" fillId="27" borderId="71" xfId="0" applyFont="1" applyFill="1" applyBorder="1" applyAlignment="1">
      <alignment wrapText="1"/>
    </xf>
    <xf numFmtId="3" fontId="21" fillId="27" borderId="72" xfId="0" applyNumberFormat="1" applyFont="1" applyFill="1" applyBorder="1" applyAlignment="1">
      <alignment horizontal="right"/>
    </xf>
    <xf numFmtId="3" fontId="21" fillId="27" borderId="73" xfId="0" applyNumberFormat="1" applyFont="1" applyFill="1" applyBorder="1" applyAlignment="1">
      <alignment horizontal="right"/>
    </xf>
    <xf numFmtId="3" fontId="21" fillId="27" borderId="74" xfId="0" applyNumberFormat="1" applyFont="1" applyFill="1" applyBorder="1" applyAlignment="1">
      <alignment horizontal="right"/>
    </xf>
    <xf numFmtId="0" fontId="28" fillId="27" borderId="80" xfId="0" applyFont="1" applyFill="1" applyBorder="1" applyAlignment="1">
      <alignment wrapText="1"/>
    </xf>
    <xf numFmtId="0" fontId="21" fillId="27" borderId="36" xfId="0" applyFont="1" applyFill="1" applyBorder="1" applyAlignment="1">
      <alignment wrapText="1"/>
    </xf>
    <xf numFmtId="3" fontId="21" fillId="27" borderId="81" xfId="0" applyNumberFormat="1" applyFont="1" applyFill="1" applyBorder="1"/>
    <xf numFmtId="3" fontId="21" fillId="27" borderId="82" xfId="0" applyNumberFormat="1" applyFont="1" applyFill="1" applyBorder="1"/>
    <xf numFmtId="3" fontId="21" fillId="27" borderId="83" xfId="0" applyNumberFormat="1" applyFont="1" applyFill="1" applyBorder="1"/>
    <xf numFmtId="3" fontId="21" fillId="27" borderId="45" xfId="0" applyNumberFormat="1" applyFont="1" applyFill="1" applyBorder="1"/>
    <xf numFmtId="166" fontId="21" fillId="0" borderId="50" xfId="54" applyNumberFormat="1" applyFont="1" applyFill="1" applyBorder="1" applyAlignment="1">
      <alignment horizontal="right" wrapText="1"/>
    </xf>
    <xf numFmtId="166" fontId="21" fillId="0" borderId="209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166" fontId="21" fillId="0" borderId="38" xfId="0" applyNumberFormat="1" applyFont="1" applyFill="1" applyBorder="1" applyAlignment="1">
      <alignment horizontal="right" wrapText="1"/>
    </xf>
    <xf numFmtId="169" fontId="21" fillId="0" borderId="23" xfId="54" applyNumberFormat="1" applyFont="1" applyFill="1" applyBorder="1" applyAlignment="1">
      <alignment horizontal="right" wrapText="1"/>
    </xf>
    <xf numFmtId="166" fontId="21" fillId="0" borderId="67" xfId="54" applyNumberFormat="1" applyFont="1" applyFill="1" applyBorder="1" applyAlignment="1">
      <alignment horizontal="right" wrapText="1"/>
    </xf>
    <xf numFmtId="3" fontId="28" fillId="0" borderId="20" xfId="0" applyNumberFormat="1" applyFont="1" applyFill="1" applyBorder="1" applyAlignment="1">
      <alignment wrapText="1"/>
    </xf>
    <xf numFmtId="166" fontId="28" fillId="0" borderId="38" xfId="0" applyNumberFormat="1" applyFont="1" applyFill="1" applyBorder="1" applyAlignment="1">
      <alignment horizontal="right" wrapText="1"/>
    </xf>
    <xf numFmtId="166" fontId="28" fillId="0" borderId="20" xfId="0" applyNumberFormat="1" applyFont="1" applyFill="1" applyBorder="1" applyAlignment="1">
      <alignment wrapText="1"/>
    </xf>
    <xf numFmtId="166" fontId="28" fillId="0" borderId="0" xfId="0" applyNumberFormat="1" applyFont="1" applyFill="1" applyBorder="1" applyAlignment="1">
      <alignment horizontal="right" wrapText="1"/>
    </xf>
    <xf numFmtId="1" fontId="28" fillId="0" borderId="0" xfId="85" applyNumberFormat="1" applyFont="1" applyFill="1" applyBorder="1" applyAlignment="1">
      <alignment wrapText="1"/>
    </xf>
    <xf numFmtId="3" fontId="29" fillId="0" borderId="61" xfId="0" applyNumberFormat="1" applyFont="1" applyFill="1" applyBorder="1" applyAlignment="1">
      <alignment wrapText="1"/>
    </xf>
    <xf numFmtId="169" fontId="21" fillId="0" borderId="45" xfId="54" applyNumberFormat="1" applyFont="1" applyFill="1" applyBorder="1" applyAlignment="1">
      <alignment wrapText="1"/>
    </xf>
    <xf numFmtId="169" fontId="21" fillId="0" borderId="22" xfId="54" applyNumberFormat="1" applyFont="1" applyFill="1" applyBorder="1" applyAlignment="1">
      <alignment wrapText="1"/>
    </xf>
    <xf numFmtId="3" fontId="21" fillId="0" borderId="209" xfId="0" applyNumberFormat="1" applyFont="1" applyFill="1" applyBorder="1" applyAlignment="1">
      <alignment wrapText="1"/>
    </xf>
    <xf numFmtId="0" fontId="21" fillId="0" borderId="209" xfId="0" applyFont="1" applyFill="1" applyBorder="1" applyAlignment="1">
      <alignment wrapText="1"/>
    </xf>
    <xf numFmtId="166" fontId="28" fillId="0" borderId="209" xfId="0" applyNumberFormat="1" applyFont="1" applyFill="1" applyBorder="1" applyAlignment="1">
      <alignment wrapText="1"/>
    </xf>
    <xf numFmtId="3" fontId="25" fillId="0" borderId="41" xfId="0" applyNumberFormat="1" applyFont="1" applyFill="1" applyBorder="1" applyAlignment="1">
      <alignment horizontal="center" wrapText="1"/>
    </xf>
    <xf numFmtId="49" fontId="25" fillId="0" borderId="19" xfId="0" applyNumberFormat="1" applyFont="1" applyFill="1" applyBorder="1" applyAlignment="1">
      <alignment horizontal="center" wrapText="1"/>
    </xf>
    <xf numFmtId="49" fontId="19" fillId="0" borderId="43" xfId="0" applyNumberFormat="1" applyFont="1" applyFill="1" applyBorder="1" applyAlignment="1">
      <alignment horizontal="right" wrapText="1"/>
    </xf>
    <xf numFmtId="166" fontId="21" fillId="0" borderId="0" xfId="0" applyNumberFormat="1" applyFont="1" applyFill="1" applyBorder="1" applyAlignment="1">
      <alignment horizontal="center" wrapText="1"/>
    </xf>
    <xf numFmtId="49" fontId="21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 wrapText="1"/>
    </xf>
    <xf numFmtId="0" fontId="28" fillId="0" borderId="25" xfId="0" applyFont="1" applyFill="1" applyBorder="1" applyAlignment="1">
      <alignment wrapText="1"/>
    </xf>
    <xf numFmtId="3" fontId="28" fillId="0" borderId="25" xfId="0" applyNumberFormat="1" applyFont="1" applyFill="1" applyBorder="1" applyAlignment="1">
      <alignment wrapText="1"/>
    </xf>
    <xf numFmtId="0" fontId="21" fillId="0" borderId="16" xfId="0" applyFont="1" applyFill="1" applyBorder="1" applyAlignment="1">
      <alignment horizontal="justify"/>
    </xf>
    <xf numFmtId="0" fontId="29" fillId="0" borderId="16" xfId="0" applyFont="1" applyFill="1" applyBorder="1" applyAlignment="1">
      <alignment wrapText="1"/>
    </xf>
    <xf numFmtId="0" fontId="21" fillId="0" borderId="28" xfId="0" applyFont="1" applyFill="1" applyBorder="1" applyAlignment="1">
      <alignment horizontal="left"/>
    </xf>
    <xf numFmtId="0" fontId="28" fillId="0" borderId="18" xfId="0" applyFont="1" applyFill="1" applyBorder="1" applyAlignment="1">
      <alignment wrapText="1"/>
    </xf>
    <xf numFmtId="0" fontId="28" fillId="0" borderId="30" xfId="0" applyFont="1" applyFill="1" applyBorder="1" applyAlignment="1">
      <alignment horizontal="left"/>
    </xf>
    <xf numFmtId="169" fontId="21" fillId="0" borderId="30" xfId="54" applyNumberFormat="1" applyFont="1" applyFill="1" applyBorder="1" applyAlignment="1">
      <alignment wrapText="1"/>
    </xf>
    <xf numFmtId="169" fontId="21" fillId="0" borderId="16" xfId="54" applyNumberFormat="1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49" fontId="25" fillId="0" borderId="43" xfId="0" applyNumberFormat="1" applyFont="1" applyFill="1" applyBorder="1" applyAlignment="1">
      <alignment horizontal="center" wrapText="1"/>
    </xf>
    <xf numFmtId="49" fontId="27" fillId="0" borderId="156" xfId="0" applyNumberFormat="1" applyFont="1" applyFill="1" applyBorder="1" applyAlignment="1">
      <alignment vertical="top" wrapText="1"/>
    </xf>
    <xf numFmtId="49" fontId="21" fillId="0" borderId="57" xfId="0" applyNumberFormat="1" applyFont="1" applyFill="1" applyBorder="1" applyAlignment="1">
      <alignment horizontal="right" vertical="top" wrapText="1"/>
    </xf>
    <xf numFmtId="3" fontId="21" fillId="0" borderId="0" xfId="54" applyNumberFormat="1" applyFont="1" applyFill="1" applyBorder="1" applyAlignment="1">
      <alignment wrapText="1"/>
    </xf>
    <xf numFmtId="0" fontId="28" fillId="0" borderId="36" xfId="0" applyFont="1" applyFill="1" applyBorder="1" applyAlignment="1">
      <alignment horizontal="center" vertical="top" wrapText="1"/>
    </xf>
    <xf numFmtId="3" fontId="27" fillId="0" borderId="36" xfId="0" applyNumberFormat="1" applyFont="1" applyFill="1" applyBorder="1" applyAlignment="1">
      <alignment horizontal="center" vertical="center"/>
    </xf>
    <xf numFmtId="49" fontId="27" fillId="0" borderId="55" xfId="0" applyNumberFormat="1" applyFont="1" applyFill="1" applyBorder="1" applyAlignment="1">
      <alignment horizontal="center" vertical="center"/>
    </xf>
    <xf numFmtId="166" fontId="27" fillId="0" borderId="38" xfId="0" applyNumberFormat="1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justify"/>
    </xf>
    <xf numFmtId="49" fontId="27" fillId="0" borderId="56" xfId="0" applyNumberFormat="1" applyFont="1" applyFill="1" applyBorder="1" applyAlignment="1">
      <alignment vertical="top" wrapText="1"/>
    </xf>
    <xf numFmtId="49" fontId="27" fillId="0" borderId="57" xfId="0" applyNumberFormat="1" applyFont="1" applyFill="1" applyBorder="1" applyAlignment="1">
      <alignment horizontal="right" vertical="top" wrapText="1"/>
    </xf>
    <xf numFmtId="49" fontId="27" fillId="0" borderId="39" xfId="0" applyNumberFormat="1" applyFont="1" applyFill="1" applyBorder="1" applyAlignment="1">
      <alignment vertical="top" wrapText="1"/>
    </xf>
    <xf numFmtId="3" fontId="21" fillId="0" borderId="41" xfId="0" applyNumberFormat="1" applyFont="1" applyFill="1" applyBorder="1" applyAlignment="1">
      <alignment horizontal="center" vertical="top" wrapText="1"/>
    </xf>
    <xf numFmtId="3" fontId="21" fillId="0" borderId="19" xfId="0" applyNumberFormat="1" applyFont="1" applyFill="1" applyBorder="1" applyAlignment="1">
      <alignment horizontal="center" vertical="top" wrapText="1"/>
    </xf>
    <xf numFmtId="3" fontId="21" fillId="0" borderId="58" xfId="0" applyNumberFormat="1" applyFont="1" applyFill="1" applyBorder="1" applyAlignment="1">
      <alignment horizontal="center" vertical="top" wrapText="1"/>
    </xf>
    <xf numFmtId="166" fontId="21" fillId="0" borderId="43" xfId="0" applyNumberFormat="1" applyFont="1" applyFill="1" applyBorder="1" applyAlignment="1">
      <alignment horizontal="center" vertical="top" wrapText="1"/>
    </xf>
    <xf numFmtId="49" fontId="21" fillId="0" borderId="19" xfId="0" applyNumberFormat="1" applyFont="1" applyFill="1" applyBorder="1" applyAlignment="1">
      <alignment horizontal="center" vertical="top" wrapText="1"/>
    </xf>
    <xf numFmtId="49" fontId="21" fillId="0" borderId="58" xfId="0" applyNumberFormat="1" applyFont="1" applyFill="1" applyBorder="1" applyAlignment="1">
      <alignment horizontal="center" vertical="top" wrapText="1"/>
    </xf>
    <xf numFmtId="3" fontId="21" fillId="0" borderId="59" xfId="0" applyNumberFormat="1" applyFont="1" applyFill="1" applyBorder="1" applyAlignment="1">
      <alignment horizontal="center" vertical="top" wrapText="1"/>
    </xf>
    <xf numFmtId="49" fontId="21" fillId="0" borderId="75" xfId="0" applyNumberFormat="1" applyFont="1" applyFill="1" applyBorder="1" applyAlignment="1">
      <alignment horizontal="center" vertical="top" wrapText="1"/>
    </xf>
    <xf numFmtId="49" fontId="21" fillId="0" borderId="76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justify"/>
    </xf>
    <xf numFmtId="3" fontId="21" fillId="0" borderId="41" xfId="54" applyNumberFormat="1" applyFont="1" applyFill="1" applyBorder="1" applyAlignment="1">
      <alignment wrapText="1"/>
    </xf>
    <xf numFmtId="43" fontId="21" fillId="0" borderId="19" xfId="54" applyFont="1" applyFill="1" applyBorder="1" applyAlignment="1">
      <alignment wrapText="1"/>
    </xf>
    <xf numFmtId="3" fontId="21" fillId="0" borderId="19" xfId="54" applyNumberFormat="1" applyFont="1" applyFill="1" applyBorder="1" applyAlignment="1">
      <alignment wrapText="1"/>
    </xf>
    <xf numFmtId="166" fontId="21" fillId="0" borderId="43" xfId="54" applyNumberFormat="1" applyFont="1" applyFill="1" applyBorder="1" applyAlignment="1">
      <alignment wrapText="1"/>
    </xf>
    <xf numFmtId="3" fontId="21" fillId="0" borderId="58" xfId="54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justify"/>
    </xf>
    <xf numFmtId="43" fontId="21" fillId="0" borderId="58" xfId="54" applyFont="1" applyFill="1" applyBorder="1" applyAlignment="1">
      <alignment wrapText="1"/>
    </xf>
    <xf numFmtId="0" fontId="21" fillId="0" borderId="0" xfId="0" applyFont="1" applyFill="1" applyBorder="1" applyAlignment="1">
      <alignment horizontal="left"/>
    </xf>
    <xf numFmtId="3" fontId="21" fillId="0" borderId="52" xfId="0" applyNumberFormat="1" applyFont="1" applyFill="1" applyBorder="1" applyAlignment="1">
      <alignment wrapText="1"/>
    </xf>
    <xf numFmtId="3" fontId="21" fillId="0" borderId="53" xfId="0" applyNumberFormat="1" applyFont="1" applyFill="1" applyBorder="1" applyAlignment="1">
      <alignment wrapText="1"/>
    </xf>
    <xf numFmtId="166" fontId="21" fillId="0" borderId="38" xfId="54" applyNumberFormat="1" applyFont="1" applyFill="1" applyBorder="1" applyAlignment="1">
      <alignment wrapText="1"/>
    </xf>
    <xf numFmtId="169" fontId="21" fillId="0" borderId="23" xfId="54" applyNumberFormat="1" applyFont="1" applyFill="1" applyBorder="1" applyAlignment="1">
      <alignment wrapText="1"/>
    </xf>
    <xf numFmtId="3" fontId="28" fillId="0" borderId="86" xfId="0" applyNumberFormat="1" applyFont="1" applyFill="1" applyBorder="1" applyAlignment="1">
      <alignment vertical="center" wrapText="1"/>
    </xf>
    <xf numFmtId="3" fontId="28" fillId="0" borderId="24" xfId="0" applyNumberFormat="1" applyFont="1" applyFill="1" applyBorder="1" applyAlignment="1">
      <alignment vertical="center" wrapText="1"/>
    </xf>
    <xf numFmtId="169" fontId="21" fillId="0" borderId="24" xfId="54" applyNumberFormat="1" applyFont="1" applyFill="1" applyBorder="1" applyAlignment="1">
      <alignment wrapText="1"/>
    </xf>
    <xf numFmtId="0" fontId="28" fillId="0" borderId="13" xfId="0" applyFont="1" applyFill="1" applyBorder="1" applyAlignment="1">
      <alignment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55" xfId="0" applyNumberFormat="1" applyFont="1" applyFill="1" applyBorder="1" applyAlignment="1">
      <alignment vertical="center" wrapText="1"/>
    </xf>
    <xf numFmtId="3" fontId="28" fillId="0" borderId="62" xfId="0" applyNumberFormat="1" applyFont="1" applyFill="1" applyBorder="1" applyAlignment="1">
      <alignment vertical="center" wrapText="1"/>
    </xf>
    <xf numFmtId="3" fontId="28" fillId="0" borderId="41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169" fontId="21" fillId="0" borderId="19" xfId="54" applyNumberFormat="1" applyFont="1" applyFill="1" applyBorder="1" applyAlignment="1">
      <alignment wrapText="1"/>
    </xf>
    <xf numFmtId="3" fontId="29" fillId="0" borderId="60" xfId="0" applyNumberFormat="1" applyFont="1" applyFill="1" applyBorder="1" applyAlignment="1">
      <alignment vertical="center" wrapText="1"/>
    </xf>
    <xf numFmtId="3" fontId="29" fillId="0" borderId="65" xfId="0" applyNumberFormat="1" applyFont="1" applyFill="1" applyBorder="1" applyAlignment="1">
      <alignment wrapText="1"/>
    </xf>
    <xf numFmtId="0" fontId="29" fillId="0" borderId="0" xfId="0" applyFont="1" applyFill="1" applyBorder="1" applyAlignment="1">
      <alignment horizontal="left"/>
    </xf>
    <xf numFmtId="3" fontId="29" fillId="0" borderId="68" xfId="0" applyNumberFormat="1" applyFont="1" applyFill="1" applyBorder="1" applyAlignment="1">
      <alignment vertical="center" wrapText="1"/>
    </xf>
    <xf numFmtId="3" fontId="29" fillId="0" borderId="66" xfId="0" applyNumberFormat="1" applyFont="1" applyFill="1" applyBorder="1" applyAlignment="1">
      <alignment wrapText="1"/>
    </xf>
    <xf numFmtId="0" fontId="21" fillId="0" borderId="45" xfId="0" applyFont="1" applyFill="1" applyBorder="1" applyAlignment="1">
      <alignment horizontal="left"/>
    </xf>
    <xf numFmtId="3" fontId="21" fillId="0" borderId="64" xfId="0" applyNumberFormat="1" applyFont="1" applyFill="1" applyBorder="1" applyAlignment="1">
      <alignment vertical="center" wrapText="1"/>
    </xf>
    <xf numFmtId="166" fontId="21" fillId="0" borderId="46" xfId="54" applyNumberFormat="1" applyFont="1" applyFill="1" applyBorder="1" applyAlignment="1">
      <alignment wrapText="1"/>
    </xf>
    <xf numFmtId="3" fontId="21" fillId="0" borderId="63" xfId="0" applyNumberFormat="1" applyFont="1" applyFill="1" applyBorder="1" applyAlignment="1">
      <alignment wrapText="1"/>
    </xf>
    <xf numFmtId="0" fontId="29" fillId="0" borderId="15" xfId="0" applyFont="1" applyFill="1" applyBorder="1" applyAlignment="1">
      <alignment horizontal="left"/>
    </xf>
    <xf numFmtId="3" fontId="29" fillId="0" borderId="25" xfId="0" applyNumberFormat="1" applyFont="1" applyFill="1" applyBorder="1" applyAlignment="1">
      <alignment vertical="center" wrapText="1"/>
    </xf>
    <xf numFmtId="0" fontId="29" fillId="0" borderId="26" xfId="0" applyFont="1" applyFill="1" applyBorder="1" applyAlignment="1">
      <alignment horizontal="left"/>
    </xf>
    <xf numFmtId="3" fontId="29" fillId="0" borderId="23" xfId="0" applyNumberFormat="1" applyFont="1" applyFill="1" applyBorder="1" applyAlignment="1">
      <alignment vertical="center" wrapText="1"/>
    </xf>
    <xf numFmtId="0" fontId="21" fillId="0" borderId="4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3" fontId="29" fillId="0" borderId="21" xfId="0" applyNumberFormat="1" applyFont="1" applyFill="1" applyBorder="1" applyAlignment="1">
      <alignment wrapText="1"/>
    </xf>
    <xf numFmtId="166" fontId="21" fillId="0" borderId="74" xfId="54" applyNumberFormat="1" applyFont="1" applyFill="1" applyBorder="1" applyAlignment="1">
      <alignment wrapText="1"/>
    </xf>
    <xf numFmtId="3" fontId="28" fillId="0" borderId="58" xfId="0" applyNumberFormat="1" applyFont="1" applyFill="1" applyBorder="1" applyAlignment="1">
      <alignment wrapText="1"/>
    </xf>
    <xf numFmtId="3" fontId="28" fillId="0" borderId="49" xfId="0" applyNumberFormat="1" applyFont="1" applyFill="1" applyBorder="1" applyAlignment="1">
      <alignment wrapText="1"/>
    </xf>
    <xf numFmtId="3" fontId="28" fillId="0" borderId="65" xfId="0" applyNumberFormat="1" applyFont="1" applyFill="1" applyBorder="1" applyAlignment="1">
      <alignment wrapText="1"/>
    </xf>
    <xf numFmtId="0" fontId="21" fillId="0" borderId="100" xfId="0" applyFont="1" applyFill="1" applyBorder="1" applyAlignment="1">
      <alignment horizontal="left"/>
    </xf>
    <xf numFmtId="3" fontId="21" fillId="0" borderId="182" xfId="0" applyNumberFormat="1" applyFont="1" applyFill="1" applyBorder="1" applyAlignment="1">
      <alignment vertical="center" wrapText="1"/>
    </xf>
    <xf numFmtId="3" fontId="21" fillId="0" borderId="102" xfId="0" applyNumberFormat="1" applyFont="1" applyFill="1" applyBorder="1" applyAlignment="1">
      <alignment wrapText="1"/>
    </xf>
    <xf numFmtId="0" fontId="29" fillId="0" borderId="14" xfId="0" applyFont="1" applyFill="1" applyBorder="1" applyAlignment="1">
      <alignment horizontal="left"/>
    </xf>
    <xf numFmtId="3" fontId="29" fillId="0" borderId="60" xfId="0" applyNumberFormat="1" applyFont="1" applyFill="1" applyBorder="1" applyAlignment="1">
      <alignment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69" xfId="0" applyNumberFormat="1" applyFont="1" applyFill="1" applyBorder="1" applyAlignment="1">
      <alignment wrapText="1"/>
    </xf>
    <xf numFmtId="3" fontId="29" fillId="0" borderId="183" xfId="0" applyNumberFormat="1" applyFont="1" applyFill="1" applyBorder="1" applyAlignment="1">
      <alignment vertical="center" wrapText="1"/>
    </xf>
    <xf numFmtId="3" fontId="29" fillId="0" borderId="79" xfId="0" applyNumberFormat="1" applyFont="1" applyFill="1" applyBorder="1" applyAlignment="1">
      <alignment wrapText="1"/>
    </xf>
    <xf numFmtId="0" fontId="21" fillId="0" borderId="210" xfId="0" applyFont="1" applyFill="1" applyBorder="1" applyAlignment="1">
      <alignment horizontal="left"/>
    </xf>
    <xf numFmtId="3" fontId="21" fillId="0" borderId="211" xfId="0" applyNumberFormat="1" applyFont="1" applyFill="1" applyBorder="1" applyAlignment="1">
      <alignment vertical="center" wrapText="1"/>
    </xf>
    <xf numFmtId="3" fontId="21" fillId="0" borderId="211" xfId="0" applyNumberFormat="1" applyFont="1" applyFill="1" applyBorder="1" applyAlignment="1">
      <alignment wrapText="1"/>
    </xf>
    <xf numFmtId="3" fontId="21" fillId="0" borderId="212" xfId="0" applyNumberFormat="1" applyFont="1" applyFill="1" applyBorder="1" applyAlignment="1">
      <alignment wrapText="1"/>
    </xf>
    <xf numFmtId="3" fontId="21" fillId="0" borderId="213" xfId="0" applyNumberFormat="1" applyFont="1" applyFill="1" applyBorder="1" applyAlignment="1">
      <alignment vertical="center" wrapText="1"/>
    </xf>
    <xf numFmtId="3" fontId="21" fillId="0" borderId="214" xfId="0" applyNumberFormat="1" applyFont="1" applyFill="1" applyBorder="1" applyAlignment="1">
      <alignment wrapText="1"/>
    </xf>
    <xf numFmtId="169" fontId="21" fillId="0" borderId="20" xfId="54" applyNumberFormat="1" applyFont="1" applyFill="1" applyBorder="1" applyAlignment="1">
      <alignment wrapText="1"/>
    </xf>
    <xf numFmtId="3" fontId="21" fillId="0" borderId="88" xfId="0" applyNumberFormat="1" applyFont="1" applyFill="1" applyBorder="1" applyAlignment="1">
      <alignment wrapText="1"/>
    </xf>
    <xf numFmtId="0" fontId="28" fillId="0" borderId="85" xfId="0" applyFont="1" applyFill="1" applyBorder="1" applyAlignment="1">
      <alignment horizontal="left"/>
    </xf>
    <xf numFmtId="3" fontId="28" fillId="0" borderId="205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horizontal="left"/>
    </xf>
    <xf numFmtId="0" fontId="21" fillId="0" borderId="14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166" fontId="21" fillId="0" borderId="46" xfId="0" applyNumberFormat="1" applyFont="1" applyFill="1" applyBorder="1" applyAlignment="1">
      <alignment wrapText="1"/>
    </xf>
    <xf numFmtId="2" fontId="21" fillId="0" borderId="44" xfId="0" applyNumberFormat="1" applyFont="1" applyFill="1" applyBorder="1" applyAlignment="1">
      <alignment wrapText="1"/>
    </xf>
    <xf numFmtId="43" fontId="21" fillId="0" borderId="22" xfId="54" applyFont="1" applyFill="1" applyBorder="1" applyAlignment="1">
      <alignment vertical="center" wrapText="1"/>
    </xf>
    <xf numFmtId="3" fontId="21" fillId="0" borderId="45" xfId="54" applyNumberFormat="1" applyFont="1" applyFill="1" applyBorder="1" applyAlignment="1">
      <alignment wrapText="1"/>
    </xf>
    <xf numFmtId="3" fontId="21" fillId="0" borderId="64" xfId="54" applyNumberFormat="1" applyFont="1" applyFill="1" applyBorder="1" applyAlignment="1">
      <alignment vertical="center" wrapText="1"/>
    </xf>
    <xf numFmtId="3" fontId="21" fillId="0" borderId="63" xfId="54" applyNumberFormat="1" applyFont="1" applyFill="1" applyBorder="1" applyAlignment="1">
      <alignment wrapText="1"/>
    </xf>
    <xf numFmtId="2" fontId="21" fillId="0" borderId="22" xfId="0" applyNumberFormat="1" applyFont="1" applyFill="1" applyBorder="1" applyAlignment="1">
      <alignment wrapText="1"/>
    </xf>
    <xf numFmtId="2" fontId="21" fillId="0" borderId="0" xfId="0" applyNumberFormat="1" applyFont="1" applyFill="1" applyBorder="1" applyAlignment="1">
      <alignment wrapText="1"/>
    </xf>
    <xf numFmtId="2" fontId="21" fillId="0" borderId="14" xfId="0" applyNumberFormat="1" applyFont="1" applyFill="1" applyBorder="1" applyAlignment="1">
      <alignment wrapText="1"/>
    </xf>
    <xf numFmtId="2" fontId="21" fillId="0" borderId="19" xfId="0" applyNumberFormat="1" applyFont="1" applyFill="1" applyBorder="1" applyAlignment="1">
      <alignment wrapText="1"/>
    </xf>
    <xf numFmtId="2" fontId="21" fillId="0" borderId="15" xfId="0" applyNumberFormat="1" applyFont="1" applyFill="1" applyBorder="1" applyAlignment="1">
      <alignment wrapText="1"/>
    </xf>
    <xf numFmtId="2" fontId="21" fillId="0" borderId="25" xfId="0" applyNumberFormat="1" applyFont="1" applyFill="1" applyBorder="1" applyAlignment="1">
      <alignment wrapText="1"/>
    </xf>
    <xf numFmtId="2" fontId="21" fillId="0" borderId="26" xfId="0" applyNumberFormat="1" applyFont="1" applyFill="1" applyBorder="1" applyAlignment="1">
      <alignment wrapText="1"/>
    </xf>
    <xf numFmtId="2" fontId="21" fillId="0" borderId="23" xfId="0" applyNumberFormat="1" applyFont="1" applyFill="1" applyBorder="1" applyAlignment="1">
      <alignment wrapText="1"/>
    </xf>
    <xf numFmtId="2" fontId="28" fillId="0" borderId="0" xfId="0" applyNumberFormat="1" applyFont="1" applyFill="1" applyBorder="1" applyAlignment="1">
      <alignment vertical="center" wrapText="1"/>
    </xf>
    <xf numFmtId="2" fontId="21" fillId="0" borderId="36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5" xfId="0" applyNumberFormat="1" applyFont="1" applyFill="1" applyBorder="1" applyAlignment="1">
      <alignment vertical="center" wrapText="1"/>
    </xf>
    <xf numFmtId="2" fontId="21" fillId="0" borderId="20" xfId="0" applyNumberFormat="1" applyFont="1" applyFill="1" applyBorder="1" applyAlignment="1">
      <alignment wrapText="1"/>
    </xf>
    <xf numFmtId="2" fontId="28" fillId="0" borderId="85" xfId="0" applyNumberFormat="1" applyFont="1" applyFill="1" applyBorder="1" applyAlignment="1">
      <alignment vertical="center" wrapText="1"/>
    </xf>
    <xf numFmtId="3" fontId="28" fillId="0" borderId="205" xfId="0" applyNumberFormat="1" applyFont="1" applyFill="1" applyBorder="1" applyAlignment="1">
      <alignment vertical="center" wrapText="1"/>
    </xf>
    <xf numFmtId="166" fontId="21" fillId="0" borderId="87" xfId="0" applyNumberFormat="1" applyFont="1" applyFill="1" applyBorder="1" applyAlignment="1">
      <alignment wrapText="1"/>
    </xf>
    <xf numFmtId="2" fontId="21" fillId="0" borderId="14" xfId="0" applyNumberFormat="1" applyFont="1" applyFill="1" applyBorder="1" applyAlignment="1">
      <alignment vertical="center" wrapText="1"/>
    </xf>
    <xf numFmtId="2" fontId="21" fillId="0" borderId="15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169" fontId="21" fillId="0" borderId="15" xfId="54" applyNumberFormat="1" applyFont="1" applyFill="1" applyBorder="1" applyAlignment="1">
      <alignment vertical="center" wrapText="1"/>
    </xf>
    <xf numFmtId="169" fontId="21" fillId="0" borderId="25" xfId="54" applyNumberFormat="1" applyFont="1" applyFill="1" applyBorder="1" applyAlignment="1">
      <alignment vertical="center" wrapText="1"/>
    </xf>
    <xf numFmtId="169" fontId="21" fillId="0" borderId="60" xfId="54" applyNumberFormat="1" applyFont="1" applyFill="1" applyBorder="1" applyAlignment="1">
      <alignment vertical="center" wrapText="1"/>
    </xf>
    <xf numFmtId="169" fontId="21" fillId="0" borderId="65" xfId="54" applyNumberFormat="1" applyFont="1" applyFill="1" applyBorder="1" applyAlignment="1">
      <alignment wrapText="1"/>
    </xf>
    <xf numFmtId="169" fontId="21" fillId="0" borderId="29" xfId="54" applyNumberFormat="1" applyFont="1" applyFill="1" applyBorder="1" applyAlignment="1">
      <alignment wrapText="1"/>
    </xf>
    <xf numFmtId="2" fontId="21" fillId="0" borderId="26" xfId="0" applyNumberFormat="1" applyFont="1" applyFill="1" applyBorder="1" applyAlignment="1">
      <alignment vertical="center" wrapText="1"/>
    </xf>
    <xf numFmtId="3" fontId="21" fillId="0" borderId="14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9" fillId="0" borderId="15" xfId="0" applyNumberFormat="1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wrapText="1"/>
    </xf>
    <xf numFmtId="0" fontId="29" fillId="0" borderId="68" xfId="0" applyFont="1" applyFill="1" applyBorder="1" applyAlignment="1">
      <alignment wrapText="1"/>
    </xf>
    <xf numFmtId="0" fontId="28" fillId="0" borderId="85" xfId="0" applyFont="1" applyFill="1" applyBorder="1" applyAlignment="1">
      <alignment vertical="center" wrapText="1"/>
    </xf>
    <xf numFmtId="0" fontId="28" fillId="0" borderId="75" xfId="0" applyFont="1" applyFill="1" applyBorder="1" applyAlignment="1">
      <alignment wrapText="1"/>
    </xf>
    <xf numFmtId="3" fontId="28" fillId="0" borderId="75" xfId="0" applyNumberFormat="1" applyFont="1" applyFill="1" applyBorder="1" applyAlignment="1">
      <alignment wrapText="1"/>
    </xf>
    <xf numFmtId="3" fontId="28" fillId="0" borderId="59" xfId="0" applyNumberFormat="1" applyFont="1" applyFill="1" applyBorder="1" applyAlignment="1">
      <alignment wrapText="1"/>
    </xf>
    <xf numFmtId="3" fontId="28" fillId="0" borderId="19" xfId="0" applyNumberFormat="1" applyFont="1" applyFill="1" applyBorder="1" applyAlignment="1">
      <alignment wrapText="1"/>
    </xf>
    <xf numFmtId="0" fontId="21" fillId="0" borderId="53" xfId="0" applyFont="1" applyFill="1" applyBorder="1" applyAlignment="1">
      <alignment wrapText="1"/>
    </xf>
    <xf numFmtId="0" fontId="28" fillId="0" borderId="36" xfId="0" applyFont="1" applyFill="1" applyBorder="1" applyAlignment="1">
      <alignment vertical="center" wrapText="1"/>
    </xf>
    <xf numFmtId="3" fontId="28" fillId="0" borderId="55" xfId="0" applyNumberFormat="1" applyFont="1" applyFill="1" applyBorder="1" applyAlignment="1">
      <alignment wrapText="1"/>
    </xf>
    <xf numFmtId="3" fontId="28" fillId="0" borderId="62" xfId="0" applyNumberFormat="1" applyFont="1" applyFill="1" applyBorder="1" applyAlignment="1">
      <alignment wrapText="1"/>
    </xf>
    <xf numFmtId="3" fontId="28" fillId="0" borderId="85" xfId="0" applyNumberFormat="1" applyFont="1" applyFill="1" applyBorder="1" applyAlignment="1">
      <alignment vertical="center" wrapText="1"/>
    </xf>
    <xf numFmtId="3" fontId="28" fillId="0" borderId="86" xfId="54" applyNumberFormat="1" applyFont="1" applyFill="1" applyBorder="1" applyAlignment="1">
      <alignment wrapText="1"/>
    </xf>
    <xf numFmtId="3" fontId="28" fillId="0" borderId="24" xfId="54" applyNumberFormat="1" applyFont="1" applyFill="1" applyBorder="1" applyAlignment="1">
      <alignment wrapText="1"/>
    </xf>
    <xf numFmtId="3" fontId="28" fillId="0" borderId="0" xfId="54" applyNumberFormat="1" applyFont="1" applyFill="1" applyBorder="1" applyAlignment="1">
      <alignment wrapText="1"/>
    </xf>
    <xf numFmtId="9" fontId="28" fillId="0" borderId="87" xfId="85" applyFont="1" applyFill="1" applyBorder="1" applyAlignment="1">
      <alignment wrapText="1"/>
    </xf>
    <xf numFmtId="0" fontId="21" fillId="0" borderId="85" xfId="0" applyFont="1" applyFill="1" applyBorder="1" applyAlignment="1">
      <alignment vertical="center" wrapText="1"/>
    </xf>
    <xf numFmtId="169" fontId="28" fillId="0" borderId="24" xfId="54" applyNumberFormat="1" applyFont="1" applyFill="1" applyBorder="1" applyAlignment="1">
      <alignment wrapText="1"/>
    </xf>
    <xf numFmtId="166" fontId="28" fillId="0" borderId="38" xfId="0" applyNumberFormat="1" applyFont="1" applyFill="1" applyBorder="1" applyAlignment="1">
      <alignment wrapText="1"/>
    </xf>
    <xf numFmtId="166" fontId="28" fillId="0" borderId="43" xfId="0" applyNumberFormat="1" applyFont="1" applyFill="1" applyBorder="1" applyAlignment="1">
      <alignment wrapText="1"/>
    </xf>
    <xf numFmtId="169" fontId="28" fillId="0" borderId="20" xfId="54" applyNumberFormat="1" applyFont="1" applyFill="1" applyBorder="1" applyAlignment="1">
      <alignment wrapText="1"/>
    </xf>
    <xf numFmtId="0" fontId="21" fillId="0" borderId="169" xfId="0" applyFont="1" applyFill="1" applyBorder="1" applyAlignment="1">
      <alignment wrapText="1"/>
    </xf>
    <xf numFmtId="166" fontId="21" fillId="0" borderId="25" xfId="54" applyNumberFormat="1" applyFont="1" applyFill="1" applyBorder="1" applyAlignment="1">
      <alignment wrapText="1"/>
    </xf>
    <xf numFmtId="166" fontId="21" fillId="0" borderId="19" xfId="54" applyNumberFormat="1" applyFont="1" applyFill="1" applyBorder="1" applyAlignment="1">
      <alignment wrapText="1"/>
    </xf>
    <xf numFmtId="166" fontId="28" fillId="0" borderId="87" xfId="0" applyNumberFormat="1" applyFont="1" applyFill="1" applyBorder="1" applyAlignment="1">
      <alignment vertical="center" wrapText="1"/>
    </xf>
    <xf numFmtId="166" fontId="29" fillId="0" borderId="43" xfId="0" applyNumberFormat="1" applyFont="1" applyFill="1" applyBorder="1" applyAlignment="1">
      <alignment vertical="center" wrapText="1"/>
    </xf>
    <xf numFmtId="166" fontId="29" fillId="0" borderId="38" xfId="0" applyNumberFormat="1" applyFont="1" applyFill="1" applyBorder="1" applyAlignment="1">
      <alignment vertical="center" wrapText="1"/>
    </xf>
    <xf numFmtId="166" fontId="21" fillId="0" borderId="83" xfId="0" applyNumberFormat="1" applyFont="1" applyFill="1" applyBorder="1" applyAlignment="1">
      <alignment vertical="center" wrapText="1"/>
    </xf>
    <xf numFmtId="166" fontId="21" fillId="0" borderId="87" xfId="0" applyNumberFormat="1" applyFont="1" applyFill="1" applyBorder="1" applyAlignment="1">
      <alignment vertical="center" wrapText="1"/>
    </xf>
    <xf numFmtId="166" fontId="21" fillId="0" borderId="57" xfId="0" applyNumberFormat="1" applyFont="1" applyFill="1" applyBorder="1" applyAlignment="1">
      <alignment vertical="center" wrapText="1"/>
    </xf>
    <xf numFmtId="0" fontId="21" fillId="0" borderId="48" xfId="0" applyFont="1" applyFill="1" applyBorder="1" applyAlignment="1">
      <alignment wrapText="1"/>
    </xf>
    <xf numFmtId="0" fontId="21" fillId="0" borderId="50" xfId="0" applyFont="1" applyFill="1" applyBorder="1" applyAlignment="1">
      <alignment wrapText="1"/>
    </xf>
    <xf numFmtId="49" fontId="21" fillId="0" borderId="59" xfId="0" applyNumberFormat="1" applyFont="1" applyFill="1" applyBorder="1" applyAlignment="1">
      <alignment horizontal="center" vertical="center" wrapText="1"/>
    </xf>
    <xf numFmtId="49" fontId="21" fillId="0" borderId="75" xfId="0" applyNumberFormat="1" applyFont="1" applyFill="1" applyBorder="1" applyAlignment="1">
      <alignment horizontal="center" vertical="center" wrapText="1"/>
    </xf>
    <xf numFmtId="166" fontId="21" fillId="0" borderId="77" xfId="0" applyNumberFormat="1" applyFont="1" applyFill="1" applyBorder="1" applyAlignment="1">
      <alignment horizontal="center" vertical="center" wrapText="1"/>
    </xf>
    <xf numFmtId="3" fontId="29" fillId="0" borderId="49" xfId="0" applyNumberFormat="1" applyFont="1" applyFill="1" applyBorder="1" applyAlignment="1">
      <alignment vertical="center" wrapText="1"/>
    </xf>
    <xf numFmtId="3" fontId="28" fillId="0" borderId="207" xfId="0" applyNumberFormat="1" applyFont="1" applyFill="1" applyBorder="1" applyAlignment="1">
      <alignment vertical="center" wrapText="1"/>
    </xf>
    <xf numFmtId="3" fontId="21" fillId="0" borderId="61" xfId="0" applyNumberFormat="1" applyFont="1" applyFill="1" applyBorder="1" applyAlignment="1">
      <alignment vertical="center" wrapText="1"/>
    </xf>
    <xf numFmtId="3" fontId="29" fillId="0" borderId="41" xfId="0" applyNumberFormat="1" applyFont="1" applyFill="1" applyBorder="1" applyAlignment="1">
      <alignment vertical="center" wrapText="1"/>
    </xf>
    <xf numFmtId="3" fontId="29" fillId="0" borderId="61" xfId="0" applyNumberFormat="1" applyFont="1" applyFill="1" applyBorder="1" applyAlignment="1">
      <alignment vertical="center" wrapText="1"/>
    </xf>
    <xf numFmtId="3" fontId="29" fillId="0" borderId="45" xfId="0" applyNumberFormat="1" applyFont="1" applyFill="1" applyBorder="1" applyAlignment="1">
      <alignment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86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1" xfId="0" applyFont="1" applyFill="1" applyBorder="1" applyAlignment="1">
      <alignment vertical="center" wrapText="1"/>
    </xf>
    <xf numFmtId="0" fontId="28" fillId="0" borderId="49" xfId="0" applyFont="1" applyFill="1" applyBorder="1" applyAlignment="1">
      <alignment vertical="center" wrapText="1"/>
    </xf>
    <xf numFmtId="169" fontId="21" fillId="0" borderId="41" xfId="54" applyNumberFormat="1" applyFont="1" applyFill="1" applyBorder="1" applyAlignment="1">
      <alignment vertical="center" wrapText="1"/>
    </xf>
    <xf numFmtId="166" fontId="21" fillId="0" borderId="61" xfId="0" applyNumberFormat="1" applyFont="1" applyFill="1" applyBorder="1" applyAlignment="1">
      <alignment wrapText="1"/>
    </xf>
    <xf numFmtId="169" fontId="28" fillId="0" borderId="86" xfId="54" applyNumberFormat="1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169" fontId="29" fillId="0" borderId="25" xfId="54" applyNumberFormat="1" applyFont="1" applyFill="1" applyBorder="1" applyAlignment="1">
      <alignment horizontal="right" wrapText="1"/>
    </xf>
    <xf numFmtId="166" fontId="29" fillId="0" borderId="50" xfId="54" applyNumberFormat="1" applyFont="1" applyFill="1" applyBorder="1" applyAlignment="1">
      <alignment horizontal="right" wrapText="1"/>
    </xf>
    <xf numFmtId="166" fontId="28" fillId="0" borderId="87" xfId="0" applyNumberFormat="1" applyFont="1" applyFill="1" applyBorder="1" applyAlignment="1">
      <alignment horizontal="right" wrapText="1"/>
    </xf>
    <xf numFmtId="166" fontId="28" fillId="0" borderId="46" xfId="0" applyNumberFormat="1" applyFont="1" applyFill="1" applyBorder="1" applyAlignment="1">
      <alignment horizontal="right" wrapText="1"/>
    </xf>
    <xf numFmtId="166" fontId="28" fillId="0" borderId="87" xfId="54" applyNumberFormat="1" applyFont="1" applyFill="1" applyBorder="1" applyAlignment="1">
      <alignment wrapText="1"/>
    </xf>
    <xf numFmtId="3" fontId="21" fillId="0" borderId="205" xfId="0" applyNumberFormat="1" applyFont="1" applyFill="1" applyBorder="1" applyAlignment="1">
      <alignment vertical="center" wrapText="1"/>
    </xf>
    <xf numFmtId="2" fontId="28" fillId="0" borderId="85" xfId="0" applyNumberFormat="1" applyFont="1" applyFill="1" applyBorder="1" applyAlignment="1">
      <alignment horizontal="left" vertical="center" wrapText="1"/>
    </xf>
    <xf numFmtId="2" fontId="28" fillId="0" borderId="0" xfId="0" applyNumberFormat="1" applyFont="1" applyFill="1" applyBorder="1" applyAlignment="1">
      <alignment horizontal="center" vertical="center" wrapText="1"/>
    </xf>
    <xf numFmtId="3" fontId="28" fillId="0" borderId="205" xfId="0" applyNumberFormat="1" applyFont="1" applyFill="1" applyBorder="1" applyAlignment="1">
      <alignment horizontal="right" vertical="center" wrapText="1"/>
    </xf>
    <xf numFmtId="3" fontId="28" fillId="0" borderId="24" xfId="0" applyNumberFormat="1" applyFont="1" applyFill="1" applyBorder="1" applyAlignment="1">
      <alignment horizontal="right" vertical="center" wrapText="1"/>
    </xf>
    <xf numFmtId="166" fontId="28" fillId="0" borderId="87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3" fontId="28" fillId="0" borderId="86" xfId="0" applyNumberFormat="1" applyFont="1" applyFill="1" applyBorder="1" applyAlignment="1">
      <alignment horizontal="right" vertical="center" wrapText="1"/>
    </xf>
    <xf numFmtId="169" fontId="28" fillId="0" borderId="24" xfId="54" applyNumberFormat="1" applyFont="1" applyFill="1" applyBorder="1" applyAlignment="1">
      <alignment horizontal="right" vertical="center" wrapText="1"/>
    </xf>
    <xf numFmtId="169" fontId="28" fillId="0" borderId="24" xfId="54" applyNumberFormat="1" applyFont="1" applyFill="1" applyBorder="1" applyAlignment="1">
      <alignment vertical="center" wrapText="1"/>
    </xf>
    <xf numFmtId="169" fontId="21" fillId="0" borderId="73" xfId="54" applyNumberFormat="1" applyFont="1" applyFill="1" applyBorder="1" applyAlignment="1">
      <alignment wrapText="1"/>
    </xf>
    <xf numFmtId="166" fontId="28" fillId="0" borderId="87" xfId="54" applyNumberFormat="1" applyFont="1" applyFill="1" applyBorder="1" applyAlignment="1">
      <alignment vertical="center" wrapText="1"/>
    </xf>
    <xf numFmtId="0" fontId="28" fillId="0" borderId="17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166" fontId="21" fillId="0" borderId="0" xfId="85" applyNumberFormat="1" applyFont="1" applyFill="1" applyAlignment="1">
      <alignment wrapText="1"/>
    </xf>
    <xf numFmtId="0" fontId="28" fillId="0" borderId="0" xfId="0" applyFont="1" applyFill="1" applyBorder="1" applyAlignment="1">
      <alignment horizontal="justify" vertical="center"/>
    </xf>
    <xf numFmtId="3" fontId="28" fillId="0" borderId="0" xfId="0" applyNumberFormat="1" applyFont="1" applyFill="1" applyBorder="1" applyAlignment="1">
      <alignment horizontal="justify" vertical="center"/>
    </xf>
    <xf numFmtId="166" fontId="27" fillId="0" borderId="215" xfId="0" applyNumberFormat="1" applyFont="1" applyFill="1" applyBorder="1" applyAlignment="1">
      <alignment horizontal="center" vertical="center"/>
    </xf>
    <xf numFmtId="49" fontId="27" fillId="0" borderId="216" xfId="0" applyNumberFormat="1" applyFont="1" applyFill="1" applyBorder="1" applyAlignment="1">
      <alignment horizontal="right" vertical="top" wrapText="1"/>
    </xf>
    <xf numFmtId="0" fontId="28" fillId="0" borderId="40" xfId="0" applyFont="1" applyFill="1" applyBorder="1" applyAlignment="1">
      <alignment horizontal="justify" vertical="center"/>
    </xf>
    <xf numFmtId="49" fontId="21" fillId="0" borderId="217" xfId="0" applyNumberFormat="1" applyFont="1" applyFill="1" applyBorder="1" applyAlignment="1">
      <alignment horizontal="center" vertical="center" wrapText="1"/>
    </xf>
    <xf numFmtId="49" fontId="21" fillId="0" borderId="218" xfId="0" applyNumberFormat="1" applyFont="1" applyFill="1" applyBorder="1" applyAlignment="1">
      <alignment horizontal="center" vertical="center" wrapText="1"/>
    </xf>
    <xf numFmtId="166" fontId="21" fillId="0" borderId="219" xfId="0" applyNumberFormat="1" applyFont="1" applyFill="1" applyBorder="1" applyAlignment="1">
      <alignment horizontal="center" vertical="center" wrapText="1"/>
    </xf>
    <xf numFmtId="49" fontId="21" fillId="0" borderId="181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justify"/>
    </xf>
    <xf numFmtId="3" fontId="21" fillId="0" borderId="220" xfId="0" applyNumberFormat="1" applyFont="1" applyFill="1" applyBorder="1" applyAlignment="1">
      <alignment vertical="center" wrapText="1"/>
    </xf>
    <xf numFmtId="3" fontId="21" fillId="0" borderId="221" xfId="0" applyNumberFormat="1" applyFont="1" applyFill="1" applyBorder="1" applyAlignment="1">
      <alignment vertical="center" wrapText="1"/>
    </xf>
    <xf numFmtId="166" fontId="21" fillId="0" borderId="222" xfId="0" applyNumberFormat="1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3" fontId="21" fillId="0" borderId="223" xfId="0" applyNumberFormat="1" applyFont="1" applyFill="1" applyBorder="1" applyAlignment="1">
      <alignment vertical="center" wrapText="1"/>
    </xf>
    <xf numFmtId="3" fontId="21" fillId="0" borderId="224" xfId="0" applyNumberFormat="1" applyFont="1" applyFill="1" applyBorder="1" applyAlignment="1">
      <alignment vertical="center" wrapText="1"/>
    </xf>
    <xf numFmtId="3" fontId="21" fillId="0" borderId="225" xfId="0" applyNumberFormat="1" applyFont="1" applyFill="1" applyBorder="1" applyAlignment="1">
      <alignment vertical="center" wrapText="1"/>
    </xf>
    <xf numFmtId="3" fontId="21" fillId="0" borderId="226" xfId="0" applyNumberFormat="1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220" xfId="0" applyNumberFormat="1" applyFont="1" applyFill="1" applyBorder="1" applyAlignment="1">
      <alignment vertical="center" wrapText="1"/>
    </xf>
    <xf numFmtId="3" fontId="29" fillId="0" borderId="221" xfId="0" applyNumberFormat="1" applyFont="1" applyFill="1" applyBorder="1" applyAlignment="1">
      <alignment vertical="center" wrapText="1"/>
    </xf>
    <xf numFmtId="3" fontId="29" fillId="0" borderId="29" xfId="0" applyNumberFormat="1" applyFont="1" applyFill="1" applyBorder="1" applyAlignment="1">
      <alignment vertical="center" wrapText="1"/>
    </xf>
    <xf numFmtId="3" fontId="29" fillId="0" borderId="42" xfId="0" applyNumberFormat="1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horizontal="left"/>
    </xf>
    <xf numFmtId="0" fontId="28" fillId="0" borderId="51" xfId="0" applyFont="1" applyFill="1" applyBorder="1" applyAlignment="1">
      <alignment horizontal="left"/>
    </xf>
    <xf numFmtId="3" fontId="28" fillId="0" borderId="227" xfId="0" applyNumberFormat="1" applyFont="1" applyFill="1" applyBorder="1" applyAlignment="1">
      <alignment vertical="center" wrapText="1"/>
    </xf>
    <xf numFmtId="3" fontId="28" fillId="0" borderId="228" xfId="0" applyNumberFormat="1" applyFont="1" applyFill="1" applyBorder="1" applyAlignment="1">
      <alignment vertical="center" wrapText="1"/>
    </xf>
    <xf numFmtId="166" fontId="28" fillId="0" borderId="229" xfId="0" applyNumberFormat="1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left"/>
    </xf>
    <xf numFmtId="3" fontId="29" fillId="0" borderId="224" xfId="0" applyNumberFormat="1" applyFont="1" applyFill="1" applyBorder="1" applyAlignment="1">
      <alignment vertical="center" wrapText="1"/>
    </xf>
    <xf numFmtId="0" fontId="41" fillId="0" borderId="26" xfId="0" applyFont="1" applyFill="1" applyBorder="1" applyAlignment="1">
      <alignment horizontal="left"/>
    </xf>
    <xf numFmtId="3" fontId="29" fillId="0" borderId="226" xfId="0" applyNumberFormat="1" applyFont="1" applyFill="1" applyBorder="1" applyAlignment="1">
      <alignment vertical="center" wrapText="1"/>
    </xf>
    <xf numFmtId="0" fontId="28" fillId="0" borderId="44" xfId="0" applyFont="1" applyFill="1" applyBorder="1" applyAlignment="1">
      <alignment horizontal="left"/>
    </xf>
    <xf numFmtId="3" fontId="28" fillId="0" borderId="230" xfId="0" applyNumberFormat="1" applyFont="1" applyFill="1" applyBorder="1" applyAlignment="1">
      <alignment vertical="center" wrapText="1"/>
    </xf>
    <xf numFmtId="3" fontId="28" fillId="0" borderId="231" xfId="0" applyNumberFormat="1" applyFont="1" applyFill="1" applyBorder="1" applyAlignment="1">
      <alignment vertical="center" wrapText="1"/>
    </xf>
    <xf numFmtId="166" fontId="28" fillId="0" borderId="2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0" fontId="28" fillId="0" borderId="14" xfId="0" applyFont="1" applyFill="1" applyBorder="1" applyAlignment="1">
      <alignment horizontal="left"/>
    </xf>
    <xf numFmtId="0" fontId="41" fillId="0" borderId="103" xfId="0" applyFont="1" applyFill="1" applyBorder="1" applyAlignment="1">
      <alignment horizontal="left"/>
    </xf>
    <xf numFmtId="0" fontId="41" fillId="0" borderId="44" xfId="0" applyFont="1" applyFill="1" applyBorder="1" applyAlignment="1">
      <alignment horizontal="left"/>
    </xf>
    <xf numFmtId="3" fontId="29" fillId="0" borderId="22" xfId="0" applyNumberFormat="1" applyFont="1" applyFill="1" applyBorder="1" applyAlignment="1">
      <alignment vertical="center" wrapText="1"/>
    </xf>
    <xf numFmtId="3" fontId="21" fillId="0" borderId="230" xfId="0" applyNumberFormat="1" applyFont="1" applyFill="1" applyBorder="1" applyAlignment="1">
      <alignment vertical="center" wrapText="1"/>
    </xf>
    <xf numFmtId="3" fontId="29" fillId="0" borderId="231" xfId="0" applyNumberFormat="1" applyFont="1" applyFill="1" applyBorder="1" applyAlignment="1">
      <alignment vertical="center" wrapText="1"/>
    </xf>
    <xf numFmtId="3" fontId="21" fillId="0" borderId="231" xfId="0" applyNumberFormat="1" applyFont="1" applyFill="1" applyBorder="1" applyAlignment="1">
      <alignment vertical="center" wrapText="1"/>
    </xf>
    <xf numFmtId="166" fontId="21" fillId="0" borderId="232" xfId="0" applyNumberFormat="1" applyFont="1" applyFill="1" applyBorder="1" applyAlignment="1">
      <alignment vertical="center" wrapText="1"/>
    </xf>
    <xf numFmtId="3" fontId="29" fillId="0" borderId="64" xfId="0" applyNumberFormat="1" applyFont="1" applyFill="1" applyBorder="1" applyAlignment="1">
      <alignment vertical="center" wrapText="1"/>
    </xf>
    <xf numFmtId="0" fontId="28" fillId="0" borderId="100" xfId="0" applyFont="1" applyFill="1" applyBorder="1" applyAlignment="1">
      <alignment horizontal="left"/>
    </xf>
    <xf numFmtId="3" fontId="29" fillId="0" borderId="223" xfId="0" applyNumberFormat="1" applyFont="1" applyFill="1" applyBorder="1" applyAlignment="1">
      <alignment vertical="center" wrapText="1"/>
    </xf>
    <xf numFmtId="166" fontId="29" fillId="0" borderId="222" xfId="0" applyNumberFormat="1" applyFont="1" applyFill="1" applyBorder="1" applyAlignment="1">
      <alignment vertical="center" wrapText="1"/>
    </xf>
    <xf numFmtId="3" fontId="29" fillId="0" borderId="225" xfId="0" applyNumberFormat="1" applyFont="1" applyFill="1" applyBorder="1" applyAlignment="1">
      <alignment vertical="center" wrapText="1"/>
    </xf>
    <xf numFmtId="166" fontId="29" fillId="0" borderId="215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28" fillId="0" borderId="80" xfId="0" applyFont="1" applyFill="1" applyBorder="1" applyAlignment="1">
      <alignment horizontal="left"/>
    </xf>
    <xf numFmtId="3" fontId="21" fillId="0" borderId="233" xfId="0" applyNumberFormat="1" applyFont="1" applyFill="1" applyBorder="1" applyAlignment="1">
      <alignment vertical="center" wrapText="1"/>
    </xf>
    <xf numFmtId="3" fontId="21" fillId="0" borderId="234" xfId="0" applyNumberFormat="1" applyFont="1" applyFill="1" applyBorder="1" applyAlignment="1">
      <alignment vertical="center" wrapText="1"/>
    </xf>
    <xf numFmtId="166" fontId="21" fillId="0" borderId="235" xfId="0" applyNumberFormat="1" applyFont="1" applyFill="1" applyBorder="1" applyAlignment="1">
      <alignment vertical="center" wrapText="1"/>
    </xf>
    <xf numFmtId="3" fontId="21" fillId="0" borderId="236" xfId="0" applyNumberFormat="1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 wrapText="1"/>
    </xf>
    <xf numFmtId="3" fontId="21" fillId="0" borderId="237" xfId="0" applyNumberFormat="1" applyFont="1" applyFill="1" applyBorder="1" applyAlignment="1">
      <alignment vertical="center" wrapText="1"/>
    </xf>
    <xf numFmtId="3" fontId="21" fillId="0" borderId="227" xfId="0" applyNumberFormat="1" applyFont="1" applyFill="1" applyBorder="1" applyAlignment="1">
      <alignment vertical="center" wrapText="1"/>
    </xf>
    <xf numFmtId="3" fontId="21" fillId="0" borderId="228" xfId="0" applyNumberFormat="1" applyFont="1" applyFill="1" applyBorder="1" applyAlignment="1">
      <alignment vertical="center" wrapText="1"/>
    </xf>
    <xf numFmtId="166" fontId="21" fillId="0" borderId="229" xfId="0" applyNumberFormat="1" applyFont="1" applyFill="1" applyBorder="1" applyAlignment="1">
      <alignment vertical="center" wrapText="1"/>
    </xf>
    <xf numFmtId="166" fontId="21" fillId="0" borderId="215" xfId="0" applyNumberFormat="1" applyFont="1" applyFill="1" applyBorder="1" applyAlignment="1">
      <alignment vertical="center" wrapText="1"/>
    </xf>
    <xf numFmtId="166" fontId="21" fillId="0" borderId="238" xfId="0" applyNumberFormat="1" applyFont="1" applyFill="1" applyBorder="1" applyAlignment="1">
      <alignment vertical="center" wrapText="1"/>
    </xf>
    <xf numFmtId="166" fontId="21" fillId="0" borderId="239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240" xfId="0" applyNumberFormat="1" applyFont="1" applyFill="1" applyBorder="1" applyAlignment="1">
      <alignment vertical="center" wrapText="1"/>
    </xf>
    <xf numFmtId="3" fontId="21" fillId="0" borderId="241" xfId="0" applyNumberFormat="1" applyFont="1" applyFill="1" applyBorder="1" applyAlignment="1">
      <alignment vertical="center" wrapText="1"/>
    </xf>
    <xf numFmtId="166" fontId="21" fillId="0" borderId="216" xfId="0" applyNumberFormat="1" applyFont="1" applyFill="1" applyBorder="1" applyAlignment="1">
      <alignment vertical="center" wrapText="1"/>
    </xf>
    <xf numFmtId="0" fontId="28" fillId="0" borderId="202" xfId="0" applyFont="1" applyFill="1" applyBorder="1" applyAlignment="1">
      <alignment vertical="center" wrapText="1"/>
    </xf>
    <xf numFmtId="3" fontId="21" fillId="0" borderId="203" xfId="0" applyNumberFormat="1" applyFont="1" applyFill="1" applyBorder="1" applyAlignment="1">
      <alignment vertical="center" wrapText="1"/>
    </xf>
    <xf numFmtId="0" fontId="21" fillId="0" borderId="242" xfId="0" applyFont="1" applyFill="1" applyBorder="1" applyAlignment="1">
      <alignment vertical="center" wrapText="1"/>
    </xf>
    <xf numFmtId="0" fontId="21" fillId="0" borderId="243" xfId="0" applyFont="1" applyFill="1" applyBorder="1" applyAlignment="1">
      <alignment vertical="center" wrapText="1"/>
    </xf>
    <xf numFmtId="0" fontId="21" fillId="0" borderId="203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221" xfId="0" applyFont="1" applyFill="1" applyBorder="1" applyAlignment="1">
      <alignment vertical="center" wrapText="1"/>
    </xf>
    <xf numFmtId="0" fontId="21" fillId="0" borderId="42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24" xfId="0" applyFont="1" applyFill="1" applyBorder="1" applyAlignment="1">
      <alignment vertical="center" wrapText="1"/>
    </xf>
    <xf numFmtId="0" fontId="28" fillId="0" borderId="60" xfId="0" applyFont="1" applyFill="1" applyBorder="1" applyAlignment="1">
      <alignment vertical="center" wrapText="1"/>
    </xf>
    <xf numFmtId="169" fontId="28" fillId="0" borderId="15" xfId="54" applyNumberFormat="1" applyFont="1" applyFill="1" applyBorder="1" applyAlignment="1">
      <alignment vertical="center" wrapText="1"/>
    </xf>
    <xf numFmtId="169" fontId="21" fillId="0" borderId="49" xfId="54" applyNumberFormat="1" applyFont="1" applyFill="1" applyBorder="1" applyAlignment="1">
      <alignment vertical="center" wrapText="1"/>
    </xf>
    <xf numFmtId="169" fontId="21" fillId="0" borderId="223" xfId="54" applyNumberFormat="1" applyFont="1" applyFill="1" applyBorder="1" applyAlignment="1">
      <alignment vertical="center" wrapText="1"/>
    </xf>
    <xf numFmtId="169" fontId="21" fillId="0" borderId="224" xfId="54" applyNumberFormat="1" applyFont="1" applyFill="1" applyBorder="1" applyAlignment="1">
      <alignment vertical="center" wrapText="1"/>
    </xf>
    <xf numFmtId="0" fontId="21" fillId="0" borderId="226" xfId="0" applyFont="1" applyFill="1" applyBorder="1" applyAlignment="1">
      <alignment vertical="center" wrapText="1"/>
    </xf>
    <xf numFmtId="0" fontId="21" fillId="0" borderId="68" xfId="0" applyFont="1" applyFill="1" applyBorder="1" applyAlignment="1">
      <alignment vertical="center" wrapText="1"/>
    </xf>
    <xf numFmtId="0" fontId="21" fillId="0" borderId="224" xfId="0" applyFont="1" applyFill="1" applyBorder="1" applyAlignment="1">
      <alignment vertical="center" wrapText="1"/>
    </xf>
    <xf numFmtId="3" fontId="28" fillId="0" borderId="224" xfId="0" applyNumberFormat="1" applyFont="1" applyFill="1" applyBorder="1" applyAlignment="1">
      <alignment vertical="center" wrapText="1"/>
    </xf>
    <xf numFmtId="0" fontId="41" fillId="0" borderId="15" xfId="0" applyFont="1" applyFill="1" applyBorder="1" applyAlignment="1">
      <alignment vertical="center" wrapText="1"/>
    </xf>
    <xf numFmtId="0" fontId="21" fillId="0" borderId="224" xfId="0" applyFont="1" applyFill="1" applyBorder="1" applyAlignment="1">
      <alignment wrapText="1"/>
    </xf>
    <xf numFmtId="3" fontId="21" fillId="0" borderId="224" xfId="0" applyNumberFormat="1" applyFont="1" applyFill="1" applyBorder="1" applyAlignment="1">
      <alignment wrapText="1"/>
    </xf>
    <xf numFmtId="0" fontId="21" fillId="0" borderId="60" xfId="0" applyFont="1" applyFill="1" applyBorder="1" applyAlignment="1">
      <alignment wrapText="1"/>
    </xf>
    <xf numFmtId="0" fontId="41" fillId="0" borderId="26" xfId="0" applyFont="1" applyFill="1" applyBorder="1" applyAlignment="1">
      <alignment vertical="center" wrapText="1"/>
    </xf>
    <xf numFmtId="0" fontId="21" fillId="0" borderId="226" xfId="0" applyFont="1" applyFill="1" applyBorder="1" applyAlignment="1">
      <alignment wrapText="1"/>
    </xf>
    <xf numFmtId="3" fontId="21" fillId="0" borderId="226" xfId="0" applyNumberFormat="1" applyFont="1" applyFill="1" applyBorder="1" applyAlignment="1">
      <alignment wrapText="1"/>
    </xf>
    <xf numFmtId="0" fontId="21" fillId="0" borderId="68" xfId="0" applyFont="1" applyFill="1" applyBorder="1" applyAlignment="1">
      <alignment wrapText="1"/>
    </xf>
    <xf numFmtId="0" fontId="28" fillId="0" borderId="44" xfId="0" applyFont="1" applyFill="1" applyBorder="1" applyAlignment="1">
      <alignment vertical="center" wrapText="1"/>
    </xf>
    <xf numFmtId="0" fontId="21" fillId="0" borderId="231" xfId="0" applyFont="1" applyFill="1" applyBorder="1" applyAlignment="1">
      <alignment wrapText="1"/>
    </xf>
    <xf numFmtId="0" fontId="21" fillId="0" borderId="22" xfId="0" applyFont="1" applyFill="1" applyBorder="1" applyAlignment="1">
      <alignment wrapText="1"/>
    </xf>
    <xf numFmtId="0" fontId="21" fillId="0" borderId="64" xfId="0" applyFont="1" applyFill="1" applyBorder="1" applyAlignment="1">
      <alignment wrapText="1"/>
    </xf>
    <xf numFmtId="0" fontId="21" fillId="0" borderId="221" xfId="0" applyFont="1" applyFill="1" applyBorder="1" applyAlignment="1">
      <alignment wrapText="1"/>
    </xf>
    <xf numFmtId="0" fontId="21" fillId="0" borderId="244" xfId="0" applyFont="1" applyFill="1" applyBorder="1" applyAlignment="1">
      <alignment wrapText="1"/>
    </xf>
    <xf numFmtId="0" fontId="21" fillId="0" borderId="42" xfId="0" applyFont="1" applyFill="1" applyBorder="1" applyAlignment="1">
      <alignment wrapText="1"/>
    </xf>
    <xf numFmtId="0" fontId="21" fillId="0" borderId="238" xfId="0" applyFont="1" applyFill="1" applyBorder="1" applyAlignment="1">
      <alignment wrapText="1"/>
    </xf>
    <xf numFmtId="166" fontId="21" fillId="0" borderId="36" xfId="0" applyNumberFormat="1" applyFont="1" applyFill="1" applyBorder="1" applyAlignment="1">
      <alignment vertical="center" wrapText="1"/>
    </xf>
    <xf numFmtId="0" fontId="21" fillId="0" borderId="245" xfId="0" applyFont="1" applyFill="1" applyBorder="1" applyAlignment="1">
      <alignment wrapText="1"/>
    </xf>
    <xf numFmtId="166" fontId="21" fillId="0" borderId="246" xfId="0" applyNumberFormat="1" applyFont="1" applyFill="1" applyBorder="1" applyAlignment="1">
      <alignment vertical="center" wrapText="1"/>
    </xf>
    <xf numFmtId="3" fontId="21" fillId="0" borderId="237" xfId="0" applyNumberFormat="1" applyFont="1" applyFill="1" applyBorder="1" applyAlignment="1">
      <alignment wrapText="1"/>
    </xf>
    <xf numFmtId="3" fontId="21" fillId="0" borderId="247" xfId="0" applyNumberFormat="1" applyFont="1" applyFill="1" applyBorder="1" applyAlignment="1">
      <alignment wrapText="1"/>
    </xf>
    <xf numFmtId="169" fontId="28" fillId="0" borderId="85" xfId="54" applyNumberFormat="1" applyFont="1" applyFill="1" applyBorder="1" applyAlignment="1">
      <alignment vertical="center" wrapText="1"/>
    </xf>
    <xf numFmtId="169" fontId="28" fillId="0" borderId="248" xfId="54" applyNumberFormat="1" applyFont="1" applyFill="1" applyBorder="1" applyAlignment="1">
      <alignment vertical="center" wrapText="1"/>
    </xf>
    <xf numFmtId="169" fontId="28" fillId="0" borderId="228" xfId="54" applyNumberFormat="1" applyFont="1" applyFill="1" applyBorder="1" applyAlignment="1">
      <alignment vertical="center" wrapText="1"/>
    </xf>
    <xf numFmtId="166" fontId="28" fillId="0" borderId="229" xfId="54" applyNumberFormat="1" applyFont="1" applyFill="1" applyBorder="1" applyAlignment="1">
      <alignment vertical="center" wrapText="1"/>
    </xf>
    <xf numFmtId="169" fontId="49" fillId="0" borderId="0" xfId="54" applyNumberFormat="1" applyFont="1" applyFill="1" applyBorder="1" applyAlignment="1">
      <alignment vertical="center" wrapText="1"/>
    </xf>
    <xf numFmtId="3" fontId="40" fillId="0" borderId="0" xfId="0" applyNumberFormat="1" applyFont="1" applyFill="1" applyAlignment="1">
      <alignment wrapText="1"/>
    </xf>
    <xf numFmtId="3" fontId="42" fillId="0" borderId="0" xfId="0" applyNumberFormat="1" applyFont="1" applyFill="1" applyAlignment="1">
      <alignment wrapText="1"/>
    </xf>
    <xf numFmtId="9" fontId="42" fillId="0" borderId="0" xfId="85" applyFont="1" applyFill="1" applyAlignment="1">
      <alignment wrapText="1"/>
    </xf>
    <xf numFmtId="9" fontId="40" fillId="0" borderId="0" xfId="85" applyFont="1" applyFill="1" applyAlignment="1">
      <alignment wrapText="1"/>
    </xf>
    <xf numFmtId="3" fontId="40" fillId="0" borderId="0" xfId="85" applyNumberFormat="1" applyFont="1" applyFill="1" applyAlignment="1">
      <alignment wrapText="1"/>
    </xf>
    <xf numFmtId="1" fontId="21" fillId="0" borderId="0" xfId="85" applyNumberFormat="1" applyFont="1" applyFill="1" applyAlignment="1">
      <alignment wrapText="1"/>
    </xf>
    <xf numFmtId="3" fontId="43" fillId="0" borderId="0" xfId="0" applyNumberFormat="1" applyFont="1" applyFill="1" applyBorder="1" applyAlignment="1">
      <alignment wrapText="1"/>
    </xf>
    <xf numFmtId="169" fontId="28" fillId="0" borderId="17" xfId="54" applyNumberFormat="1" applyFont="1" applyFill="1" applyBorder="1" applyAlignment="1">
      <alignment vertical="center" wrapText="1"/>
    </xf>
    <xf numFmtId="1" fontId="28" fillId="0" borderId="24" xfId="0" applyNumberFormat="1" applyFont="1" applyFill="1" applyBorder="1" applyAlignment="1">
      <alignment vertical="center" wrapText="1"/>
    </xf>
    <xf numFmtId="0" fontId="21" fillId="0" borderId="24" xfId="0" applyFont="1" applyFill="1" applyBorder="1" applyAlignment="1">
      <alignment wrapText="1"/>
    </xf>
    <xf numFmtId="0" fontId="21" fillId="0" borderId="205" xfId="0" applyFont="1" applyFill="1" applyBorder="1" applyAlignment="1">
      <alignment wrapText="1"/>
    </xf>
    <xf numFmtId="166" fontId="28" fillId="0" borderId="61" xfId="0" applyNumberFormat="1" applyFont="1" applyFill="1" applyBorder="1" applyAlignment="1">
      <alignment wrapText="1"/>
    </xf>
    <xf numFmtId="3" fontId="21" fillId="0" borderId="81" xfId="0" applyNumberFormat="1" applyFont="1" applyFill="1" applyBorder="1" applyAlignment="1">
      <alignment wrapText="1"/>
    </xf>
    <xf numFmtId="0" fontId="26" fillId="0" borderId="0" xfId="0" applyFont="1" applyFill="1" applyAlignment="1">
      <alignment horizontal="justify"/>
    </xf>
    <xf numFmtId="49" fontId="27" fillId="0" borderId="41" xfId="0" applyNumberFormat="1" applyFont="1" applyFill="1" applyBorder="1" applyAlignment="1">
      <alignment horizontal="center" vertical="top" wrapText="1"/>
    </xf>
    <xf numFmtId="49" fontId="27" fillId="0" borderId="55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wrapText="1"/>
    </xf>
    <xf numFmtId="0" fontId="28" fillId="0" borderId="179" xfId="0" applyFont="1" applyFill="1" applyBorder="1" applyAlignment="1">
      <alignment horizontal="justify"/>
    </xf>
    <xf numFmtId="49" fontId="39" fillId="0" borderId="41" xfId="0" applyNumberFormat="1" applyFont="1" applyFill="1" applyBorder="1" applyAlignment="1">
      <alignment horizontal="center" vertical="top" wrapText="1"/>
    </xf>
    <xf numFmtId="49" fontId="39" fillId="0" borderId="42" xfId="0" applyNumberFormat="1" applyFont="1" applyFill="1" applyBorder="1" applyAlignment="1">
      <alignment horizontal="center" vertical="top" wrapText="1"/>
    </xf>
    <xf numFmtId="49" fontId="39" fillId="0" borderId="19" xfId="0" applyNumberFormat="1" applyFont="1" applyFill="1" applyBorder="1" applyAlignment="1">
      <alignment horizontal="center" vertical="top" wrapText="1"/>
    </xf>
    <xf numFmtId="166" fontId="28" fillId="0" borderId="43" xfId="0" applyNumberFormat="1" applyFont="1" applyFill="1" applyBorder="1" applyAlignment="1">
      <alignment horizontal="center" vertical="top" wrapText="1"/>
    </xf>
    <xf numFmtId="49" fontId="39" fillId="0" borderId="0" xfId="0" applyNumberFormat="1" applyFont="1" applyFill="1" applyBorder="1" applyAlignment="1">
      <alignment horizontal="center" vertical="top" wrapText="1"/>
    </xf>
    <xf numFmtId="166" fontId="39" fillId="0" borderId="0" xfId="0" applyNumberFormat="1" applyFont="1" applyFill="1" applyBorder="1" applyAlignment="1">
      <alignment horizontal="center" vertical="top" wrapText="1"/>
    </xf>
    <xf numFmtId="49" fontId="39" fillId="0" borderId="0" xfId="0" applyNumberFormat="1" applyFont="1" applyFill="1" applyAlignment="1">
      <alignment horizontal="center" vertical="top" wrapText="1"/>
    </xf>
    <xf numFmtId="0" fontId="21" fillId="0" borderId="0" xfId="0" applyFont="1" applyFill="1" applyAlignment="1">
      <alignment vertical="center" wrapText="1"/>
    </xf>
    <xf numFmtId="0" fontId="21" fillId="0" borderId="16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 wrapText="1"/>
    </xf>
    <xf numFmtId="3" fontId="21" fillId="0" borderId="59" xfId="0" applyNumberFormat="1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/>
    <xf numFmtId="166" fontId="21" fillId="0" borderId="142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/>
    <xf numFmtId="166" fontId="29" fillId="0" borderId="142" xfId="0" applyNumberFormat="1" applyFont="1" applyFill="1" applyBorder="1" applyAlignment="1">
      <alignment vertical="center" wrapText="1"/>
    </xf>
    <xf numFmtId="3" fontId="29" fillId="0" borderId="0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 wrapText="1"/>
    </xf>
    <xf numFmtId="3" fontId="21" fillId="0" borderId="22" xfId="0" applyNumberFormat="1" applyFont="1" applyFill="1" applyBorder="1"/>
    <xf numFmtId="166" fontId="21" fillId="0" borderId="140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/>
    <xf numFmtId="166" fontId="21" fillId="0" borderId="142" xfId="0" applyNumberFormat="1" applyFont="1" applyFill="1" applyBorder="1" applyAlignment="1">
      <alignment wrapText="1"/>
    </xf>
    <xf numFmtId="166" fontId="29" fillId="0" borderId="142" xfId="0" applyNumberFormat="1" applyFont="1" applyFill="1" applyBorder="1" applyAlignment="1">
      <alignment wrapText="1"/>
    </xf>
    <xf numFmtId="0" fontId="29" fillId="0" borderId="0" xfId="0" applyFont="1" applyFill="1" applyAlignment="1">
      <alignment wrapText="1"/>
    </xf>
    <xf numFmtId="166" fontId="29" fillId="0" borderId="90" xfId="0" applyNumberFormat="1" applyFont="1" applyFill="1" applyBorder="1" applyAlignment="1">
      <alignment wrapText="1"/>
    </xf>
    <xf numFmtId="166" fontId="21" fillId="0" borderId="14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/>
    <xf numFmtId="0" fontId="21" fillId="0" borderId="249" xfId="0" applyFont="1" applyFill="1" applyBorder="1" applyAlignment="1">
      <alignment horizontal="left"/>
    </xf>
    <xf numFmtId="0" fontId="28" fillId="0" borderId="250" xfId="0" applyFont="1" applyFill="1" applyBorder="1" applyAlignment="1">
      <alignment horizontal="left"/>
    </xf>
    <xf numFmtId="3" fontId="21" fillId="0" borderId="212" xfId="0" applyNumberFormat="1" applyFont="1" applyFill="1" applyBorder="1" applyAlignment="1">
      <alignment vertical="center" wrapText="1"/>
    </xf>
    <xf numFmtId="3" fontId="21" fillId="0" borderId="211" xfId="0" applyNumberFormat="1" applyFont="1" applyFill="1" applyBorder="1" applyAlignment="1"/>
    <xf numFmtId="3" fontId="21" fillId="0" borderId="24" xfId="0" applyNumberFormat="1" applyFont="1" applyFill="1" applyBorder="1" applyAlignment="1"/>
    <xf numFmtId="166" fontId="21" fillId="0" borderId="152" xfId="0" applyNumberFormat="1" applyFont="1" applyFill="1" applyBorder="1" applyAlignment="1">
      <alignment wrapText="1"/>
    </xf>
    <xf numFmtId="3" fontId="21" fillId="0" borderId="75" xfId="0" applyNumberFormat="1" applyFont="1" applyFill="1" applyBorder="1"/>
    <xf numFmtId="166" fontId="21" fillId="0" borderId="77" xfId="0" applyNumberFormat="1" applyFont="1" applyFill="1" applyBorder="1" applyAlignment="1">
      <alignment vertical="center" wrapText="1"/>
    </xf>
    <xf numFmtId="3" fontId="21" fillId="0" borderId="63" xfId="0" applyNumberFormat="1" applyFont="1" applyFill="1" applyBorder="1" applyAlignment="1">
      <alignment vertical="center" wrapText="1"/>
    </xf>
    <xf numFmtId="0" fontId="21" fillId="0" borderId="204" xfId="0" applyFont="1" applyFill="1" applyBorder="1" applyAlignment="1">
      <alignment vertical="center" wrapText="1"/>
    </xf>
    <xf numFmtId="3" fontId="21" fillId="0" borderId="79" xfId="0" applyNumberFormat="1" applyFont="1" applyFill="1" applyBorder="1" applyAlignment="1">
      <alignment vertical="center" wrapText="1"/>
    </xf>
    <xf numFmtId="0" fontId="28" fillId="0" borderId="30" xfId="0" applyFont="1" applyFill="1" applyBorder="1" applyAlignment="1">
      <alignment vertical="center" wrapText="1"/>
    </xf>
    <xf numFmtId="0" fontId="21" fillId="0" borderId="251" xfId="0" applyFont="1" applyFill="1" applyBorder="1" applyAlignment="1">
      <alignment vertical="center" wrapText="1"/>
    </xf>
    <xf numFmtId="166" fontId="28" fillId="0" borderId="77" xfId="0" applyNumberFormat="1" applyFont="1" applyFill="1" applyBorder="1" applyAlignment="1">
      <alignment vertical="center" wrapText="1"/>
    </xf>
    <xf numFmtId="166" fontId="28" fillId="0" borderId="43" xfId="0" applyNumberFormat="1" applyFont="1" applyFill="1" applyBorder="1" applyAlignment="1">
      <alignment vertical="center" wrapText="1"/>
    </xf>
    <xf numFmtId="166" fontId="29" fillId="0" borderId="50" xfId="0" applyNumberFormat="1" applyFont="1" applyFill="1" applyBorder="1" applyAlignment="1">
      <alignment vertical="center" wrapText="1"/>
    </xf>
    <xf numFmtId="0" fontId="28" fillId="0" borderId="106" xfId="0" applyFont="1" applyFill="1" applyBorder="1" applyAlignment="1">
      <alignment vertical="center" wrapText="1"/>
    </xf>
    <xf numFmtId="0" fontId="21" fillId="0" borderId="252" xfId="0" applyFont="1" applyFill="1" applyBorder="1" applyAlignment="1">
      <alignment vertical="center" wrapText="1"/>
    </xf>
    <xf numFmtId="3" fontId="28" fillId="0" borderId="86" xfId="85" applyNumberFormat="1" applyFont="1" applyFill="1" applyBorder="1" applyAlignment="1">
      <alignment wrapText="1"/>
    </xf>
    <xf numFmtId="3" fontId="28" fillId="0" borderId="24" xfId="85" applyNumberFormat="1" applyFont="1" applyFill="1" applyBorder="1" applyAlignment="1">
      <alignment wrapText="1"/>
    </xf>
    <xf numFmtId="0" fontId="40" fillId="0" borderId="0" xfId="0" applyFont="1" applyFill="1" applyBorder="1" applyAlignment="1">
      <alignment wrapText="1"/>
    </xf>
    <xf numFmtId="3" fontId="21" fillId="0" borderId="50" xfId="54" applyNumberFormat="1" applyFont="1" applyFill="1" applyBorder="1" applyAlignment="1">
      <alignment horizontal="right" wrapText="1"/>
    </xf>
    <xf numFmtId="3" fontId="28" fillId="0" borderId="86" xfId="54" applyNumberFormat="1" applyFont="1" applyFill="1" applyBorder="1" applyAlignment="1">
      <alignment horizontal="right"/>
    </xf>
    <xf numFmtId="3" fontId="21" fillId="0" borderId="20" xfId="0" applyNumberFormat="1" applyFont="1" applyFill="1" applyBorder="1" applyAlignment="1">
      <alignment horizontal="center" vertical="top" wrapText="1"/>
    </xf>
    <xf numFmtId="49" fontId="27" fillId="0" borderId="52" xfId="0" applyNumberFormat="1" applyFont="1" applyFill="1" applyBorder="1" applyAlignment="1">
      <alignment horizontal="center" vertical="top" wrapText="1"/>
    </xf>
    <xf numFmtId="49" fontId="27" fillId="0" borderId="56" xfId="0" applyNumberFormat="1" applyFont="1" applyFill="1" applyBorder="1" applyAlignment="1">
      <alignment horizontal="center" vertical="top" wrapText="1"/>
    </xf>
    <xf numFmtId="3" fontId="21" fillId="0" borderId="14" xfId="0" applyNumberFormat="1" applyFont="1" applyFill="1" applyBorder="1" applyAlignment="1">
      <alignment wrapText="1"/>
    </xf>
    <xf numFmtId="0" fontId="28" fillId="0" borderId="40" xfId="0" applyFont="1" applyFill="1" applyBorder="1" applyAlignment="1">
      <alignment horizontal="justify"/>
    </xf>
    <xf numFmtId="0" fontId="21" fillId="0" borderId="15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horizontal="left"/>
    </xf>
    <xf numFmtId="0" fontId="29" fillId="0" borderId="103" xfId="0" applyFont="1" applyFill="1" applyBorder="1" applyAlignment="1">
      <alignment horizontal="left"/>
    </xf>
    <xf numFmtId="0" fontId="21" fillId="0" borderId="80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3" fontId="21" fillId="0" borderId="67" xfId="54" applyNumberFormat="1" applyFont="1" applyFill="1" applyBorder="1" applyAlignment="1">
      <alignment horizontal="right" wrapText="1"/>
    </xf>
    <xf numFmtId="169" fontId="21" fillId="0" borderId="20" xfId="54" applyNumberFormat="1" applyFont="1" applyFill="1" applyBorder="1" applyAlignment="1">
      <alignment horizontal="right"/>
    </xf>
    <xf numFmtId="3" fontId="21" fillId="0" borderId="22" xfId="54" applyNumberFormat="1" applyFont="1" applyFill="1" applyBorder="1" applyAlignment="1">
      <alignment horizontal="right"/>
    </xf>
    <xf numFmtId="169" fontId="21" fillId="0" borderId="22" xfId="54" applyNumberFormat="1" applyFont="1" applyFill="1" applyBorder="1" applyAlignment="1">
      <alignment horizontal="right"/>
    </xf>
    <xf numFmtId="169" fontId="29" fillId="0" borderId="19" xfId="54" applyNumberFormat="1" applyFont="1" applyFill="1" applyBorder="1" applyAlignment="1">
      <alignment horizontal="right"/>
    </xf>
    <xf numFmtId="169" fontId="29" fillId="0" borderId="20" xfId="54" applyNumberFormat="1" applyFont="1" applyFill="1" applyBorder="1" applyAlignment="1">
      <alignment horizontal="right"/>
    </xf>
    <xf numFmtId="166" fontId="29" fillId="0" borderId="43" xfId="0" applyNumberFormat="1" applyFont="1" applyFill="1" applyBorder="1" applyAlignment="1">
      <alignment horizontal="right" wrapText="1"/>
    </xf>
    <xf numFmtId="166" fontId="29" fillId="0" borderId="38" xfId="0" applyNumberFormat="1" applyFont="1" applyFill="1" applyBorder="1" applyAlignment="1">
      <alignment horizontal="right" wrapText="1"/>
    </xf>
    <xf numFmtId="166" fontId="29" fillId="0" borderId="50" xfId="0" applyNumberFormat="1" applyFont="1" applyFill="1" applyBorder="1" applyAlignment="1">
      <alignment horizontal="right" wrapText="1"/>
    </xf>
    <xf numFmtId="166" fontId="29" fillId="0" borderId="43" xfId="0" applyNumberFormat="1" applyFont="1" applyFill="1" applyBorder="1" applyAlignment="1">
      <alignment wrapText="1"/>
    </xf>
    <xf numFmtId="166" fontId="29" fillId="0" borderId="38" xfId="0" applyNumberFormat="1" applyFont="1" applyFill="1" applyBorder="1" applyAlignment="1">
      <alignment wrapText="1"/>
    </xf>
    <xf numFmtId="169" fontId="29" fillId="0" borderId="25" xfId="54" applyNumberFormat="1" applyFont="1" applyFill="1" applyBorder="1" applyAlignment="1">
      <alignment wrapText="1"/>
    </xf>
    <xf numFmtId="166" fontId="29" fillId="0" borderId="54" xfId="0" applyNumberFormat="1" applyFont="1" applyFill="1" applyBorder="1" applyAlignment="1">
      <alignment wrapText="1"/>
    </xf>
    <xf numFmtId="169" fontId="29" fillId="0" borderId="23" xfId="54" applyNumberFormat="1" applyFont="1" applyFill="1" applyBorder="1" applyAlignment="1">
      <alignment wrapText="1"/>
    </xf>
    <xf numFmtId="166" fontId="29" fillId="0" borderId="43" xfId="54" applyNumberFormat="1" applyFont="1" applyFill="1" applyBorder="1" applyAlignment="1">
      <alignment wrapText="1"/>
    </xf>
    <xf numFmtId="166" fontId="29" fillId="0" borderId="38" xfId="54" applyNumberFormat="1" applyFont="1" applyFill="1" applyBorder="1" applyAlignment="1">
      <alignment wrapText="1"/>
    </xf>
    <xf numFmtId="166" fontId="29" fillId="0" borderId="70" xfId="54" applyNumberFormat="1" applyFont="1" applyFill="1" applyBorder="1" applyAlignment="1">
      <alignment wrapText="1"/>
    </xf>
    <xf numFmtId="169" fontId="29" fillId="0" borderId="21" xfId="54" applyNumberFormat="1" applyFont="1" applyFill="1" applyBorder="1" applyAlignment="1">
      <alignment wrapText="1"/>
    </xf>
    <xf numFmtId="0" fontId="28" fillId="0" borderId="202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15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158" xfId="0" applyFont="1" applyFill="1" applyBorder="1" applyAlignment="1">
      <alignment horizontal="left" wrapText="1"/>
    </xf>
    <xf numFmtId="0" fontId="21" fillId="0" borderId="15" xfId="0" applyFont="1" applyFill="1" applyBorder="1" applyAlignment="1">
      <alignment horizontal="center"/>
    </xf>
    <xf numFmtId="0" fontId="21" fillId="0" borderId="158" xfId="0" applyFont="1" applyFill="1" applyBorder="1" applyAlignment="1">
      <alignment wrapText="1"/>
    </xf>
    <xf numFmtId="166" fontId="21" fillId="0" borderId="0" xfId="0" applyNumberFormat="1" applyFont="1" applyFill="1" applyBorder="1"/>
    <xf numFmtId="166" fontId="29" fillId="0" borderId="0" xfId="0" applyNumberFormat="1" applyFont="1" applyFill="1" applyBorder="1"/>
    <xf numFmtId="0" fontId="21" fillId="0" borderId="26" xfId="0" applyFont="1" applyFill="1" applyBorder="1" applyAlignment="1">
      <alignment horizontal="center"/>
    </xf>
    <xf numFmtId="0" fontId="21" fillId="0" borderId="137" xfId="0" applyFont="1" applyFill="1" applyBorder="1" applyAlignment="1">
      <alignment wrapText="1"/>
    </xf>
    <xf numFmtId="0" fontId="29" fillId="0" borderId="26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1" fillId="0" borderId="170" xfId="0" applyFont="1" applyFill="1" applyBorder="1" applyAlignment="1">
      <alignment horizontal="center"/>
    </xf>
    <xf numFmtId="0" fontId="21" fillId="0" borderId="139" xfId="0" applyFont="1" applyFill="1" applyBorder="1" applyAlignment="1">
      <alignment horizontal="left" wrapText="1"/>
    </xf>
    <xf numFmtId="0" fontId="21" fillId="0" borderId="158" xfId="0" applyFont="1" applyFill="1" applyBorder="1" applyAlignment="1">
      <alignment horizontal="left" wrapText="1"/>
    </xf>
    <xf numFmtId="0" fontId="21" fillId="0" borderId="60" xfId="0" applyFont="1" applyFill="1" applyBorder="1" applyAlignment="1">
      <alignment horizontal="center" wrapText="1"/>
    </xf>
    <xf numFmtId="0" fontId="21" fillId="0" borderId="189" xfId="0" applyFont="1" applyFill="1" applyBorder="1" applyAlignment="1">
      <alignment horizontal="left" wrapText="1"/>
    </xf>
    <xf numFmtId="0" fontId="21" fillId="0" borderId="36" xfId="0" applyFont="1" applyFill="1" applyBorder="1" applyAlignment="1">
      <alignment horizontal="center"/>
    </xf>
    <xf numFmtId="0" fontId="21" fillId="0" borderId="143" xfId="0" applyFont="1" applyFill="1" applyBorder="1" applyAlignment="1">
      <alignment wrapText="1"/>
    </xf>
    <xf numFmtId="166" fontId="28" fillId="0" borderId="0" xfId="0" applyNumberFormat="1" applyFont="1" applyFill="1" applyBorder="1"/>
    <xf numFmtId="0" fontId="28" fillId="0" borderId="0" xfId="0" applyFont="1" applyFill="1" applyBorder="1"/>
    <xf numFmtId="0" fontId="28" fillId="0" borderId="85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8" fillId="0" borderId="141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8" fillId="0" borderId="34" xfId="0" applyFont="1" applyFill="1" applyBorder="1" applyAlignment="1">
      <alignment horizontal="left"/>
    </xf>
    <xf numFmtId="0" fontId="28" fillId="0" borderId="158" xfId="0" applyFont="1" applyFill="1" applyBorder="1" applyAlignment="1">
      <alignment horizontal="left"/>
    </xf>
    <xf numFmtId="0" fontId="29" fillId="0" borderId="34" xfId="0" applyFont="1" applyFill="1" applyBorder="1" applyAlignment="1">
      <alignment horizontal="left"/>
    </xf>
    <xf numFmtId="0" fontId="29" fillId="0" borderId="158" xfId="0" applyFont="1" applyFill="1" applyBorder="1" applyAlignment="1">
      <alignment wrapText="1"/>
    </xf>
    <xf numFmtId="0" fontId="21" fillId="0" borderId="34" xfId="0" applyFont="1" applyFill="1" applyBorder="1"/>
    <xf numFmtId="0" fontId="29" fillId="0" borderId="34" xfId="0" applyFont="1" applyFill="1" applyBorder="1" applyAlignment="1">
      <alignment horizontal="left" wrapText="1"/>
    </xf>
    <xf numFmtId="0" fontId="21" fillId="0" borderId="34" xfId="0" applyFont="1" applyFill="1" applyBorder="1" applyAlignment="1">
      <alignment horizontal="left" wrapText="1"/>
    </xf>
    <xf numFmtId="0" fontId="21" fillId="0" borderId="158" xfId="0" applyFont="1" applyFill="1" applyBorder="1"/>
    <xf numFmtId="166" fontId="21" fillId="0" borderId="0" xfId="85" applyNumberFormat="1" applyFont="1" applyFill="1" applyBorder="1"/>
    <xf numFmtId="0" fontId="21" fillId="0" borderId="0" xfId="0" applyFont="1" applyFill="1" applyBorder="1" applyAlignment="1"/>
    <xf numFmtId="2" fontId="21" fillId="0" borderId="0" xfId="0" applyNumberFormat="1" applyFont="1" applyFill="1" applyBorder="1"/>
    <xf numFmtId="1" fontId="21" fillId="0" borderId="0" xfId="0" applyNumberFormat="1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1" fontId="29" fillId="0" borderId="0" xfId="0" applyNumberFormat="1" applyFont="1" applyFill="1" applyBorder="1"/>
    <xf numFmtId="171" fontId="21" fillId="0" borderId="0" xfId="0" applyNumberFormat="1" applyFont="1" applyFill="1" applyBorder="1"/>
    <xf numFmtId="0" fontId="21" fillId="0" borderId="137" xfId="0" applyFont="1" applyFill="1" applyBorder="1" applyAlignment="1">
      <alignment horizontal="left" wrapText="1"/>
    </xf>
    <xf numFmtId="0" fontId="21" fillId="0" borderId="170" xfId="0" applyFont="1" applyFill="1" applyBorder="1" applyAlignment="1">
      <alignment horizontal="left"/>
    </xf>
    <xf numFmtId="0" fontId="28" fillId="0" borderId="170" xfId="0" applyFont="1" applyFill="1" applyBorder="1" applyAlignment="1">
      <alignment horizontal="left"/>
    </xf>
    <xf numFmtId="0" fontId="28" fillId="0" borderId="139" xfId="0" applyFont="1" applyFill="1" applyBorder="1" applyAlignment="1">
      <alignment horizontal="left"/>
    </xf>
    <xf numFmtId="0" fontId="30" fillId="0" borderId="34" xfId="0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right"/>
    </xf>
    <xf numFmtId="0" fontId="21" fillId="0" borderId="143" xfId="0" applyFont="1" applyFill="1" applyBorder="1" applyAlignment="1">
      <alignment horizontal="left" wrapText="1"/>
    </xf>
    <xf numFmtId="0" fontId="28" fillId="0" borderId="209" xfId="0" applyFont="1" applyFill="1" applyBorder="1" applyAlignment="1">
      <alignment horizontal="left"/>
    </xf>
    <xf numFmtId="0" fontId="28" fillId="0" borderId="167" xfId="0" applyFont="1" applyFill="1" applyBorder="1" applyAlignment="1">
      <alignment horizontal="left"/>
    </xf>
    <xf numFmtId="0" fontId="28" fillId="0" borderId="32" xfId="0" applyFont="1" applyFill="1" applyBorder="1" applyAlignment="1">
      <alignment horizontal="left"/>
    </xf>
    <xf numFmtId="0" fontId="28" fillId="0" borderId="85" xfId="0" applyFont="1" applyFill="1" applyBorder="1" applyAlignment="1">
      <alignment horizontal="left" vertical="center"/>
    </xf>
    <xf numFmtId="0" fontId="28" fillId="0" borderId="206" xfId="0" applyFont="1" applyFill="1" applyBorder="1" applyAlignment="1">
      <alignment horizontal="left" vertical="center"/>
    </xf>
    <xf numFmtId="0" fontId="28" fillId="0" borderId="13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right" vertical="center"/>
    </xf>
    <xf numFmtId="166" fontId="29" fillId="0" borderId="0" xfId="85" applyNumberFormat="1" applyFont="1" applyFill="1" applyBorder="1"/>
    <xf numFmtId="0" fontId="21" fillId="0" borderId="103" xfId="0" applyFont="1" applyFill="1" applyBorder="1" applyAlignment="1">
      <alignment horizontal="center"/>
    </xf>
    <xf numFmtId="0" fontId="21" fillId="0" borderId="254" xfId="0" applyFont="1" applyFill="1" applyBorder="1" applyAlignment="1">
      <alignment horizontal="center"/>
    </xf>
    <xf numFmtId="0" fontId="27" fillId="0" borderId="86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05" xfId="0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28" fillId="0" borderId="202" xfId="0" applyFont="1" applyFill="1" applyBorder="1" applyAlignment="1">
      <alignment wrapText="1"/>
    </xf>
    <xf numFmtId="3" fontId="31" fillId="0" borderId="78" xfId="0" applyNumberFormat="1" applyFont="1" applyFill="1" applyBorder="1" applyAlignment="1">
      <alignment horizontal="center" vertical="center" wrapText="1"/>
    </xf>
    <xf numFmtId="3" fontId="31" fillId="0" borderId="242" xfId="0" applyNumberFormat="1" applyFont="1" applyFill="1" applyBorder="1" applyAlignment="1">
      <alignment horizontal="center" vertical="center" wrapText="1"/>
    </xf>
    <xf numFmtId="3" fontId="31" fillId="0" borderId="203" xfId="0" applyNumberFormat="1" applyFont="1" applyFill="1" applyBorder="1" applyAlignment="1">
      <alignment horizontal="center" vertical="center" wrapText="1"/>
    </xf>
    <xf numFmtId="3" fontId="31" fillId="0" borderId="174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/>
    <xf numFmtId="3" fontId="21" fillId="0" borderId="41" xfId="0" applyNumberFormat="1" applyFont="1" applyFill="1" applyBorder="1"/>
    <xf numFmtId="3" fontId="21" fillId="0" borderId="19" xfId="0" applyNumberFormat="1" applyFont="1" applyFill="1" applyBorder="1"/>
    <xf numFmtId="3" fontId="21" fillId="0" borderId="42" xfId="0" applyNumberFormat="1" applyFont="1" applyFill="1" applyBorder="1"/>
    <xf numFmtId="0" fontId="21" fillId="0" borderId="15" xfId="0" applyFont="1" applyFill="1" applyBorder="1"/>
    <xf numFmtId="3" fontId="21" fillId="0" borderId="49" xfId="0" applyNumberFormat="1" applyFont="1" applyFill="1" applyBorder="1"/>
    <xf numFmtId="3" fontId="21" fillId="0" borderId="25" xfId="0" applyNumberFormat="1" applyFont="1" applyFill="1" applyBorder="1"/>
    <xf numFmtId="3" fontId="21" fillId="0" borderId="65" xfId="0" applyNumberFormat="1" applyFont="1" applyFill="1" applyBorder="1"/>
    <xf numFmtId="0" fontId="21" fillId="0" borderId="26" xfId="0" applyFont="1" applyFill="1" applyBorder="1"/>
    <xf numFmtId="3" fontId="21" fillId="0" borderId="29" xfId="0" applyNumberFormat="1" applyFont="1" applyFill="1" applyBorder="1"/>
    <xf numFmtId="3" fontId="21" fillId="0" borderId="66" xfId="0" applyNumberFormat="1" applyFont="1" applyFill="1" applyBorder="1"/>
    <xf numFmtId="0" fontId="28" fillId="0" borderId="85" xfId="0" applyFont="1" applyFill="1" applyBorder="1"/>
    <xf numFmtId="3" fontId="28" fillId="0" borderId="86" xfId="0" applyNumberFormat="1" applyFont="1" applyFill="1" applyBorder="1"/>
    <xf numFmtId="3" fontId="28" fillId="0" borderId="24" xfId="0" applyNumberFormat="1" applyFont="1" applyFill="1" applyBorder="1"/>
    <xf numFmtId="3" fontId="28" fillId="0" borderId="88" xfId="0" applyNumberFormat="1" applyFont="1" applyFill="1" applyBorder="1"/>
    <xf numFmtId="3" fontId="28" fillId="0" borderId="17" xfId="0" applyNumberFormat="1" applyFont="1" applyFill="1" applyBorder="1"/>
    <xf numFmtId="3" fontId="21" fillId="0" borderId="78" xfId="0" applyNumberFormat="1" applyFont="1" applyFill="1" applyBorder="1"/>
    <xf numFmtId="3" fontId="21" fillId="0" borderId="242" xfId="0" applyNumberFormat="1" applyFont="1" applyFill="1" applyBorder="1"/>
    <xf numFmtId="3" fontId="21" fillId="0" borderId="174" xfId="0" applyNumberFormat="1" applyFont="1" applyFill="1" applyBorder="1"/>
    <xf numFmtId="3" fontId="21" fillId="0" borderId="58" xfId="0" applyNumberFormat="1" applyFont="1" applyFill="1" applyBorder="1"/>
    <xf numFmtId="3" fontId="28" fillId="0" borderId="205" xfId="54" applyNumberFormat="1" applyFont="1" applyFill="1" applyBorder="1" applyAlignment="1">
      <alignment horizontal="right"/>
    </xf>
    <xf numFmtId="3" fontId="21" fillId="0" borderId="64" xfId="0" applyNumberFormat="1" applyFont="1" applyFill="1" applyBorder="1" applyAlignment="1">
      <alignment horizontal="right"/>
    </xf>
    <xf numFmtId="3" fontId="28" fillId="0" borderId="88" xfId="54" applyNumberFormat="1" applyFont="1" applyFill="1" applyBorder="1" applyAlignment="1">
      <alignment horizontal="right"/>
    </xf>
    <xf numFmtId="169" fontId="28" fillId="0" borderId="88" xfId="54" applyNumberFormat="1" applyFont="1" applyFill="1" applyBorder="1" applyAlignment="1">
      <alignment horizontal="right"/>
    </xf>
    <xf numFmtId="169" fontId="21" fillId="0" borderId="0" xfId="54" applyNumberFormat="1" applyFont="1" applyFill="1" applyBorder="1" applyAlignment="1">
      <alignment horizontal="right"/>
    </xf>
    <xf numFmtId="3" fontId="21" fillId="0" borderId="65" xfId="54" applyNumberFormat="1" applyFont="1" applyFill="1" applyBorder="1" applyAlignment="1">
      <alignment horizontal="right" wrapText="1"/>
    </xf>
    <xf numFmtId="3" fontId="21" fillId="0" borderId="0" xfId="54" applyNumberFormat="1" applyFont="1" applyFill="1" applyBorder="1" applyAlignment="1">
      <alignment horizontal="right"/>
    </xf>
    <xf numFmtId="49" fontId="27" fillId="0" borderId="38" xfId="0" applyNumberFormat="1" applyFont="1" applyFill="1" applyBorder="1" applyAlignment="1">
      <alignment horizontal="center" vertical="top" wrapText="1"/>
    </xf>
    <xf numFmtId="3" fontId="21" fillId="0" borderId="38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3" fontId="27" fillId="0" borderId="0" xfId="0" applyNumberFormat="1" applyFont="1" applyFill="1" applyBorder="1" applyAlignment="1">
      <alignment horizontal="center" vertical="top" wrapText="1"/>
    </xf>
    <xf numFmtId="0" fontId="0" fillId="0" borderId="20" xfId="0" applyBorder="1" applyAlignment="1">
      <alignment horizontal="right" vertical="center" wrapText="1"/>
    </xf>
    <xf numFmtId="3" fontId="21" fillId="0" borderId="25" xfId="54" applyNumberFormat="1" applyFont="1" applyFill="1" applyBorder="1" applyAlignment="1">
      <alignment horizontal="right"/>
    </xf>
    <xf numFmtId="0" fontId="0" fillId="0" borderId="75" xfId="0" applyBorder="1" applyAlignment="1">
      <alignment horizontal="center" vertical="center" wrapText="1"/>
    </xf>
    <xf numFmtId="49" fontId="27" fillId="0" borderId="77" xfId="0" applyNumberFormat="1" applyFont="1" applyFill="1" applyBorder="1" applyAlignment="1">
      <alignment horizontal="center" vertical="top" wrapText="1"/>
    </xf>
    <xf numFmtId="3" fontId="21" fillId="0" borderId="53" xfId="0" applyNumberFormat="1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169" fontId="21" fillId="0" borderId="25" xfId="54" applyNumberFormat="1" applyFont="1" applyFill="1" applyBorder="1" applyAlignment="1">
      <alignment horizontal="right"/>
    </xf>
    <xf numFmtId="3" fontId="21" fillId="0" borderId="68" xfId="54" applyNumberFormat="1" applyFont="1" applyFill="1" applyBorder="1" applyAlignment="1">
      <alignment horizontal="right" wrapText="1"/>
    </xf>
    <xf numFmtId="3" fontId="21" fillId="0" borderId="43" xfId="54" applyNumberFormat="1" applyFont="1" applyFill="1" applyBorder="1" applyAlignment="1">
      <alignment horizontal="right" wrapText="1"/>
    </xf>
    <xf numFmtId="3" fontId="21" fillId="0" borderId="192" xfId="0" applyNumberFormat="1" applyFont="1" applyFill="1" applyBorder="1" applyAlignment="1">
      <alignment horizontal="right"/>
    </xf>
    <xf numFmtId="3" fontId="28" fillId="0" borderId="242" xfId="54" applyNumberFormat="1" applyFont="1" applyFill="1" applyBorder="1" applyAlignment="1">
      <alignment horizontal="right"/>
    </xf>
    <xf numFmtId="3" fontId="21" fillId="0" borderId="156" xfId="0" applyNumberFormat="1" applyFont="1" applyFill="1" applyBorder="1" applyAlignment="1">
      <alignment horizontal="right"/>
    </xf>
    <xf numFmtId="3" fontId="21" fillId="0" borderId="156" xfId="54" applyNumberFormat="1" applyFont="1" applyFill="1" applyBorder="1" applyAlignment="1">
      <alignment horizontal="right"/>
    </xf>
    <xf numFmtId="3" fontId="21" fillId="0" borderId="77" xfId="54" applyNumberFormat="1" applyFont="1" applyFill="1" applyBorder="1" applyAlignment="1">
      <alignment horizontal="right" wrapText="1"/>
    </xf>
    <xf numFmtId="3" fontId="21" fillId="0" borderId="38" xfId="54" applyNumberFormat="1" applyFont="1" applyFill="1" applyBorder="1" applyAlignment="1">
      <alignment horizontal="right" wrapText="1"/>
    </xf>
    <xf numFmtId="169" fontId="21" fillId="0" borderId="27" xfId="54" applyNumberFormat="1" applyFont="1" applyFill="1" applyBorder="1" applyAlignment="1">
      <alignment horizontal="right"/>
    </xf>
    <xf numFmtId="3" fontId="21" fillId="0" borderId="27" xfId="0" applyNumberFormat="1" applyFont="1" applyFill="1" applyBorder="1" applyAlignment="1">
      <alignment horizontal="right"/>
    </xf>
    <xf numFmtId="169" fontId="28" fillId="0" borderId="27" xfId="54" applyNumberFormat="1" applyFont="1" applyFill="1" applyBorder="1" applyAlignment="1">
      <alignment horizontal="right"/>
    </xf>
    <xf numFmtId="166" fontId="28" fillId="0" borderId="175" xfId="0" applyNumberFormat="1" applyFont="1" applyFill="1" applyBorder="1" applyAlignment="1">
      <alignment wrapText="1"/>
    </xf>
    <xf numFmtId="3" fontId="28" fillId="0" borderId="118" xfId="54" applyNumberFormat="1" applyFont="1" applyFill="1" applyBorder="1" applyAlignment="1">
      <alignment wrapText="1"/>
    </xf>
    <xf numFmtId="3" fontId="28" fillId="0" borderId="119" xfId="54" applyNumberFormat="1" applyFont="1" applyFill="1" applyBorder="1" applyAlignment="1">
      <alignment wrapText="1"/>
    </xf>
    <xf numFmtId="166" fontId="28" fillId="0" borderId="120" xfId="0" applyNumberFormat="1" applyFont="1" applyFill="1" applyBorder="1" applyAlignment="1">
      <alignment wrapText="1"/>
    </xf>
    <xf numFmtId="169" fontId="28" fillId="0" borderId="20" xfId="54" applyNumberFormat="1" applyFont="1" applyFill="1" applyBorder="1" applyAlignment="1">
      <alignment horizontal="right"/>
    </xf>
    <xf numFmtId="169" fontId="28" fillId="0" borderId="24" xfId="54" applyNumberFormat="1" applyFont="1" applyFill="1" applyBorder="1" applyAlignment="1">
      <alignment horizontal="right"/>
    </xf>
    <xf numFmtId="3" fontId="21" fillId="0" borderId="46" xfId="54" applyNumberFormat="1" applyFont="1" applyFill="1" applyBorder="1" applyAlignment="1">
      <alignment horizontal="right" wrapText="1"/>
    </xf>
    <xf numFmtId="3" fontId="21" fillId="0" borderId="87" xfId="54" applyNumberFormat="1" applyFont="1" applyFill="1" applyBorder="1" applyAlignment="1">
      <alignment horizontal="right" wrapText="1"/>
    </xf>
    <xf numFmtId="0" fontId="21" fillId="0" borderId="36" xfId="0" applyFont="1" applyFill="1" applyBorder="1" applyAlignment="1">
      <alignment wrapText="1"/>
    </xf>
    <xf numFmtId="3" fontId="21" fillId="0" borderId="82" xfId="54" applyNumberFormat="1" applyFont="1" applyFill="1" applyBorder="1" applyAlignment="1">
      <alignment horizontal="right"/>
    </xf>
    <xf numFmtId="3" fontId="21" fillId="0" borderId="74" xfId="54" applyNumberFormat="1" applyFont="1" applyFill="1" applyBorder="1" applyAlignment="1">
      <alignment horizontal="right" wrapText="1"/>
    </xf>
    <xf numFmtId="3" fontId="21" fillId="0" borderId="242" xfId="54" applyNumberFormat="1" applyFont="1" applyFill="1" applyBorder="1" applyAlignment="1">
      <alignment horizontal="right"/>
    </xf>
    <xf numFmtId="3" fontId="28" fillId="0" borderId="242" xfId="0" applyNumberFormat="1" applyFont="1" applyFill="1" applyBorder="1" applyAlignment="1">
      <alignment horizontal="right"/>
    </xf>
    <xf numFmtId="3" fontId="28" fillId="0" borderId="175" xfId="54" applyNumberFormat="1" applyFont="1" applyFill="1" applyBorder="1" applyAlignment="1">
      <alignment horizontal="right" wrapText="1"/>
    </xf>
    <xf numFmtId="3" fontId="28" fillId="0" borderId="22" xfId="0" applyNumberFormat="1" applyFont="1" applyFill="1" applyBorder="1" applyAlignment="1">
      <alignment horizontal="right"/>
    </xf>
    <xf numFmtId="3" fontId="28" fillId="0" borderId="22" xfId="54" applyNumberFormat="1" applyFont="1" applyFill="1" applyBorder="1" applyAlignment="1">
      <alignment horizontal="right"/>
    </xf>
    <xf numFmtId="3" fontId="28" fillId="0" borderId="27" xfId="0" applyNumberFormat="1" applyFont="1" applyFill="1" applyBorder="1" applyAlignment="1">
      <alignment horizontal="right"/>
    </xf>
    <xf numFmtId="3" fontId="28" fillId="0" borderId="27" xfId="54" applyNumberFormat="1" applyFont="1" applyFill="1" applyBorder="1" applyAlignment="1">
      <alignment horizontal="right"/>
    </xf>
    <xf numFmtId="3" fontId="28" fillId="0" borderId="48" xfId="54" applyNumberFormat="1" applyFont="1" applyFill="1" applyBorder="1" applyAlignment="1">
      <alignment horizontal="right" wrapText="1"/>
    </xf>
    <xf numFmtId="3" fontId="28" fillId="0" borderId="156" xfId="0" applyNumberFormat="1" applyFont="1" applyFill="1" applyBorder="1" applyAlignment="1">
      <alignment horizontal="right"/>
    </xf>
    <xf numFmtId="3" fontId="28" fillId="0" borderId="156" xfId="54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horizontal="right"/>
    </xf>
    <xf numFmtId="3" fontId="28" fillId="0" borderId="23" xfId="54" applyNumberFormat="1" applyFont="1" applyFill="1" applyBorder="1" applyAlignment="1">
      <alignment horizontal="right"/>
    </xf>
    <xf numFmtId="3" fontId="28" fillId="0" borderId="67" xfId="54" applyNumberFormat="1" applyFont="1" applyFill="1" applyBorder="1" applyAlignment="1">
      <alignment horizontal="right" wrapText="1"/>
    </xf>
    <xf numFmtId="3" fontId="28" fillId="0" borderId="87" xfId="54" applyNumberFormat="1" applyFont="1" applyFill="1" applyBorder="1" applyAlignment="1">
      <alignment horizontal="right" wrapText="1"/>
    </xf>
    <xf numFmtId="3" fontId="28" fillId="0" borderId="57" xfId="54" applyNumberFormat="1" applyFont="1" applyFill="1" applyBorder="1" applyAlignment="1">
      <alignment horizontal="right" wrapText="1"/>
    </xf>
    <xf numFmtId="49" fontId="27" fillId="0" borderId="56" xfId="0" applyNumberFormat="1" applyFont="1" applyFill="1" applyBorder="1" applyAlignment="1">
      <alignment horizontal="center" vertical="top" wrapText="1"/>
    </xf>
    <xf numFmtId="0" fontId="21" fillId="0" borderId="51" xfId="0" applyFont="1" applyFill="1" applyBorder="1" applyAlignment="1">
      <alignment vertical="center" wrapText="1"/>
    </xf>
    <xf numFmtId="3" fontId="21" fillId="0" borderId="53" xfId="54" applyNumberFormat="1" applyFont="1" applyFill="1" applyBorder="1" applyAlignment="1">
      <alignment horizontal="right"/>
    </xf>
    <xf numFmtId="169" fontId="21" fillId="0" borderId="53" xfId="54" applyNumberFormat="1" applyFont="1" applyFill="1" applyBorder="1" applyAlignment="1">
      <alignment horizontal="right"/>
    </xf>
    <xf numFmtId="169" fontId="21" fillId="0" borderId="73" xfId="54" applyNumberFormat="1" applyFont="1" applyFill="1" applyBorder="1" applyAlignment="1">
      <alignment horizontal="right"/>
    </xf>
    <xf numFmtId="169" fontId="29" fillId="0" borderId="21" xfId="54" applyNumberFormat="1" applyFont="1" applyFill="1" applyBorder="1" applyAlignment="1">
      <alignment horizontal="right"/>
    </xf>
    <xf numFmtId="169" fontId="29" fillId="0" borderId="23" xfId="54" applyNumberFormat="1" applyFont="1" applyFill="1" applyBorder="1" applyAlignment="1">
      <alignment horizontal="right"/>
    </xf>
    <xf numFmtId="169" fontId="29" fillId="0" borderId="25" xfId="54" applyNumberFormat="1" applyFont="1" applyFill="1" applyBorder="1" applyAlignment="1">
      <alignment horizontal="right"/>
    </xf>
    <xf numFmtId="0" fontId="21" fillId="0" borderId="40" xfId="0" applyFont="1" applyFill="1" applyBorder="1" applyAlignment="1">
      <alignment vertical="center" wrapText="1"/>
    </xf>
    <xf numFmtId="3" fontId="21" fillId="0" borderId="261" xfId="54" applyNumberFormat="1" applyFont="1" applyFill="1" applyBorder="1" applyAlignment="1">
      <alignment horizontal="center"/>
    </xf>
    <xf numFmtId="3" fontId="21" fillId="0" borderId="242" xfId="0" applyNumberFormat="1" applyFont="1" applyFill="1" applyBorder="1" applyAlignment="1">
      <alignment horizontal="center"/>
    </xf>
    <xf numFmtId="3" fontId="21" fillId="0" borderId="262" xfId="0" applyNumberFormat="1" applyFont="1" applyFill="1" applyBorder="1" applyAlignment="1">
      <alignment horizontal="center"/>
    </xf>
    <xf numFmtId="3" fontId="21" fillId="0" borderId="156" xfId="0" applyNumberFormat="1" applyFont="1" applyFill="1" applyBorder="1" applyAlignment="1">
      <alignment horizontal="center"/>
    </xf>
    <xf numFmtId="3" fontId="21" fillId="0" borderId="261" xfId="54" applyNumberFormat="1" applyFont="1" applyFill="1" applyBorder="1"/>
    <xf numFmtId="3" fontId="21" fillId="0" borderId="175" xfId="0" applyNumberFormat="1" applyFont="1" applyFill="1" applyBorder="1"/>
    <xf numFmtId="3" fontId="21" fillId="0" borderId="194" xfId="54" applyNumberFormat="1" applyFont="1" applyFill="1" applyBorder="1"/>
    <xf numFmtId="3" fontId="21" fillId="0" borderId="43" xfId="0" applyNumberFormat="1" applyFont="1" applyFill="1" applyBorder="1"/>
    <xf numFmtId="3" fontId="29" fillId="0" borderId="188" xfId="54" applyNumberFormat="1" applyFont="1" applyFill="1" applyBorder="1"/>
    <xf numFmtId="3" fontId="29" fillId="0" borderId="25" xfId="0" applyNumberFormat="1" applyFont="1" applyFill="1" applyBorder="1"/>
    <xf numFmtId="3" fontId="29" fillId="0" borderId="50" xfId="0" applyNumberFormat="1" applyFont="1" applyFill="1" applyBorder="1"/>
    <xf numFmtId="3" fontId="21" fillId="0" borderId="188" xfId="54" applyNumberFormat="1" applyFont="1" applyFill="1" applyBorder="1"/>
    <xf numFmtId="166" fontId="21" fillId="0" borderId="50" xfId="0" applyNumberFormat="1" applyFont="1" applyFill="1" applyBorder="1"/>
    <xf numFmtId="166" fontId="29" fillId="0" borderId="50" xfId="0" applyNumberFormat="1" applyFont="1" applyFill="1" applyBorder="1"/>
    <xf numFmtId="3" fontId="21" fillId="0" borderId="190" xfId="54" applyNumberFormat="1" applyFont="1" applyFill="1" applyBorder="1"/>
    <xf numFmtId="3" fontId="29" fillId="0" borderId="190" xfId="54" applyNumberFormat="1" applyFont="1" applyFill="1" applyBorder="1"/>
    <xf numFmtId="3" fontId="21" fillId="0" borderId="192" xfId="54" applyNumberFormat="1" applyFont="1" applyFill="1" applyBorder="1"/>
    <xf numFmtId="166" fontId="21" fillId="0" borderId="46" xfId="0" applyNumberFormat="1" applyFont="1" applyFill="1" applyBorder="1"/>
    <xf numFmtId="3" fontId="21" fillId="0" borderId="50" xfId="0" applyNumberFormat="1" applyFont="1" applyFill="1" applyBorder="1"/>
    <xf numFmtId="166" fontId="29" fillId="0" borderId="67" xfId="0" applyNumberFormat="1" applyFont="1" applyFill="1" applyBorder="1"/>
    <xf numFmtId="3" fontId="21" fillId="0" borderId="200" xfId="54" applyNumberFormat="1" applyFont="1" applyFill="1" applyBorder="1"/>
    <xf numFmtId="3" fontId="21" fillId="0" borderId="20" xfId="0" applyNumberFormat="1" applyFont="1" applyFill="1" applyBorder="1"/>
    <xf numFmtId="3" fontId="21" fillId="0" borderId="38" xfId="0" applyNumberFormat="1" applyFont="1" applyFill="1" applyBorder="1"/>
    <xf numFmtId="3" fontId="28" fillId="0" borderId="207" xfId="54" applyNumberFormat="1" applyFont="1" applyFill="1" applyBorder="1"/>
    <xf numFmtId="3" fontId="28" fillId="0" borderId="24" xfId="54" applyNumberFormat="1" applyFont="1" applyFill="1" applyBorder="1"/>
    <xf numFmtId="166" fontId="28" fillId="0" borderId="87" xfId="0" applyNumberFormat="1" applyFont="1" applyFill="1" applyBorder="1"/>
    <xf numFmtId="3" fontId="28" fillId="0" borderId="194" xfId="54" applyNumberFormat="1" applyFont="1" applyFill="1" applyBorder="1"/>
    <xf numFmtId="3" fontId="28" fillId="0" borderId="19" xfId="0" applyNumberFormat="1" applyFont="1" applyFill="1" applyBorder="1"/>
    <xf numFmtId="3" fontId="28" fillId="0" borderId="43" xfId="0" applyNumberFormat="1" applyFont="1" applyFill="1" applyBorder="1"/>
    <xf numFmtId="3" fontId="29" fillId="0" borderId="188" xfId="54" applyNumberFormat="1" applyFont="1" applyFill="1" applyBorder="1" applyAlignment="1">
      <alignment horizontal="right" wrapText="1"/>
    </xf>
    <xf numFmtId="3" fontId="29" fillId="0" borderId="25" xfId="0" applyNumberFormat="1" applyFont="1" applyFill="1" applyBorder="1" applyAlignment="1">
      <alignment horizontal="right" wrapText="1"/>
    </xf>
    <xf numFmtId="3" fontId="29" fillId="0" borderId="67" xfId="0" applyNumberFormat="1" applyFont="1" applyFill="1" applyBorder="1" applyAlignment="1">
      <alignment horizontal="right" wrapText="1"/>
    </xf>
    <xf numFmtId="3" fontId="21" fillId="0" borderId="188" xfId="54" applyNumberFormat="1" applyFont="1" applyFill="1" applyBorder="1" applyAlignment="1">
      <alignment wrapText="1"/>
    </xf>
    <xf numFmtId="3" fontId="21" fillId="0" borderId="188" xfId="54" applyNumberFormat="1" applyFont="1" applyFill="1" applyBorder="1" applyAlignment="1">
      <alignment horizontal="right" wrapText="1"/>
    </xf>
    <xf numFmtId="3" fontId="21" fillId="0" borderId="25" xfId="0" applyNumberFormat="1" applyFont="1" applyFill="1" applyBorder="1" applyAlignment="1">
      <alignment horizontal="right" wrapText="1"/>
    </xf>
    <xf numFmtId="3" fontId="21" fillId="0" borderId="188" xfId="54" applyNumberFormat="1" applyFont="1" applyFill="1" applyBorder="1" applyAlignment="1">
      <alignment horizontal="right"/>
    </xf>
    <xf numFmtId="3" fontId="29" fillId="0" borderId="190" xfId="54" applyNumberFormat="1" applyFont="1" applyFill="1" applyBorder="1" applyAlignment="1">
      <alignment horizontal="right" wrapText="1"/>
    </xf>
    <xf numFmtId="3" fontId="29" fillId="0" borderId="23" xfId="0" applyNumberFormat="1" applyFont="1" applyFill="1" applyBorder="1" applyAlignment="1">
      <alignment horizontal="right" wrapText="1"/>
    </xf>
    <xf numFmtId="3" fontId="29" fillId="0" borderId="23" xfId="54" applyNumberFormat="1" applyFont="1" applyFill="1" applyBorder="1"/>
    <xf numFmtId="3" fontId="21" fillId="0" borderId="23" xfId="0" applyNumberFormat="1" applyFont="1" applyFill="1" applyBorder="1" applyAlignment="1">
      <alignment horizontal="right" wrapText="1"/>
    </xf>
    <xf numFmtId="166" fontId="21" fillId="0" borderId="67" xfId="0" applyNumberFormat="1" applyFont="1" applyFill="1" applyBorder="1"/>
    <xf numFmtId="3" fontId="21" fillId="0" borderId="22" xfId="54" applyNumberFormat="1" applyFont="1" applyFill="1" applyBorder="1"/>
    <xf numFmtId="3" fontId="21" fillId="0" borderId="22" xfId="0" applyNumberFormat="1" applyFont="1" applyFill="1" applyBorder="1" applyAlignment="1">
      <alignment horizontal="right" wrapText="1"/>
    </xf>
    <xf numFmtId="3" fontId="21" fillId="0" borderId="19" xfId="0" applyNumberFormat="1" applyFont="1" applyFill="1" applyBorder="1" applyAlignment="1">
      <alignment horizontal="right" wrapText="1"/>
    </xf>
    <xf numFmtId="166" fontId="21" fillId="0" borderId="48" xfId="0" applyNumberFormat="1" applyFont="1" applyFill="1" applyBorder="1"/>
    <xf numFmtId="3" fontId="21" fillId="0" borderId="198" xfId="54" applyNumberFormat="1" applyFont="1" applyFill="1" applyBorder="1"/>
    <xf numFmtId="3" fontId="21" fillId="0" borderId="21" xfId="0" applyNumberFormat="1" applyFont="1" applyFill="1" applyBorder="1"/>
    <xf numFmtId="3" fontId="21" fillId="0" borderId="21" xfId="0" applyNumberFormat="1" applyFont="1" applyFill="1" applyBorder="1" applyAlignment="1">
      <alignment horizontal="right" wrapText="1"/>
    </xf>
    <xf numFmtId="166" fontId="21" fillId="0" borderId="70" xfId="0" applyNumberFormat="1" applyFont="1" applyFill="1" applyBorder="1"/>
    <xf numFmtId="3" fontId="21" fillId="0" borderId="20" xfId="0" applyNumberFormat="1" applyFont="1" applyFill="1" applyBorder="1" applyAlignment="1">
      <alignment horizontal="right" wrapText="1"/>
    </xf>
    <xf numFmtId="166" fontId="21" fillId="0" borderId="83" xfId="0" applyNumberFormat="1" applyFont="1" applyFill="1" applyBorder="1"/>
    <xf numFmtId="3" fontId="28" fillId="0" borderId="24" xfId="0" applyNumberFormat="1" applyFont="1" applyFill="1" applyBorder="1" applyAlignment="1">
      <alignment horizontal="right" wrapText="1"/>
    </xf>
    <xf numFmtId="166" fontId="21" fillId="0" borderId="77" xfId="0" applyNumberFormat="1" applyFont="1" applyFill="1" applyBorder="1"/>
    <xf numFmtId="166" fontId="21" fillId="0" borderId="54" xfId="0" applyNumberFormat="1" applyFont="1" applyFill="1" applyBorder="1"/>
    <xf numFmtId="166" fontId="21" fillId="0" borderId="38" xfId="0" applyNumberFormat="1" applyFont="1" applyFill="1" applyBorder="1"/>
    <xf numFmtId="3" fontId="21" fillId="0" borderId="207" xfId="54" applyNumberFormat="1" applyFont="1" applyFill="1" applyBorder="1"/>
    <xf numFmtId="3" fontId="28" fillId="0" borderId="207" xfId="54" applyNumberFormat="1" applyFont="1" applyFill="1" applyBorder="1" applyAlignment="1">
      <alignment horizontal="right" vertical="center"/>
    </xf>
    <xf numFmtId="3" fontId="28" fillId="0" borderId="24" xfId="54" applyNumberFormat="1" applyFont="1" applyFill="1" applyBorder="1" applyAlignment="1">
      <alignment horizontal="right" vertical="center"/>
    </xf>
    <xf numFmtId="3" fontId="21" fillId="0" borderId="50" xfId="0" applyNumberFormat="1" applyFont="1" applyFill="1" applyBorder="1" applyAlignment="1">
      <alignment wrapText="1"/>
    </xf>
    <xf numFmtId="3" fontId="21" fillId="0" borderId="255" xfId="0" applyNumberFormat="1" applyFont="1" applyFill="1" applyBorder="1" applyAlignment="1">
      <alignment vertical="center" wrapText="1"/>
    </xf>
    <xf numFmtId="0" fontId="28" fillId="0" borderId="264" xfId="0" applyFont="1" applyFill="1" applyBorder="1" applyAlignment="1">
      <alignment vertical="center" wrapText="1"/>
    </xf>
    <xf numFmtId="3" fontId="21" fillId="0" borderId="263" xfId="0" applyNumberFormat="1" applyFont="1" applyFill="1" applyBorder="1" applyAlignment="1">
      <alignment vertical="center" wrapText="1"/>
    </xf>
    <xf numFmtId="3" fontId="21" fillId="0" borderId="266" xfId="0" applyNumberFormat="1" applyFont="1" applyFill="1" applyBorder="1" applyAlignment="1">
      <alignment vertical="center" wrapText="1"/>
    </xf>
    <xf numFmtId="3" fontId="21" fillId="0" borderId="265" xfId="0" applyNumberFormat="1" applyFont="1" applyFill="1" applyBorder="1" applyAlignment="1">
      <alignment vertical="center" wrapText="1"/>
    </xf>
    <xf numFmtId="0" fontId="44" fillId="0" borderId="107" xfId="0" applyFont="1" applyFill="1" applyBorder="1" applyAlignment="1">
      <alignment horizontal="center" vertical="top"/>
    </xf>
    <xf numFmtId="0" fontId="44" fillId="0" borderId="108" xfId="0" applyFont="1" applyFill="1" applyBorder="1" applyAlignment="1">
      <alignment horizontal="center" vertical="top" wrapText="1"/>
    </xf>
    <xf numFmtId="0" fontId="44" fillId="0" borderId="109" xfId="0" applyFont="1" applyFill="1" applyBorder="1" applyAlignment="1">
      <alignment horizontal="center" vertical="top" wrapText="1"/>
    </xf>
    <xf numFmtId="0" fontId="44" fillId="0" borderId="0" xfId="0" applyFont="1" applyFill="1"/>
    <xf numFmtId="0" fontId="26" fillId="0" borderId="110" xfId="0" applyFont="1" applyFill="1" applyBorder="1" applyAlignment="1">
      <alignment horizontal="left"/>
    </xf>
    <xf numFmtId="164" fontId="44" fillId="0" borderId="111" xfId="0" applyNumberFormat="1" applyFont="1" applyFill="1" applyBorder="1" applyAlignment="1">
      <alignment horizontal="center" vertical="top" wrapText="1"/>
    </xf>
    <xf numFmtId="164" fontId="44" fillId="0" borderId="112" xfId="0" applyNumberFormat="1" applyFont="1" applyFill="1" applyBorder="1" applyAlignment="1">
      <alignment horizontal="center" vertical="top" wrapText="1"/>
    </xf>
    <xf numFmtId="164" fontId="44" fillId="0" borderId="113" xfId="0" applyNumberFormat="1" applyFont="1" applyFill="1" applyBorder="1" applyAlignment="1">
      <alignment horizontal="center" vertical="top" wrapText="1"/>
    </xf>
    <xf numFmtId="0" fontId="44" fillId="0" borderId="105" xfId="0" applyFont="1" applyFill="1" applyBorder="1" applyAlignment="1">
      <alignment horizontal="left" vertical="top"/>
    </xf>
    <xf numFmtId="164" fontId="44" fillId="0" borderId="98" xfId="0" applyNumberFormat="1" applyFont="1" applyFill="1" applyBorder="1" applyAlignment="1">
      <alignment horizontal="center" vertical="top" wrapText="1"/>
    </xf>
    <xf numFmtId="164" fontId="26" fillId="0" borderId="113" xfId="0" applyNumberFormat="1" applyFont="1" applyFill="1" applyBorder="1" applyAlignment="1">
      <alignment horizontal="right" vertical="top" wrapText="1"/>
    </xf>
    <xf numFmtId="164" fontId="26" fillId="0" borderId="111" xfId="0" applyNumberFormat="1" applyFont="1" applyFill="1" applyBorder="1" applyAlignment="1">
      <alignment horizontal="right" vertical="top" wrapText="1"/>
    </xf>
    <xf numFmtId="0" fontId="45" fillId="0" borderId="105" xfId="0" applyFont="1" applyFill="1" applyBorder="1" applyAlignment="1">
      <alignment horizontal="left" vertical="top"/>
    </xf>
    <xf numFmtId="0" fontId="44" fillId="0" borderId="0" xfId="0" applyFont="1" applyFill="1" applyBorder="1"/>
    <xf numFmtId="164" fontId="44" fillId="0" borderId="0" xfId="0" applyNumberFormat="1" applyFont="1" applyFill="1" applyBorder="1"/>
    <xf numFmtId="164" fontId="26" fillId="0" borderId="0" xfId="0" applyNumberFormat="1" applyFont="1" applyFill="1" applyBorder="1"/>
    <xf numFmtId="164" fontId="44" fillId="0" borderId="0" xfId="0" applyNumberFormat="1" applyFont="1" applyFill="1" applyBorder="1" applyAlignment="1">
      <alignment horizontal="right"/>
    </xf>
    <xf numFmtId="0" fontId="26" fillId="0" borderId="32" xfId="0" applyFont="1" applyFill="1" applyBorder="1"/>
    <xf numFmtId="0" fontId="26" fillId="0" borderId="34" xfId="0" applyFont="1" applyFill="1" applyBorder="1"/>
    <xf numFmtId="0" fontId="26" fillId="0" borderId="35" xfId="0" applyFont="1" applyFill="1" applyBorder="1"/>
    <xf numFmtId="0" fontId="44" fillId="0" borderId="131" xfId="0" applyFont="1" applyFill="1" applyBorder="1" applyAlignment="1">
      <alignment horizontal="left" vertical="top"/>
    </xf>
    <xf numFmtId="0" fontId="44" fillId="0" borderId="132" xfId="0" applyFont="1" applyFill="1" applyBorder="1"/>
    <xf numFmtId="164" fontId="44" fillId="0" borderId="133" xfId="0" applyNumberFormat="1" applyFont="1" applyFill="1" applyBorder="1"/>
    <xf numFmtId="164" fontId="26" fillId="0" borderId="133" xfId="0" applyNumberFormat="1" applyFont="1" applyFill="1" applyBorder="1"/>
    <xf numFmtId="164" fontId="44" fillId="0" borderId="154" xfId="0" applyNumberFormat="1" applyFont="1" applyFill="1" applyBorder="1" applyAlignment="1">
      <alignment horizontal="right"/>
    </xf>
    <xf numFmtId="164" fontId="45" fillId="0" borderId="98" xfId="0" applyNumberFormat="1" applyFont="1" applyFill="1" applyBorder="1" applyAlignment="1">
      <alignment horizontal="right" vertical="top" wrapText="1"/>
    </xf>
    <xf numFmtId="164" fontId="45" fillId="0" borderId="98" xfId="0" applyNumberFormat="1" applyFont="1" applyFill="1" applyBorder="1" applyAlignment="1">
      <alignment horizontal="center" vertical="top" wrapText="1"/>
    </xf>
    <xf numFmtId="164" fontId="45" fillId="0" borderId="163" xfId="0" applyNumberFormat="1" applyFont="1" applyFill="1" applyBorder="1" applyAlignment="1">
      <alignment horizontal="center" vertical="top" wrapText="1"/>
    </xf>
    <xf numFmtId="164" fontId="45" fillId="0" borderId="124" xfId="0" applyNumberFormat="1" applyFont="1" applyFill="1" applyBorder="1" applyAlignment="1">
      <alignment horizontal="right" vertical="top" wrapText="1"/>
    </xf>
    <xf numFmtId="0" fontId="45" fillId="0" borderId="105" xfId="0" applyFont="1" applyFill="1" applyBorder="1"/>
    <xf numFmtId="164" fontId="45" fillId="0" borderId="98" xfId="0" applyNumberFormat="1" applyFont="1" applyFill="1" applyBorder="1"/>
    <xf numFmtId="164" fontId="45" fillId="0" borderId="163" xfId="0" applyNumberFormat="1" applyFont="1" applyFill="1" applyBorder="1"/>
    <xf numFmtId="164" fontId="45" fillId="0" borderId="124" xfId="0" applyNumberFormat="1" applyFont="1" applyFill="1" applyBorder="1" applyAlignment="1">
      <alignment horizontal="right"/>
    </xf>
    <xf numFmtId="0" fontId="44" fillId="0" borderId="125" xfId="0" applyFont="1" applyFill="1" applyBorder="1"/>
    <xf numFmtId="164" fontId="26" fillId="0" borderId="101" xfId="0" applyNumberFormat="1" applyFont="1" applyFill="1" applyBorder="1"/>
    <xf numFmtId="164" fontId="26" fillId="0" borderId="164" xfId="0" applyNumberFormat="1" applyFont="1" applyFill="1" applyBorder="1"/>
    <xf numFmtId="164" fontId="26" fillId="0" borderId="126" xfId="0" applyNumberFormat="1" applyFont="1" applyFill="1" applyBorder="1" applyAlignment="1">
      <alignment horizontal="right"/>
    </xf>
    <xf numFmtId="0" fontId="26" fillId="0" borderId="267" xfId="0" applyFont="1" applyFill="1" applyBorder="1"/>
    <xf numFmtId="164" fontId="26" fillId="0" borderId="96" xfId="0" applyNumberFormat="1" applyFont="1" applyFill="1" applyBorder="1"/>
    <xf numFmtId="164" fontId="26" fillId="0" borderId="157" xfId="0" applyNumberFormat="1" applyFont="1" applyFill="1" applyBorder="1"/>
    <xf numFmtId="164" fontId="26" fillId="0" borderId="159" xfId="0" applyNumberFormat="1" applyFont="1" applyFill="1" applyBorder="1" applyAlignment="1">
      <alignment horizontal="right"/>
    </xf>
    <xf numFmtId="0" fontId="26" fillId="0" borderId="122" xfId="0" applyFont="1" applyFill="1" applyBorder="1"/>
    <xf numFmtId="164" fontId="26" fillId="0" borderId="104" xfId="0" applyNumberFormat="1" applyFont="1" applyFill="1" applyBorder="1"/>
    <xf numFmtId="164" fontId="26" fillId="0" borderId="165" xfId="0" applyNumberFormat="1" applyFont="1" applyFill="1" applyBorder="1"/>
    <xf numFmtId="164" fontId="26" fillId="0" borderId="123" xfId="0" applyNumberFormat="1" applyFont="1" applyFill="1" applyBorder="1" applyAlignment="1">
      <alignment horizontal="right"/>
    </xf>
    <xf numFmtId="0" fontId="26" fillId="0" borderId="125" xfId="0" applyFont="1" applyFill="1" applyBorder="1"/>
    <xf numFmtId="0" fontId="26" fillId="0" borderId="125" xfId="0" applyFont="1" applyFill="1" applyBorder="1" applyAlignment="1">
      <alignment horizontal="left" vertical="top"/>
    </xf>
    <xf numFmtId="164" fontId="26" fillId="0" borderId="101" xfId="0" applyNumberFormat="1" applyFont="1" applyFill="1" applyBorder="1" applyAlignment="1">
      <alignment horizontal="right" vertical="top" wrapText="1"/>
    </xf>
    <xf numFmtId="164" fontId="44" fillId="0" borderId="101" xfId="0" applyNumberFormat="1" applyFont="1" applyFill="1" applyBorder="1" applyAlignment="1">
      <alignment horizontal="center" vertical="top" wrapText="1"/>
    </xf>
    <xf numFmtId="164" fontId="44" fillId="0" borderId="164" xfId="0" applyNumberFormat="1" applyFont="1" applyFill="1" applyBorder="1" applyAlignment="1">
      <alignment horizontal="center" vertical="top" wrapText="1"/>
    </xf>
    <xf numFmtId="164" fontId="26" fillId="0" borderId="126" xfId="0" applyNumberFormat="1" applyFont="1" applyFill="1" applyBorder="1" applyAlignment="1">
      <alignment horizontal="right" vertical="top" wrapText="1"/>
    </xf>
    <xf numFmtId="0" fontId="26" fillId="0" borderId="267" xfId="0" applyFont="1" applyFill="1" applyBorder="1" applyAlignment="1">
      <alignment horizontal="left" vertical="top"/>
    </xf>
    <xf numFmtId="164" fontId="26" fillId="0" borderId="96" xfId="0" applyNumberFormat="1" applyFont="1" applyFill="1" applyBorder="1" applyAlignment="1">
      <alignment horizontal="right" vertical="top" wrapText="1"/>
    </xf>
    <xf numFmtId="164" fontId="44" fillId="0" borderId="96" xfId="0" applyNumberFormat="1" applyFont="1" applyFill="1" applyBorder="1" applyAlignment="1">
      <alignment horizontal="center" vertical="top" wrapText="1"/>
    </xf>
    <xf numFmtId="164" fontId="44" fillId="0" borderId="157" xfId="0" applyNumberFormat="1" applyFont="1" applyFill="1" applyBorder="1" applyAlignment="1">
      <alignment horizontal="center" vertical="top" wrapText="1"/>
    </xf>
    <xf numFmtId="164" fontId="26" fillId="0" borderId="159" xfId="0" applyNumberFormat="1" applyFont="1" applyFill="1" applyBorder="1" applyAlignment="1">
      <alignment horizontal="right" vertical="top" wrapText="1"/>
    </xf>
    <xf numFmtId="0" fontId="26" fillId="0" borderId="122" xfId="0" applyFont="1" applyFill="1" applyBorder="1" applyAlignment="1">
      <alignment horizontal="left" vertical="top"/>
    </xf>
    <xf numFmtId="164" fontId="26" fillId="0" borderId="104" xfId="0" applyNumberFormat="1" applyFont="1" applyFill="1" applyBorder="1" applyAlignment="1">
      <alignment horizontal="right" vertical="top" wrapText="1"/>
    </xf>
    <xf numFmtId="164" fontId="44" fillId="0" borderId="104" xfId="0" applyNumberFormat="1" applyFont="1" applyFill="1" applyBorder="1" applyAlignment="1">
      <alignment horizontal="center" vertical="top" wrapText="1"/>
    </xf>
    <xf numFmtId="164" fontId="44" fillId="0" borderId="165" xfId="0" applyNumberFormat="1" applyFont="1" applyFill="1" applyBorder="1" applyAlignment="1">
      <alignment horizontal="center" vertical="top" wrapText="1"/>
    </xf>
    <xf numFmtId="164" fontId="26" fillId="0" borderId="123" xfId="0" applyNumberFormat="1" applyFont="1" applyFill="1" applyBorder="1" applyAlignment="1">
      <alignment horizontal="right" vertical="top" wrapText="1"/>
    </xf>
    <xf numFmtId="0" fontId="26" fillId="0" borderId="267" xfId="0" applyFont="1" applyFill="1" applyBorder="1" applyAlignment="1">
      <alignment horizontal="left"/>
    </xf>
    <xf numFmtId="164" fontId="26" fillId="0" borderId="96" xfId="0" applyNumberFormat="1" applyFont="1" applyFill="1" applyBorder="1" applyAlignment="1">
      <alignment horizontal="right"/>
    </xf>
    <xf numFmtId="164" fontId="44" fillId="0" borderId="96" xfId="0" applyNumberFormat="1" applyFont="1" applyFill="1" applyBorder="1"/>
    <xf numFmtId="3" fontId="21" fillId="0" borderId="86" xfId="77" applyNumberFormat="1" applyFont="1" applyBorder="1" applyAlignment="1">
      <alignment horizontal="center"/>
    </xf>
    <xf numFmtId="3" fontId="21" fillId="0" borderId="24" xfId="77" applyNumberFormat="1" applyFont="1" applyBorder="1" applyAlignment="1">
      <alignment horizontal="center"/>
    </xf>
    <xf numFmtId="3" fontId="21" fillId="0" borderId="87" xfId="77" applyNumberFormat="1" applyFont="1" applyBorder="1" applyAlignment="1">
      <alignment horizontal="center"/>
    </xf>
    <xf numFmtId="3" fontId="26" fillId="0" borderId="203" xfId="77" applyNumberFormat="1" applyFont="1" applyBorder="1"/>
    <xf numFmtId="3" fontId="26" fillId="0" borderId="242" xfId="77" applyNumberFormat="1" applyFont="1" applyBorder="1"/>
    <xf numFmtId="3" fontId="26" fillId="0" borderId="242" xfId="77" applyNumberFormat="1" applyFont="1" applyBorder="1" applyAlignment="1">
      <alignment horizontal="center"/>
    </xf>
    <xf numFmtId="3" fontId="44" fillId="0" borderId="175" xfId="77" applyNumberFormat="1" applyFont="1" applyBorder="1" applyAlignment="1">
      <alignment horizontal="center"/>
    </xf>
    <xf numFmtId="3" fontId="26" fillId="0" borderId="42" xfId="77" applyNumberFormat="1" applyFont="1" applyBorder="1"/>
    <xf numFmtId="3" fontId="26" fillId="0" borderId="19" xfId="77" applyNumberFormat="1" applyFont="1" applyBorder="1"/>
    <xf numFmtId="3" fontId="44" fillId="0" borderId="43" xfId="77" applyNumberFormat="1" applyFont="1" applyFill="1" applyBorder="1"/>
    <xf numFmtId="3" fontId="26" fillId="0" borderId="55" xfId="77" applyNumberFormat="1" applyFont="1" applyBorder="1"/>
    <xf numFmtId="3" fontId="26" fillId="0" borderId="20" xfId="77" applyNumberFormat="1" applyFont="1" applyBorder="1"/>
    <xf numFmtId="3" fontId="26" fillId="0" borderId="25" xfId="77" applyNumberFormat="1" applyFont="1" applyBorder="1"/>
    <xf numFmtId="3" fontId="44" fillId="0" borderId="50" xfId="77" applyNumberFormat="1" applyFont="1" applyFill="1" applyBorder="1"/>
    <xf numFmtId="3" fontId="44" fillId="0" borderId="50" xfId="77" applyNumberFormat="1" applyFont="1" applyBorder="1"/>
    <xf numFmtId="3" fontId="26" fillId="0" borderId="60" xfId="77" applyNumberFormat="1" applyFont="1" applyBorder="1"/>
    <xf numFmtId="3" fontId="26" fillId="0" borderId="68" xfId="77" applyNumberFormat="1" applyFont="1" applyBorder="1"/>
    <xf numFmtId="3" fontId="26" fillId="0" borderId="23" xfId="77" applyNumberFormat="1" applyFont="1" applyBorder="1"/>
    <xf numFmtId="3" fontId="44" fillId="0" borderId="67" xfId="77" applyNumberFormat="1" applyFont="1" applyBorder="1"/>
    <xf numFmtId="3" fontId="44" fillId="27" borderId="205" xfId="77" applyNumberFormat="1" applyFont="1" applyFill="1" applyBorder="1"/>
    <xf numFmtId="3" fontId="44" fillId="27" borderId="24" xfId="77" applyNumberFormat="1" applyFont="1" applyFill="1" applyBorder="1"/>
    <xf numFmtId="3" fontId="44" fillId="27" borderId="87" xfId="77" applyNumberFormat="1" applyFont="1" applyFill="1" applyBorder="1"/>
    <xf numFmtId="3" fontId="26" fillId="0" borderId="42" xfId="77" applyNumberFormat="1" applyFont="1" applyFill="1" applyBorder="1"/>
    <xf numFmtId="3" fontId="26" fillId="0" borderId="19" xfId="77" applyNumberFormat="1" applyFont="1" applyFill="1" applyBorder="1"/>
    <xf numFmtId="3" fontId="26" fillId="0" borderId="55" xfId="77" applyNumberFormat="1" applyFont="1" applyFill="1" applyBorder="1"/>
    <xf numFmtId="3" fontId="26" fillId="0" borderId="20" xfId="77" applyNumberFormat="1" applyFont="1" applyFill="1" applyBorder="1"/>
    <xf numFmtId="3" fontId="44" fillId="0" borderId="38" xfId="77" applyNumberFormat="1" applyFont="1" applyFill="1" applyBorder="1"/>
    <xf numFmtId="3" fontId="34" fillId="0" borderId="179" xfId="0" applyNumberFormat="1" applyFont="1" applyFill="1" applyBorder="1" applyAlignment="1">
      <alignment horizontal="center" vertical="center" wrapText="1"/>
    </xf>
    <xf numFmtId="3" fontId="28" fillId="0" borderId="18" xfId="0" applyNumberFormat="1" applyFont="1" applyFill="1" applyBorder="1"/>
    <xf numFmtId="3" fontId="28" fillId="0" borderId="16" xfId="0" applyNumberFormat="1" applyFont="1" applyFill="1" applyBorder="1"/>
    <xf numFmtId="3" fontId="28" fillId="0" borderId="28" xfId="0" applyNumberFormat="1" applyFont="1" applyFill="1" applyBorder="1"/>
    <xf numFmtId="3" fontId="28" fillId="0" borderId="179" xfId="0" applyNumberFormat="1" applyFont="1" applyFill="1" applyBorder="1"/>
    <xf numFmtId="0" fontId="26" fillId="0" borderId="0" xfId="0" applyFont="1" applyFill="1" applyBorder="1" applyAlignment="1">
      <alignment horizontal="justify" vertical="top"/>
    </xf>
    <xf numFmtId="0" fontId="27" fillId="0" borderId="106" xfId="0" applyFont="1" applyFill="1" applyBorder="1" applyAlignment="1">
      <alignment horizontal="justify"/>
    </xf>
    <xf numFmtId="0" fontId="28" fillId="0" borderId="210" xfId="0" applyFont="1" applyFill="1" applyBorder="1" applyAlignment="1">
      <alignment horizontal="left"/>
    </xf>
    <xf numFmtId="3" fontId="21" fillId="0" borderId="55" xfId="0" applyNumberFormat="1" applyFont="1" applyFill="1" applyBorder="1" applyAlignment="1">
      <alignment horizontal="center" vertical="top" wrapText="1"/>
    </xf>
    <xf numFmtId="49" fontId="27" fillId="0" borderId="181" xfId="0" applyNumberFormat="1" applyFont="1" applyFill="1" applyBorder="1" applyAlignment="1">
      <alignment horizontal="center" vertical="top" wrapText="1"/>
    </xf>
    <xf numFmtId="3" fontId="21" fillId="0" borderId="60" xfId="54" applyNumberFormat="1" applyFont="1" applyFill="1" applyBorder="1" applyAlignment="1">
      <alignment horizontal="right"/>
    </xf>
    <xf numFmtId="3" fontId="21" fillId="0" borderId="68" xfId="54" applyNumberFormat="1" applyFont="1" applyFill="1" applyBorder="1" applyAlignment="1">
      <alignment horizontal="right"/>
    </xf>
    <xf numFmtId="3" fontId="28" fillId="0" borderId="203" xfId="54" applyNumberFormat="1" applyFont="1" applyFill="1" applyBorder="1" applyAlignment="1">
      <alignment horizontal="right"/>
    </xf>
    <xf numFmtId="3" fontId="21" fillId="0" borderId="181" xfId="54" applyNumberFormat="1" applyFont="1" applyFill="1" applyBorder="1" applyAlignment="1">
      <alignment horizontal="right"/>
    </xf>
    <xf numFmtId="3" fontId="21" fillId="0" borderId="64" xfId="54" applyNumberFormat="1" applyFont="1" applyFill="1" applyBorder="1" applyAlignment="1">
      <alignment horizontal="right"/>
    </xf>
    <xf numFmtId="3" fontId="21" fillId="0" borderId="42" xfId="54" applyNumberFormat="1" applyFont="1" applyFill="1" applyBorder="1" applyAlignment="1">
      <alignment horizontal="right"/>
    </xf>
    <xf numFmtId="3" fontId="28" fillId="0" borderId="182" xfId="54" applyNumberFormat="1" applyFont="1" applyFill="1" applyBorder="1" applyAlignment="1">
      <alignment horizontal="right"/>
    </xf>
    <xf numFmtId="3" fontId="28" fillId="0" borderId="68" xfId="54" applyNumberFormat="1" applyFont="1" applyFill="1" applyBorder="1" applyAlignment="1">
      <alignment horizontal="right"/>
    </xf>
    <xf numFmtId="3" fontId="21" fillId="0" borderId="39" xfId="54" applyNumberFormat="1" applyFont="1" applyFill="1" applyBorder="1" applyAlignment="1">
      <alignment horizontal="right"/>
    </xf>
    <xf numFmtId="3" fontId="21" fillId="0" borderId="55" xfId="54" applyNumberFormat="1" applyFont="1" applyFill="1" applyBorder="1" applyAlignment="1">
      <alignment horizontal="right"/>
    </xf>
    <xf numFmtId="3" fontId="21" fillId="0" borderId="203" xfId="54" applyNumberFormat="1" applyFont="1" applyFill="1" applyBorder="1" applyAlignment="1">
      <alignment horizontal="right"/>
    </xf>
    <xf numFmtId="169" fontId="28" fillId="0" borderId="106" xfId="54" applyNumberFormat="1" applyFont="1" applyFill="1" applyBorder="1" applyAlignment="1">
      <alignment horizontal="right"/>
    </xf>
    <xf numFmtId="169" fontId="28" fillId="0" borderId="176" xfId="54" applyNumberFormat="1" applyFont="1" applyFill="1" applyBorder="1" applyAlignment="1">
      <alignment horizontal="right"/>
    </xf>
    <xf numFmtId="169" fontId="28" fillId="0" borderId="57" xfId="54" applyNumberFormat="1" applyFont="1" applyFill="1" applyBorder="1" applyAlignment="1">
      <alignment horizontal="right"/>
    </xf>
    <xf numFmtId="49" fontId="27" fillId="0" borderId="200" xfId="0" applyNumberFormat="1" applyFont="1" applyFill="1" applyBorder="1" applyAlignment="1">
      <alignment horizontal="center" vertical="top" wrapText="1"/>
    </xf>
    <xf numFmtId="49" fontId="27" fillId="0" borderId="201" xfId="0" applyNumberFormat="1" applyFont="1" applyFill="1" applyBorder="1" applyAlignment="1">
      <alignment horizontal="center" vertical="top" wrapText="1"/>
    </xf>
    <xf numFmtId="49" fontId="27" fillId="0" borderId="262" xfId="0" applyNumberFormat="1" applyFont="1" applyFill="1" applyBorder="1" applyAlignment="1">
      <alignment horizontal="center" vertical="top" wrapText="1"/>
    </xf>
    <xf numFmtId="49" fontId="27" fillId="0" borderId="270" xfId="0" applyNumberFormat="1" applyFont="1" applyFill="1" applyBorder="1" applyAlignment="1">
      <alignment horizontal="center" vertical="top" wrapText="1"/>
    </xf>
    <xf numFmtId="169" fontId="21" fillId="0" borderId="188" xfId="54" applyNumberFormat="1" applyFont="1" applyFill="1" applyBorder="1" applyAlignment="1">
      <alignment horizontal="right"/>
    </xf>
    <xf numFmtId="3" fontId="21" fillId="0" borderId="189" xfId="54" applyNumberFormat="1" applyFont="1" applyFill="1" applyBorder="1" applyAlignment="1">
      <alignment horizontal="right"/>
    </xf>
    <xf numFmtId="169" fontId="21" fillId="0" borderId="194" xfId="54" applyNumberFormat="1" applyFont="1" applyFill="1" applyBorder="1" applyAlignment="1">
      <alignment horizontal="right"/>
    </xf>
    <xf numFmtId="3" fontId="21" fillId="0" borderId="195" xfId="54" applyNumberFormat="1" applyFont="1" applyFill="1" applyBorder="1" applyAlignment="1">
      <alignment horizontal="right"/>
    </xf>
    <xf numFmtId="3" fontId="21" fillId="0" borderId="189" xfId="54" applyNumberFormat="1" applyFont="1" applyFill="1" applyBorder="1" applyAlignment="1">
      <alignment horizontal="right" wrapText="1"/>
    </xf>
    <xf numFmtId="3" fontId="21" fillId="0" borderId="189" xfId="54" applyNumberFormat="1" applyFont="1" applyFill="1" applyBorder="1" applyAlignment="1">
      <alignment horizontal="right" vertical="top" wrapText="1"/>
    </xf>
    <xf numFmtId="3" fontId="21" fillId="0" borderId="190" xfId="54" applyNumberFormat="1" applyFont="1" applyFill="1" applyBorder="1" applyAlignment="1">
      <alignment horizontal="right" wrapText="1"/>
    </xf>
    <xf numFmtId="3" fontId="21" fillId="0" borderId="137" xfId="54" applyNumberFormat="1" applyFont="1" applyFill="1" applyBorder="1" applyAlignment="1">
      <alignment horizontal="right" wrapText="1"/>
    </xf>
    <xf numFmtId="3" fontId="28" fillId="0" borderId="207" xfId="54" applyNumberFormat="1" applyFont="1" applyFill="1" applyBorder="1" applyAlignment="1">
      <alignment horizontal="right"/>
    </xf>
    <xf numFmtId="174" fontId="28" fillId="0" borderId="208" xfId="54" applyNumberFormat="1" applyFont="1" applyFill="1" applyBorder="1" applyAlignment="1">
      <alignment horizontal="right" vertical="center" wrapText="1"/>
    </xf>
    <xf numFmtId="3" fontId="21" fillId="0" borderId="172" xfId="0" applyNumberFormat="1" applyFont="1" applyFill="1" applyBorder="1" applyAlignment="1">
      <alignment wrapText="1"/>
    </xf>
    <xf numFmtId="3" fontId="21" fillId="0" borderId="195" xfId="0" applyNumberFormat="1" applyFont="1" applyFill="1" applyBorder="1" applyAlignment="1">
      <alignment wrapText="1"/>
    </xf>
    <xf numFmtId="169" fontId="29" fillId="0" borderId="194" xfId="54" applyNumberFormat="1" applyFont="1" applyFill="1" applyBorder="1" applyAlignment="1">
      <alignment horizontal="right"/>
    </xf>
    <xf numFmtId="3" fontId="29" fillId="0" borderId="195" xfId="0" applyNumberFormat="1" applyFont="1" applyFill="1" applyBorder="1" applyAlignment="1">
      <alignment wrapText="1"/>
    </xf>
    <xf numFmtId="169" fontId="29" fillId="0" borderId="162" xfId="54" applyNumberFormat="1" applyFont="1" applyFill="1" applyBorder="1" applyAlignment="1">
      <alignment horizontal="right"/>
    </xf>
    <xf numFmtId="3" fontId="29" fillId="0" borderId="201" xfId="0" applyNumberFormat="1" applyFont="1" applyFill="1" applyBorder="1" applyAlignment="1">
      <alignment wrapText="1"/>
    </xf>
    <xf numFmtId="169" fontId="21" fillId="0" borderId="192" xfId="54" applyNumberFormat="1" applyFont="1" applyFill="1" applyBorder="1" applyAlignment="1">
      <alignment horizontal="right"/>
    </xf>
    <xf numFmtId="3" fontId="21" fillId="0" borderId="193" xfId="0" applyNumberFormat="1" applyFont="1" applyFill="1" applyBorder="1" applyAlignment="1">
      <alignment wrapText="1"/>
    </xf>
    <xf numFmtId="169" fontId="29" fillId="0" borderId="188" xfId="54" applyNumberFormat="1" applyFont="1" applyFill="1" applyBorder="1" applyAlignment="1">
      <alignment horizontal="right"/>
    </xf>
    <xf numFmtId="169" fontId="29" fillId="0" borderId="200" xfId="54" applyNumberFormat="1" applyFont="1" applyFill="1" applyBorder="1" applyAlignment="1">
      <alignment horizontal="right"/>
    </xf>
    <xf numFmtId="3" fontId="29" fillId="0" borderId="191" xfId="0" applyNumberFormat="1" applyFont="1" applyFill="1" applyBorder="1" applyAlignment="1">
      <alignment wrapText="1"/>
    </xf>
    <xf numFmtId="169" fontId="28" fillId="0" borderId="196" xfId="54" applyNumberFormat="1" applyFont="1" applyFill="1" applyBorder="1" applyAlignment="1">
      <alignment horizontal="right"/>
    </xf>
    <xf numFmtId="3" fontId="28" fillId="0" borderId="197" xfId="0" applyNumberFormat="1" applyFont="1" applyFill="1" applyBorder="1" applyAlignment="1">
      <alignment wrapText="1"/>
    </xf>
    <xf numFmtId="169" fontId="28" fillId="0" borderId="200" xfId="54" applyNumberFormat="1" applyFont="1" applyFill="1" applyBorder="1" applyAlignment="1">
      <alignment horizontal="right"/>
    </xf>
    <xf numFmtId="3" fontId="28" fillId="0" borderId="201" xfId="0" applyNumberFormat="1" applyFont="1" applyFill="1" applyBorder="1" applyAlignment="1">
      <alignment wrapText="1"/>
    </xf>
    <xf numFmtId="169" fontId="28" fillId="0" borderId="207" xfId="54" applyNumberFormat="1" applyFont="1" applyFill="1" applyBorder="1" applyAlignment="1">
      <alignment horizontal="right"/>
    </xf>
    <xf numFmtId="3" fontId="28" fillId="0" borderId="208" xfId="0" applyNumberFormat="1" applyFont="1" applyFill="1" applyBorder="1" applyAlignment="1">
      <alignment wrapText="1"/>
    </xf>
    <xf numFmtId="3" fontId="21" fillId="0" borderId="189" xfId="0" applyNumberFormat="1" applyFont="1" applyFill="1" applyBorder="1" applyAlignment="1">
      <alignment wrapText="1"/>
    </xf>
    <xf numFmtId="169" fontId="21" fillId="0" borderId="200" xfId="54" applyNumberFormat="1" applyFont="1" applyFill="1" applyBorder="1" applyAlignment="1">
      <alignment horizontal="right"/>
    </xf>
    <xf numFmtId="3" fontId="21" fillId="0" borderId="191" xfId="0" applyNumberFormat="1" applyFont="1" applyFill="1" applyBorder="1" applyAlignment="1">
      <alignment wrapText="1"/>
    </xf>
    <xf numFmtId="169" fontId="21" fillId="0" borderId="198" xfId="54" applyNumberFormat="1" applyFont="1" applyFill="1" applyBorder="1" applyAlignment="1">
      <alignment horizontal="right"/>
    </xf>
    <xf numFmtId="3" fontId="21" fillId="0" borderId="193" xfId="54" applyNumberFormat="1" applyFont="1" applyFill="1" applyBorder="1" applyAlignment="1">
      <alignment wrapText="1"/>
    </xf>
    <xf numFmtId="3" fontId="21" fillId="0" borderId="201" xfId="0" applyNumberFormat="1" applyFont="1" applyFill="1" applyBorder="1" applyAlignment="1">
      <alignment wrapText="1"/>
    </xf>
    <xf numFmtId="169" fontId="21" fillId="0" borderId="163" xfId="54" applyNumberFormat="1" applyFont="1" applyFill="1" applyBorder="1" applyAlignment="1">
      <alignment horizontal="right"/>
    </xf>
    <xf numFmtId="3" fontId="21" fillId="0" borderId="189" xfId="54" applyNumberFormat="1" applyFont="1" applyFill="1" applyBorder="1" applyAlignment="1">
      <alignment wrapText="1"/>
    </xf>
    <xf numFmtId="169" fontId="28" fillId="0" borderId="166" xfId="54" applyNumberFormat="1" applyFont="1" applyFill="1" applyBorder="1" applyAlignment="1">
      <alignment horizontal="right"/>
    </xf>
    <xf numFmtId="169" fontId="28" fillId="0" borderId="208" xfId="54" applyNumberFormat="1" applyFont="1" applyFill="1" applyBorder="1" applyAlignment="1">
      <alignment horizontal="right"/>
    </xf>
    <xf numFmtId="3" fontId="28" fillId="0" borderId="195" xfId="0" applyNumberFormat="1" applyFont="1" applyFill="1" applyBorder="1" applyAlignment="1">
      <alignment wrapText="1"/>
    </xf>
    <xf numFmtId="3" fontId="21" fillId="0" borderId="192" xfId="0" applyNumberFormat="1" applyFont="1" applyFill="1" applyBorder="1" applyAlignment="1">
      <alignment wrapText="1"/>
    </xf>
    <xf numFmtId="169" fontId="21" fillId="0" borderId="157" xfId="54" applyNumberFormat="1" applyFont="1" applyFill="1" applyBorder="1" applyAlignment="1">
      <alignment horizontal="right"/>
    </xf>
    <xf numFmtId="169" fontId="21" fillId="0" borderId="271" xfId="54" applyNumberFormat="1" applyFont="1" applyFill="1" applyBorder="1" applyAlignment="1">
      <alignment horizontal="right"/>
    </xf>
    <xf numFmtId="3" fontId="21" fillId="0" borderId="185" xfId="0" applyNumberFormat="1" applyFont="1" applyFill="1" applyBorder="1" applyAlignment="1">
      <alignment wrapText="1"/>
    </xf>
    <xf numFmtId="169" fontId="28" fillId="0" borderId="166" xfId="54" applyNumberFormat="1" applyFont="1" applyFill="1" applyBorder="1" applyAlignment="1">
      <alignment wrapText="1"/>
    </xf>
    <xf numFmtId="169" fontId="28" fillId="0" borderId="208" xfId="54" applyNumberFormat="1" applyFont="1" applyFill="1" applyBorder="1" applyAlignment="1">
      <alignment wrapText="1"/>
    </xf>
    <xf numFmtId="169" fontId="21" fillId="0" borderId="272" xfId="54" applyNumberFormat="1" applyFont="1" applyFill="1" applyBorder="1" applyAlignment="1">
      <alignment horizontal="right"/>
    </xf>
    <xf numFmtId="3" fontId="21" fillId="0" borderId="273" xfId="0" applyNumberFormat="1" applyFont="1" applyFill="1" applyBorder="1" applyAlignment="1">
      <alignment wrapText="1"/>
    </xf>
    <xf numFmtId="49" fontId="27" fillId="0" borderId="186" xfId="0" applyNumberFormat="1" applyFont="1" applyFill="1" applyBorder="1" applyAlignment="1">
      <alignment horizontal="center" vertical="top" wrapText="1"/>
    </xf>
    <xf numFmtId="49" fontId="27" fillId="0" borderId="187" xfId="0" applyNumberFormat="1" applyFont="1" applyFill="1" applyBorder="1" applyAlignment="1">
      <alignment horizontal="center" vertical="top" wrapText="1"/>
    </xf>
    <xf numFmtId="3" fontId="21" fillId="0" borderId="190" xfId="54" applyNumberFormat="1" applyFont="1" applyFill="1" applyBorder="1" applyAlignment="1">
      <alignment horizontal="right"/>
    </xf>
    <xf numFmtId="3" fontId="21" fillId="0" borderId="191" xfId="54" applyNumberFormat="1" applyFont="1" applyFill="1" applyBorder="1" applyAlignment="1">
      <alignment horizontal="right"/>
    </xf>
    <xf numFmtId="3" fontId="28" fillId="0" borderId="261" xfId="54" applyNumberFormat="1" applyFont="1" applyFill="1" applyBorder="1" applyAlignment="1">
      <alignment horizontal="right"/>
    </xf>
    <xf numFmtId="3" fontId="28" fillId="0" borderId="274" xfId="54" applyNumberFormat="1" applyFont="1" applyFill="1" applyBorder="1" applyAlignment="1">
      <alignment horizontal="right"/>
    </xf>
    <xf numFmtId="169" fontId="21" fillId="0" borderId="186" xfId="54" applyNumberFormat="1" applyFont="1" applyFill="1" applyBorder="1" applyAlignment="1">
      <alignment horizontal="right"/>
    </xf>
    <xf numFmtId="169" fontId="21" fillId="0" borderId="187" xfId="54" applyNumberFormat="1" applyFont="1" applyFill="1" applyBorder="1" applyAlignment="1">
      <alignment horizontal="right"/>
    </xf>
    <xf numFmtId="3" fontId="21" fillId="0" borderId="188" xfId="0" applyNumberFormat="1" applyFont="1" applyFill="1" applyBorder="1" applyAlignment="1">
      <alignment horizontal="right"/>
    </xf>
    <xf numFmtId="169" fontId="21" fillId="0" borderId="189" xfId="54" applyNumberFormat="1" applyFont="1" applyFill="1" applyBorder="1" applyAlignment="1">
      <alignment horizontal="right"/>
    </xf>
    <xf numFmtId="169" fontId="29" fillId="0" borderId="189" xfId="54" applyNumberFormat="1" applyFont="1" applyFill="1" applyBorder="1" applyAlignment="1">
      <alignment horizontal="right"/>
    </xf>
    <xf numFmtId="3" fontId="21" fillId="0" borderId="190" xfId="0" applyNumberFormat="1" applyFont="1" applyFill="1" applyBorder="1" applyAlignment="1">
      <alignment horizontal="right"/>
    </xf>
    <xf numFmtId="169" fontId="29" fillId="0" borderId="191" xfId="54" applyNumberFormat="1" applyFont="1" applyFill="1" applyBorder="1" applyAlignment="1">
      <alignment horizontal="right"/>
    </xf>
    <xf numFmtId="169" fontId="21" fillId="0" borderId="193" xfId="54" applyNumberFormat="1" applyFont="1" applyFill="1" applyBorder="1" applyAlignment="1">
      <alignment horizontal="right"/>
    </xf>
    <xf numFmtId="3" fontId="21" fillId="0" borderId="194" xfId="0" applyNumberFormat="1" applyFont="1" applyFill="1" applyBorder="1" applyAlignment="1">
      <alignment horizontal="right"/>
    </xf>
    <xf numFmtId="169" fontId="21" fillId="0" borderId="195" xfId="54" applyNumberFormat="1" applyFont="1" applyFill="1" applyBorder="1" applyAlignment="1">
      <alignment horizontal="right"/>
    </xf>
    <xf numFmtId="3" fontId="21" fillId="0" borderId="98" xfId="0" applyNumberFormat="1" applyFont="1" applyFill="1" applyBorder="1" applyAlignment="1">
      <alignment horizontal="right"/>
    </xf>
    <xf numFmtId="3" fontId="28" fillId="0" borderId="196" xfId="0" applyNumberFormat="1" applyFont="1" applyFill="1" applyBorder="1" applyAlignment="1">
      <alignment horizontal="right"/>
    </xf>
    <xf numFmtId="169" fontId="28" fillId="0" borderId="197" xfId="54" applyNumberFormat="1" applyFont="1" applyFill="1" applyBorder="1" applyAlignment="1">
      <alignment horizontal="right"/>
    </xf>
    <xf numFmtId="3" fontId="28" fillId="0" borderId="184" xfId="0" applyNumberFormat="1" applyFont="1" applyFill="1" applyBorder="1" applyAlignment="1">
      <alignment horizontal="right"/>
    </xf>
    <xf numFmtId="169" fontId="28" fillId="0" borderId="185" xfId="54" applyNumberFormat="1" applyFont="1" applyFill="1" applyBorder="1" applyAlignment="1">
      <alignment horizontal="right"/>
    </xf>
    <xf numFmtId="3" fontId="28" fillId="0" borderId="207" xfId="0" applyNumberFormat="1" applyFont="1" applyFill="1" applyBorder="1" applyAlignment="1">
      <alignment horizontal="right"/>
    </xf>
    <xf numFmtId="3" fontId="21" fillId="0" borderId="186" xfId="0" applyNumberFormat="1" applyFont="1" applyFill="1" applyBorder="1" applyAlignment="1">
      <alignment horizontal="right"/>
    </xf>
    <xf numFmtId="169" fontId="21" fillId="0" borderId="191" xfId="54" applyNumberFormat="1" applyFont="1" applyFill="1" applyBorder="1" applyAlignment="1">
      <alignment horizontal="right"/>
    </xf>
    <xf numFmtId="3" fontId="21" fillId="0" borderId="196" xfId="0" applyNumberFormat="1" applyFont="1" applyFill="1" applyBorder="1" applyAlignment="1">
      <alignment horizontal="right"/>
    </xf>
    <xf numFmtId="169" fontId="21" fillId="0" borderId="197" xfId="54" applyNumberFormat="1" applyFont="1" applyFill="1" applyBorder="1" applyAlignment="1">
      <alignment horizontal="right"/>
    </xf>
    <xf numFmtId="3" fontId="21" fillId="0" borderId="198" xfId="0" applyNumberFormat="1" applyFont="1" applyFill="1" applyBorder="1" applyAlignment="1">
      <alignment horizontal="right"/>
    </xf>
    <xf numFmtId="169" fontId="21" fillId="0" borderId="199" xfId="54" applyNumberFormat="1" applyFont="1" applyFill="1" applyBorder="1" applyAlignment="1">
      <alignment horizontal="right"/>
    </xf>
    <xf numFmtId="3" fontId="21" fillId="0" borderId="200" xfId="0" applyNumberFormat="1" applyFont="1" applyFill="1" applyBorder="1" applyAlignment="1">
      <alignment horizontal="right"/>
    </xf>
    <xf numFmtId="169" fontId="21" fillId="0" borderId="201" xfId="54" applyNumberFormat="1" applyFont="1" applyFill="1" applyBorder="1" applyAlignment="1">
      <alignment horizontal="right"/>
    </xf>
    <xf numFmtId="3" fontId="21" fillId="0" borderId="184" xfId="0" applyNumberFormat="1" applyFont="1" applyFill="1" applyBorder="1" applyAlignment="1">
      <alignment horizontal="right"/>
    </xf>
    <xf numFmtId="169" fontId="21" fillId="0" borderId="185" xfId="54" applyNumberFormat="1" applyFont="1" applyFill="1" applyBorder="1" applyAlignment="1">
      <alignment horizontal="right"/>
    </xf>
    <xf numFmtId="3" fontId="28" fillId="0" borderId="260" xfId="0" applyNumberFormat="1" applyFont="1" applyFill="1" applyBorder="1" applyAlignment="1">
      <alignment horizontal="right"/>
    </xf>
    <xf numFmtId="3" fontId="28" fillId="0" borderId="208" xfId="54" applyNumberFormat="1" applyFont="1" applyFill="1" applyBorder="1" applyAlignment="1">
      <alignment horizontal="right"/>
    </xf>
    <xf numFmtId="3" fontId="21" fillId="0" borderId="187" xfId="0" applyNumberFormat="1" applyFont="1" applyFill="1" applyBorder="1" applyAlignment="1">
      <alignment horizontal="right"/>
    </xf>
    <xf numFmtId="3" fontId="21" fillId="0" borderId="194" xfId="54" applyNumberFormat="1" applyFont="1" applyFill="1" applyBorder="1" applyAlignment="1">
      <alignment horizontal="right"/>
    </xf>
    <xf numFmtId="3" fontId="21" fillId="0" borderId="195" xfId="0" applyNumberFormat="1" applyFont="1" applyFill="1" applyBorder="1" applyAlignment="1">
      <alignment horizontal="right"/>
    </xf>
    <xf numFmtId="3" fontId="29" fillId="0" borderId="195" xfId="0" applyNumberFormat="1" applyFont="1" applyFill="1" applyBorder="1" applyAlignment="1">
      <alignment horizontal="right"/>
    </xf>
    <xf numFmtId="3" fontId="21" fillId="0" borderId="200" xfId="54" applyNumberFormat="1" applyFont="1" applyFill="1" applyBorder="1" applyAlignment="1">
      <alignment horizontal="right"/>
    </xf>
    <xf numFmtId="3" fontId="29" fillId="0" borderId="201" xfId="0" applyNumberFormat="1" applyFont="1" applyFill="1" applyBorder="1" applyAlignment="1">
      <alignment horizontal="right"/>
    </xf>
    <xf numFmtId="3" fontId="21" fillId="0" borderId="192" xfId="54" applyNumberFormat="1" applyFont="1" applyFill="1" applyBorder="1" applyAlignment="1">
      <alignment horizontal="right"/>
    </xf>
    <xf numFmtId="3" fontId="21" fillId="0" borderId="193" xfId="0" applyNumberFormat="1" applyFont="1" applyFill="1" applyBorder="1" applyAlignment="1">
      <alignment horizontal="right"/>
    </xf>
    <xf numFmtId="3" fontId="21" fillId="0" borderId="201" xfId="0" applyNumberFormat="1" applyFont="1" applyFill="1" applyBorder="1" applyAlignment="1">
      <alignment horizontal="right"/>
    </xf>
    <xf numFmtId="3" fontId="28" fillId="0" borderId="192" xfId="54" applyNumberFormat="1" applyFont="1" applyFill="1" applyBorder="1" applyAlignment="1">
      <alignment horizontal="right"/>
    </xf>
    <xf numFmtId="3" fontId="28" fillId="0" borderId="193" xfId="0" applyNumberFormat="1" applyFont="1" applyFill="1" applyBorder="1" applyAlignment="1">
      <alignment horizontal="right"/>
    </xf>
    <xf numFmtId="3" fontId="28" fillId="0" borderId="262" xfId="54" applyNumberFormat="1" applyFont="1" applyFill="1" applyBorder="1" applyAlignment="1">
      <alignment horizontal="right"/>
    </xf>
    <xf numFmtId="3" fontId="28" fillId="0" borderId="270" xfId="0" applyNumberFormat="1" applyFont="1" applyFill="1" applyBorder="1" applyAlignment="1">
      <alignment horizontal="right"/>
    </xf>
    <xf numFmtId="3" fontId="28" fillId="0" borderId="208" xfId="0" applyNumberFormat="1" applyFont="1" applyFill="1" applyBorder="1" applyAlignment="1">
      <alignment horizontal="right"/>
    </xf>
    <xf numFmtId="3" fontId="21" fillId="0" borderId="186" xfId="54" applyNumberFormat="1" applyFont="1" applyFill="1" applyBorder="1" applyAlignment="1">
      <alignment horizontal="right"/>
    </xf>
    <xf numFmtId="3" fontId="21" fillId="0" borderId="262" xfId="54" applyNumberFormat="1" applyFont="1" applyFill="1" applyBorder="1" applyAlignment="1">
      <alignment horizontal="right"/>
    </xf>
    <xf numFmtId="3" fontId="21" fillId="0" borderId="270" xfId="0" applyNumberFormat="1" applyFont="1" applyFill="1" applyBorder="1" applyAlignment="1">
      <alignment horizontal="right"/>
    </xf>
    <xf numFmtId="3" fontId="21" fillId="0" borderId="189" xfId="0" applyNumberFormat="1" applyFont="1" applyFill="1" applyBorder="1" applyAlignment="1">
      <alignment horizontal="right"/>
    </xf>
    <xf numFmtId="3" fontId="21" fillId="0" borderId="184" xfId="54" applyNumberFormat="1" applyFont="1" applyFill="1" applyBorder="1" applyAlignment="1">
      <alignment horizontal="right"/>
    </xf>
    <xf numFmtId="3" fontId="21" fillId="0" borderId="185" xfId="0" applyNumberFormat="1" applyFont="1" applyFill="1" applyBorder="1" applyAlignment="1">
      <alignment horizontal="right"/>
    </xf>
    <xf numFmtId="3" fontId="28" fillId="0" borderId="275" xfId="54" applyNumberFormat="1" applyFont="1" applyFill="1" applyBorder="1" applyAlignment="1">
      <alignment horizontal="right"/>
    </xf>
    <xf numFmtId="3" fontId="28" fillId="0" borderId="276" xfId="54" applyNumberFormat="1" applyFont="1" applyFill="1" applyBorder="1" applyAlignment="1">
      <alignment horizontal="right"/>
    </xf>
    <xf numFmtId="169" fontId="28" fillId="0" borderId="277" xfId="54" applyNumberFormat="1" applyFont="1" applyFill="1" applyBorder="1" applyAlignment="1">
      <alignment horizontal="right"/>
    </xf>
    <xf numFmtId="49" fontId="27" fillId="0" borderId="194" xfId="0" applyNumberFormat="1" applyFont="1" applyFill="1" applyBorder="1" applyAlignment="1">
      <alignment horizontal="center" vertical="top" wrapText="1"/>
    </xf>
    <xf numFmtId="49" fontId="27" fillId="0" borderId="143" xfId="0" applyNumberFormat="1" applyFont="1" applyFill="1" applyBorder="1" applyAlignment="1">
      <alignment horizontal="center" vertical="top" wrapText="1"/>
    </xf>
    <xf numFmtId="49" fontId="27" fillId="0" borderId="190" xfId="0" applyNumberFormat="1" applyFont="1" applyFill="1" applyBorder="1" applyAlignment="1">
      <alignment horizontal="center" vertical="top" wrapText="1"/>
    </xf>
    <xf numFmtId="3" fontId="21" fillId="0" borderId="187" xfId="54" applyNumberFormat="1" applyFont="1" applyFill="1" applyBorder="1" applyAlignment="1">
      <alignment horizontal="right"/>
    </xf>
    <xf numFmtId="3" fontId="21" fillId="0" borderId="201" xfId="54" applyNumberFormat="1" applyFont="1" applyFill="1" applyBorder="1" applyAlignment="1">
      <alignment horizontal="right"/>
    </xf>
    <xf numFmtId="3" fontId="21" fillId="0" borderId="193" xfId="54" applyNumberFormat="1" applyFont="1" applyFill="1" applyBorder="1" applyAlignment="1">
      <alignment horizontal="right"/>
    </xf>
    <xf numFmtId="3" fontId="28" fillId="0" borderId="193" xfId="54" applyNumberFormat="1" applyFont="1" applyFill="1" applyBorder="1" applyAlignment="1">
      <alignment horizontal="right"/>
    </xf>
    <xf numFmtId="3" fontId="28" fillId="0" borderId="270" xfId="54" applyNumberFormat="1" applyFont="1" applyFill="1" applyBorder="1" applyAlignment="1">
      <alignment horizontal="right"/>
    </xf>
    <xf numFmtId="3" fontId="21" fillId="0" borderId="270" xfId="54" applyNumberFormat="1" applyFont="1" applyFill="1" applyBorder="1" applyAlignment="1">
      <alignment horizontal="right"/>
    </xf>
    <xf numFmtId="3" fontId="21" fillId="0" borderId="185" xfId="54" applyNumberFormat="1" applyFont="1" applyFill="1" applyBorder="1" applyAlignment="1">
      <alignment horizontal="right"/>
    </xf>
    <xf numFmtId="3" fontId="28" fillId="0" borderId="281" xfId="54" applyNumberFormat="1" applyFont="1" applyFill="1" applyBorder="1" applyAlignment="1">
      <alignment horizontal="right"/>
    </xf>
    <xf numFmtId="49" fontId="27" fillId="0" borderId="172" xfId="0" applyNumberFormat="1" applyFont="1" applyFill="1" applyBorder="1" applyAlignment="1">
      <alignment horizontal="center" vertical="top" wrapText="1"/>
    </xf>
    <xf numFmtId="49" fontId="27" fillId="0" borderId="253" xfId="0" applyNumberFormat="1" applyFont="1" applyFill="1" applyBorder="1" applyAlignment="1">
      <alignment horizontal="center" vertical="top" wrapText="1"/>
    </xf>
    <xf numFmtId="0" fontId="21" fillId="0" borderId="185" xfId="0" applyFont="1" applyFill="1" applyBorder="1" applyAlignment="1">
      <alignment wrapText="1"/>
    </xf>
    <xf numFmtId="3" fontId="28" fillId="0" borderId="261" xfId="0" applyNumberFormat="1" applyFont="1" applyFill="1" applyBorder="1" applyAlignment="1">
      <alignment horizontal="right"/>
    </xf>
    <xf numFmtId="3" fontId="28" fillId="0" borderId="274" xfId="0" applyNumberFormat="1" applyFont="1" applyFill="1" applyBorder="1" applyAlignment="1">
      <alignment horizontal="right"/>
    </xf>
    <xf numFmtId="3" fontId="29" fillId="0" borderId="189" xfId="0" applyNumberFormat="1" applyFont="1" applyFill="1" applyBorder="1" applyAlignment="1">
      <alignment horizontal="right"/>
    </xf>
    <xf numFmtId="3" fontId="29" fillId="0" borderId="191" xfId="0" applyNumberFormat="1" applyFont="1" applyFill="1" applyBorder="1" applyAlignment="1">
      <alignment horizontal="right"/>
    </xf>
    <xf numFmtId="3" fontId="28" fillId="0" borderId="192" xfId="0" applyNumberFormat="1" applyFont="1" applyFill="1" applyBorder="1" applyAlignment="1">
      <alignment horizontal="right"/>
    </xf>
    <xf numFmtId="3" fontId="28" fillId="0" borderId="262" xfId="0" applyNumberFormat="1" applyFont="1" applyFill="1" applyBorder="1" applyAlignment="1">
      <alignment horizontal="right"/>
    </xf>
    <xf numFmtId="3" fontId="21" fillId="0" borderId="262" xfId="0" applyNumberFormat="1" applyFont="1" applyFill="1" applyBorder="1" applyAlignment="1">
      <alignment horizontal="right"/>
    </xf>
    <xf numFmtId="3" fontId="28" fillId="0" borderId="275" xfId="0" applyNumberFormat="1" applyFont="1" applyFill="1" applyBorder="1" applyAlignment="1">
      <alignment horizontal="right"/>
    </xf>
    <xf numFmtId="3" fontId="28" fillId="0" borderId="276" xfId="0" applyNumberFormat="1" applyFont="1" applyFill="1" applyBorder="1" applyAlignment="1">
      <alignment horizontal="right"/>
    </xf>
    <xf numFmtId="3" fontId="28" fillId="0" borderId="277" xfId="0" applyNumberFormat="1" applyFont="1" applyFill="1" applyBorder="1" applyAlignment="1">
      <alignment horizontal="right"/>
    </xf>
    <xf numFmtId="3" fontId="51" fillId="0" borderId="280" xfId="54" applyNumberFormat="1" applyFont="1" applyFill="1" applyBorder="1" applyAlignment="1">
      <alignment horizontal="right"/>
    </xf>
    <xf numFmtId="3" fontId="52" fillId="0" borderId="0" xfId="0" applyNumberFormat="1" applyFont="1" applyFill="1" applyBorder="1" applyAlignment="1">
      <alignment wrapText="1"/>
    </xf>
    <xf numFmtId="3" fontId="51" fillId="0" borderId="87" xfId="54" applyNumberFormat="1" applyFont="1" applyFill="1" applyBorder="1" applyAlignment="1">
      <alignment horizontal="right" wrapText="1"/>
    </xf>
    <xf numFmtId="3" fontId="51" fillId="0" borderId="175" xfId="54" applyNumberFormat="1" applyFont="1" applyFill="1" applyBorder="1" applyAlignment="1">
      <alignment horizontal="right" wrapText="1"/>
    </xf>
    <xf numFmtId="3" fontId="52" fillId="0" borderId="46" xfId="54" applyNumberFormat="1" applyFont="1" applyFill="1" applyBorder="1" applyAlignment="1">
      <alignment horizontal="right" wrapText="1"/>
    </xf>
    <xf numFmtId="49" fontId="54" fillId="0" borderId="194" xfId="0" applyNumberFormat="1" applyFont="1" applyFill="1" applyBorder="1" applyAlignment="1">
      <alignment horizontal="center" vertical="top" wrapText="1"/>
    </xf>
    <xf numFmtId="49" fontId="54" fillId="0" borderId="143" xfId="0" applyNumberFormat="1" applyFont="1" applyFill="1" applyBorder="1" applyAlignment="1">
      <alignment horizontal="center" vertical="top" wrapText="1"/>
    </xf>
    <xf numFmtId="49" fontId="54" fillId="0" borderId="190" xfId="0" applyNumberFormat="1" applyFont="1" applyFill="1" applyBorder="1" applyAlignment="1">
      <alignment horizontal="center" vertical="top" wrapText="1"/>
    </xf>
    <xf numFmtId="49" fontId="54" fillId="0" borderId="186" xfId="0" applyNumberFormat="1" applyFont="1" applyFill="1" applyBorder="1" applyAlignment="1">
      <alignment horizontal="center" vertical="top" wrapText="1"/>
    </xf>
    <xf numFmtId="0" fontId="53" fillId="0" borderId="75" xfId="0" applyFont="1" applyBorder="1" applyAlignment="1">
      <alignment horizontal="center" vertical="center" wrapText="1"/>
    </xf>
    <xf numFmtId="49" fontId="54" fillId="0" borderId="187" xfId="0" applyNumberFormat="1" applyFont="1" applyFill="1" applyBorder="1" applyAlignment="1">
      <alignment horizontal="center" vertical="top" wrapText="1"/>
    </xf>
    <xf numFmtId="3" fontId="52" fillId="0" borderId="188" xfId="54" applyNumberFormat="1" applyFont="1" applyFill="1" applyBorder="1" applyAlignment="1">
      <alignment horizontal="right"/>
    </xf>
    <xf numFmtId="3" fontId="52" fillId="0" borderId="25" xfId="54" applyNumberFormat="1" applyFont="1" applyFill="1" applyBorder="1" applyAlignment="1">
      <alignment horizontal="right"/>
    </xf>
    <xf numFmtId="3" fontId="52" fillId="0" borderId="189" xfId="54" applyNumberFormat="1" applyFont="1" applyFill="1" applyBorder="1" applyAlignment="1">
      <alignment horizontal="right"/>
    </xf>
    <xf numFmtId="3" fontId="52" fillId="0" borderId="190" xfId="54" applyNumberFormat="1" applyFont="1" applyFill="1" applyBorder="1" applyAlignment="1">
      <alignment horizontal="right"/>
    </xf>
    <xf numFmtId="3" fontId="52" fillId="0" borderId="191" xfId="54" applyNumberFormat="1" applyFont="1" applyFill="1" applyBorder="1" applyAlignment="1">
      <alignment horizontal="right"/>
    </xf>
    <xf numFmtId="3" fontId="51" fillId="0" borderId="207" xfId="54" applyNumberFormat="1" applyFont="1" applyFill="1" applyBorder="1" applyAlignment="1">
      <alignment horizontal="right"/>
    </xf>
    <xf numFmtId="3" fontId="51" fillId="0" borderId="24" xfId="54" applyNumberFormat="1" applyFont="1" applyFill="1" applyBorder="1" applyAlignment="1">
      <alignment horizontal="right"/>
    </xf>
    <xf numFmtId="3" fontId="51" fillId="0" borderId="208" xfId="54" applyNumberFormat="1" applyFont="1" applyFill="1" applyBorder="1" applyAlignment="1">
      <alignment horizontal="right"/>
    </xf>
    <xf numFmtId="3" fontId="52" fillId="0" borderId="186" xfId="54" applyNumberFormat="1" applyFont="1" applyFill="1" applyBorder="1" applyAlignment="1">
      <alignment horizontal="right"/>
    </xf>
    <xf numFmtId="3" fontId="52" fillId="0" borderId="75" xfId="54" applyNumberFormat="1" applyFont="1" applyFill="1" applyBorder="1" applyAlignment="1">
      <alignment horizontal="right"/>
    </xf>
    <xf numFmtId="3" fontId="52" fillId="0" borderId="187" xfId="54" applyNumberFormat="1" applyFont="1" applyFill="1" applyBorder="1" applyAlignment="1">
      <alignment horizontal="right"/>
    </xf>
    <xf numFmtId="3" fontId="52" fillId="0" borderId="194" xfId="54" applyNumberFormat="1" applyFont="1" applyFill="1" applyBorder="1" applyAlignment="1">
      <alignment horizontal="right"/>
    </xf>
    <xf numFmtId="3" fontId="52" fillId="0" borderId="19" xfId="54" applyNumberFormat="1" applyFont="1" applyFill="1" applyBorder="1" applyAlignment="1">
      <alignment horizontal="right"/>
    </xf>
    <xf numFmtId="3" fontId="52" fillId="0" borderId="195" xfId="54" applyNumberFormat="1" applyFont="1" applyFill="1" applyBorder="1" applyAlignment="1">
      <alignment horizontal="right"/>
    </xf>
    <xf numFmtId="3" fontId="52" fillId="0" borderId="200" xfId="54" applyNumberFormat="1" applyFont="1" applyFill="1" applyBorder="1" applyAlignment="1">
      <alignment horizontal="right"/>
    </xf>
    <xf numFmtId="3" fontId="52" fillId="0" borderId="20" xfId="54" applyNumberFormat="1" applyFont="1" applyFill="1" applyBorder="1" applyAlignment="1">
      <alignment horizontal="right"/>
    </xf>
    <xf numFmtId="3" fontId="52" fillId="0" borderId="201" xfId="54" applyNumberFormat="1" applyFont="1" applyFill="1" applyBorder="1" applyAlignment="1">
      <alignment horizontal="right"/>
    </xf>
    <xf numFmtId="3" fontId="52" fillId="0" borderId="192" xfId="54" applyNumberFormat="1" applyFont="1" applyFill="1" applyBorder="1" applyAlignment="1">
      <alignment horizontal="right"/>
    </xf>
    <xf numFmtId="3" fontId="52" fillId="0" borderId="22" xfId="54" applyNumberFormat="1" applyFont="1" applyFill="1" applyBorder="1" applyAlignment="1">
      <alignment horizontal="right"/>
    </xf>
    <xf numFmtId="3" fontId="52" fillId="0" borderId="193" xfId="54" applyNumberFormat="1" applyFont="1" applyFill="1" applyBorder="1" applyAlignment="1">
      <alignment horizontal="right"/>
    </xf>
    <xf numFmtId="3" fontId="51" fillId="0" borderId="192" xfId="54" applyNumberFormat="1" applyFont="1" applyFill="1" applyBorder="1" applyAlignment="1">
      <alignment horizontal="right"/>
    </xf>
    <xf numFmtId="3" fontId="51" fillId="0" borderId="22" xfId="54" applyNumberFormat="1" applyFont="1" applyFill="1" applyBorder="1" applyAlignment="1">
      <alignment horizontal="right"/>
    </xf>
    <xf numFmtId="3" fontId="51" fillId="0" borderId="193" xfId="54" applyNumberFormat="1" applyFont="1" applyFill="1" applyBorder="1" applyAlignment="1">
      <alignment horizontal="right"/>
    </xf>
    <xf numFmtId="3" fontId="51" fillId="0" borderId="262" xfId="54" applyNumberFormat="1" applyFont="1" applyFill="1" applyBorder="1" applyAlignment="1">
      <alignment horizontal="right"/>
    </xf>
    <xf numFmtId="3" fontId="51" fillId="0" borderId="156" xfId="54" applyNumberFormat="1" applyFont="1" applyFill="1" applyBorder="1" applyAlignment="1">
      <alignment horizontal="right"/>
    </xf>
    <xf numFmtId="3" fontId="51" fillId="0" borderId="270" xfId="54" applyNumberFormat="1" applyFont="1" applyFill="1" applyBorder="1" applyAlignment="1">
      <alignment horizontal="right"/>
    </xf>
    <xf numFmtId="3" fontId="52" fillId="0" borderId="262" xfId="54" applyNumberFormat="1" applyFont="1" applyFill="1" applyBorder="1" applyAlignment="1">
      <alignment horizontal="right"/>
    </xf>
    <xf numFmtId="3" fontId="52" fillId="0" borderId="156" xfId="54" applyNumberFormat="1" applyFont="1" applyFill="1" applyBorder="1" applyAlignment="1">
      <alignment horizontal="right"/>
    </xf>
    <xf numFmtId="3" fontId="52" fillId="0" borderId="270" xfId="54" applyNumberFormat="1" applyFont="1" applyFill="1" applyBorder="1" applyAlignment="1">
      <alignment horizontal="right"/>
    </xf>
    <xf numFmtId="3" fontId="52" fillId="0" borderId="193" xfId="0" applyNumberFormat="1" applyFont="1" applyFill="1" applyBorder="1" applyAlignment="1">
      <alignment wrapText="1"/>
    </xf>
    <xf numFmtId="3" fontId="52" fillId="0" borderId="184" xfId="54" applyNumberFormat="1" applyFont="1" applyFill="1" applyBorder="1" applyAlignment="1">
      <alignment horizontal="right"/>
    </xf>
    <xf numFmtId="3" fontId="52" fillId="0" borderId="53" xfId="54" applyNumberFormat="1" applyFont="1" applyFill="1" applyBorder="1" applyAlignment="1">
      <alignment horizontal="right"/>
    </xf>
    <xf numFmtId="3" fontId="52" fillId="0" borderId="185" xfId="54" applyNumberFormat="1" applyFont="1" applyFill="1" applyBorder="1" applyAlignment="1">
      <alignment horizontal="right"/>
    </xf>
    <xf numFmtId="169" fontId="51" fillId="0" borderId="208" xfId="54" applyNumberFormat="1" applyFont="1" applyFill="1" applyBorder="1" applyAlignment="1">
      <alignment wrapText="1"/>
    </xf>
    <xf numFmtId="3" fontId="51" fillId="0" borderId="275" xfId="54" applyNumberFormat="1" applyFont="1" applyFill="1" applyBorder="1" applyAlignment="1">
      <alignment horizontal="right"/>
    </xf>
    <xf numFmtId="3" fontId="51" fillId="0" borderId="281" xfId="54" applyNumberFormat="1" applyFont="1" applyFill="1" applyBorder="1" applyAlignment="1">
      <alignment horizontal="right"/>
    </xf>
    <xf numFmtId="3" fontId="52" fillId="0" borderId="0" xfId="54" applyNumberFormat="1" applyFont="1" applyFill="1" applyBorder="1" applyAlignment="1">
      <alignment horizontal="right"/>
    </xf>
    <xf numFmtId="0" fontId="52" fillId="0" borderId="0" xfId="0" applyFont="1" applyFill="1" applyBorder="1" applyAlignment="1">
      <alignment wrapText="1"/>
    </xf>
    <xf numFmtId="3" fontId="52" fillId="0" borderId="0" xfId="54" applyNumberFormat="1" applyFont="1" applyFill="1" applyBorder="1" applyAlignment="1">
      <alignment wrapText="1"/>
    </xf>
    <xf numFmtId="0" fontId="52" fillId="0" borderId="0" xfId="0" applyFont="1" applyFill="1" applyAlignment="1">
      <alignment wrapText="1"/>
    </xf>
    <xf numFmtId="3" fontId="52" fillId="0" borderId="0" xfId="54" applyNumberFormat="1" applyFont="1" applyFill="1" applyAlignment="1">
      <alignment wrapText="1"/>
    </xf>
    <xf numFmtId="3" fontId="52" fillId="0" borderId="0" xfId="0" applyNumberFormat="1" applyFont="1" applyFill="1" applyAlignment="1">
      <alignment wrapText="1"/>
    </xf>
    <xf numFmtId="49" fontId="54" fillId="0" borderId="41" xfId="0" applyNumberFormat="1" applyFont="1" applyFill="1" applyBorder="1" applyAlignment="1">
      <alignment horizontal="center" vertical="top" wrapText="1"/>
    </xf>
    <xf numFmtId="49" fontId="54" fillId="0" borderId="55" xfId="0" applyNumberFormat="1" applyFont="1" applyFill="1" applyBorder="1" applyAlignment="1">
      <alignment horizontal="center" vertical="top" wrapText="1"/>
    </xf>
    <xf numFmtId="166" fontId="52" fillId="0" borderId="38" xfId="0" applyNumberFormat="1" applyFont="1" applyFill="1" applyBorder="1" applyAlignment="1">
      <alignment horizontal="center" vertical="top" wrapText="1"/>
    </xf>
    <xf numFmtId="49" fontId="54" fillId="0" borderId="52" xfId="0" applyNumberFormat="1" applyFont="1" applyFill="1" applyBorder="1" applyAlignment="1">
      <alignment horizontal="center" vertical="top" wrapText="1"/>
    </xf>
    <xf numFmtId="49" fontId="54" fillId="0" borderId="56" xfId="0" applyNumberFormat="1" applyFont="1" applyFill="1" applyBorder="1" applyAlignment="1">
      <alignment horizontal="center" vertical="top" wrapText="1"/>
    </xf>
    <xf numFmtId="49" fontId="52" fillId="0" borderId="57" xfId="0" applyNumberFormat="1" applyFont="1" applyFill="1" applyBorder="1" applyAlignment="1">
      <alignment horizontal="right" vertical="top" wrapText="1"/>
    </xf>
    <xf numFmtId="3" fontId="55" fillId="0" borderId="41" xfId="0" applyNumberFormat="1" applyFont="1" applyFill="1" applyBorder="1" applyAlignment="1">
      <alignment horizontal="center" wrapText="1"/>
    </xf>
    <xf numFmtId="49" fontId="55" fillId="0" borderId="19" xfId="0" applyNumberFormat="1" applyFont="1" applyFill="1" applyBorder="1" applyAlignment="1">
      <alignment horizontal="center" wrapText="1"/>
    </xf>
    <xf numFmtId="49" fontId="55" fillId="0" borderId="43" xfId="0" applyNumberFormat="1" applyFont="1" applyFill="1" applyBorder="1" applyAlignment="1">
      <alignment horizontal="center" wrapText="1"/>
    </xf>
    <xf numFmtId="3" fontId="52" fillId="0" borderId="49" xfId="54" applyNumberFormat="1" applyFont="1" applyFill="1" applyBorder="1" applyAlignment="1">
      <alignment wrapText="1"/>
    </xf>
    <xf numFmtId="3" fontId="52" fillId="0" borderId="25" xfId="54" applyNumberFormat="1" applyFont="1" applyFill="1" applyBorder="1" applyAlignment="1">
      <alignment wrapText="1"/>
    </xf>
    <xf numFmtId="169" fontId="52" fillId="0" borderId="25" xfId="54" applyNumberFormat="1" applyFont="1" applyFill="1" applyBorder="1" applyAlignment="1">
      <alignment horizontal="right" wrapText="1"/>
    </xf>
    <xf numFmtId="166" fontId="52" fillId="0" borderId="50" xfId="54" applyNumberFormat="1" applyFont="1" applyFill="1" applyBorder="1" applyAlignment="1">
      <alignment horizontal="right" wrapText="1"/>
    </xf>
    <xf numFmtId="3" fontId="52" fillId="0" borderId="49" xfId="0" applyNumberFormat="1" applyFont="1" applyFill="1" applyBorder="1" applyAlignment="1">
      <alignment wrapText="1"/>
    </xf>
    <xf numFmtId="3" fontId="56" fillId="0" borderId="49" xfId="0" applyNumberFormat="1" applyFont="1" applyFill="1" applyBorder="1" applyAlignment="1">
      <alignment wrapText="1"/>
    </xf>
    <xf numFmtId="3" fontId="56" fillId="0" borderId="25" xfId="54" applyNumberFormat="1" applyFont="1" applyFill="1" applyBorder="1" applyAlignment="1">
      <alignment wrapText="1"/>
    </xf>
    <xf numFmtId="169" fontId="56" fillId="0" borderId="25" xfId="54" applyNumberFormat="1" applyFont="1" applyFill="1" applyBorder="1" applyAlignment="1">
      <alignment horizontal="right" wrapText="1"/>
    </xf>
    <xf numFmtId="166" fontId="56" fillId="0" borderId="50" xfId="54" applyNumberFormat="1" applyFont="1" applyFill="1" applyBorder="1" applyAlignment="1">
      <alignment horizontal="right" wrapText="1"/>
    </xf>
    <xf numFmtId="3" fontId="52" fillId="0" borderId="29" xfId="0" applyNumberFormat="1" applyFont="1" applyFill="1" applyBorder="1" applyAlignment="1">
      <alignment wrapText="1"/>
    </xf>
    <xf numFmtId="3" fontId="52" fillId="0" borderId="23" xfId="54" applyNumberFormat="1" applyFont="1" applyFill="1" applyBorder="1" applyAlignment="1">
      <alignment wrapText="1"/>
    </xf>
    <xf numFmtId="169" fontId="52" fillId="0" borderId="23" xfId="54" applyNumberFormat="1" applyFont="1" applyFill="1" applyBorder="1" applyAlignment="1">
      <alignment horizontal="right" wrapText="1"/>
    </xf>
    <xf numFmtId="166" fontId="52" fillId="0" borderId="67" xfId="54" applyNumberFormat="1" applyFont="1" applyFill="1" applyBorder="1" applyAlignment="1">
      <alignment horizontal="right" wrapText="1"/>
    </xf>
    <xf numFmtId="3" fontId="51" fillId="0" borderId="86" xfId="0" applyNumberFormat="1" applyFont="1" applyFill="1" applyBorder="1" applyAlignment="1">
      <alignment wrapText="1"/>
    </xf>
    <xf numFmtId="3" fontId="51" fillId="0" borderId="24" xfId="0" applyNumberFormat="1" applyFont="1" applyFill="1" applyBorder="1" applyAlignment="1">
      <alignment wrapText="1"/>
    </xf>
    <xf numFmtId="166" fontId="51" fillId="0" borderId="87" xfId="0" applyNumberFormat="1" applyFont="1" applyFill="1" applyBorder="1" applyAlignment="1">
      <alignment horizontal="right" wrapText="1"/>
    </xf>
    <xf numFmtId="3" fontId="52" fillId="0" borderId="41" xfId="0" applyNumberFormat="1" applyFont="1" applyFill="1" applyBorder="1" applyAlignment="1">
      <alignment wrapText="1"/>
    </xf>
    <xf numFmtId="3" fontId="52" fillId="0" borderId="19" xfId="0" applyNumberFormat="1" applyFont="1" applyFill="1" applyBorder="1" applyAlignment="1">
      <alignment wrapText="1"/>
    </xf>
    <xf numFmtId="166" fontId="52" fillId="0" borderId="43" xfId="0" applyNumberFormat="1" applyFont="1" applyFill="1" applyBorder="1" applyAlignment="1">
      <alignment horizontal="right" wrapText="1"/>
    </xf>
    <xf numFmtId="3" fontId="52" fillId="0" borderId="25" xfId="0" applyNumberFormat="1" applyFont="1" applyFill="1" applyBorder="1" applyAlignment="1"/>
    <xf numFmtId="166" fontId="52" fillId="0" borderId="50" xfId="0" applyNumberFormat="1" applyFont="1" applyFill="1" applyBorder="1" applyAlignment="1">
      <alignment horizontal="right" wrapText="1"/>
    </xf>
    <xf numFmtId="3" fontId="56" fillId="0" borderId="25" xfId="0" applyNumberFormat="1" applyFont="1" applyFill="1" applyBorder="1" applyAlignment="1"/>
    <xf numFmtId="166" fontId="56" fillId="0" borderId="50" xfId="0" applyNumberFormat="1" applyFont="1" applyFill="1" applyBorder="1" applyAlignment="1">
      <alignment horizontal="right" wrapText="1"/>
    </xf>
    <xf numFmtId="3" fontId="56" fillId="0" borderId="29" xfId="0" applyNumberFormat="1" applyFont="1" applyFill="1" applyBorder="1" applyAlignment="1">
      <alignment wrapText="1"/>
    </xf>
    <xf numFmtId="3" fontId="56" fillId="0" borderId="23" xfId="54" applyNumberFormat="1" applyFont="1" applyFill="1" applyBorder="1" applyAlignment="1">
      <alignment wrapText="1"/>
    </xf>
    <xf numFmtId="3" fontId="56" fillId="0" borderId="23" xfId="0" applyNumberFormat="1" applyFont="1" applyFill="1" applyBorder="1" applyAlignment="1"/>
    <xf numFmtId="3" fontId="52" fillId="0" borderId="45" xfId="0" applyNumberFormat="1" applyFont="1" applyFill="1" applyBorder="1" applyAlignment="1">
      <alignment wrapText="1"/>
    </xf>
    <xf numFmtId="3" fontId="52" fillId="0" borderId="22" xfId="54" applyNumberFormat="1" applyFont="1" applyFill="1" applyBorder="1" applyAlignment="1">
      <alignment wrapText="1"/>
    </xf>
    <xf numFmtId="3" fontId="52" fillId="0" borderId="22" xfId="0" applyNumberFormat="1" applyFont="1" applyFill="1" applyBorder="1" applyAlignment="1"/>
    <xf numFmtId="166" fontId="52" fillId="0" borderId="46" xfId="0" applyNumberFormat="1" applyFont="1" applyFill="1" applyBorder="1" applyAlignment="1">
      <alignment horizontal="right" wrapText="1"/>
    </xf>
    <xf numFmtId="3" fontId="52" fillId="0" borderId="19" xfId="54" applyNumberFormat="1" applyFont="1" applyFill="1" applyBorder="1" applyAlignment="1">
      <alignment wrapText="1"/>
    </xf>
    <xf numFmtId="3" fontId="52" fillId="0" borderId="19" xfId="0" applyNumberFormat="1" applyFont="1" applyFill="1" applyBorder="1" applyAlignment="1"/>
    <xf numFmtId="3" fontId="52" fillId="0" borderId="25" xfId="0" applyNumberFormat="1" applyFont="1" applyFill="1" applyBorder="1" applyAlignment="1">
      <alignment wrapText="1"/>
    </xf>
    <xf numFmtId="3" fontId="56" fillId="0" borderId="25" xfId="0" applyNumberFormat="1" applyFont="1" applyFill="1" applyBorder="1" applyAlignment="1">
      <alignment wrapText="1"/>
    </xf>
    <xf numFmtId="166" fontId="56" fillId="0" borderId="43" xfId="0" applyNumberFormat="1" applyFont="1" applyFill="1" applyBorder="1" applyAlignment="1">
      <alignment horizontal="right" wrapText="1"/>
    </xf>
    <xf numFmtId="166" fontId="56" fillId="0" borderId="38" xfId="0" applyNumberFormat="1" applyFont="1" applyFill="1" applyBorder="1" applyAlignment="1">
      <alignment horizontal="right" wrapText="1"/>
    </xf>
    <xf numFmtId="3" fontId="52" fillId="0" borderId="22" xfId="0" applyNumberFormat="1" applyFont="1" applyFill="1" applyBorder="1" applyAlignment="1">
      <alignment wrapText="1"/>
    </xf>
    <xf numFmtId="3" fontId="51" fillId="0" borderId="45" xfId="0" applyNumberFormat="1" applyFont="1" applyFill="1" applyBorder="1" applyAlignment="1">
      <alignment wrapText="1"/>
    </xf>
    <xf numFmtId="3" fontId="51" fillId="0" borderId="22" xfId="54" applyNumberFormat="1" applyFont="1" applyFill="1" applyBorder="1" applyAlignment="1">
      <alignment wrapText="1"/>
    </xf>
    <xf numFmtId="3" fontId="51" fillId="0" borderId="22" xfId="0" applyNumberFormat="1" applyFont="1" applyFill="1" applyBorder="1" applyAlignment="1">
      <alignment wrapText="1"/>
    </xf>
    <xf numFmtId="166" fontId="51" fillId="0" borderId="46" xfId="0" applyNumberFormat="1" applyFont="1" applyFill="1" applyBorder="1" applyAlignment="1">
      <alignment horizontal="right" wrapText="1"/>
    </xf>
    <xf numFmtId="3" fontId="52" fillId="0" borderId="20" xfId="0" applyNumberFormat="1" applyFont="1" applyFill="1" applyBorder="1" applyAlignment="1">
      <alignment wrapText="1"/>
    </xf>
    <xf numFmtId="166" fontId="52" fillId="0" borderId="38" xfId="0" applyNumberFormat="1" applyFont="1" applyFill="1" applyBorder="1" applyAlignment="1">
      <alignment horizontal="right" wrapText="1"/>
    </xf>
    <xf numFmtId="3" fontId="52" fillId="0" borderId="23" xfId="0" applyNumberFormat="1" applyFont="1" applyFill="1" applyBorder="1" applyAlignment="1">
      <alignment wrapText="1"/>
    </xf>
    <xf numFmtId="169" fontId="52" fillId="0" borderId="45" xfId="54" applyNumberFormat="1" applyFont="1" applyFill="1" applyBorder="1" applyAlignment="1">
      <alignment wrapText="1"/>
    </xf>
    <xf numFmtId="169" fontId="52" fillId="0" borderId="22" xfId="54" applyNumberFormat="1" applyFont="1" applyFill="1" applyBorder="1" applyAlignment="1">
      <alignment wrapText="1"/>
    </xf>
    <xf numFmtId="3" fontId="52" fillId="0" borderId="61" xfId="0" applyNumberFormat="1" applyFont="1" applyFill="1" applyBorder="1" applyAlignment="1">
      <alignment wrapText="1"/>
    </xf>
    <xf numFmtId="3" fontId="52" fillId="0" borderId="20" xfId="54" applyNumberFormat="1" applyFont="1" applyFill="1" applyBorder="1" applyAlignment="1">
      <alignment wrapText="1"/>
    </xf>
    <xf numFmtId="3" fontId="51" fillId="0" borderId="24" xfId="54" applyNumberFormat="1" applyFont="1" applyFill="1" applyBorder="1" applyAlignment="1">
      <alignment wrapText="1"/>
    </xf>
    <xf numFmtId="3" fontId="52" fillId="0" borderId="59" xfId="0" applyNumberFormat="1" applyFont="1" applyFill="1" applyBorder="1" applyAlignment="1">
      <alignment wrapText="1"/>
    </xf>
    <xf numFmtId="3" fontId="52" fillId="0" borderId="75" xfId="0" applyNumberFormat="1" applyFont="1" applyFill="1" applyBorder="1" applyAlignment="1">
      <alignment wrapText="1"/>
    </xf>
    <xf numFmtId="169" fontId="52" fillId="0" borderId="49" xfId="54" applyNumberFormat="1" applyFont="1" applyFill="1" applyBorder="1" applyAlignment="1">
      <alignment wrapText="1"/>
    </xf>
    <xf numFmtId="169" fontId="52" fillId="0" borderId="25" xfId="54" applyNumberFormat="1" applyFont="1" applyFill="1" applyBorder="1" applyAlignment="1">
      <alignment wrapText="1"/>
    </xf>
    <xf numFmtId="0" fontId="52" fillId="0" borderId="19" xfId="0" applyFont="1" applyFill="1" applyBorder="1" applyAlignment="1">
      <alignment wrapText="1"/>
    </xf>
    <xf numFmtId="3" fontId="51" fillId="0" borderId="25" xfId="0" applyNumberFormat="1" applyFont="1" applyFill="1" applyBorder="1" applyAlignment="1">
      <alignment wrapText="1"/>
    </xf>
    <xf numFmtId="0" fontId="52" fillId="0" borderId="25" xfId="0" applyFont="1" applyFill="1" applyBorder="1" applyAlignment="1">
      <alignment wrapText="1"/>
    </xf>
    <xf numFmtId="0" fontId="52" fillId="0" borderId="23" xfId="0" applyFont="1" applyFill="1" applyBorder="1" applyAlignment="1">
      <alignment wrapText="1"/>
    </xf>
    <xf numFmtId="3" fontId="51" fillId="0" borderId="86" xfId="0" applyNumberFormat="1" applyFont="1" applyFill="1" applyBorder="1" applyAlignment="1">
      <alignment vertical="center" wrapText="1"/>
    </xf>
    <xf numFmtId="3" fontId="51" fillId="0" borderId="24" xfId="54" applyNumberFormat="1" applyFont="1" applyFill="1" applyBorder="1" applyAlignment="1">
      <alignment vertical="center" wrapText="1"/>
    </xf>
    <xf numFmtId="3" fontId="51" fillId="0" borderId="24" xfId="0" applyNumberFormat="1" applyFont="1" applyFill="1" applyBorder="1" applyAlignment="1">
      <alignment vertical="center" wrapText="1"/>
    </xf>
    <xf numFmtId="166" fontId="51" fillId="0" borderId="87" xfId="0" applyNumberFormat="1" applyFont="1" applyFill="1" applyBorder="1" applyAlignment="1">
      <alignment horizontal="right" vertical="center" wrapText="1"/>
    </xf>
    <xf numFmtId="3" fontId="51" fillId="0" borderId="61" xfId="0" applyNumberFormat="1" applyFont="1" applyFill="1" applyBorder="1" applyAlignment="1">
      <alignment wrapText="1"/>
    </xf>
    <xf numFmtId="3" fontId="51" fillId="0" borderId="23" xfId="54" applyNumberFormat="1" applyFont="1" applyFill="1" applyBorder="1" applyAlignment="1">
      <alignment wrapText="1"/>
    </xf>
    <xf numFmtId="3" fontId="51" fillId="0" borderId="20" xfId="0" applyNumberFormat="1" applyFont="1" applyFill="1" applyBorder="1" applyAlignment="1">
      <alignment wrapText="1"/>
    </xf>
    <xf numFmtId="166" fontId="51" fillId="0" borderId="38" xfId="0" applyNumberFormat="1" applyFont="1" applyFill="1" applyBorder="1" applyAlignment="1">
      <alignment horizontal="right" wrapText="1"/>
    </xf>
    <xf numFmtId="169" fontId="51" fillId="0" borderId="86" xfId="54" applyNumberFormat="1" applyFont="1" applyFill="1" applyBorder="1" applyAlignment="1">
      <alignment vertical="center" wrapText="1"/>
    </xf>
    <xf numFmtId="169" fontId="51" fillId="0" borderId="24" xfId="54" applyNumberFormat="1" applyFont="1" applyFill="1" applyBorder="1" applyAlignment="1">
      <alignment vertical="center" wrapText="1"/>
    </xf>
    <xf numFmtId="3" fontId="51" fillId="0" borderId="0" xfId="0" applyNumberFormat="1" applyFont="1" applyFill="1" applyBorder="1" applyAlignment="1">
      <alignment wrapText="1"/>
    </xf>
    <xf numFmtId="166" fontId="51" fillId="0" borderId="0" xfId="0" applyNumberFormat="1" applyFont="1" applyFill="1" applyBorder="1" applyAlignment="1">
      <alignment wrapText="1"/>
    </xf>
    <xf numFmtId="166" fontId="52" fillId="0" borderId="0" xfId="0" applyNumberFormat="1" applyFont="1" applyFill="1" applyAlignment="1">
      <alignment wrapText="1"/>
    </xf>
    <xf numFmtId="169" fontId="28" fillId="0" borderId="208" xfId="54" applyNumberFormat="1" applyFont="1" applyFill="1" applyBorder="1" applyAlignment="1">
      <alignment vertical="center" wrapText="1"/>
    </xf>
    <xf numFmtId="3" fontId="21" fillId="0" borderId="203" xfId="0" applyNumberFormat="1" applyFont="1" applyFill="1" applyBorder="1" applyAlignment="1">
      <alignment horizontal="center" vertical="center" wrapText="1"/>
    </xf>
    <xf numFmtId="0" fontId="0" fillId="0" borderId="242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169" fontId="21" fillId="0" borderId="268" xfId="54" applyNumberFormat="1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269" xfId="0" applyBorder="1" applyAlignment="1">
      <alignment horizontal="center" vertical="center" wrapText="1"/>
    </xf>
    <xf numFmtId="169" fontId="21" fillId="0" borderId="200" xfId="54" applyNumberFormat="1" applyFont="1" applyFill="1" applyBorder="1" applyAlignment="1">
      <alignment horizontal="center" vertical="center" wrapText="1"/>
    </xf>
    <xf numFmtId="0" fontId="0" fillId="0" borderId="201" xfId="0" applyBorder="1" applyAlignment="1">
      <alignment horizontal="center" vertical="center" wrapText="1"/>
    </xf>
    <xf numFmtId="49" fontId="21" fillId="0" borderId="268" xfId="0" applyNumberFormat="1" applyFont="1" applyFill="1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0" fillId="0" borderId="269" xfId="0" applyBorder="1" applyAlignment="1">
      <alignment horizontal="center" wrapText="1"/>
    </xf>
    <xf numFmtId="3" fontId="21" fillId="0" borderId="200" xfId="0" applyNumberFormat="1" applyFont="1" applyFill="1" applyBorder="1" applyAlignment="1">
      <alignment horizontal="center" vertical="center" wrapText="1"/>
    </xf>
    <xf numFmtId="3" fontId="21" fillId="0" borderId="268" xfId="0" applyNumberFormat="1" applyFont="1" applyFill="1" applyBorder="1" applyAlignment="1">
      <alignment horizontal="center" vertical="center" wrapText="1"/>
    </xf>
    <xf numFmtId="3" fontId="21" fillId="0" borderId="200" xfId="0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01" xfId="0" applyBorder="1" applyAlignment="1">
      <alignment horizontal="center" wrapText="1"/>
    </xf>
    <xf numFmtId="3" fontId="21" fillId="0" borderId="116" xfId="0" applyNumberFormat="1" applyFont="1" applyFill="1" applyBorder="1" applyAlignment="1">
      <alignment horizontal="center" wrapText="1"/>
    </xf>
    <xf numFmtId="0" fontId="0" fillId="0" borderId="278" xfId="0" applyBorder="1" applyAlignment="1">
      <alignment wrapText="1"/>
    </xf>
    <xf numFmtId="0" fontId="0" fillId="0" borderId="279" xfId="0" applyBorder="1" applyAlignment="1">
      <alignment wrapText="1"/>
    </xf>
    <xf numFmtId="3" fontId="21" fillId="0" borderId="162" xfId="0" applyNumberFormat="1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143" xfId="0" applyBorder="1" applyAlignment="1"/>
    <xf numFmtId="3" fontId="52" fillId="0" borderId="162" xfId="54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143" xfId="0" applyFont="1" applyBorder="1" applyAlignment="1">
      <alignment horizontal="center" vertical="center" wrapText="1"/>
    </xf>
    <xf numFmtId="3" fontId="52" fillId="0" borderId="116" xfId="54" applyNumberFormat="1" applyFont="1" applyFill="1" applyBorder="1" applyAlignment="1">
      <alignment horizontal="center" wrapText="1"/>
    </xf>
    <xf numFmtId="0" fontId="53" fillId="0" borderId="278" xfId="0" applyFont="1" applyBorder="1" applyAlignment="1">
      <alignment horizontal="center" wrapText="1"/>
    </xf>
    <xf numFmtId="0" fontId="53" fillId="0" borderId="279" xfId="0" applyFont="1" applyBorder="1" applyAlignment="1">
      <alignment horizontal="center" wrapText="1"/>
    </xf>
    <xf numFmtId="49" fontId="54" fillId="0" borderId="20" xfId="0" applyNumberFormat="1" applyFont="1" applyFill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3" fontId="21" fillId="0" borderId="175" xfId="0" applyNumberFormat="1" applyFont="1" applyFill="1" applyBorder="1" applyAlignment="1">
      <alignment horizontal="center" vertical="center"/>
    </xf>
    <xf numFmtId="3" fontId="21" fillId="0" borderId="57" xfId="0" applyNumberFormat="1" applyFont="1" applyFill="1" applyBorder="1" applyAlignment="1">
      <alignment horizontal="center" vertical="center"/>
    </xf>
    <xf numFmtId="0" fontId="29" fillId="0" borderId="158" xfId="0" applyFont="1" applyFill="1" applyBorder="1" applyAlignment="1">
      <alignment horizontal="left" wrapText="1"/>
    </xf>
    <xf numFmtId="0" fontId="29" fillId="0" borderId="96" xfId="0" applyFont="1" applyFill="1" applyBorder="1" applyAlignment="1">
      <alignment horizontal="left" wrapText="1"/>
    </xf>
    <xf numFmtId="0" fontId="29" fillId="0" borderId="158" xfId="0" applyFont="1" applyFill="1" applyBorder="1" applyAlignment="1">
      <alignment horizontal="left"/>
    </xf>
    <xf numFmtId="0" fontId="29" fillId="0" borderId="96" xfId="0" applyFont="1" applyFill="1" applyBorder="1" applyAlignment="1">
      <alignment horizontal="left"/>
    </xf>
    <xf numFmtId="0" fontId="29" fillId="0" borderId="137" xfId="0" applyFont="1" applyFill="1" applyBorder="1" applyAlignment="1">
      <alignment horizontal="left" wrapText="1"/>
    </xf>
    <xf numFmtId="0" fontId="29" fillId="0" borderId="97" xfId="0" applyFont="1" applyFill="1" applyBorder="1" applyAlignment="1">
      <alignment horizontal="left" wrapText="1"/>
    </xf>
    <xf numFmtId="0" fontId="28" fillId="0" borderId="167" xfId="0" applyFont="1" applyFill="1" applyBorder="1" applyAlignment="1">
      <alignment horizontal="left" wrapText="1"/>
    </xf>
    <xf numFmtId="0" fontId="28" fillId="0" borderId="180" xfId="0" applyFont="1" applyFill="1" applyBorder="1" applyAlignment="1">
      <alignment horizontal="left" wrapText="1"/>
    </xf>
    <xf numFmtId="0" fontId="21" fillId="0" borderId="141" xfId="0" applyFont="1" applyFill="1" applyBorder="1" applyAlignment="1">
      <alignment horizontal="left" wrapText="1"/>
    </xf>
    <xf numFmtId="0" fontId="21" fillId="0" borderId="99" xfId="0" applyFont="1" applyFill="1" applyBorder="1" applyAlignment="1">
      <alignment horizontal="left" wrapText="1"/>
    </xf>
    <xf numFmtId="3" fontId="21" fillId="0" borderId="242" xfId="0" applyNumberFormat="1" applyFont="1" applyFill="1" applyBorder="1" applyAlignment="1">
      <alignment horizontal="center" vertical="center" wrapText="1"/>
    </xf>
    <xf numFmtId="0" fontId="21" fillId="0" borderId="139" xfId="0" applyFont="1" applyFill="1" applyBorder="1" applyAlignment="1">
      <alignment horizontal="left"/>
    </xf>
    <xf numFmtId="0" fontId="21" fillId="0" borderId="98" xfId="0" applyFont="1" applyFill="1" applyBorder="1" applyAlignment="1">
      <alignment horizontal="left"/>
    </xf>
    <xf numFmtId="0" fontId="21" fillId="0" borderId="158" xfId="0" applyFont="1" applyFill="1" applyBorder="1" applyAlignment="1">
      <alignment horizontal="left" wrapText="1"/>
    </xf>
    <xf numFmtId="0" fontId="21" fillId="0" borderId="96" xfId="0" applyFont="1" applyFill="1" applyBorder="1" applyAlignment="1">
      <alignment horizontal="left" wrapText="1"/>
    </xf>
    <xf numFmtId="0" fontId="28" fillId="0" borderId="141" xfId="0" applyFont="1" applyFill="1" applyBorder="1" applyAlignment="1">
      <alignment horizontal="left"/>
    </xf>
    <xf numFmtId="0" fontId="28" fillId="0" borderId="99" xfId="0" applyFont="1" applyFill="1" applyBorder="1" applyAlignment="1">
      <alignment horizontal="left"/>
    </xf>
    <xf numFmtId="0" fontId="28" fillId="0" borderId="134" xfId="0" applyFont="1" applyFill="1" applyBorder="1" applyAlignment="1">
      <alignment horizontal="left"/>
    </xf>
    <xf numFmtId="0" fontId="28" fillId="0" borderId="119" xfId="0" applyFont="1" applyFill="1" applyBorder="1" applyAlignment="1">
      <alignment horizontal="left"/>
    </xf>
    <xf numFmtId="0" fontId="21" fillId="0" borderId="254" xfId="0" applyFont="1" applyFill="1" applyBorder="1" applyAlignment="1">
      <alignment horizontal="left" wrapText="1"/>
    </xf>
    <xf numFmtId="0" fontId="0" fillId="0" borderId="146" xfId="0" applyBorder="1" applyAlignment="1">
      <alignment horizontal="left" wrapText="1"/>
    </xf>
    <xf numFmtId="0" fontId="28" fillId="0" borderId="206" xfId="0" applyFont="1" applyFill="1" applyBorder="1" applyAlignment="1">
      <alignment horizontal="left"/>
    </xf>
    <xf numFmtId="0" fontId="21" fillId="0" borderId="139" xfId="0" applyFont="1" applyFill="1" applyBorder="1" applyAlignment="1">
      <alignment horizontal="left" wrapText="1"/>
    </xf>
    <xf numFmtId="0" fontId="21" fillId="0" borderId="98" xfId="0" applyFont="1" applyFill="1" applyBorder="1" applyAlignment="1">
      <alignment horizontal="left" wrapText="1"/>
    </xf>
    <xf numFmtId="0" fontId="29" fillId="0" borderId="137" xfId="0" applyFont="1" applyFill="1" applyBorder="1" applyAlignment="1">
      <alignment horizontal="left"/>
    </xf>
    <xf numFmtId="0" fontId="29" fillId="0" borderId="97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 wrapText="1"/>
    </xf>
    <xf numFmtId="0" fontId="19" fillId="0" borderId="158" xfId="0" applyFont="1" applyFill="1" applyBorder="1" applyAlignment="1">
      <alignment horizontal="left" wrapText="1"/>
    </xf>
    <xf numFmtId="0" fontId="21" fillId="0" borderId="35" xfId="0" applyFont="1" applyFill="1" applyBorder="1" applyAlignment="1">
      <alignment horizontal="left" wrapText="1"/>
    </xf>
    <xf numFmtId="0" fontId="19" fillId="0" borderId="137" xfId="0" applyFont="1" applyFill="1" applyBorder="1" applyAlignment="1">
      <alignment horizontal="left" wrapText="1"/>
    </xf>
    <xf numFmtId="0" fontId="28" fillId="0" borderId="202" xfId="0" applyFont="1" applyFill="1" applyBorder="1" applyAlignment="1">
      <alignment horizontal="center" vertical="top" wrapText="1"/>
    </xf>
    <xf numFmtId="0" fontId="28" fillId="0" borderId="209" xfId="0" applyFont="1" applyFill="1" applyBorder="1" applyAlignment="1">
      <alignment horizontal="center" vertical="top" wrapText="1"/>
    </xf>
    <xf numFmtId="0" fontId="28" fillId="0" borderId="89" xfId="0" applyFont="1" applyFill="1" applyBorder="1" applyAlignment="1">
      <alignment horizontal="center" vertical="top" wrapText="1"/>
    </xf>
    <xf numFmtId="0" fontId="21" fillId="0" borderId="255" xfId="0" applyFont="1" applyFill="1" applyBorder="1" applyAlignment="1">
      <alignment horizontal="center" wrapText="1"/>
    </xf>
    <xf numFmtId="0" fontId="21" fillId="0" borderId="106" xfId="0" applyFont="1" applyFill="1" applyBorder="1" applyAlignment="1">
      <alignment horizontal="center" wrapText="1"/>
    </xf>
    <xf numFmtId="0" fontId="21" fillId="0" borderId="91" xfId="0" applyFont="1" applyFill="1" applyBorder="1" applyAlignment="1">
      <alignment horizontal="center" wrapText="1"/>
    </xf>
    <xf numFmtId="49" fontId="27" fillId="0" borderId="71" xfId="0" applyNumberFormat="1" applyFont="1" applyBorder="1" applyAlignment="1">
      <alignment horizontal="center" vertical="top" wrapText="1"/>
    </xf>
    <xf numFmtId="49" fontId="27" fillId="0" borderId="39" xfId="0" applyNumberFormat="1" applyFont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166" fontId="28" fillId="0" borderId="0" xfId="0" applyNumberFormat="1" applyFont="1" applyBorder="1" applyAlignment="1">
      <alignment horizontal="center" wrapText="1"/>
    </xf>
    <xf numFmtId="0" fontId="19" fillId="0" borderId="209" xfId="0" applyFont="1" applyBorder="1" applyAlignment="1">
      <alignment horizontal="center" wrapText="1"/>
    </xf>
    <xf numFmtId="0" fontId="19" fillId="0" borderId="89" xfId="0" applyFont="1" applyBorder="1" applyAlignment="1">
      <alignment horizontal="center" wrapText="1"/>
    </xf>
    <xf numFmtId="0" fontId="21" fillId="0" borderId="36" xfId="0" applyFont="1" applyFill="1" applyBorder="1" applyAlignment="1">
      <alignment horizontal="center" wrapText="1"/>
    </xf>
    <xf numFmtId="0" fontId="19" fillId="0" borderId="90" xfId="0" applyFont="1" applyBorder="1" applyAlignment="1">
      <alignment horizontal="center" wrapText="1"/>
    </xf>
    <xf numFmtId="0" fontId="28" fillId="29" borderId="78" xfId="0" applyFont="1" applyFill="1" applyBorder="1" applyAlignment="1">
      <alignment horizontal="center" vertical="top" wrapText="1"/>
    </xf>
    <xf numFmtId="0" fontId="28" fillId="29" borderId="242" xfId="0" applyFont="1" applyFill="1" applyBorder="1" applyAlignment="1">
      <alignment horizontal="center" vertical="top" wrapText="1"/>
    </xf>
    <xf numFmtId="0" fontId="28" fillId="29" borderId="174" xfId="0" applyFont="1" applyFill="1" applyBorder="1" applyAlignment="1">
      <alignment horizontal="center" vertical="top" wrapText="1"/>
    </xf>
    <xf numFmtId="0" fontId="28" fillId="29" borderId="175" xfId="0" applyFont="1" applyFill="1" applyBorder="1" applyAlignment="1">
      <alignment horizontal="center" vertical="top" wrapText="1"/>
    </xf>
    <xf numFmtId="0" fontId="21" fillId="29" borderId="61" xfId="0" applyFont="1" applyFill="1" applyBorder="1" applyAlignment="1">
      <alignment horizontal="center" wrapText="1"/>
    </xf>
    <xf numFmtId="0" fontId="21" fillId="29" borderId="20" xfId="0" applyFont="1" applyFill="1" applyBorder="1" applyAlignment="1">
      <alignment horizontal="center" wrapText="1"/>
    </xf>
    <xf numFmtId="0" fontId="21" fillId="29" borderId="62" xfId="0" applyFont="1" applyFill="1" applyBorder="1" applyAlignment="1">
      <alignment horizontal="center" wrapText="1"/>
    </xf>
    <xf numFmtId="0" fontId="21" fillId="29" borderId="38" xfId="0" applyFont="1" applyFill="1" applyBorder="1" applyAlignment="1">
      <alignment horizontal="center" wrapText="1"/>
    </xf>
    <xf numFmtId="166" fontId="28" fillId="0" borderId="202" xfId="0" applyNumberFormat="1" applyFont="1" applyBorder="1" applyAlignment="1">
      <alignment horizontal="center" wrapText="1"/>
    </xf>
    <xf numFmtId="166" fontId="28" fillId="0" borderId="209" xfId="0" applyNumberFormat="1" applyFont="1" applyBorder="1" applyAlignment="1">
      <alignment horizontal="center" wrapText="1"/>
    </xf>
    <xf numFmtId="166" fontId="28" fillId="0" borderId="89" xfId="0" applyNumberFormat="1" applyFont="1" applyBorder="1" applyAlignment="1">
      <alignment horizontal="center" wrapText="1"/>
    </xf>
    <xf numFmtId="0" fontId="21" fillId="0" borderId="90" xfId="0" applyFont="1" applyFill="1" applyBorder="1" applyAlignment="1">
      <alignment horizontal="center" wrapText="1"/>
    </xf>
    <xf numFmtId="0" fontId="28" fillId="0" borderId="202" xfId="0" applyFont="1" applyFill="1" applyBorder="1" applyAlignment="1">
      <alignment horizontal="center" wrapText="1"/>
    </xf>
    <xf numFmtId="0" fontId="32" fillId="0" borderId="209" xfId="0" applyFont="1" applyBorder="1" applyAlignment="1">
      <alignment horizontal="center" wrapText="1"/>
    </xf>
    <xf numFmtId="0" fontId="32" fillId="0" borderId="89" xfId="0" applyFont="1" applyBorder="1" applyAlignment="1">
      <alignment horizontal="center" wrapText="1"/>
    </xf>
    <xf numFmtId="0" fontId="21" fillId="0" borderId="36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90" xfId="0" applyFont="1" applyBorder="1" applyAlignment="1">
      <alignment horizontal="center" wrapText="1"/>
    </xf>
    <xf numFmtId="3" fontId="28" fillId="0" borderId="202" xfId="0" applyNumberFormat="1" applyFont="1" applyFill="1" applyBorder="1" applyAlignment="1">
      <alignment horizontal="center" wrapText="1"/>
    </xf>
    <xf numFmtId="3" fontId="28" fillId="0" borderId="209" xfId="0" applyNumberFormat="1" applyFont="1" applyFill="1" applyBorder="1" applyAlignment="1">
      <alignment horizontal="center" wrapText="1"/>
    </xf>
    <xf numFmtId="3" fontId="28" fillId="0" borderId="89" xfId="0" applyNumberFormat="1" applyFont="1" applyFill="1" applyBorder="1" applyAlignment="1">
      <alignment horizontal="center" wrapText="1"/>
    </xf>
    <xf numFmtId="49" fontId="27" fillId="29" borderId="52" xfId="0" applyNumberFormat="1" applyFont="1" applyFill="1" applyBorder="1" applyAlignment="1">
      <alignment horizontal="center" vertical="center" wrapText="1"/>
    </xf>
    <xf numFmtId="49" fontId="27" fillId="29" borderId="53" xfId="0" applyNumberFormat="1" applyFont="1" applyFill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 wrapText="1"/>
    </xf>
    <xf numFmtId="49" fontId="27" fillId="0" borderId="53" xfId="0" applyNumberFormat="1" applyFont="1" applyBorder="1" applyAlignment="1">
      <alignment horizontal="center" vertical="center" wrapText="1"/>
    </xf>
    <xf numFmtId="49" fontId="27" fillId="0" borderId="255" xfId="0" applyNumberFormat="1" applyFont="1" applyBorder="1" applyAlignment="1">
      <alignment horizontal="center" vertical="center" wrapText="1"/>
    </xf>
    <xf numFmtId="49" fontId="27" fillId="0" borderId="56" xfId="0" applyNumberFormat="1" applyFont="1" applyBorder="1" applyAlignment="1">
      <alignment horizontal="center" vertical="center" wrapText="1"/>
    </xf>
    <xf numFmtId="0" fontId="28" fillId="0" borderId="202" xfId="0" applyFont="1" applyFill="1" applyBorder="1" applyAlignment="1">
      <alignment horizontal="center" vertical="center" wrapText="1"/>
    </xf>
    <xf numFmtId="0" fontId="28" fillId="0" borderId="209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49" fontId="27" fillId="29" borderId="255" xfId="0" applyNumberFormat="1" applyFont="1" applyFill="1" applyBorder="1" applyAlignment="1">
      <alignment horizontal="center" vertical="center" wrapText="1"/>
    </xf>
    <xf numFmtId="49" fontId="27" fillId="29" borderId="56" xfId="0" applyNumberFormat="1" applyFont="1" applyFill="1" applyBorder="1" applyAlignment="1">
      <alignment horizontal="center" vertical="center" wrapText="1"/>
    </xf>
    <xf numFmtId="0" fontId="28" fillId="29" borderId="202" xfId="0" applyFont="1" applyFill="1" applyBorder="1" applyAlignment="1">
      <alignment horizontal="center" vertical="center" wrapText="1"/>
    </xf>
    <xf numFmtId="0" fontId="28" fillId="29" borderId="209" xfId="0" applyFont="1" applyFill="1" applyBorder="1" applyAlignment="1">
      <alignment horizontal="center" vertical="center" wrapText="1"/>
    </xf>
    <xf numFmtId="0" fontId="28" fillId="29" borderId="89" xfId="0" applyFont="1" applyFill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center" vertical="center" wrapText="1"/>
    </xf>
    <xf numFmtId="49" fontId="27" fillId="0" borderId="55" xfId="0" applyNumberFormat="1" applyFont="1" applyBorder="1" applyAlignment="1">
      <alignment horizontal="center" vertical="center" wrapText="1"/>
    </xf>
    <xf numFmtId="49" fontId="27" fillId="29" borderId="36" xfId="0" applyNumberFormat="1" applyFont="1" applyFill="1" applyBorder="1" applyAlignment="1">
      <alignment horizontal="center" vertical="center" wrapText="1"/>
    </xf>
    <xf numFmtId="49" fontId="27" fillId="29" borderId="55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8" fillId="0" borderId="90" xfId="0" applyFont="1" applyFill="1" applyBorder="1" applyAlignment="1">
      <alignment horizontal="center" wrapText="1"/>
    </xf>
    <xf numFmtId="0" fontId="28" fillId="29" borderId="173" xfId="0" applyFont="1" applyFill="1" applyBorder="1" applyAlignment="1">
      <alignment horizontal="center" vertical="top" wrapText="1"/>
    </xf>
    <xf numFmtId="0" fontId="28" fillId="29" borderId="180" xfId="0" applyFont="1" applyFill="1" applyBorder="1" applyAlignment="1">
      <alignment horizontal="center" vertical="top" wrapText="1"/>
    </xf>
    <xf numFmtId="0" fontId="28" fillId="29" borderId="168" xfId="0" applyFont="1" applyFill="1" applyBorder="1" applyAlignment="1">
      <alignment horizontal="center" vertical="top" wrapText="1"/>
    </xf>
    <xf numFmtId="0" fontId="28" fillId="29" borderId="110" xfId="0" applyFont="1" applyFill="1" applyBorder="1" applyAlignment="1">
      <alignment horizontal="center" wrapText="1"/>
    </xf>
    <xf numFmtId="0" fontId="28" fillId="29" borderId="161" xfId="0" applyFont="1" applyFill="1" applyBorder="1" applyAlignment="1">
      <alignment horizontal="center" wrapText="1"/>
    </xf>
    <xf numFmtId="0" fontId="28" fillId="29" borderId="37" xfId="0" applyFont="1" applyFill="1" applyBorder="1" applyAlignment="1">
      <alignment horizontal="center" wrapText="1"/>
    </xf>
    <xf numFmtId="0" fontId="21" fillId="29" borderId="110" xfId="0" applyFont="1" applyFill="1" applyBorder="1" applyAlignment="1">
      <alignment horizontal="center" wrapText="1"/>
    </xf>
    <xf numFmtId="0" fontId="21" fillId="29" borderId="161" xfId="0" applyFont="1" applyFill="1" applyBorder="1" applyAlignment="1">
      <alignment horizontal="center" wrapText="1"/>
    </xf>
    <xf numFmtId="0" fontId="21" fillId="29" borderId="37" xfId="0" applyFont="1" applyFill="1" applyBorder="1" applyAlignment="1">
      <alignment horizontal="center" wrapText="1"/>
    </xf>
    <xf numFmtId="0" fontId="21" fillId="0" borderId="61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38" xfId="0" applyFont="1" applyBorder="1" applyAlignment="1">
      <alignment horizontal="center" wrapText="1"/>
    </xf>
    <xf numFmtId="3" fontId="21" fillId="0" borderId="0" xfId="0" applyNumberFormat="1" applyFont="1" applyAlignment="1">
      <alignment horizontal="center"/>
    </xf>
    <xf numFmtId="3" fontId="31" fillId="0" borderId="180" xfId="0" applyNumberFormat="1" applyFont="1" applyBorder="1" applyAlignment="1">
      <alignment horizontal="center" vertical="center" wrapText="1"/>
    </xf>
    <xf numFmtId="3" fontId="31" fillId="0" borderId="133" xfId="0" applyNumberFormat="1" applyFont="1" applyBorder="1" applyAlignment="1">
      <alignment horizontal="center" vertical="center" wrapText="1"/>
    </xf>
    <xf numFmtId="0" fontId="21" fillId="29" borderId="168" xfId="0" applyFont="1" applyFill="1" applyBorder="1" applyAlignment="1">
      <alignment horizontal="center" vertical="center"/>
    </xf>
    <xf numFmtId="0" fontId="21" fillId="29" borderId="154" xfId="0" applyFont="1" applyFill="1" applyBorder="1" applyAlignment="1">
      <alignment horizontal="center" vertical="center"/>
    </xf>
    <xf numFmtId="0" fontId="21" fillId="0" borderId="186" xfId="0" applyFont="1" applyBorder="1" applyAlignment="1">
      <alignment horizontal="center"/>
    </xf>
    <xf numFmtId="0" fontId="21" fillId="0" borderId="187" xfId="0" applyFont="1" applyBorder="1" applyAlignment="1">
      <alignment horizontal="center"/>
    </xf>
    <xf numFmtId="3" fontId="21" fillId="0" borderId="256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09" xfId="0" applyFont="1" applyFill="1" applyBorder="1" applyAlignment="1">
      <alignment horizontal="center" wrapText="1"/>
    </xf>
    <xf numFmtId="0" fontId="21" fillId="0" borderId="89" xfId="0" applyFont="1" applyFill="1" applyBorder="1" applyAlignment="1">
      <alignment horizontal="center" wrapText="1"/>
    </xf>
    <xf numFmtId="166" fontId="28" fillId="0" borderId="0" xfId="0" applyNumberFormat="1" applyFont="1" applyFill="1" applyBorder="1" applyAlignment="1">
      <alignment horizontal="center" wrapText="1"/>
    </xf>
    <xf numFmtId="0" fontId="21" fillId="0" borderId="61" xfId="0" applyFont="1" applyFill="1" applyBorder="1" applyAlignment="1">
      <alignment horizontal="center" wrapText="1"/>
    </xf>
    <xf numFmtId="0" fontId="21" fillId="0" borderId="20" xfId="0" applyFont="1" applyFill="1" applyBorder="1" applyAlignment="1">
      <alignment horizontal="center" wrapText="1"/>
    </xf>
    <xf numFmtId="0" fontId="21" fillId="0" borderId="38" xfId="0" applyFont="1" applyFill="1" applyBorder="1" applyAlignment="1">
      <alignment horizontal="center" wrapText="1"/>
    </xf>
    <xf numFmtId="3" fontId="28" fillId="0" borderId="78" xfId="0" applyNumberFormat="1" applyFont="1" applyFill="1" applyBorder="1" applyAlignment="1">
      <alignment horizontal="center" wrapText="1"/>
    </xf>
    <xf numFmtId="3" fontId="28" fillId="0" borderId="242" xfId="0" applyNumberFormat="1" applyFont="1" applyFill="1" applyBorder="1" applyAlignment="1">
      <alignment horizontal="center" wrapText="1"/>
    </xf>
    <xf numFmtId="3" fontId="28" fillId="0" borderId="175" xfId="0" applyNumberFormat="1" applyFont="1" applyFill="1" applyBorder="1" applyAlignment="1">
      <alignment horizontal="center" wrapText="1"/>
    </xf>
    <xf numFmtId="0" fontId="28" fillId="0" borderId="78" xfId="0" applyFont="1" applyFill="1" applyBorder="1" applyAlignment="1">
      <alignment horizontal="center" vertical="top" wrapText="1"/>
    </xf>
    <xf numFmtId="0" fontId="50" fillId="0" borderId="242" xfId="0" applyFont="1" applyFill="1" applyBorder="1"/>
    <xf numFmtId="0" fontId="50" fillId="0" borderId="175" xfId="0" applyFont="1" applyFill="1" applyBorder="1"/>
    <xf numFmtId="0" fontId="53" fillId="0" borderId="156" xfId="0" applyFont="1" applyBorder="1" applyAlignment="1">
      <alignment horizontal="center" vertical="center" wrapText="1"/>
    </xf>
    <xf numFmtId="3" fontId="52" fillId="0" borderId="0" xfId="0" applyNumberFormat="1" applyFont="1" applyFill="1" applyBorder="1" applyAlignment="1">
      <alignment horizontal="center" wrapText="1"/>
    </xf>
    <xf numFmtId="0" fontId="28" fillId="0" borderId="242" xfId="0" applyFont="1" applyFill="1" applyBorder="1" applyAlignment="1">
      <alignment horizontal="center" vertical="top" wrapText="1"/>
    </xf>
    <xf numFmtId="0" fontId="21" fillId="0" borderId="242" xfId="0" applyFont="1" applyFill="1" applyBorder="1" applyAlignment="1">
      <alignment horizontal="center" wrapText="1"/>
    </xf>
    <xf numFmtId="0" fontId="21" fillId="0" borderId="175" xfId="0" applyFont="1" applyFill="1" applyBorder="1" applyAlignment="1">
      <alignment horizontal="center" wrapText="1"/>
    </xf>
    <xf numFmtId="0" fontId="28" fillId="0" borderId="78" xfId="0" applyFont="1" applyFill="1" applyBorder="1" applyAlignment="1">
      <alignment horizontal="center" wrapText="1"/>
    </xf>
    <xf numFmtId="0" fontId="28" fillId="0" borderId="242" xfId="0" applyFont="1" applyFill="1" applyBorder="1" applyAlignment="1">
      <alignment horizontal="center" wrapText="1"/>
    </xf>
    <xf numFmtId="0" fontId="28" fillId="0" borderId="175" xfId="0" applyFont="1" applyFill="1" applyBorder="1" applyAlignment="1">
      <alignment horizontal="center" wrapText="1"/>
    </xf>
    <xf numFmtId="0" fontId="52" fillId="0" borderId="61" xfId="0" applyFont="1" applyFill="1" applyBorder="1" applyAlignment="1">
      <alignment horizontal="center" wrapText="1"/>
    </xf>
    <xf numFmtId="0" fontId="52" fillId="0" borderId="20" xfId="0" applyFont="1" applyFill="1" applyBorder="1" applyAlignment="1">
      <alignment horizontal="center" wrapText="1"/>
    </xf>
    <xf numFmtId="0" fontId="52" fillId="0" borderId="38" xfId="0" applyFont="1" applyFill="1" applyBorder="1" applyAlignment="1">
      <alignment horizontal="center" wrapText="1"/>
    </xf>
    <xf numFmtId="0" fontId="51" fillId="0" borderId="78" xfId="0" applyFont="1" applyFill="1" applyBorder="1" applyAlignment="1">
      <alignment horizontal="center" vertical="top" wrapText="1"/>
    </xf>
    <xf numFmtId="0" fontId="51" fillId="0" borderId="242" xfId="0" applyFont="1" applyFill="1" applyBorder="1" applyAlignment="1">
      <alignment horizontal="center" vertical="top" wrapText="1"/>
    </xf>
    <xf numFmtId="0" fontId="51" fillId="0" borderId="175" xfId="0" applyFont="1" applyFill="1" applyBorder="1" applyAlignment="1">
      <alignment horizontal="center" vertical="top" wrapText="1"/>
    </xf>
    <xf numFmtId="166" fontId="28" fillId="0" borderId="78" xfId="0" applyNumberFormat="1" applyFont="1" applyFill="1" applyBorder="1" applyAlignment="1">
      <alignment horizontal="center" wrapText="1"/>
    </xf>
    <xf numFmtId="166" fontId="28" fillId="0" borderId="242" xfId="0" applyNumberFormat="1" applyFont="1" applyFill="1" applyBorder="1" applyAlignment="1">
      <alignment horizontal="center" wrapText="1"/>
    </xf>
    <xf numFmtId="166" fontId="28" fillId="0" borderId="175" xfId="0" applyNumberFormat="1" applyFont="1" applyFill="1" applyBorder="1" applyAlignment="1">
      <alignment horizontal="center" wrapText="1"/>
    </xf>
    <xf numFmtId="0" fontId="28" fillId="0" borderId="78" xfId="0" applyFont="1" applyFill="1" applyBorder="1" applyAlignment="1">
      <alignment horizontal="center" vertical="center" wrapText="1"/>
    </xf>
    <xf numFmtId="0" fontId="28" fillId="0" borderId="242" xfId="0" applyFont="1" applyFill="1" applyBorder="1" applyAlignment="1">
      <alignment horizontal="center" vertical="center" wrapText="1"/>
    </xf>
    <xf numFmtId="0" fontId="28" fillId="0" borderId="175" xfId="0" applyFont="1" applyFill="1" applyBorder="1" applyAlignment="1">
      <alignment horizontal="center" vertical="center" wrapText="1"/>
    </xf>
    <xf numFmtId="0" fontId="28" fillId="0" borderId="257" xfId="0" applyFont="1" applyFill="1" applyBorder="1" applyAlignment="1">
      <alignment horizontal="center" vertical="center" wrapText="1"/>
    </xf>
    <xf numFmtId="0" fontId="28" fillId="0" borderId="243" xfId="0" applyFont="1" applyFill="1" applyBorder="1" applyAlignment="1">
      <alignment horizontal="center" vertical="center" wrapText="1"/>
    </xf>
    <xf numFmtId="0" fontId="28" fillId="0" borderId="258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37" xfId="0" applyFont="1" applyFill="1" applyBorder="1" applyAlignment="1">
      <alignment horizontal="center" vertical="center" wrapText="1"/>
    </xf>
    <xf numFmtId="0" fontId="21" fillId="0" borderId="247" xfId="0" applyFont="1" applyFill="1" applyBorder="1" applyAlignment="1">
      <alignment horizontal="center" vertical="center" wrapText="1"/>
    </xf>
    <xf numFmtId="0" fontId="21" fillId="0" borderId="215" xfId="0" applyFont="1" applyFill="1" applyBorder="1" applyAlignment="1">
      <alignment horizontal="center" vertical="center" wrapText="1"/>
    </xf>
    <xf numFmtId="3" fontId="21" fillId="0" borderId="106" xfId="0" applyNumberFormat="1" applyFont="1" applyFill="1" applyBorder="1" applyAlignment="1">
      <alignment horizontal="center" wrapText="1"/>
    </xf>
    <xf numFmtId="0" fontId="28" fillId="0" borderId="61" xfId="0" applyFont="1" applyFill="1" applyBorder="1" applyAlignment="1">
      <alignment horizontal="center" wrapText="1"/>
    </xf>
    <xf numFmtId="0" fontId="28" fillId="0" borderId="20" xfId="0" applyFont="1" applyFill="1" applyBorder="1" applyAlignment="1">
      <alignment horizontal="center" wrapText="1"/>
    </xf>
    <xf numFmtId="0" fontId="28" fillId="0" borderId="62" xfId="0" applyFont="1" applyFill="1" applyBorder="1" applyAlignment="1">
      <alignment horizontal="center" wrapText="1"/>
    </xf>
    <xf numFmtId="0" fontId="28" fillId="0" borderId="38" xfId="0" applyFont="1" applyFill="1" applyBorder="1" applyAlignment="1">
      <alignment horizontal="center" wrapText="1"/>
    </xf>
    <xf numFmtId="0" fontId="28" fillId="0" borderId="175" xfId="0" applyFont="1" applyFill="1" applyBorder="1" applyAlignment="1">
      <alignment horizontal="center" vertical="top" wrapText="1"/>
    </xf>
    <xf numFmtId="0" fontId="28" fillId="0" borderId="174" xfId="0" applyFont="1" applyFill="1" applyBorder="1" applyAlignment="1">
      <alignment horizontal="center" vertical="top" wrapText="1"/>
    </xf>
    <xf numFmtId="0" fontId="21" fillId="0" borderId="62" xfId="0" applyFont="1" applyFill="1" applyBorder="1" applyAlignment="1">
      <alignment horizontal="center" wrapText="1"/>
    </xf>
    <xf numFmtId="49" fontId="27" fillId="0" borderId="255" xfId="0" applyNumberFormat="1" applyFont="1" applyFill="1" applyBorder="1" applyAlignment="1">
      <alignment horizontal="center" vertical="top" wrapText="1"/>
    </xf>
    <xf numFmtId="49" fontId="27" fillId="0" borderId="56" xfId="0" applyNumberFormat="1" applyFont="1" applyFill="1" applyBorder="1" applyAlignment="1">
      <alignment horizontal="center" vertical="top" wrapText="1"/>
    </xf>
    <xf numFmtId="49" fontId="27" fillId="0" borderId="71" xfId="0" applyNumberFormat="1" applyFont="1" applyFill="1" applyBorder="1" applyAlignment="1">
      <alignment horizontal="center" vertical="top" wrapText="1"/>
    </xf>
    <xf numFmtId="49" fontId="27" fillId="0" borderId="39" xfId="0" applyNumberFormat="1" applyFont="1" applyFill="1" applyBorder="1" applyAlignment="1">
      <alignment horizontal="center" vertical="top" wrapText="1"/>
    </xf>
    <xf numFmtId="0" fontId="44" fillId="0" borderId="108" xfId="0" applyFont="1" applyFill="1" applyBorder="1" applyAlignment="1">
      <alignment horizontal="center" vertical="top" wrapText="1"/>
    </xf>
    <xf numFmtId="0" fontId="44" fillId="0" borderId="259" xfId="0" applyFont="1" applyFill="1" applyBorder="1" applyAlignment="1">
      <alignment horizontal="center" vertical="top" wrapText="1"/>
    </xf>
    <xf numFmtId="0" fontId="44" fillId="0" borderId="260" xfId="0" applyFont="1" applyFill="1" applyBorder="1" applyAlignment="1">
      <alignment horizontal="center" vertical="top" wrapText="1"/>
    </xf>
    <xf numFmtId="3" fontId="21" fillId="0" borderId="162" xfId="54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3" fontId="21" fillId="0" borderId="116" xfId="54" applyNumberFormat="1" applyFont="1" applyFill="1" applyBorder="1" applyAlignment="1">
      <alignment horizontal="center" wrapText="1"/>
    </xf>
    <xf numFmtId="0" fontId="0" fillId="0" borderId="278" xfId="0" applyBorder="1" applyAlignment="1">
      <alignment horizontal="center" wrapText="1"/>
    </xf>
    <xf numFmtId="0" fontId="0" fillId="0" borderId="279" xfId="0" applyBorder="1" applyAlignment="1">
      <alignment horizontal="center" wrapText="1"/>
    </xf>
    <xf numFmtId="3" fontId="21" fillId="27" borderId="41" xfId="0" applyNumberFormat="1" applyFont="1" applyFill="1" applyBorder="1" applyAlignment="1">
      <alignment horizontal="center"/>
    </xf>
    <xf numFmtId="3" fontId="21" fillId="27" borderId="19" xfId="0" applyNumberFormat="1" applyFont="1" applyFill="1" applyBorder="1" applyAlignment="1">
      <alignment horizontal="center"/>
    </xf>
    <xf numFmtId="3" fontId="21" fillId="27" borderId="202" xfId="0" applyNumberFormat="1" applyFont="1" applyFill="1" applyBorder="1" applyAlignment="1">
      <alignment horizontal="center"/>
    </xf>
    <xf numFmtId="3" fontId="21" fillId="27" borderId="209" xfId="0" applyNumberFormat="1" applyFont="1" applyFill="1" applyBorder="1" applyAlignment="1">
      <alignment horizontal="center"/>
    </xf>
    <xf numFmtId="3" fontId="21" fillId="27" borderId="89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17" fontId="21" fillId="0" borderId="242" xfId="0" quotePrefix="1" applyNumberFormat="1" applyFont="1" applyBorder="1" applyAlignment="1">
      <alignment horizontal="center"/>
    </xf>
    <xf numFmtId="0" fontId="21" fillId="0" borderId="175" xfId="0" applyFont="1" applyBorder="1" applyAlignment="1">
      <alignment horizontal="center"/>
    </xf>
    <xf numFmtId="49" fontId="21" fillId="0" borderId="78" xfId="0" applyNumberFormat="1" applyFont="1" applyBorder="1" applyAlignment="1">
      <alignment horizontal="center" vertical="center"/>
    </xf>
    <xf numFmtId="49" fontId="21" fillId="0" borderId="155" xfId="0" applyNumberFormat="1" applyFont="1" applyBorder="1" applyAlignment="1">
      <alignment horizontal="center" vertical="center"/>
    </xf>
    <xf numFmtId="49" fontId="21" fillId="0" borderId="203" xfId="0" applyNumberFormat="1" applyFont="1" applyBorder="1" applyAlignment="1">
      <alignment horizontal="center" vertical="center"/>
    </xf>
    <xf numFmtId="49" fontId="21" fillId="0" borderId="56" xfId="0" applyNumberFormat="1" applyFont="1" applyBorder="1" applyAlignment="1">
      <alignment horizontal="center" vertical="center"/>
    </xf>
    <xf numFmtId="17" fontId="21" fillId="0" borderId="175" xfId="0" applyNumberFormat="1" applyFont="1" applyBorder="1" applyAlignment="1">
      <alignment horizontal="center" vertical="center"/>
    </xf>
    <xf numFmtId="17" fontId="21" fillId="0" borderId="57" xfId="0" applyNumberFormat="1" applyFont="1" applyBorder="1" applyAlignment="1">
      <alignment horizontal="center" vertical="center"/>
    </xf>
    <xf numFmtId="17" fontId="21" fillId="0" borderId="0" xfId="0" quotePrefix="1" applyNumberFormat="1" applyFont="1" applyAlignment="1">
      <alignment horizontal="center"/>
    </xf>
    <xf numFmtId="0" fontId="21" fillId="0" borderId="78" xfId="0" quotePrefix="1" applyFont="1" applyBorder="1" applyAlignment="1">
      <alignment horizontal="center"/>
    </xf>
    <xf numFmtId="0" fontId="21" fillId="0" borderId="242" xfId="0" quotePrefix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17" fontId="21" fillId="0" borderId="175" xfId="0" quotePrefix="1" applyNumberFormat="1" applyFont="1" applyBorder="1" applyAlignment="1">
      <alignment horizontal="center"/>
    </xf>
    <xf numFmtId="1" fontId="26" fillId="0" borderId="166" xfId="0" applyNumberFormat="1" applyFont="1" applyFill="1" applyBorder="1" applyAlignment="1">
      <alignment horizontal="center" vertical="top" wrapText="1"/>
    </xf>
    <xf numFmtId="1" fontId="26" fillId="0" borderId="134" xfId="0" applyNumberFormat="1" applyFont="1" applyFill="1" applyBorder="1" applyAlignment="1">
      <alignment horizontal="center" vertical="top" wrapText="1"/>
    </xf>
  </cellXfs>
  <cellStyles count="8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_CSP2005-KTG-1" xfId="77"/>
    <cellStyle name="Normal_KARSZJ3" xfId="78"/>
    <cellStyle name="Note" xfId="79"/>
    <cellStyle name="Output" xfId="80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Százalék" xfId="85" builtinId="5"/>
    <cellStyle name="Title" xfId="86"/>
    <cellStyle name="Total" xfId="87"/>
    <cellStyle name="Warning Text" xfId="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view3D>
      <c:hPercent val="62"/>
      <c:depthPercent val="100"/>
      <c:rAngAx val="1"/>
    </c:view3D>
    <c:plotArea>
      <c:layout>
        <c:manualLayout>
          <c:layoutTarget val="inner"/>
          <c:xMode val="edge"/>
          <c:yMode val="edge"/>
          <c:x val="0.13109778053098131"/>
          <c:y val="3.5320164442269514E-2"/>
          <c:w val="0.82926968149829661"/>
          <c:h val="0.69315822717954156"/>
        </c:manualLayout>
      </c:layout>
      <c:bar3DChart>
        <c:barDir val="col"/>
        <c:grouping val="percentStacked"/>
        <c:ser>
          <c:idx val="0"/>
          <c:order val="0"/>
          <c:tx>
            <c:strRef>
              <c:f>TÁRSULÁS!$AA$94</c:f>
              <c:strCache>
                <c:ptCount val="1"/>
                <c:pt idx="0">
                  <c:v>szem.jell.</c:v>
                </c:pt>
              </c:strCache>
            </c:strRef>
          </c:tx>
          <c:cat>
            <c:strRef>
              <c:f>TÁRSULÁS!$AB$93:$AE$93</c:f>
              <c:strCache>
                <c:ptCount val="4"/>
                <c:pt idx="0">
                  <c:v>Szolgáltató Iroda</c:v>
                </c:pt>
                <c:pt idx="1">
                  <c:v>Segítő Szolgálat.</c:v>
                </c:pt>
                <c:pt idx="2">
                  <c:v>Regionális Óvoda</c:v>
                </c:pt>
                <c:pt idx="3">
                  <c:v>Kozma F. Ált. Isk.</c:v>
                </c:pt>
              </c:strCache>
            </c:strRef>
          </c:cat>
          <c:val>
            <c:numRef>
              <c:f>TÁRSULÁS!$AB$94:$AE$94</c:f>
              <c:numCache>
                <c:formatCode>#,##0</c:formatCode>
                <c:ptCount val="4"/>
                <c:pt idx="0">
                  <c:v>8619.2999999999993</c:v>
                </c:pt>
                <c:pt idx="1">
                  <c:v>72488.89</c:v>
                </c:pt>
                <c:pt idx="2">
                  <c:v>132624.9</c:v>
                </c:pt>
                <c:pt idx="3">
                  <c:v>65689.75</c:v>
                </c:pt>
              </c:numCache>
            </c:numRef>
          </c:val>
        </c:ser>
        <c:ser>
          <c:idx val="1"/>
          <c:order val="1"/>
          <c:tx>
            <c:strRef>
              <c:f>TÁRSULÁS!$AA$95</c:f>
              <c:strCache>
                <c:ptCount val="1"/>
                <c:pt idx="0">
                  <c:v>dologi</c:v>
                </c:pt>
              </c:strCache>
            </c:strRef>
          </c:tx>
          <c:invertIfNegative val="1"/>
          <c:cat>
            <c:strRef>
              <c:f>TÁRSULÁS!$AB$93:$AE$93</c:f>
              <c:strCache>
                <c:ptCount val="4"/>
                <c:pt idx="0">
                  <c:v>Szolgáltató Iroda</c:v>
                </c:pt>
                <c:pt idx="1">
                  <c:v>Segítő Szolgálat.</c:v>
                </c:pt>
                <c:pt idx="2">
                  <c:v>Regionális Óvoda</c:v>
                </c:pt>
                <c:pt idx="3">
                  <c:v>Kozma F. Ált. Isk.</c:v>
                </c:pt>
              </c:strCache>
            </c:strRef>
          </c:cat>
          <c:val>
            <c:numRef>
              <c:f>TÁRSULÁS!$AB$95:$AE$95</c:f>
              <c:numCache>
                <c:formatCode>#,##0</c:formatCode>
                <c:ptCount val="4"/>
                <c:pt idx="0">
                  <c:v>6756.625</c:v>
                </c:pt>
                <c:pt idx="1">
                  <c:v>19655.718400000002</c:v>
                </c:pt>
                <c:pt idx="2">
                  <c:v>20671.622000000003</c:v>
                </c:pt>
                <c:pt idx="3">
                  <c:v>12643.098</c:v>
                </c:pt>
              </c:numCache>
            </c:numRef>
          </c:val>
        </c:ser>
        <c:shape val="cylinder"/>
        <c:axId val="103721216"/>
        <c:axId val="52527488"/>
        <c:axId val="0"/>
      </c:bar3DChart>
      <c:catAx>
        <c:axId val="10372121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2527488"/>
        <c:crosses val="autoZero"/>
        <c:auto val="1"/>
        <c:lblAlgn val="ctr"/>
        <c:lblOffset val="100"/>
        <c:tickLblSkip val="1"/>
        <c:tickMarkSkip val="1"/>
      </c:catAx>
      <c:valAx>
        <c:axId val="52527488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72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88482965281573"/>
          <c:y val="0.90855784389203131"/>
          <c:w val="0.25530238460999238"/>
          <c:h val="6.4896988849431445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view3D>
      <c:hPercent val="62"/>
      <c:depthPercent val="100"/>
      <c:rAngAx val="1"/>
    </c:view3D>
    <c:plotArea>
      <c:layout>
        <c:manualLayout>
          <c:layoutTarget val="inner"/>
          <c:xMode val="edge"/>
          <c:yMode val="edge"/>
          <c:x val="0.13109778053098137"/>
          <c:y val="3.5320164442269514E-2"/>
          <c:w val="0.82926968149829661"/>
          <c:h val="0.6931582271795419"/>
        </c:manualLayout>
      </c:layout>
      <c:bar3DChart>
        <c:barDir val="col"/>
        <c:grouping val="percentStacked"/>
        <c:ser>
          <c:idx val="0"/>
          <c:order val="0"/>
          <c:tx>
            <c:strRef>
              <c:f>'TÁRSULÁS (2)'!$AA$94</c:f>
              <c:strCache>
                <c:ptCount val="1"/>
                <c:pt idx="0">
                  <c:v>szem.jell.</c:v>
                </c:pt>
              </c:strCache>
            </c:strRef>
          </c:tx>
          <c:cat>
            <c:strRef>
              <c:f>'TÁRSULÁS (2)'!$AB$93:$AE$93</c:f>
              <c:strCache>
                <c:ptCount val="4"/>
                <c:pt idx="0">
                  <c:v>Szolgáltató Iroda</c:v>
                </c:pt>
                <c:pt idx="1">
                  <c:v>Segítő Szolgálat.</c:v>
                </c:pt>
                <c:pt idx="2">
                  <c:v>Regionális Óvoda</c:v>
                </c:pt>
                <c:pt idx="3">
                  <c:v>Kozma F. Ált. Isk.</c:v>
                </c:pt>
              </c:strCache>
            </c:strRef>
          </c:cat>
          <c:val>
            <c:numRef>
              <c:f>'TÁRSULÁS (2)'!$AB$94:$AE$94</c:f>
              <c:numCache>
                <c:formatCode>#,##0</c:formatCode>
                <c:ptCount val="4"/>
                <c:pt idx="0">
                  <c:v>8619.2999999999993</c:v>
                </c:pt>
                <c:pt idx="1">
                  <c:v>72488.89</c:v>
                </c:pt>
                <c:pt idx="2">
                  <c:v>132624.9</c:v>
                </c:pt>
                <c:pt idx="3">
                  <c:v>65689.75</c:v>
                </c:pt>
              </c:numCache>
            </c:numRef>
          </c:val>
        </c:ser>
        <c:ser>
          <c:idx val="1"/>
          <c:order val="1"/>
          <c:tx>
            <c:strRef>
              <c:f>'TÁRSULÁS (2)'!$AA$95</c:f>
              <c:strCache>
                <c:ptCount val="1"/>
                <c:pt idx="0">
                  <c:v>dologi</c:v>
                </c:pt>
              </c:strCache>
            </c:strRef>
          </c:tx>
          <c:invertIfNegative val="1"/>
          <c:cat>
            <c:strRef>
              <c:f>'TÁRSULÁS (2)'!$AB$93:$AE$93</c:f>
              <c:strCache>
                <c:ptCount val="4"/>
                <c:pt idx="0">
                  <c:v>Szolgáltató Iroda</c:v>
                </c:pt>
                <c:pt idx="1">
                  <c:v>Segítő Szolgálat.</c:v>
                </c:pt>
                <c:pt idx="2">
                  <c:v>Regionális Óvoda</c:v>
                </c:pt>
                <c:pt idx="3">
                  <c:v>Kozma F. Ált. Isk.</c:v>
                </c:pt>
              </c:strCache>
            </c:strRef>
          </c:cat>
          <c:val>
            <c:numRef>
              <c:f>'TÁRSULÁS (2)'!$AB$95:$AE$95</c:f>
              <c:numCache>
                <c:formatCode>#,##0</c:formatCode>
                <c:ptCount val="4"/>
                <c:pt idx="0">
                  <c:v>6756.625</c:v>
                </c:pt>
                <c:pt idx="1">
                  <c:v>19655.718400000002</c:v>
                </c:pt>
                <c:pt idx="2">
                  <c:v>20671.622000000003</c:v>
                </c:pt>
                <c:pt idx="3">
                  <c:v>12643.098</c:v>
                </c:pt>
              </c:numCache>
            </c:numRef>
          </c:val>
        </c:ser>
        <c:shape val="cylinder"/>
        <c:axId val="102521472"/>
        <c:axId val="102531456"/>
        <c:axId val="0"/>
      </c:bar3DChart>
      <c:catAx>
        <c:axId val="1025214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2531456"/>
        <c:crosses val="autoZero"/>
        <c:auto val="1"/>
        <c:lblAlgn val="ctr"/>
        <c:lblOffset val="100"/>
        <c:tickLblSkip val="1"/>
        <c:tickMarkSkip val="1"/>
      </c:catAx>
      <c:valAx>
        <c:axId val="102531456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2521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88482965281573"/>
          <c:y val="0.90855784389203109"/>
          <c:w val="0.25530238460999238"/>
          <c:h val="6.4896988849431528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 alignWithMargins="0"/>
    <c:pageMargins b="1" l="0.75000000000000244" r="0.750000000000002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352425</xdr:colOff>
      <xdr:row>68</xdr:row>
      <xdr:rowOff>104775</xdr:rowOff>
    </xdr:from>
    <xdr:to>
      <xdr:col>32</xdr:col>
      <xdr:colOff>476250</xdr:colOff>
      <xdr:row>89</xdr:row>
      <xdr:rowOff>38100</xdr:rowOff>
    </xdr:to>
    <xdr:graphicFrame macro="">
      <xdr:nvGraphicFramePr>
        <xdr:cNvPr id="109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352425</xdr:colOff>
      <xdr:row>68</xdr:row>
      <xdr:rowOff>104775</xdr:rowOff>
    </xdr:from>
    <xdr:to>
      <xdr:col>32</xdr:col>
      <xdr:colOff>476250</xdr:colOff>
      <xdr:row>89</xdr:row>
      <xdr:rowOff>38100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szem&#233;lyi/SSZ%20b&#233;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Documents%20and%20Settings/Hajnalka/Dokumentumok/ktgvet&#233;s2010/ovi_b&#233;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szem&#233;lyi/OVI%20b&#233;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szem&#233;lyi/KF%20b&#233;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k&#246;lts&#233;gvet&#233;s%20m&#243;dos&#237;t&#225;s%202011.%20I/Ei.%20m&#243;d.%202011.I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MSN_irodavezeto/K&#246;lts&#233;gvet&#233;s/2010/int&#233;zm&#233;nyek_egy&#252;t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ktgvet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tsgvet2011\szem&#233;lyi\SZI_b&#233;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K&#246;lts&#233;gvet&#233;s/2011/dologi_int&#233;zm&#233;nyenk&#233;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iroda/besz&#225;mol&#243;/besz&#225;mol&#243;2011/f&#233;l&#233;ves%20besz&#225;mol&#243;%202011-kerkiegn&#233;lk&#252;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tsgvet2011\szem&#233;lyi\SSZ%20b&#233;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SZ-130"/>
      <sheetName val="SSZ-230"/>
      <sheetName val="SSZ-330"/>
      <sheetName val="SSZ-430"/>
      <sheetName val="SSZ-530"/>
      <sheetName val="SSZ-630"/>
      <sheetName val="SSZ-730"/>
      <sheetName val="SSZ.összesen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C30">
            <v>0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ovi 210 (2)"/>
      <sheetName val="Ovik összesen (2)"/>
      <sheetName val="Movi 110"/>
      <sheetName val="Bovi 210"/>
      <sheetName val="Rovi 310"/>
      <sheetName val="Gyovi 410"/>
      <sheetName val="Tovi 510"/>
      <sheetName val="KIK 610"/>
      <sheetName val="besorolás"/>
      <sheetName val="Ovik össze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A24" t="str">
            <v>Garantált illetmény</v>
          </cell>
        </row>
        <row r="25">
          <cell r="A25" t="str">
            <v>Egyéb kötelező illetménypótlékok</v>
          </cell>
        </row>
        <row r="26">
          <cell r="A26" t="str">
            <v xml:space="preserve">Címpótlék </v>
          </cell>
        </row>
        <row r="27">
          <cell r="A27" t="str">
            <v>Egyéb feltételtől függő pótlék, juttatás</v>
          </cell>
        </row>
        <row r="28">
          <cell r="A28" t="str">
            <v>Teljes munkaidőben foglalkoztatottak rendszeres juttatásai</v>
          </cell>
        </row>
        <row r="29">
          <cell r="A29" t="str">
            <v>Részmunkaidősök rendszeres személyi juttatása</v>
          </cell>
        </row>
        <row r="30">
          <cell r="A30" t="str">
            <v>RENDSZERES SZEMÉLYI JUTTATÁSOK ÖSSZESEN</v>
          </cell>
        </row>
        <row r="31">
          <cell r="A31" t="str">
            <v>Jutalom, teljesitményhez kötött</v>
          </cell>
        </row>
        <row r="32">
          <cell r="A32" t="str">
            <v>Jutalom normatív</v>
          </cell>
        </row>
        <row r="33">
          <cell r="A33" t="str">
            <v>Helyettesítés</v>
          </cell>
        </row>
        <row r="34">
          <cell r="A34" t="str">
            <v>Túlóra</v>
          </cell>
        </row>
        <row r="35">
          <cell r="A35" t="str">
            <v>Egyéb munkavégzéshez kapcsolódó juttatások</v>
          </cell>
        </row>
        <row r="36">
          <cell r="A36" t="str">
            <v>Teljes munkaidőben foglalkoztatottak munkavégzéshez kapcsolódó juttatásai</v>
          </cell>
        </row>
        <row r="37">
          <cell r="A37" t="str">
            <v>Részmunkaidőben foglalkoztatottak munkavégzéshez kapcsolódó juttatásai</v>
          </cell>
        </row>
        <row r="38">
          <cell r="A38" t="str">
            <v>Munkavégzéshez kapcsolódó juttatások összesen</v>
          </cell>
        </row>
        <row r="39">
          <cell r="A39" t="str">
            <v>Ker. kiegészítés fedezete</v>
          </cell>
        </row>
        <row r="40">
          <cell r="A40" t="str">
            <v>Jubileumi jutalom</v>
          </cell>
        </row>
        <row r="41">
          <cell r="A41" t="str">
            <v>Napidíj</v>
          </cell>
        </row>
        <row r="42">
          <cell r="A42" t="str">
            <v>Egyéb sajátos juttatások</v>
          </cell>
        </row>
        <row r="43">
          <cell r="A43" t="str">
            <v>Teljes munkaidőben foglalkoztatottak sajátos juttatásai összesen</v>
          </cell>
        </row>
        <row r="44">
          <cell r="A44" t="str">
            <v>Részmunkaidőben foglalkoztatottak sajátos juttatásai</v>
          </cell>
        </row>
        <row r="45">
          <cell r="A45" t="str">
            <v>Foglalkoztatottak sajátos juttatásai</v>
          </cell>
        </row>
        <row r="46">
          <cell r="A46" t="str">
            <v>Közlekedési költségtérítés</v>
          </cell>
        </row>
        <row r="47">
          <cell r="A47" t="str">
            <v>Étkezési hozzájárulás</v>
          </cell>
        </row>
        <row r="48">
          <cell r="A48" t="str">
            <v>Üdülési hozzájárulás</v>
          </cell>
        </row>
        <row r="49">
          <cell r="A49" t="str">
            <v>Egyéb költségtérítés, hozzájárulás</v>
          </cell>
        </row>
        <row r="50">
          <cell r="A50" t="str">
            <v>Teljes munkaidőben foglalkoztatottak személyhez kapcsolódó költségtérítések és hozzájárulások</v>
          </cell>
        </row>
        <row r="51">
          <cell r="A51" t="str">
            <v>Részmunkaidős költségtérítés</v>
          </cell>
        </row>
        <row r="52">
          <cell r="A52" t="str">
            <v>Személyhez kapcsolódó költségtérítések és hozzájárulások összesen</v>
          </cell>
        </row>
        <row r="53">
          <cell r="A53" t="str">
            <v>Teljes munkaidőben foglalkoztatottak szoc. jellegű juttatásai</v>
          </cell>
        </row>
        <row r="54">
          <cell r="A54" t="str">
            <v>Teljes munkaidőben foglalkoztatottak nem rendszeres juttatásai</v>
          </cell>
        </row>
        <row r="55">
          <cell r="A55" t="str">
            <v>Részmunkaidőben foglalkoztatottak nem rendszeres személyi juttatásai</v>
          </cell>
        </row>
        <row r="56">
          <cell r="A56" t="str">
            <v>NEM RENDSZERES SZEMÉLYI JUTTATÁSOK</v>
          </cell>
        </row>
        <row r="57">
          <cell r="A57" t="str">
            <v>ÁLLOMÁNYBA NEM TARTOZÓK JUTTATÁSAI</v>
          </cell>
        </row>
        <row r="58">
          <cell r="A58" t="str">
            <v>SZEMÉLYI JUTTATÁSOK ÖSSZESEN</v>
          </cell>
        </row>
        <row r="59">
          <cell r="A59" t="str">
            <v>Járulékok (TB, termbeni.+pénzbeni ebj, MEP)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vi 110"/>
      <sheetName val="Bovi 210"/>
      <sheetName val="Rovi 310"/>
      <sheetName val="Gyovi 410"/>
      <sheetName val="Tovi 510"/>
      <sheetName val="KIK 610"/>
      <sheetName val="Ovik összesen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B25">
            <v>10803</v>
          </cell>
          <cell r="E25">
            <v>20328</v>
          </cell>
          <cell r="F25">
            <v>26532</v>
          </cell>
          <cell r="G25">
            <v>10731</v>
          </cell>
          <cell r="H25">
            <v>14217</v>
          </cell>
          <cell r="I25">
            <v>4142</v>
          </cell>
        </row>
        <row r="26">
          <cell r="B26">
            <v>360</v>
          </cell>
          <cell r="E26">
            <v>588</v>
          </cell>
          <cell r="F26">
            <v>552</v>
          </cell>
          <cell r="G26">
            <v>360</v>
          </cell>
          <cell r="H26">
            <v>360</v>
          </cell>
          <cell r="I26">
            <v>720</v>
          </cell>
        </row>
        <row r="27">
          <cell r="B27">
            <v>0</v>
          </cell>
          <cell r="E27">
            <v>180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9830</v>
          </cell>
          <cell r="E29">
            <v>20787</v>
          </cell>
          <cell r="F29">
            <v>25953</v>
          </cell>
          <cell r="G29">
            <v>11091</v>
          </cell>
          <cell r="H29">
            <v>14577</v>
          </cell>
          <cell r="I29">
            <v>4552</v>
          </cell>
        </row>
        <row r="30">
          <cell r="B30">
            <v>1333</v>
          </cell>
          <cell r="E30">
            <v>309</v>
          </cell>
          <cell r="F30">
            <v>1131</v>
          </cell>
          <cell r="G30">
            <v>0</v>
          </cell>
          <cell r="H30">
            <v>0</v>
          </cell>
          <cell r="I30">
            <v>310</v>
          </cell>
        </row>
        <row r="40">
          <cell r="B40">
            <v>223</v>
          </cell>
          <cell r="E40">
            <v>422</v>
          </cell>
          <cell r="F40">
            <v>542</v>
          </cell>
          <cell r="G40">
            <v>222</v>
          </cell>
          <cell r="H40">
            <v>291</v>
          </cell>
          <cell r="I40">
            <v>97</v>
          </cell>
        </row>
        <row r="54">
          <cell r="B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6">
          <cell r="H56">
            <v>0</v>
          </cell>
          <cell r="I56">
            <v>56</v>
          </cell>
        </row>
        <row r="58">
          <cell r="B58">
            <v>0</v>
          </cell>
          <cell r="E58">
            <v>2189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KF alsó"/>
      <sheetName val="KF felső"/>
      <sheetName val="KF napközi"/>
      <sheetName val="KF összesen"/>
    </sheetNames>
    <sheetDataSet>
      <sheetData sheetId="0"/>
      <sheetData sheetId="1"/>
      <sheetData sheetId="2"/>
      <sheetData sheetId="3">
        <row r="24">
          <cell r="E24">
            <v>40327</v>
          </cell>
        </row>
        <row r="25">
          <cell r="E25">
            <v>1947</v>
          </cell>
        </row>
        <row r="26">
          <cell r="E26">
            <v>120</v>
          </cell>
        </row>
        <row r="27">
          <cell r="E27">
            <v>0</v>
          </cell>
        </row>
        <row r="28">
          <cell r="E28">
            <v>36093</v>
          </cell>
        </row>
        <row r="29">
          <cell r="E29">
            <v>6301</v>
          </cell>
        </row>
        <row r="31">
          <cell r="E31">
            <v>0</v>
          </cell>
        </row>
        <row r="32">
          <cell r="E32">
            <v>0</v>
          </cell>
        </row>
        <row r="39">
          <cell r="E39">
            <v>0</v>
          </cell>
        </row>
        <row r="40">
          <cell r="E40">
            <v>1133</v>
          </cell>
        </row>
        <row r="41">
          <cell r="E41">
            <v>0</v>
          </cell>
        </row>
        <row r="42">
          <cell r="E42">
            <v>168</v>
          </cell>
        </row>
        <row r="46">
          <cell r="E46">
            <v>977</v>
          </cell>
        </row>
        <row r="47">
          <cell r="E47">
            <v>2995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3125</v>
          </cell>
        </row>
        <row r="51">
          <cell r="E51">
            <v>847</v>
          </cell>
        </row>
        <row r="52">
          <cell r="E52">
            <v>3972</v>
          </cell>
        </row>
        <row r="53">
          <cell r="E53">
            <v>0</v>
          </cell>
        </row>
        <row r="57">
          <cell r="E57">
            <v>250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ársulás"/>
      <sheetName val="Seg.Szolgálat"/>
      <sheetName val="MOVI"/>
      <sheetName val="BOVI"/>
      <sheetName val="GYOVI"/>
      <sheetName val=" TOVI"/>
      <sheetName val="ROVI"/>
      <sheetName val="KIK"/>
      <sheetName val="KF"/>
      <sheetName val="Szolg.Iroda"/>
      <sheetName val="Munka1"/>
      <sheetName val="Munka2"/>
    </sheetNames>
    <sheetDataSet>
      <sheetData sheetId="0">
        <row r="4">
          <cell r="P4">
            <v>1000</v>
          </cell>
        </row>
        <row r="5">
          <cell r="Q5">
            <v>-1000</v>
          </cell>
        </row>
        <row r="6">
          <cell r="AC6">
            <v>6543</v>
          </cell>
        </row>
        <row r="7">
          <cell r="J7">
            <v>4676</v>
          </cell>
        </row>
        <row r="8">
          <cell r="J8">
            <v>3790</v>
          </cell>
        </row>
        <row r="9">
          <cell r="H9">
            <v>-4554</v>
          </cell>
        </row>
        <row r="10">
          <cell r="Y10">
            <v>-4554</v>
          </cell>
        </row>
        <row r="11">
          <cell r="Z11">
            <v>575</v>
          </cell>
        </row>
        <row r="12">
          <cell r="Z12">
            <v>226</v>
          </cell>
        </row>
        <row r="13">
          <cell r="Y13">
            <v>9542</v>
          </cell>
        </row>
        <row r="14">
          <cell r="Q14">
            <v>8420</v>
          </cell>
        </row>
        <row r="15">
          <cell r="Q15">
            <v>500</v>
          </cell>
        </row>
        <row r="16">
          <cell r="Q16">
            <v>1293</v>
          </cell>
        </row>
      </sheetData>
      <sheetData sheetId="1">
        <row r="4">
          <cell r="D4">
            <v>-135</v>
          </cell>
        </row>
        <row r="5">
          <cell r="D5">
            <v>19</v>
          </cell>
        </row>
        <row r="6">
          <cell r="E6">
            <v>-31</v>
          </cell>
        </row>
        <row r="7">
          <cell r="L7">
            <v>-8</v>
          </cell>
        </row>
        <row r="8">
          <cell r="L8">
            <v>8</v>
          </cell>
        </row>
        <row r="10">
          <cell r="L10">
            <v>-10</v>
          </cell>
        </row>
        <row r="11">
          <cell r="L11">
            <v>-80</v>
          </cell>
        </row>
        <row r="12">
          <cell r="J12">
            <v>10</v>
          </cell>
        </row>
        <row r="13">
          <cell r="I13">
            <v>-23</v>
          </cell>
        </row>
        <row r="14">
          <cell r="J14">
            <v>227</v>
          </cell>
        </row>
        <row r="16">
          <cell r="H16">
            <v>37</v>
          </cell>
        </row>
        <row r="17">
          <cell r="H17">
            <v>11</v>
          </cell>
        </row>
        <row r="18">
          <cell r="L18">
            <v>6</v>
          </cell>
        </row>
        <row r="19">
          <cell r="J19">
            <v>-20</v>
          </cell>
        </row>
        <row r="20">
          <cell r="D20">
            <v>50</v>
          </cell>
        </row>
        <row r="21">
          <cell r="D21">
            <v>-181</v>
          </cell>
        </row>
        <row r="24">
          <cell r="L24">
            <v>9</v>
          </cell>
        </row>
        <row r="25">
          <cell r="F25">
            <v>-5</v>
          </cell>
        </row>
        <row r="26">
          <cell r="F26">
            <v>-25</v>
          </cell>
        </row>
        <row r="27">
          <cell r="H27">
            <v>21</v>
          </cell>
        </row>
        <row r="28">
          <cell r="J28">
            <v>-10</v>
          </cell>
        </row>
        <row r="29">
          <cell r="J29">
            <v>170</v>
          </cell>
        </row>
        <row r="31">
          <cell r="L31">
            <v>37</v>
          </cell>
        </row>
        <row r="32">
          <cell r="L32">
            <v>14</v>
          </cell>
        </row>
        <row r="33">
          <cell r="L33">
            <v>5</v>
          </cell>
        </row>
        <row r="34">
          <cell r="L34">
            <v>10</v>
          </cell>
        </row>
        <row r="35">
          <cell r="D35">
            <v>-150</v>
          </cell>
        </row>
        <row r="36">
          <cell r="D36">
            <v>150</v>
          </cell>
        </row>
        <row r="37">
          <cell r="F37">
            <v>-100</v>
          </cell>
        </row>
        <row r="38">
          <cell r="D38">
            <v>250</v>
          </cell>
        </row>
        <row r="39">
          <cell r="E39">
            <v>68</v>
          </cell>
        </row>
        <row r="40">
          <cell r="I40">
            <v>-68</v>
          </cell>
        </row>
        <row r="41">
          <cell r="F41">
            <v>-80</v>
          </cell>
        </row>
        <row r="42">
          <cell r="J42">
            <v>170</v>
          </cell>
        </row>
        <row r="44">
          <cell r="G44">
            <v>6</v>
          </cell>
        </row>
        <row r="45">
          <cell r="J45">
            <v>-70</v>
          </cell>
        </row>
        <row r="46">
          <cell r="Y46">
            <v>180</v>
          </cell>
        </row>
        <row r="47">
          <cell r="V47">
            <v>400</v>
          </cell>
        </row>
        <row r="48">
          <cell r="D48">
            <v>-120</v>
          </cell>
        </row>
        <row r="49">
          <cell r="D49">
            <v>140</v>
          </cell>
        </row>
        <row r="50">
          <cell r="D50">
            <v>30</v>
          </cell>
        </row>
        <row r="51">
          <cell r="D51">
            <v>27</v>
          </cell>
        </row>
        <row r="53">
          <cell r="I53">
            <v>26</v>
          </cell>
        </row>
        <row r="54">
          <cell r="F54">
            <v>-71</v>
          </cell>
        </row>
        <row r="55">
          <cell r="H55">
            <v>174</v>
          </cell>
        </row>
        <row r="56">
          <cell r="J56">
            <v>-10</v>
          </cell>
        </row>
        <row r="57">
          <cell r="J57">
            <v>80</v>
          </cell>
        </row>
        <row r="58">
          <cell r="J58">
            <v>227</v>
          </cell>
        </row>
        <row r="60">
          <cell r="J60">
            <v>6</v>
          </cell>
        </row>
        <row r="61">
          <cell r="G61">
            <v>5</v>
          </cell>
        </row>
        <row r="63">
          <cell r="D63">
            <v>-36</v>
          </cell>
        </row>
        <row r="64">
          <cell r="E64">
            <v>-10</v>
          </cell>
        </row>
        <row r="66">
          <cell r="D66">
            <v>-40</v>
          </cell>
        </row>
        <row r="67">
          <cell r="F67">
            <v>-10</v>
          </cell>
        </row>
        <row r="68">
          <cell r="F68">
            <v>-10</v>
          </cell>
        </row>
        <row r="69">
          <cell r="F69">
            <v>-85</v>
          </cell>
        </row>
        <row r="70">
          <cell r="H70">
            <v>-20</v>
          </cell>
        </row>
        <row r="71">
          <cell r="J71">
            <v>-100</v>
          </cell>
        </row>
        <row r="72">
          <cell r="J72">
            <v>965</v>
          </cell>
        </row>
        <row r="74">
          <cell r="J74">
            <v>8</v>
          </cell>
        </row>
        <row r="75">
          <cell r="I75">
            <v>-85</v>
          </cell>
        </row>
        <row r="76">
          <cell r="F76">
            <v>-10</v>
          </cell>
        </row>
        <row r="77">
          <cell r="F77">
            <v>10</v>
          </cell>
        </row>
        <row r="78">
          <cell r="H78">
            <v>-776</v>
          </cell>
        </row>
        <row r="80">
          <cell r="I80">
            <v>7</v>
          </cell>
        </row>
        <row r="81">
          <cell r="F81">
            <v>23</v>
          </cell>
        </row>
        <row r="82">
          <cell r="V82">
            <v>165</v>
          </cell>
        </row>
        <row r="83">
          <cell r="J83">
            <v>113</v>
          </cell>
        </row>
        <row r="86">
          <cell r="D86">
            <v>25</v>
          </cell>
        </row>
        <row r="87">
          <cell r="D87">
            <v>6</v>
          </cell>
        </row>
        <row r="88">
          <cell r="F88">
            <v>-60</v>
          </cell>
        </row>
        <row r="89">
          <cell r="H89">
            <v>70</v>
          </cell>
        </row>
        <row r="90">
          <cell r="J90">
            <v>-10</v>
          </cell>
        </row>
        <row r="91">
          <cell r="J91">
            <v>421</v>
          </cell>
        </row>
        <row r="92">
          <cell r="J92">
            <v>57</v>
          </cell>
        </row>
        <row r="94">
          <cell r="Y94">
            <v>452</v>
          </cell>
        </row>
        <row r="95">
          <cell r="Z95">
            <v>135562</v>
          </cell>
        </row>
        <row r="96">
          <cell r="Z96">
            <v>26575</v>
          </cell>
        </row>
        <row r="97">
          <cell r="D97">
            <v>1629</v>
          </cell>
        </row>
        <row r="98">
          <cell r="E98">
            <v>412</v>
          </cell>
        </row>
        <row r="99">
          <cell r="P99">
            <v>131520</v>
          </cell>
        </row>
        <row r="101">
          <cell r="P101">
            <v>32518</v>
          </cell>
        </row>
      </sheetData>
      <sheetData sheetId="2">
        <row r="4">
          <cell r="Y4">
            <v>300</v>
          </cell>
        </row>
        <row r="5">
          <cell r="D5">
            <v>121</v>
          </cell>
        </row>
        <row r="6">
          <cell r="E6">
            <v>29</v>
          </cell>
        </row>
        <row r="7">
          <cell r="F7">
            <v>24</v>
          </cell>
        </row>
        <row r="8">
          <cell r="F8">
            <v>41</v>
          </cell>
        </row>
        <row r="9">
          <cell r="F9">
            <v>8</v>
          </cell>
        </row>
        <row r="10">
          <cell r="H10">
            <v>31</v>
          </cell>
        </row>
        <row r="11">
          <cell r="F11">
            <v>99</v>
          </cell>
        </row>
        <row r="12">
          <cell r="AC12">
            <v>338</v>
          </cell>
        </row>
        <row r="14">
          <cell r="G14">
            <v>5</v>
          </cell>
        </row>
        <row r="15">
          <cell r="I15">
            <v>30</v>
          </cell>
        </row>
        <row r="16">
          <cell r="H16">
            <v>16</v>
          </cell>
        </row>
      </sheetData>
      <sheetData sheetId="3">
        <row r="4">
          <cell r="P4">
            <v>450</v>
          </cell>
        </row>
        <row r="5">
          <cell r="F5">
            <v>20</v>
          </cell>
        </row>
        <row r="6">
          <cell r="AC6">
            <v>506</v>
          </cell>
        </row>
        <row r="7">
          <cell r="J7">
            <v>478</v>
          </cell>
        </row>
        <row r="8">
          <cell r="L8">
            <v>8</v>
          </cell>
        </row>
        <row r="9">
          <cell r="I9">
            <v>-106</v>
          </cell>
          <cell r="P9">
            <v>106</v>
          </cell>
        </row>
        <row r="10">
          <cell r="F10">
            <v>-450</v>
          </cell>
        </row>
      </sheetData>
      <sheetData sheetId="4"/>
      <sheetData sheetId="5"/>
      <sheetData sheetId="6">
        <row r="4">
          <cell r="D4">
            <v>1214</v>
          </cell>
        </row>
        <row r="5">
          <cell r="D5">
            <v>90</v>
          </cell>
        </row>
        <row r="6">
          <cell r="E6">
            <v>328</v>
          </cell>
        </row>
        <row r="7">
          <cell r="Y7">
            <v>1649</v>
          </cell>
        </row>
        <row r="8">
          <cell r="F8">
            <v>20</v>
          </cell>
        </row>
        <row r="9">
          <cell r="AC9">
            <v>615</v>
          </cell>
        </row>
        <row r="10">
          <cell r="J10">
            <v>595</v>
          </cell>
        </row>
        <row r="11">
          <cell r="L11">
            <v>17</v>
          </cell>
        </row>
      </sheetData>
      <sheetData sheetId="7">
        <row r="4">
          <cell r="J4">
            <v>-40</v>
          </cell>
        </row>
        <row r="7">
          <cell r="F7">
            <v>40</v>
          </cell>
        </row>
      </sheetData>
      <sheetData sheetId="8">
        <row r="4">
          <cell r="AB4">
            <v>9651</v>
          </cell>
          <cell r="AC4">
            <v>2</v>
          </cell>
        </row>
        <row r="6">
          <cell r="E6">
            <v>100</v>
          </cell>
        </row>
        <row r="7">
          <cell r="J7">
            <v>40</v>
          </cell>
        </row>
        <row r="8">
          <cell r="H8">
            <v>348</v>
          </cell>
        </row>
        <row r="9">
          <cell r="P9">
            <v>55</v>
          </cell>
        </row>
        <row r="10">
          <cell r="P10">
            <v>8598</v>
          </cell>
        </row>
        <row r="11">
          <cell r="P11">
            <v>200</v>
          </cell>
        </row>
        <row r="12">
          <cell r="P12">
            <v>800</v>
          </cell>
        </row>
        <row r="13">
          <cell r="F13">
            <v>1</v>
          </cell>
        </row>
        <row r="14">
          <cell r="F14">
            <v>130</v>
          </cell>
        </row>
        <row r="15">
          <cell r="G15">
            <v>8</v>
          </cell>
        </row>
        <row r="16">
          <cell r="G16">
            <v>8</v>
          </cell>
        </row>
        <row r="17">
          <cell r="J17">
            <v>322</v>
          </cell>
        </row>
        <row r="18">
          <cell r="J18">
            <v>522</v>
          </cell>
        </row>
        <row r="19">
          <cell r="J19">
            <v>121</v>
          </cell>
        </row>
        <row r="20">
          <cell r="AC20">
            <v>1982</v>
          </cell>
        </row>
      </sheetData>
      <sheetData sheetId="9">
        <row r="4">
          <cell r="N4">
            <v>8250</v>
          </cell>
        </row>
        <row r="5">
          <cell r="D5">
            <v>-3825</v>
          </cell>
        </row>
        <row r="6">
          <cell r="D6">
            <v>-525</v>
          </cell>
        </row>
        <row r="7">
          <cell r="D7">
            <v>-103</v>
          </cell>
        </row>
        <row r="8">
          <cell r="D8">
            <v>-199</v>
          </cell>
        </row>
        <row r="9">
          <cell r="E9">
            <v>-972</v>
          </cell>
        </row>
        <row r="10">
          <cell r="F10">
            <v>-18</v>
          </cell>
        </row>
        <row r="11">
          <cell r="F11">
            <v>-15</v>
          </cell>
        </row>
        <row r="12">
          <cell r="F12">
            <v>-30</v>
          </cell>
        </row>
        <row r="13">
          <cell r="F13">
            <v>-60</v>
          </cell>
        </row>
        <row r="14">
          <cell r="G14">
            <v>-140</v>
          </cell>
        </row>
        <row r="15">
          <cell r="G15">
            <v>-50</v>
          </cell>
        </row>
        <row r="16">
          <cell r="G16">
            <v>-150</v>
          </cell>
        </row>
        <row r="17">
          <cell r="H17">
            <v>-95</v>
          </cell>
        </row>
        <row r="18">
          <cell r="H18">
            <v>-10</v>
          </cell>
        </row>
        <row r="19">
          <cell r="H19">
            <v>-350</v>
          </cell>
        </row>
        <row r="20">
          <cell r="I20">
            <v>-895</v>
          </cell>
        </row>
        <row r="21">
          <cell r="J21">
            <v>-80</v>
          </cell>
        </row>
        <row r="22">
          <cell r="J22">
            <v>-50</v>
          </cell>
        </row>
        <row r="23">
          <cell r="J23">
            <v>-20</v>
          </cell>
        </row>
        <row r="24">
          <cell r="J24">
            <v>-163</v>
          </cell>
        </row>
        <row r="25">
          <cell r="P25">
            <v>100</v>
          </cell>
        </row>
        <row r="26">
          <cell r="P26">
            <v>197</v>
          </cell>
        </row>
        <row r="27">
          <cell r="J27">
            <v>254</v>
          </cell>
        </row>
        <row r="31">
          <cell r="N31">
            <v>0</v>
          </cell>
        </row>
        <row r="32">
          <cell r="D32">
            <v>0</v>
          </cell>
          <cell r="E32">
            <v>0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ársulás_együtt"/>
    </sheetNames>
    <sheetDataSet>
      <sheetData sheetId="0">
        <row r="11">
          <cell r="F11">
            <v>27960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ÁLYÁZATOK"/>
      <sheetName val="TÁRSULÁS"/>
      <sheetName val="BEVÉTELEK"/>
      <sheetName val="BEVÉTELEK SZOLGÁLTATÓ IRODA"/>
      <sheetName val="BEVÉTELEK SEGÍTŐ SZOLGÁLAT"/>
      <sheetName val="BEVÉTELEK  ÓVODA"/>
      <sheetName val="BEVÉTELEK KOZMA FERENC ÁLT.ISK."/>
      <sheetName val="BEVÉTEL INT.TÁRSULÁSOK"/>
      <sheetName val="SZOLGÁLTATÓ IRODA"/>
      <sheetName val="SEGÍTŐ SZOLGÁLAT"/>
      <sheetName val="ÓVODA"/>
      <sheetName val="KOZMA FERENC ÁLT. ISK."/>
      <sheetName val="SZEMÉLYI JUTTATÁSOK"/>
      <sheetName val="bér SZI"/>
      <sheetName val="bér SSZ"/>
      <sheetName val="bér KF"/>
      <sheetName val="bér ovi"/>
      <sheetName val="DOLOGI KIADÁSOK"/>
      <sheetName val="BERUHÁZÁSOK"/>
      <sheetName val="KIADÁSOK FELADATONKÉNT"/>
      <sheetName val="LÉTSZÁMADATOK"/>
      <sheetName val="KÖZOKTATÁS"/>
      <sheetName val="ÓVODAINORMATÍVA"/>
      <sheetName val="ISKOLANORMATÍVA"/>
      <sheetName val="SZAKFELADATOS"/>
      <sheetName val="SZOCIÁLIS"/>
      <sheetName val="EGYÉB"/>
      <sheetName val="ELŐIRÁNYZAT FELHASZNÁLÁS"/>
      <sheetName val="KISTÉRSÉG INTÉZMÉNYE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B15">
            <v>8032</v>
          </cell>
        </row>
        <row r="16">
          <cell r="B16">
            <v>1020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9052</v>
          </cell>
        </row>
        <row r="20">
          <cell r="B20">
            <v>0</v>
          </cell>
        </row>
        <row r="23">
          <cell r="B23">
            <v>0</v>
          </cell>
        </row>
        <row r="24">
          <cell r="B24">
            <v>475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475</v>
          </cell>
        </row>
        <row r="28">
          <cell r="B28">
            <v>0</v>
          </cell>
        </row>
        <row r="30">
          <cell r="B30">
            <v>181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5">
          <cell r="B35">
            <v>0</v>
          </cell>
        </row>
        <row r="37">
          <cell r="B37">
            <v>199</v>
          </cell>
        </row>
        <row r="38">
          <cell r="B38">
            <v>468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667</v>
          </cell>
        </row>
        <row r="42">
          <cell r="B42">
            <v>0</v>
          </cell>
        </row>
        <row r="44">
          <cell r="B44">
            <v>0</v>
          </cell>
        </row>
      </sheetData>
      <sheetData sheetId="14">
        <row r="17">
          <cell r="C17">
            <v>6180</v>
          </cell>
          <cell r="D17">
            <v>20997</v>
          </cell>
          <cell r="E17">
            <v>6589</v>
          </cell>
          <cell r="F17">
            <v>5955</v>
          </cell>
          <cell r="G17">
            <v>4295</v>
          </cell>
          <cell r="H17">
            <v>1181</v>
          </cell>
        </row>
        <row r="18">
          <cell r="C18">
            <v>0</v>
          </cell>
          <cell r="D18">
            <v>240</v>
          </cell>
          <cell r="E18">
            <v>240</v>
          </cell>
          <cell r="F18">
            <v>600</v>
          </cell>
          <cell r="G18">
            <v>240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6180</v>
          </cell>
          <cell r="D21">
            <v>21237</v>
          </cell>
          <cell r="E21">
            <v>6829</v>
          </cell>
          <cell r="G21">
            <v>3608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926</v>
          </cell>
          <cell r="H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183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100</v>
          </cell>
          <cell r="E26">
            <v>70</v>
          </cell>
          <cell r="F26">
            <v>50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100</v>
          </cell>
          <cell r="E29">
            <v>70</v>
          </cell>
          <cell r="G29">
            <v>183</v>
          </cell>
          <cell r="H29">
            <v>0</v>
          </cell>
        </row>
        <row r="30">
          <cell r="B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2">
          <cell r="B32">
            <v>75</v>
          </cell>
          <cell r="C32">
            <v>124</v>
          </cell>
          <cell r="D32">
            <v>425</v>
          </cell>
          <cell r="E32">
            <v>137</v>
          </cell>
          <cell r="F32">
            <v>131</v>
          </cell>
          <cell r="G32">
            <v>91</v>
          </cell>
          <cell r="H32">
            <v>24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334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19</v>
          </cell>
          <cell r="C35">
            <v>28</v>
          </cell>
          <cell r="D35">
            <v>160</v>
          </cell>
          <cell r="E35">
            <v>28</v>
          </cell>
          <cell r="F35">
            <v>38</v>
          </cell>
          <cell r="G35">
            <v>266</v>
          </cell>
          <cell r="H35">
            <v>9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213</v>
          </cell>
          <cell r="H37">
            <v>0</v>
          </cell>
        </row>
        <row r="39">
          <cell r="B39">
            <v>24</v>
          </cell>
          <cell r="C39">
            <v>117</v>
          </cell>
          <cell r="D39">
            <v>120</v>
          </cell>
          <cell r="E39">
            <v>0</v>
          </cell>
          <cell r="F39">
            <v>126</v>
          </cell>
          <cell r="G39">
            <v>36</v>
          </cell>
          <cell r="H39">
            <v>0</v>
          </cell>
        </row>
        <row r="40">
          <cell r="B40">
            <v>230</v>
          </cell>
          <cell r="C40">
            <v>344</v>
          </cell>
          <cell r="D40">
            <v>1952</v>
          </cell>
          <cell r="E40">
            <v>459</v>
          </cell>
          <cell r="F40">
            <v>459</v>
          </cell>
          <cell r="G40">
            <v>287</v>
          </cell>
          <cell r="H40">
            <v>115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254</v>
          </cell>
          <cell r="C43">
            <v>461</v>
          </cell>
          <cell r="E43">
            <v>459</v>
          </cell>
          <cell r="F43">
            <v>585</v>
          </cell>
          <cell r="G43">
            <v>266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57</v>
          </cell>
          <cell r="H44">
            <v>0</v>
          </cell>
        </row>
        <row r="46">
          <cell r="B46">
            <v>0</v>
          </cell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270</v>
          </cell>
          <cell r="H48">
            <v>0</v>
          </cell>
        </row>
        <row r="50">
          <cell r="B50">
            <v>0</v>
          </cell>
          <cell r="C50">
            <v>235</v>
          </cell>
          <cell r="D50">
            <v>0</v>
          </cell>
          <cell r="E50">
            <v>135</v>
          </cell>
          <cell r="F50">
            <v>50</v>
          </cell>
          <cell r="G50">
            <v>110</v>
          </cell>
          <cell r="H50">
            <v>50</v>
          </cell>
        </row>
      </sheetData>
      <sheetData sheetId="15">
        <row r="24">
          <cell r="B24">
            <v>13136</v>
          </cell>
          <cell r="C24">
            <v>22921</v>
          </cell>
          <cell r="D24">
            <v>4270</v>
          </cell>
        </row>
        <row r="25">
          <cell r="B25">
            <v>1275</v>
          </cell>
          <cell r="C25">
            <v>672</v>
          </cell>
          <cell r="D25">
            <v>0</v>
          </cell>
        </row>
        <row r="26">
          <cell r="B26">
            <v>0</v>
          </cell>
          <cell r="C26">
            <v>120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14411</v>
          </cell>
          <cell r="C28">
            <v>19303</v>
          </cell>
          <cell r="D28">
            <v>2379</v>
          </cell>
        </row>
        <row r="29">
          <cell r="B29">
            <v>0</v>
          </cell>
          <cell r="C29">
            <v>4410</v>
          </cell>
          <cell r="D29">
            <v>1891</v>
          </cell>
        </row>
        <row r="31">
          <cell r="C31">
            <v>0</v>
          </cell>
          <cell r="D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4">
          <cell r="B34">
            <v>1250</v>
          </cell>
          <cell r="C34">
            <v>937</v>
          </cell>
          <cell r="D34">
            <v>314</v>
          </cell>
        </row>
        <row r="35">
          <cell r="B35">
            <v>265</v>
          </cell>
          <cell r="C35">
            <v>583</v>
          </cell>
          <cell r="D35">
            <v>159</v>
          </cell>
        </row>
        <row r="36">
          <cell r="C36">
            <v>1934</v>
          </cell>
          <cell r="D36">
            <v>285</v>
          </cell>
        </row>
        <row r="37">
          <cell r="B37">
            <v>0</v>
          </cell>
          <cell r="C37">
            <v>570</v>
          </cell>
          <cell r="D37">
            <v>456</v>
          </cell>
        </row>
        <row r="40">
          <cell r="B40">
            <v>0</v>
          </cell>
          <cell r="C40">
            <v>0</v>
          </cell>
          <cell r="D40">
            <v>1133</v>
          </cell>
        </row>
        <row r="41">
          <cell r="B41">
            <v>0</v>
          </cell>
          <cell r="C41">
            <v>0</v>
          </cell>
          <cell r="D41">
            <v>0</v>
          </cell>
        </row>
        <row r="42">
          <cell r="B42">
            <v>44</v>
          </cell>
          <cell r="C42">
            <v>97</v>
          </cell>
          <cell r="D42">
            <v>27</v>
          </cell>
        </row>
        <row r="44">
          <cell r="B44">
            <v>0</v>
          </cell>
        </row>
        <row r="46">
          <cell r="B46">
            <v>13</v>
          </cell>
          <cell r="C46">
            <v>640</v>
          </cell>
          <cell r="D46">
            <v>324</v>
          </cell>
        </row>
        <row r="47">
          <cell r="B47">
            <v>1152</v>
          </cell>
          <cell r="C47">
            <v>1570</v>
          </cell>
          <cell r="D47">
            <v>273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</row>
        <row r="50">
          <cell r="B50">
            <v>1165</v>
          </cell>
          <cell r="C50">
            <v>1796</v>
          </cell>
          <cell r="D50">
            <v>164</v>
          </cell>
        </row>
        <row r="51">
          <cell r="B51">
            <v>0</v>
          </cell>
          <cell r="C51">
            <v>414</v>
          </cell>
          <cell r="D51">
            <v>433</v>
          </cell>
        </row>
        <row r="53">
          <cell r="B53">
            <v>0</v>
          </cell>
          <cell r="C53">
            <v>0</v>
          </cell>
          <cell r="D53">
            <v>0</v>
          </cell>
        </row>
        <row r="57">
          <cell r="B57">
            <v>0</v>
          </cell>
          <cell r="C57">
            <v>250</v>
          </cell>
          <cell r="D57">
            <v>0</v>
          </cell>
        </row>
      </sheetData>
      <sheetData sheetId="16">
        <row r="32">
          <cell r="B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126</v>
          </cell>
          <cell r="E34">
            <v>309</v>
          </cell>
          <cell r="F34">
            <v>100</v>
          </cell>
          <cell r="G34">
            <v>151</v>
          </cell>
          <cell r="H34">
            <v>227</v>
          </cell>
          <cell r="I34">
            <v>57</v>
          </cell>
        </row>
        <row r="35">
          <cell r="B35">
            <v>126</v>
          </cell>
          <cell r="E35">
            <v>308</v>
          </cell>
          <cell r="F35">
            <v>100</v>
          </cell>
          <cell r="G35">
            <v>151</v>
          </cell>
          <cell r="H35">
            <v>227</v>
          </cell>
          <cell r="I35">
            <v>56</v>
          </cell>
        </row>
        <row r="36">
          <cell r="B36">
            <v>252</v>
          </cell>
          <cell r="E36">
            <v>504</v>
          </cell>
          <cell r="F36">
            <v>630</v>
          </cell>
          <cell r="G36">
            <v>252</v>
          </cell>
          <cell r="H36">
            <v>378</v>
          </cell>
          <cell r="I36">
            <v>126</v>
          </cell>
        </row>
        <row r="37">
          <cell r="B37">
            <v>504</v>
          </cell>
          <cell r="E37">
            <v>1109</v>
          </cell>
          <cell r="F37">
            <v>830</v>
          </cell>
          <cell r="G37">
            <v>554</v>
          </cell>
          <cell r="H37">
            <v>832</v>
          </cell>
          <cell r="I37">
            <v>227</v>
          </cell>
        </row>
        <row r="38">
          <cell r="B38">
            <v>0</v>
          </cell>
          <cell r="E38">
            <v>12</v>
          </cell>
          <cell r="F38">
            <v>0</v>
          </cell>
          <cell r="G38">
            <v>0</v>
          </cell>
          <cell r="H38">
            <v>0</v>
          </cell>
          <cell r="I38">
            <v>12</v>
          </cell>
        </row>
        <row r="41">
          <cell r="B41">
            <v>0</v>
          </cell>
          <cell r="E41">
            <v>104</v>
          </cell>
          <cell r="F41">
            <v>191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42</v>
          </cell>
          <cell r="E43">
            <v>84</v>
          </cell>
          <cell r="F43">
            <v>105</v>
          </cell>
          <cell r="G43">
            <v>42</v>
          </cell>
          <cell r="H43">
            <v>63</v>
          </cell>
          <cell r="I43">
            <v>21</v>
          </cell>
        </row>
        <row r="45">
          <cell r="B45">
            <v>27</v>
          </cell>
          <cell r="E45">
            <v>6</v>
          </cell>
          <cell r="F45">
            <v>23</v>
          </cell>
          <cell r="G45">
            <v>0</v>
          </cell>
          <cell r="H45">
            <v>0</v>
          </cell>
          <cell r="I45">
            <v>6</v>
          </cell>
        </row>
        <row r="47">
          <cell r="B47">
            <v>164</v>
          </cell>
          <cell r="E47">
            <v>251</v>
          </cell>
          <cell r="F47">
            <v>643</v>
          </cell>
          <cell r="G47">
            <v>198</v>
          </cell>
          <cell r="H47">
            <v>295</v>
          </cell>
          <cell r="I47">
            <v>113</v>
          </cell>
        </row>
        <row r="48">
          <cell r="B48">
            <v>744</v>
          </cell>
          <cell r="E48">
            <v>1745</v>
          </cell>
          <cell r="F48">
            <v>1834</v>
          </cell>
          <cell r="G48">
            <v>689</v>
          </cell>
          <cell r="H48">
            <v>1033</v>
          </cell>
          <cell r="I48">
            <v>260</v>
          </cell>
        </row>
        <row r="49">
          <cell r="B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773</v>
          </cell>
          <cell r="E51">
            <v>1919</v>
          </cell>
          <cell r="F51">
            <v>2465</v>
          </cell>
          <cell r="G51">
            <v>887</v>
          </cell>
          <cell r="H51">
            <v>1328</v>
          </cell>
          <cell r="I51">
            <v>335</v>
          </cell>
        </row>
        <row r="52">
          <cell r="B52">
            <v>135</v>
          </cell>
          <cell r="E52">
            <v>77</v>
          </cell>
          <cell r="F52">
            <v>12</v>
          </cell>
          <cell r="G52">
            <v>0</v>
          </cell>
          <cell r="H52">
            <v>0</v>
          </cell>
          <cell r="I52">
            <v>38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esorolás"/>
      <sheetName val="SZI"/>
      <sheetName val="Munka1"/>
    </sheetNames>
    <sheetDataSet>
      <sheetData sheetId="0"/>
      <sheetData sheetId="1">
        <row r="48">
          <cell r="B48">
            <v>963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ZI"/>
      <sheetName val="SSZ"/>
      <sheetName val="OVIK"/>
      <sheetName val="KF"/>
      <sheetName val="Összesítés"/>
    </sheetNames>
    <sheetDataSet>
      <sheetData sheetId="0">
        <row r="6">
          <cell r="B6">
            <v>150</v>
          </cell>
        </row>
        <row r="7">
          <cell r="B7">
            <v>35</v>
          </cell>
        </row>
        <row r="8">
          <cell r="B8">
            <v>20</v>
          </cell>
        </row>
        <row r="11">
          <cell r="B11">
            <v>50</v>
          </cell>
        </row>
        <row r="17">
          <cell r="B17">
            <v>220</v>
          </cell>
        </row>
        <row r="18">
          <cell r="B18">
            <v>100</v>
          </cell>
        </row>
        <row r="19">
          <cell r="B19">
            <v>300</v>
          </cell>
        </row>
        <row r="24">
          <cell r="B24">
            <v>500</v>
          </cell>
        </row>
        <row r="25">
          <cell r="B25">
            <v>190</v>
          </cell>
        </row>
        <row r="26">
          <cell r="B26">
            <v>20</v>
          </cell>
        </row>
        <row r="27">
          <cell r="B27">
            <v>100</v>
          </cell>
        </row>
        <row r="28">
          <cell r="B28">
            <v>550</v>
          </cell>
        </row>
        <row r="32">
          <cell r="B32">
            <v>754</v>
          </cell>
        </row>
        <row r="36">
          <cell r="B36">
            <v>100</v>
          </cell>
        </row>
        <row r="55">
          <cell r="B55">
            <v>0</v>
          </cell>
        </row>
      </sheetData>
      <sheetData sheetId="1">
        <row r="4">
          <cell r="B4">
            <v>10</v>
          </cell>
          <cell r="E4">
            <v>20</v>
          </cell>
          <cell r="H4">
            <v>30</v>
          </cell>
          <cell r="K4">
            <v>20</v>
          </cell>
          <cell r="N4">
            <v>10</v>
          </cell>
          <cell r="Q4">
            <v>20</v>
          </cell>
          <cell r="T4">
            <v>10</v>
          </cell>
        </row>
        <row r="5">
          <cell r="E5">
            <v>10</v>
          </cell>
          <cell r="K5">
            <v>8</v>
          </cell>
        </row>
        <row r="7">
          <cell r="B7">
            <v>10</v>
          </cell>
          <cell r="H7">
            <v>10</v>
          </cell>
        </row>
        <row r="8">
          <cell r="H8">
            <v>300</v>
          </cell>
          <cell r="N8">
            <v>750</v>
          </cell>
          <cell r="Q8">
            <v>100</v>
          </cell>
          <cell r="T8">
            <v>960</v>
          </cell>
        </row>
        <row r="9">
          <cell r="E9">
            <v>10</v>
          </cell>
          <cell r="H9">
            <v>20</v>
          </cell>
          <cell r="K9">
            <v>10</v>
          </cell>
          <cell r="N9">
            <v>80</v>
          </cell>
          <cell r="Q9">
            <v>80</v>
          </cell>
          <cell r="T9">
            <v>10</v>
          </cell>
        </row>
        <row r="10">
          <cell r="E10">
            <v>5</v>
          </cell>
          <cell r="K10">
            <v>10</v>
          </cell>
        </row>
        <row r="13">
          <cell r="E13">
            <v>50</v>
          </cell>
          <cell r="H13">
            <v>85</v>
          </cell>
          <cell r="K13">
            <v>80</v>
          </cell>
          <cell r="Q13">
            <v>80</v>
          </cell>
          <cell r="T13">
            <v>60</v>
          </cell>
        </row>
        <row r="15">
          <cell r="B15">
            <v>50</v>
          </cell>
          <cell r="E15">
            <v>150</v>
          </cell>
          <cell r="H15">
            <v>100</v>
          </cell>
          <cell r="K15">
            <v>200</v>
          </cell>
          <cell r="N15">
            <v>50</v>
          </cell>
          <cell r="Q15">
            <v>150</v>
          </cell>
          <cell r="T15">
            <v>40</v>
          </cell>
        </row>
        <row r="19">
          <cell r="B19">
            <v>2923</v>
          </cell>
        </row>
        <row r="20">
          <cell r="B20">
            <v>2016</v>
          </cell>
        </row>
        <row r="21">
          <cell r="E21">
            <v>25</v>
          </cell>
          <cell r="H21">
            <v>20</v>
          </cell>
          <cell r="K21">
            <v>30</v>
          </cell>
        </row>
        <row r="22">
          <cell r="E22">
            <v>90</v>
          </cell>
          <cell r="H22">
            <v>50</v>
          </cell>
          <cell r="K22">
            <v>100</v>
          </cell>
          <cell r="N22">
            <v>80</v>
          </cell>
          <cell r="Q22">
            <v>110</v>
          </cell>
        </row>
        <row r="23">
          <cell r="E23">
            <v>80</v>
          </cell>
          <cell r="H23">
            <v>30</v>
          </cell>
          <cell r="K23">
            <v>80</v>
          </cell>
          <cell r="N23">
            <v>50</v>
          </cell>
          <cell r="Q23">
            <v>90</v>
          </cell>
        </row>
        <row r="24">
          <cell r="E24">
            <v>15</v>
          </cell>
          <cell r="H24">
            <v>10</v>
          </cell>
          <cell r="K24">
            <v>10</v>
          </cell>
          <cell r="N24">
            <v>10</v>
          </cell>
          <cell r="Q24">
            <v>15</v>
          </cell>
        </row>
        <row r="25">
          <cell r="H25">
            <v>170</v>
          </cell>
          <cell r="K25">
            <v>10</v>
          </cell>
          <cell r="N25">
            <v>50</v>
          </cell>
          <cell r="T25">
            <v>200</v>
          </cell>
        </row>
        <row r="26">
          <cell r="E26">
            <v>30</v>
          </cell>
          <cell r="H26">
            <v>60</v>
          </cell>
          <cell r="K26">
            <v>10</v>
          </cell>
          <cell r="N26">
            <v>10</v>
          </cell>
          <cell r="Q26">
            <v>20</v>
          </cell>
          <cell r="T26">
            <v>20</v>
          </cell>
        </row>
        <row r="27">
          <cell r="E27">
            <v>450</v>
          </cell>
          <cell r="H27">
            <v>100</v>
          </cell>
          <cell r="K27">
            <v>700</v>
          </cell>
        </row>
        <row r="33">
          <cell r="B33">
            <v>15</v>
          </cell>
          <cell r="E33">
            <v>250</v>
          </cell>
          <cell r="H33">
            <v>100</v>
          </cell>
          <cell r="K33">
            <v>250</v>
          </cell>
          <cell r="N33">
            <v>120</v>
          </cell>
          <cell r="Q33">
            <v>155</v>
          </cell>
        </row>
        <row r="34">
          <cell r="B34">
            <v>15</v>
          </cell>
          <cell r="E34">
            <v>15</v>
          </cell>
          <cell r="H34">
            <v>15</v>
          </cell>
          <cell r="K34">
            <v>10</v>
          </cell>
          <cell r="N34">
            <v>10</v>
          </cell>
          <cell r="Q34">
            <v>13</v>
          </cell>
          <cell r="T34">
            <v>10</v>
          </cell>
        </row>
        <row r="35">
          <cell r="H35">
            <v>10</v>
          </cell>
        </row>
        <row r="37">
          <cell r="H37">
            <v>50</v>
          </cell>
          <cell r="K37">
            <v>20</v>
          </cell>
        </row>
        <row r="42">
          <cell r="B42">
            <v>113</v>
          </cell>
          <cell r="E42">
            <v>170</v>
          </cell>
          <cell r="H42">
            <v>965</v>
          </cell>
          <cell r="K42">
            <v>227</v>
          </cell>
          <cell r="N42">
            <v>227</v>
          </cell>
          <cell r="Q42">
            <v>170</v>
          </cell>
          <cell r="T42">
            <v>57</v>
          </cell>
        </row>
      </sheetData>
      <sheetData sheetId="2">
        <row r="6">
          <cell r="B6">
            <v>40</v>
          </cell>
          <cell r="E6">
            <v>60</v>
          </cell>
          <cell r="Q6">
            <v>50</v>
          </cell>
        </row>
        <row r="7">
          <cell r="B7">
            <v>50</v>
          </cell>
          <cell r="E7">
            <v>130</v>
          </cell>
          <cell r="Q7">
            <v>70</v>
          </cell>
        </row>
        <row r="8">
          <cell r="E8">
            <v>20</v>
          </cell>
          <cell r="Q8">
            <v>10</v>
          </cell>
        </row>
        <row r="9">
          <cell r="B9">
            <v>20</v>
          </cell>
        </row>
        <row r="10">
          <cell r="B10">
            <v>10</v>
          </cell>
          <cell r="E10">
            <v>10</v>
          </cell>
        </row>
        <row r="11">
          <cell r="B11">
            <v>100</v>
          </cell>
          <cell r="Q11">
            <v>15</v>
          </cell>
        </row>
        <row r="12">
          <cell r="B12">
            <v>100</v>
          </cell>
          <cell r="E12">
            <v>300</v>
          </cell>
        </row>
        <row r="14">
          <cell r="B14">
            <v>70</v>
          </cell>
          <cell r="E14">
            <v>120</v>
          </cell>
          <cell r="Q14">
            <v>20</v>
          </cell>
        </row>
        <row r="15">
          <cell r="B15">
            <v>100</v>
          </cell>
        </row>
        <row r="17">
          <cell r="B17">
            <v>90</v>
          </cell>
          <cell r="E17">
            <v>100</v>
          </cell>
          <cell r="H17">
            <v>45</v>
          </cell>
          <cell r="K17">
            <v>40</v>
          </cell>
          <cell r="N17">
            <v>30</v>
          </cell>
          <cell r="Q17">
            <v>100</v>
          </cell>
        </row>
        <row r="23">
          <cell r="E23">
            <v>50</v>
          </cell>
        </row>
        <row r="24">
          <cell r="E24">
            <v>1800</v>
          </cell>
        </row>
        <row r="25">
          <cell r="E25">
            <v>1000</v>
          </cell>
        </row>
        <row r="26">
          <cell r="B26">
            <v>60</v>
          </cell>
          <cell r="E26">
            <v>400</v>
          </cell>
        </row>
        <row r="27">
          <cell r="B27">
            <v>150</v>
          </cell>
        </row>
        <row r="28">
          <cell r="B28">
            <v>50</v>
          </cell>
          <cell r="E28">
            <v>200</v>
          </cell>
        </row>
        <row r="29">
          <cell r="B29">
            <v>120</v>
          </cell>
          <cell r="E29">
            <v>200</v>
          </cell>
          <cell r="Q29">
            <v>150</v>
          </cell>
        </row>
        <row r="35">
          <cell r="B35">
            <v>30</v>
          </cell>
          <cell r="E35">
            <v>50</v>
          </cell>
          <cell r="Q35">
            <v>20</v>
          </cell>
        </row>
        <row r="36">
          <cell r="B36">
            <v>10</v>
          </cell>
          <cell r="E36">
            <v>15</v>
          </cell>
          <cell r="Q36">
            <v>10</v>
          </cell>
        </row>
        <row r="39">
          <cell r="E39">
            <v>60</v>
          </cell>
        </row>
        <row r="44">
          <cell r="B44">
            <v>234</v>
          </cell>
          <cell r="E44">
            <v>478</v>
          </cell>
          <cell r="H44">
            <v>216</v>
          </cell>
          <cell r="K44">
            <v>595</v>
          </cell>
          <cell r="N44">
            <v>325</v>
          </cell>
          <cell r="Q44">
            <v>81</v>
          </cell>
        </row>
        <row r="53">
          <cell r="B53">
            <v>0</v>
          </cell>
        </row>
        <row r="54">
          <cell r="B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</row>
        <row r="55">
          <cell r="H55">
            <v>0</v>
          </cell>
          <cell r="K55">
            <v>0</v>
          </cell>
          <cell r="N55">
            <v>0</v>
          </cell>
          <cell r="Q55">
            <v>0</v>
          </cell>
          <cell r="R55">
            <v>0</v>
          </cell>
          <cell r="S55">
            <v>0</v>
          </cell>
        </row>
      </sheetData>
      <sheetData sheetId="3">
        <row r="6">
          <cell r="B6">
            <v>200</v>
          </cell>
          <cell r="F6">
            <v>200</v>
          </cell>
          <cell r="J6">
            <v>50</v>
          </cell>
        </row>
        <row r="7">
          <cell r="B7">
            <v>35</v>
          </cell>
          <cell r="F7">
            <v>35</v>
          </cell>
          <cell r="J7">
            <v>10</v>
          </cell>
        </row>
        <row r="8">
          <cell r="B8">
            <v>5</v>
          </cell>
          <cell r="F8">
            <v>5</v>
          </cell>
          <cell r="J8">
            <v>5</v>
          </cell>
        </row>
        <row r="9">
          <cell r="B9">
            <v>5</v>
          </cell>
          <cell r="F9">
            <v>5</v>
          </cell>
          <cell r="J9">
            <v>0</v>
          </cell>
        </row>
        <row r="10">
          <cell r="B10">
            <v>5</v>
          </cell>
          <cell r="F10">
            <v>5</v>
          </cell>
          <cell r="J10">
            <v>0</v>
          </cell>
        </row>
        <row r="11">
          <cell r="B11">
            <v>50</v>
          </cell>
          <cell r="F11">
            <v>50</v>
          </cell>
          <cell r="J11">
            <v>0</v>
          </cell>
        </row>
        <row r="12">
          <cell r="B12">
            <v>50</v>
          </cell>
          <cell r="F12">
            <v>50</v>
          </cell>
          <cell r="J12">
            <v>0</v>
          </cell>
        </row>
        <row r="13">
          <cell r="B13">
            <v>0</v>
          </cell>
          <cell r="F13">
            <v>0</v>
          </cell>
          <cell r="J13">
            <v>0</v>
          </cell>
        </row>
        <row r="14">
          <cell r="B14">
            <v>40</v>
          </cell>
          <cell r="F14">
            <v>40</v>
          </cell>
          <cell r="J14">
            <v>0</v>
          </cell>
        </row>
        <row r="15">
          <cell r="B15">
            <v>40</v>
          </cell>
          <cell r="F15">
            <v>40</v>
          </cell>
          <cell r="J15">
            <v>20</v>
          </cell>
        </row>
        <row r="17">
          <cell r="B17">
            <v>90</v>
          </cell>
          <cell r="J17">
            <v>20</v>
          </cell>
        </row>
        <row r="21">
          <cell r="B21">
            <v>90</v>
          </cell>
          <cell r="F21">
            <v>90</v>
          </cell>
          <cell r="J21">
            <v>20</v>
          </cell>
        </row>
        <row r="22">
          <cell r="B22">
            <v>0</v>
          </cell>
          <cell r="F22">
            <v>0</v>
          </cell>
          <cell r="J22">
            <v>0</v>
          </cell>
        </row>
        <row r="23">
          <cell r="B23">
            <v>0</v>
          </cell>
          <cell r="F23">
            <v>0</v>
          </cell>
          <cell r="J23">
            <v>0</v>
          </cell>
        </row>
        <row r="24">
          <cell r="B24">
            <v>900</v>
          </cell>
          <cell r="F24">
            <v>900</v>
          </cell>
          <cell r="J24">
            <v>358</v>
          </cell>
        </row>
        <row r="25">
          <cell r="B25">
            <v>250</v>
          </cell>
          <cell r="F25">
            <v>250</v>
          </cell>
          <cell r="J25">
            <v>100</v>
          </cell>
        </row>
        <row r="26">
          <cell r="B26">
            <v>100</v>
          </cell>
          <cell r="F26">
            <v>100</v>
          </cell>
        </row>
        <row r="27">
          <cell r="F27">
            <v>70</v>
          </cell>
          <cell r="J27">
            <v>10</v>
          </cell>
        </row>
        <row r="28">
          <cell r="B28">
            <v>200</v>
          </cell>
          <cell r="F28">
            <v>200</v>
          </cell>
          <cell r="J28">
            <v>100</v>
          </cell>
        </row>
        <row r="29">
          <cell r="B29">
            <v>700</v>
          </cell>
          <cell r="F29">
            <v>700</v>
          </cell>
          <cell r="J29">
            <v>240</v>
          </cell>
        </row>
        <row r="30">
          <cell r="B30">
            <v>0</v>
          </cell>
          <cell r="F30">
            <v>0</v>
          </cell>
          <cell r="J30">
            <v>0</v>
          </cell>
        </row>
        <row r="31">
          <cell r="B31">
            <v>0</v>
          </cell>
          <cell r="F31">
            <v>0</v>
          </cell>
          <cell r="J31">
            <v>0</v>
          </cell>
        </row>
        <row r="32">
          <cell r="B32">
            <v>0</v>
          </cell>
          <cell r="F32">
            <v>0</v>
          </cell>
          <cell r="J32">
            <v>0</v>
          </cell>
        </row>
        <row r="35">
          <cell r="B35">
            <v>40</v>
          </cell>
          <cell r="F35">
            <v>40</v>
          </cell>
        </row>
        <row r="36">
          <cell r="B36">
            <v>15</v>
          </cell>
          <cell r="F36">
            <v>15</v>
          </cell>
        </row>
        <row r="37">
          <cell r="F37">
            <v>5</v>
          </cell>
        </row>
        <row r="39">
          <cell r="B39">
            <v>0</v>
          </cell>
        </row>
        <row r="53">
          <cell r="R53">
            <v>0</v>
          </cell>
        </row>
        <row r="54">
          <cell r="R54">
            <v>0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ÁRSULÁS"/>
      <sheetName val="Munka2"/>
      <sheetName val="BEVÉTELEK"/>
      <sheetName val="MÉRLEG"/>
      <sheetName val="MŰKÖDÉSI-FELHALMOZÁSI MEGOSZLÁS"/>
      <sheetName val="PÉNZFORGALMI KIMUTATÁS"/>
      <sheetName val="SZOLGÁLTATÓ IRODA"/>
      <sheetName val="BEVÉTELEK SZOLGÁLTATÓ IRODA"/>
      <sheetName val="BEVÉTELEK SEGÍTŐ SZOLGÁLAT"/>
      <sheetName val="BEVÉTELEK  ÓVODA"/>
      <sheetName val="BEVÉTELEK KOZMA FERENC ÁLT.ISK."/>
      <sheetName val="BEVÉTEL INT.TÁRSULÁSOK"/>
      <sheetName val="SEGÍTŐ SZOLGÁLAT"/>
      <sheetName val="ÓVODA"/>
      <sheetName val="KOZMA FERENC ÁLT. ISK."/>
      <sheetName val="BEFIZETÉSEK"/>
      <sheetName val="PÉNZESZKÖZ-ÁTADÁS"/>
      <sheetName val="SZÁLLÍTÓK"/>
      <sheetName val="BERUHÁZÁSOK"/>
      <sheetName val="LÉTSZÁMADATOK"/>
      <sheetName val="TARTALOM"/>
      <sheetName val="Munka5"/>
      <sheetName val="ELŐIRÁNYZAT FELHASZNÁLÁS"/>
      <sheetName val="PÉNZESZKÖZÁTADÁS"/>
      <sheetName val="KÖZOKTATÁS"/>
      <sheetName val="ÓVODAINORMATÍVA"/>
      <sheetName val="ISKOLANORMATÍVA"/>
      <sheetName val="SZAKFELADATOS"/>
      <sheetName val="SZOCIÁLIS"/>
      <sheetName val="EGYÉ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1">
          <cell r="J141">
            <v>17</v>
          </cell>
        </row>
        <row r="142">
          <cell r="J142">
            <v>210</v>
          </cell>
        </row>
        <row r="143">
          <cell r="J143">
            <v>70</v>
          </cell>
        </row>
        <row r="144">
          <cell r="J144">
            <v>291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SZ-130"/>
      <sheetName val="SSZ-230"/>
      <sheetName val="SSZ-330"/>
      <sheetName val="SSZ-430"/>
      <sheetName val="SSZ-530"/>
      <sheetName val="SSZ-630"/>
      <sheetName val="SSZ-730"/>
      <sheetName val="SSZ.összesen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B17">
            <v>3535</v>
          </cell>
        </row>
        <row r="18">
          <cell r="B18">
            <v>240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3775</v>
          </cell>
        </row>
        <row r="22">
          <cell r="B22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G122"/>
  <sheetViews>
    <sheetView tabSelected="1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6" sqref="E86"/>
    </sheetView>
  </sheetViews>
  <sheetFormatPr defaultColWidth="8.85546875" defaultRowHeight="12.75"/>
  <cols>
    <col min="1" max="1" width="52" style="1031" customWidth="1"/>
    <col min="2" max="4" width="8.7109375" style="1031" customWidth="1"/>
    <col min="5" max="6" width="8.7109375" style="2188" customWidth="1"/>
    <col min="7" max="7" width="8.7109375" style="2189" customWidth="1"/>
    <col min="8" max="9" width="8.7109375" style="1054" customWidth="1"/>
    <col min="10" max="12" width="8.7109375" style="1031" customWidth="1"/>
    <col min="13" max="15" width="8.7109375" style="1055" customWidth="1"/>
    <col min="16" max="16" width="9.7109375" style="393" customWidth="1"/>
    <col min="17" max="18" width="8.7109375" style="393" customWidth="1"/>
    <col min="19" max="19" width="8.7109375" style="1031" customWidth="1"/>
    <col min="20" max="21" width="8.85546875" style="1" customWidth="1"/>
    <col min="22" max="22" width="10.85546875" style="2" bestFit="1" customWidth="1"/>
    <col min="23" max="16384" width="8.85546875" style="1"/>
  </cols>
  <sheetData>
    <row r="1" spans="1:22" ht="13.15" customHeight="1">
      <c r="A1" s="1"/>
      <c r="B1" s="2290" t="s">
        <v>0</v>
      </c>
      <c r="C1" s="2291"/>
      <c r="D1" s="2292"/>
      <c r="E1" s="2299" t="s">
        <v>1</v>
      </c>
      <c r="F1" s="2300"/>
      <c r="G1" s="2301"/>
      <c r="H1" s="2282" t="s">
        <v>2</v>
      </c>
      <c r="I1" s="2283"/>
      <c r="J1" s="2284"/>
      <c r="K1" s="2277" t="s">
        <v>3</v>
      </c>
      <c r="L1" s="2278"/>
      <c r="M1" s="2279"/>
      <c r="N1" s="2286" t="s">
        <v>4</v>
      </c>
      <c r="O1" s="2278"/>
      <c r="P1" s="2279"/>
      <c r="Q1" s="2271" t="s">
        <v>10</v>
      </c>
      <c r="R1" s="2272"/>
      <c r="S1" s="2273"/>
    </row>
    <row r="2" spans="1:22" s="3" customFormat="1" ht="27" customHeight="1">
      <c r="A2" s="1988"/>
      <c r="B2" s="2293" t="s">
        <v>5</v>
      </c>
      <c r="C2" s="2294"/>
      <c r="D2" s="2295"/>
      <c r="E2" s="2296" t="s">
        <v>6</v>
      </c>
      <c r="F2" s="2297"/>
      <c r="G2" s="2298"/>
      <c r="H2" s="2285" t="s">
        <v>7</v>
      </c>
      <c r="I2" s="2275"/>
      <c r="J2" s="2281"/>
      <c r="K2" s="2280" t="s">
        <v>8</v>
      </c>
      <c r="L2" s="2275"/>
      <c r="M2" s="2281"/>
      <c r="N2" s="2287" t="s">
        <v>9</v>
      </c>
      <c r="O2" s="2288"/>
      <c r="P2" s="2289"/>
      <c r="Q2" s="1991"/>
      <c r="R2" s="1643"/>
      <c r="S2" s="1772"/>
      <c r="V2" s="4"/>
    </row>
    <row r="3" spans="1:22" s="1773" customFormat="1" ht="13.15" customHeight="1">
      <c r="A3" s="1988"/>
      <c r="B3" s="2125" t="s">
        <v>244</v>
      </c>
      <c r="C3" s="2274" t="s">
        <v>690</v>
      </c>
      <c r="D3" s="2115" t="s">
        <v>689</v>
      </c>
      <c r="E3" s="2143" t="s">
        <v>244</v>
      </c>
      <c r="F3" s="2302" t="s">
        <v>690</v>
      </c>
      <c r="G3" s="2144" t="s">
        <v>689</v>
      </c>
      <c r="H3" s="2007" t="s">
        <v>244</v>
      </c>
      <c r="I3" s="2274" t="s">
        <v>690</v>
      </c>
      <c r="J3" s="2008" t="s">
        <v>689</v>
      </c>
      <c r="K3" s="2007" t="s">
        <v>244</v>
      </c>
      <c r="L3" s="2274" t="s">
        <v>690</v>
      </c>
      <c r="M3" s="2008" t="s">
        <v>689</v>
      </c>
      <c r="N3" s="2007" t="s">
        <v>244</v>
      </c>
      <c r="O3" s="2274" t="s">
        <v>690</v>
      </c>
      <c r="P3" s="2008" t="s">
        <v>689</v>
      </c>
      <c r="Q3" s="1590" t="s">
        <v>244</v>
      </c>
      <c r="R3" s="2274" t="s">
        <v>690</v>
      </c>
      <c r="S3" s="1771" t="s">
        <v>689</v>
      </c>
      <c r="V3" s="1774"/>
    </row>
    <row r="4" spans="1:22" s="5" customFormat="1" ht="13.15" customHeight="1" thickBot="1">
      <c r="A4" s="1989"/>
      <c r="B4" s="2126" t="s">
        <v>128</v>
      </c>
      <c r="C4" s="2275"/>
      <c r="D4" s="2115" t="s">
        <v>128</v>
      </c>
      <c r="E4" s="2145" t="s">
        <v>128</v>
      </c>
      <c r="F4" s="2303"/>
      <c r="G4" s="2144" t="s">
        <v>128</v>
      </c>
      <c r="H4" s="2007" t="s">
        <v>128</v>
      </c>
      <c r="I4" s="2275"/>
      <c r="J4" s="2008" t="s">
        <v>128</v>
      </c>
      <c r="K4" s="2007" t="s">
        <v>128</v>
      </c>
      <c r="L4" s="2275"/>
      <c r="M4" s="2008" t="s">
        <v>128</v>
      </c>
      <c r="N4" s="2009" t="s">
        <v>128</v>
      </c>
      <c r="O4" s="2276"/>
      <c r="P4" s="2010" t="s">
        <v>128</v>
      </c>
      <c r="Q4" s="1590" t="s">
        <v>128</v>
      </c>
      <c r="R4" s="2275"/>
      <c r="S4" s="1771" t="s">
        <v>128</v>
      </c>
      <c r="V4" s="6"/>
    </row>
    <row r="5" spans="1:22" ht="15.75" customHeight="1">
      <c r="A5" s="1647" t="s">
        <v>11</v>
      </c>
      <c r="B5" s="2057"/>
      <c r="C5" s="1777"/>
      <c r="D5" s="2058"/>
      <c r="E5" s="2146"/>
      <c r="F5" s="2147"/>
      <c r="G5" s="2148"/>
      <c r="H5" s="2057"/>
      <c r="I5" s="1777"/>
      <c r="J5" s="2058"/>
      <c r="K5" s="2057"/>
      <c r="L5" s="1777"/>
      <c r="M5" s="2058"/>
      <c r="N5" s="2007"/>
      <c r="O5" s="1775"/>
      <c r="P5" s="2008"/>
      <c r="Q5" s="1992"/>
      <c r="R5" s="1777"/>
      <c r="S5" s="1778"/>
    </row>
    <row r="6" spans="1:22" ht="15.75" customHeight="1">
      <c r="A6" s="1071" t="s">
        <v>12</v>
      </c>
      <c r="B6" s="2065">
        <f>+'SZOLGÁLTATÓ IRODA'!B5</f>
        <v>21855</v>
      </c>
      <c r="C6" s="407">
        <f>+'SZOLGÁLTATÓ IRODA'!C5</f>
        <v>0</v>
      </c>
      <c r="D6" s="2108">
        <f>+'SZOLGÁLTATÓ IRODA'!D5</f>
        <v>21855</v>
      </c>
      <c r="E6" s="2149">
        <f>+'SEGÍTŐ SZOLGÁLAT'!AK7</f>
        <v>57271</v>
      </c>
      <c r="F6" s="2150">
        <f>+'SEGÍTŐ SZOLGÁLAT'!AL7</f>
        <v>0</v>
      </c>
      <c r="G6" s="2151">
        <f>+'SEGÍTŐ SZOLGÁLAT'!AM7</f>
        <v>57271</v>
      </c>
      <c r="H6" s="1863">
        <f>+ÓVODA!AF7</f>
        <v>135670.60999999999</v>
      </c>
      <c r="I6" s="1776">
        <f>+ÓVODA!AG7</f>
        <v>0</v>
      </c>
      <c r="J6" s="2012">
        <f>+ÓVODA!AH7</f>
        <v>135670.60999999999</v>
      </c>
      <c r="K6" s="1863">
        <f>+'KOZMA FERENC ÁLT. ISK.'!V8</f>
        <v>49586.2</v>
      </c>
      <c r="L6" s="1776">
        <f>+'KOZMA FERENC ÁLT. ISK.'!W8</f>
        <v>0</v>
      </c>
      <c r="M6" s="2012">
        <f>+'KOZMA FERENC ÁLT. ISK.'!X8</f>
        <v>49586</v>
      </c>
      <c r="N6" s="2011">
        <v>31448</v>
      </c>
      <c r="O6" s="1781"/>
      <c r="P6" s="2012">
        <v>31448</v>
      </c>
      <c r="Q6" s="1993">
        <f>+B6+E6+H6+K6+N6</f>
        <v>295830.81</v>
      </c>
      <c r="R6" s="1776">
        <f>+C6+F6+I6+L6+O6</f>
        <v>0</v>
      </c>
      <c r="S6" s="1641">
        <f>SUM(Q6:R6)</f>
        <v>295830.81</v>
      </c>
    </row>
    <row r="7" spans="1:22">
      <c r="A7" s="1071" t="s">
        <v>13</v>
      </c>
      <c r="B7" s="2065"/>
      <c r="C7" s="407"/>
      <c r="D7" s="2012"/>
      <c r="E7" s="2149">
        <f>+'SEGÍTŐ SZOLGÁLAT'!AK8</f>
        <v>0</v>
      </c>
      <c r="F7" s="2150">
        <f>+'SEGÍTŐ SZOLGÁLAT'!AL8</f>
        <v>0</v>
      </c>
      <c r="G7" s="2151">
        <f>+'SEGÍTŐ SZOLGÁLAT'!AM8</f>
        <v>0</v>
      </c>
      <c r="H7" s="1863">
        <f>+ÓVODA!AF8</f>
        <v>2448</v>
      </c>
      <c r="I7" s="1776">
        <f>+ÓVODA!AG8</f>
        <v>0</v>
      </c>
      <c r="J7" s="2012">
        <f>+ÓVODA!AH8</f>
        <v>2448</v>
      </c>
      <c r="K7" s="1863"/>
      <c r="L7" s="1776"/>
      <c r="M7" s="2012"/>
      <c r="N7" s="2013"/>
      <c r="O7" s="1033"/>
      <c r="P7" s="2014"/>
      <c r="Q7" s="1993">
        <f t="shared" ref="Q7:Q70" si="0">+B7+E7+H7+K7+N7</f>
        <v>2448</v>
      </c>
      <c r="R7" s="1776">
        <f t="shared" ref="R7:R70" si="1">+C7+F7+I7+L7+O7</f>
        <v>0</v>
      </c>
      <c r="S7" s="1641">
        <f t="shared" ref="S7:S70" si="2">SUM(Q7:R7)</f>
        <v>2448</v>
      </c>
    </row>
    <row r="8" spans="1:22">
      <c r="A8" s="9" t="s">
        <v>14</v>
      </c>
      <c r="B8" s="2065"/>
      <c r="C8" s="407"/>
      <c r="D8" s="2012"/>
      <c r="E8" s="2149">
        <f>+'SEGÍTŐ SZOLGÁLAT'!AK9</f>
        <v>2536</v>
      </c>
      <c r="F8" s="2150">
        <f>+'SEGÍTŐ SZOLGÁLAT'!AL9</f>
        <v>565</v>
      </c>
      <c r="G8" s="2151">
        <f>+'SEGÍTŐ SZOLGÁLAT'!AM9</f>
        <v>3101</v>
      </c>
      <c r="H8" s="1863">
        <f>+ÓVODA!AF9</f>
        <v>3118.5</v>
      </c>
      <c r="I8" s="1776">
        <f>+ÓVODA!AG9</f>
        <v>0</v>
      </c>
      <c r="J8" s="2012">
        <f>+ÓVODA!AH9</f>
        <v>3118.5</v>
      </c>
      <c r="K8" s="1863"/>
      <c r="L8" s="1776"/>
      <c r="M8" s="2012"/>
      <c r="N8" s="2013"/>
      <c r="O8" s="1033"/>
      <c r="P8" s="2015"/>
      <c r="Q8" s="1993">
        <f t="shared" si="0"/>
        <v>5654.5</v>
      </c>
      <c r="R8" s="1776">
        <f t="shared" si="1"/>
        <v>565</v>
      </c>
      <c r="S8" s="1641">
        <f t="shared" si="2"/>
        <v>6219.5</v>
      </c>
    </row>
    <row r="9" spans="1:22">
      <c r="A9" s="9" t="s">
        <v>15</v>
      </c>
      <c r="B9" s="2065"/>
      <c r="C9" s="407"/>
      <c r="D9" s="2012"/>
      <c r="E9" s="2149"/>
      <c r="F9" s="2150"/>
      <c r="G9" s="2151"/>
      <c r="H9" s="1863"/>
      <c r="I9" s="1776"/>
      <c r="J9" s="2012"/>
      <c r="K9" s="1863"/>
      <c r="L9" s="1776"/>
      <c r="M9" s="2012"/>
      <c r="N9" s="2013"/>
      <c r="O9" s="1033"/>
      <c r="P9" s="2015"/>
      <c r="Q9" s="1993">
        <f t="shared" si="0"/>
        <v>0</v>
      </c>
      <c r="R9" s="1776">
        <f t="shared" si="1"/>
        <v>0</v>
      </c>
      <c r="S9" s="1641">
        <f t="shared" si="2"/>
        <v>0</v>
      </c>
    </row>
    <row r="10" spans="1:22" ht="12" customHeight="1">
      <c r="A10" s="9" t="s">
        <v>16</v>
      </c>
      <c r="B10" s="2065"/>
      <c r="C10" s="407"/>
      <c r="D10" s="2012"/>
      <c r="E10" s="2149"/>
      <c r="F10" s="2150"/>
      <c r="G10" s="2151"/>
      <c r="H10" s="1863"/>
      <c r="I10" s="1776"/>
      <c r="J10" s="2012"/>
      <c r="K10" s="1863"/>
      <c r="L10" s="1776"/>
      <c r="M10" s="2012"/>
      <c r="N10" s="2013"/>
      <c r="O10" s="1033"/>
      <c r="P10" s="2015"/>
      <c r="Q10" s="1993">
        <f t="shared" si="0"/>
        <v>0</v>
      </c>
      <c r="R10" s="1776">
        <f t="shared" si="1"/>
        <v>0</v>
      </c>
      <c r="S10" s="1641">
        <f t="shared" si="2"/>
        <v>0</v>
      </c>
    </row>
    <row r="11" spans="1:22" ht="12" customHeight="1">
      <c r="A11" s="9" t="s">
        <v>17</v>
      </c>
      <c r="B11" s="2065">
        <f>+'SZOLGÁLTATÓ IRODA'!B10</f>
        <v>1000</v>
      </c>
      <c r="C11" s="407">
        <f>+'SZOLGÁLTATÓ IRODA'!C10</f>
        <v>1000</v>
      </c>
      <c r="D11" s="2108">
        <f>+'SZOLGÁLTATÓ IRODA'!D10</f>
        <v>2000</v>
      </c>
      <c r="E11" s="2149">
        <f>+'SEGÍTŐ SZOLGÁLAT'!AK12</f>
        <v>16460</v>
      </c>
      <c r="F11" s="2150">
        <f>+'SEGÍTŐ SZOLGÁLAT'!AL12</f>
        <v>180</v>
      </c>
      <c r="G11" s="2151">
        <f>+'SEGÍTŐ SZOLGÁLAT'!AM12</f>
        <v>16640</v>
      </c>
      <c r="H11" s="1863">
        <f>+ÓVODA!AF12</f>
        <v>120</v>
      </c>
      <c r="I11" s="1776">
        <f>+ÓVODA!AG12</f>
        <v>0</v>
      </c>
      <c r="J11" s="2012">
        <f>+ÓVODA!AH12</f>
        <v>120</v>
      </c>
      <c r="K11" s="1863"/>
      <c r="L11" s="1776"/>
      <c r="M11" s="2012"/>
      <c r="N11" s="2013"/>
      <c r="O11" s="1033">
        <v>226</v>
      </c>
      <c r="P11" s="2015">
        <f>+[3]Társulás!$Z$12</f>
        <v>226</v>
      </c>
      <c r="Q11" s="1993">
        <f t="shared" si="0"/>
        <v>17580</v>
      </c>
      <c r="R11" s="1776">
        <f t="shared" si="1"/>
        <v>1406</v>
      </c>
      <c r="S11" s="1641">
        <f t="shared" si="2"/>
        <v>18986</v>
      </c>
    </row>
    <row r="12" spans="1:22" ht="12" customHeight="1">
      <c r="A12" s="9" t="s">
        <v>18</v>
      </c>
      <c r="B12" s="2065"/>
      <c r="C12" s="407"/>
      <c r="D12" s="2012"/>
      <c r="E12" s="2149">
        <f>+'SEGÍTŐ SZOLGÁLAT'!AK13</f>
        <v>0</v>
      </c>
      <c r="F12" s="2150">
        <f>+'SEGÍTŐ SZOLGÁLAT'!AL13</f>
        <v>0</v>
      </c>
      <c r="G12" s="2151">
        <f>+'SEGÍTŐ SZOLGÁLAT'!AM13</f>
        <v>0</v>
      </c>
      <c r="H12" s="1863">
        <f>+ÓVODA!AF13</f>
        <v>0</v>
      </c>
      <c r="I12" s="1776">
        <f>+ÓVODA!AG13</f>
        <v>0</v>
      </c>
      <c r="J12" s="2012">
        <f>+ÓVODA!AH13</f>
        <v>0</v>
      </c>
      <c r="K12" s="1863"/>
      <c r="L12" s="1776"/>
      <c r="M12" s="2012"/>
      <c r="N12" s="2013">
        <v>27960</v>
      </c>
      <c r="O12" s="1033"/>
      <c r="P12" s="2015">
        <v>27960</v>
      </c>
      <c r="Q12" s="1993">
        <f t="shared" si="0"/>
        <v>27960</v>
      </c>
      <c r="R12" s="1776">
        <f t="shared" si="1"/>
        <v>0</v>
      </c>
      <c r="S12" s="1641">
        <f t="shared" si="2"/>
        <v>27960</v>
      </c>
    </row>
    <row r="13" spans="1:22" ht="12" customHeight="1">
      <c r="A13" s="1648" t="s">
        <v>19</v>
      </c>
      <c r="B13" s="2065"/>
      <c r="C13" s="407"/>
      <c r="D13" s="2012"/>
      <c r="E13" s="2149">
        <f>+'SEGÍTŐ SZOLGÁLAT'!AK14</f>
        <v>0</v>
      </c>
      <c r="F13" s="2150">
        <f>+'SEGÍTŐ SZOLGÁLAT'!AL14</f>
        <v>0</v>
      </c>
      <c r="G13" s="2151">
        <f>+'SEGÍTŐ SZOLGÁLAT'!AM14</f>
        <v>0</v>
      </c>
      <c r="H13" s="1863"/>
      <c r="I13" s="1776"/>
      <c r="J13" s="2012"/>
      <c r="K13" s="1863"/>
      <c r="L13" s="1776"/>
      <c r="M13" s="2012"/>
      <c r="N13" s="2013"/>
      <c r="O13" s="1033"/>
      <c r="P13" s="2016"/>
      <c r="Q13" s="1993">
        <f t="shared" si="0"/>
        <v>0</v>
      </c>
      <c r="R13" s="1776">
        <f t="shared" si="1"/>
        <v>0</v>
      </c>
      <c r="S13" s="1641">
        <f t="shared" si="2"/>
        <v>0</v>
      </c>
      <c r="T13" s="2"/>
      <c r="U13" s="2">
        <f>17182-S14</f>
        <v>0</v>
      </c>
    </row>
    <row r="14" spans="1:22">
      <c r="A14" s="9" t="s">
        <v>693</v>
      </c>
      <c r="B14" s="2065">
        <f>+'SZOLGÁLTATÓ IRODA'!B17</f>
        <v>0</v>
      </c>
      <c r="C14" s="407">
        <f>+'SZOLGÁLTATÓ IRODA'!C17</f>
        <v>568</v>
      </c>
      <c r="D14" s="2108">
        <f>+'SZOLGÁLTATÓ IRODA'!D17</f>
        <v>568</v>
      </c>
      <c r="E14" s="2149">
        <f>+'SEGÍTŐ SZOLGÁLAT'!AK15</f>
        <v>0</v>
      </c>
      <c r="F14" s="2150">
        <f>+'SEGÍTŐ SZOLGÁLAT'!AL15</f>
        <v>6006</v>
      </c>
      <c r="G14" s="2151">
        <f>+'SEGÍTŐ SZOLGÁLAT'!AM15</f>
        <v>6006</v>
      </c>
      <c r="H14" s="1863">
        <f>+ÓVODA!AF23</f>
        <v>0</v>
      </c>
      <c r="I14" s="1776">
        <f>+ÓVODA!AG23</f>
        <v>2081</v>
      </c>
      <c r="J14" s="2012">
        <f>+ÓVODA!AH23</f>
        <v>2081</v>
      </c>
      <c r="K14" s="1863">
        <f>+'KOZMA FERENC ÁLT. ISK.'!V20</f>
        <v>0</v>
      </c>
      <c r="L14" s="1776">
        <f>+'KOZMA FERENC ÁLT. ISK.'!W20</f>
        <v>1984</v>
      </c>
      <c r="M14" s="2012">
        <f>+'KOZMA FERENC ÁLT. ISK.'!X20</f>
        <v>1984</v>
      </c>
      <c r="N14" s="2013"/>
      <c r="O14" s="1033">
        <v>6543</v>
      </c>
      <c r="P14" s="2015">
        <f>+[3]Társulás!$AC$6</f>
        <v>6543</v>
      </c>
      <c r="Q14" s="1993">
        <f t="shared" si="0"/>
        <v>0</v>
      </c>
      <c r="R14" s="1776">
        <f t="shared" si="1"/>
        <v>17182</v>
      </c>
      <c r="S14" s="1641">
        <f t="shared" si="2"/>
        <v>17182</v>
      </c>
      <c r="T14" s="2"/>
      <c r="U14" s="2"/>
    </row>
    <row r="15" spans="1:22">
      <c r="A15" s="9" t="s">
        <v>21</v>
      </c>
      <c r="B15" s="2065"/>
      <c r="C15" s="407"/>
      <c r="D15" s="2012"/>
      <c r="E15" s="2149">
        <f>+'SEGÍTŐ SZOLGÁLAT'!AK16</f>
        <v>12616</v>
      </c>
      <c r="F15" s="2150">
        <f>+'SEGÍTŐ SZOLGÁLAT'!AL16</f>
        <v>452</v>
      </c>
      <c r="G15" s="2151">
        <f>+'SEGÍTŐ SZOLGÁLAT'!AM16</f>
        <v>13068</v>
      </c>
      <c r="H15" s="1863">
        <f>+ÓVODA!AF16</f>
        <v>16088</v>
      </c>
      <c r="I15" s="1776">
        <f>+ÓVODA!AG16</f>
        <v>1649</v>
      </c>
      <c r="J15" s="2012">
        <f>+ÓVODA!AH16</f>
        <v>17737</v>
      </c>
      <c r="K15" s="1863">
        <f>+'KOZMA FERENC ÁLT. ISK.'!V17</f>
        <v>26764</v>
      </c>
      <c r="L15" s="1776">
        <f>+'KOZMA FERENC ÁLT. ISK.'!W17</f>
        <v>0</v>
      </c>
      <c r="M15" s="2012">
        <f>+'KOZMA FERENC ÁLT. ISK.'!X17</f>
        <v>26764</v>
      </c>
      <c r="N15" s="2013">
        <v>23452</v>
      </c>
      <c r="O15" s="1033">
        <f>+-4554+9542</f>
        <v>4988</v>
      </c>
      <c r="P15" s="2015">
        <f>+[3]Társulás!$Y$13+23452+[3]Társulás!$Y$10</f>
        <v>28440</v>
      </c>
      <c r="Q15" s="1993">
        <f t="shared" si="0"/>
        <v>78920</v>
      </c>
      <c r="R15" s="1776">
        <f t="shared" si="1"/>
        <v>7089</v>
      </c>
      <c r="S15" s="1641">
        <f t="shared" si="2"/>
        <v>86009</v>
      </c>
      <c r="U15" s="2"/>
    </row>
    <row r="16" spans="1:22" ht="12.75" customHeight="1">
      <c r="A16" s="9" t="s">
        <v>22</v>
      </c>
      <c r="B16" s="2065"/>
      <c r="C16" s="407"/>
      <c r="D16" s="2012"/>
      <c r="E16" s="2149">
        <f>+'SEGÍTŐ SZOLGÁLAT'!AK23</f>
        <v>0</v>
      </c>
      <c r="F16" s="2150">
        <f>+'SEGÍTŐ SZOLGÁLAT'!AL23</f>
        <v>26575</v>
      </c>
      <c r="G16" s="2151">
        <f>+'SEGÍTŐ SZOLGÁLAT'!AM23</f>
        <v>26575</v>
      </c>
      <c r="H16" s="1863"/>
      <c r="I16" s="1781"/>
      <c r="J16" s="2066"/>
      <c r="K16" s="1863"/>
      <c r="L16" s="1776"/>
      <c r="M16" s="2012"/>
      <c r="N16" s="1861"/>
      <c r="O16" s="1769">
        <f>+[3]Társulás!$Z$11</f>
        <v>575</v>
      </c>
      <c r="P16" s="2015">
        <f>SUM(N16:O16)</f>
        <v>575</v>
      </c>
      <c r="Q16" s="1993">
        <f t="shared" si="0"/>
        <v>0</v>
      </c>
      <c r="R16" s="1776">
        <f t="shared" si="1"/>
        <v>27150</v>
      </c>
      <c r="S16" s="1641">
        <f t="shared" si="2"/>
        <v>27150</v>
      </c>
      <c r="V16" s="1"/>
    </row>
    <row r="17" spans="1:22" ht="14.45" customHeight="1">
      <c r="A17" s="222" t="s">
        <v>23</v>
      </c>
      <c r="B17" s="2065"/>
      <c r="C17" s="407"/>
      <c r="D17" s="2012"/>
      <c r="E17" s="2149">
        <f>+'SEGÍTŐ SZOLGÁLAT'!AK24</f>
        <v>0</v>
      </c>
      <c r="F17" s="2150">
        <f>+'SEGÍTŐ SZOLGÁLAT'!AL24</f>
        <v>135562</v>
      </c>
      <c r="G17" s="2151">
        <f>+'SEGÍTŐ SZOLGÁLAT'!AM24</f>
        <v>135562</v>
      </c>
      <c r="H17" s="1863">
        <f>+ÓVODA!AF22</f>
        <v>0</v>
      </c>
      <c r="I17" s="1776">
        <f>+ÓVODA!AG22</f>
        <v>300</v>
      </c>
      <c r="J17" s="2012">
        <f>+ÓVODA!AH22</f>
        <v>300</v>
      </c>
      <c r="K17" s="1863">
        <f>+'KOZMA FERENC ÁLT. ISK.'!V19</f>
        <v>0</v>
      </c>
      <c r="L17" s="1776">
        <f>+'KOZMA FERENC ÁLT. ISK.'!W19</f>
        <v>9651</v>
      </c>
      <c r="M17" s="2012">
        <f>+'KOZMA FERENC ÁLT. ISK.'!X19</f>
        <v>9651</v>
      </c>
      <c r="N17" s="1861"/>
      <c r="O17" s="1769"/>
      <c r="P17" s="2015"/>
      <c r="Q17" s="1993">
        <f t="shared" si="0"/>
        <v>0</v>
      </c>
      <c r="R17" s="1776">
        <f t="shared" si="1"/>
        <v>145513</v>
      </c>
      <c r="S17" s="1641">
        <f t="shared" si="2"/>
        <v>145513</v>
      </c>
      <c r="V17" s="1"/>
    </row>
    <row r="18" spans="1:22" s="13" customFormat="1" ht="15" customHeight="1" thickBot="1">
      <c r="A18" s="1649" t="s">
        <v>655</v>
      </c>
      <c r="B18" s="2087"/>
      <c r="C18" s="1779"/>
      <c r="D18" s="2127"/>
      <c r="E18" s="2152">
        <f>+BEVÉTELEK!F84</f>
        <v>-588</v>
      </c>
      <c r="F18" s="2153">
        <f>+BEVÉTELEK!G84</f>
        <v>30</v>
      </c>
      <c r="G18" s="2153">
        <f>+BEVÉTELEK!H84</f>
        <v>-558</v>
      </c>
      <c r="H18" s="2059">
        <f>+BEVÉTELEK!F72+BEVÉTELEK!F73+BEVÉTELEK!F74</f>
        <v>-6313</v>
      </c>
      <c r="I18" s="1780">
        <f>+BEVÉTELEK!G72+BEVÉTELEK!G73+BEVÉTELEK!G74</f>
        <v>0</v>
      </c>
      <c r="J18" s="2060">
        <f>+BEVÉTELEK!H72+BEVÉTELEK!H73+BEVÉTELEK!H74</f>
        <v>-6313</v>
      </c>
      <c r="K18" s="2059"/>
      <c r="L18" s="1780"/>
      <c r="M18" s="2060"/>
      <c r="N18" s="2017">
        <f>+BEVÉTELEK!F66+BEVÉTELEK!F94</f>
        <v>-722</v>
      </c>
      <c r="O18" s="1782">
        <f>+BEVÉTELEK!G66+BEVÉTELEK!G94</f>
        <v>-30</v>
      </c>
      <c r="P18" s="2018">
        <f>+BEVÉTELEK!H66+BEVÉTELEK!H94</f>
        <v>-752</v>
      </c>
      <c r="Q18" s="1994">
        <f t="shared" si="0"/>
        <v>-7623</v>
      </c>
      <c r="R18" s="1780">
        <f t="shared" si="1"/>
        <v>0</v>
      </c>
      <c r="S18" s="1654">
        <f t="shared" si="2"/>
        <v>-7623</v>
      </c>
    </row>
    <row r="19" spans="1:22" s="21" customFormat="1" ht="18" customHeight="1" thickBot="1">
      <c r="A19" s="1388" t="s">
        <v>25</v>
      </c>
      <c r="B19" s="2128">
        <f t="shared" ref="B19:P19" si="3">SUM(B6:B18)</f>
        <v>22855</v>
      </c>
      <c r="C19" s="1805">
        <f t="shared" si="3"/>
        <v>1568</v>
      </c>
      <c r="D19" s="2129">
        <f t="shared" si="3"/>
        <v>24423</v>
      </c>
      <c r="E19" s="2154">
        <f>SUM(E6:E18)</f>
        <v>88295</v>
      </c>
      <c r="F19" s="2155">
        <f>SUM(F6:F18)</f>
        <v>169370</v>
      </c>
      <c r="G19" s="2156">
        <f t="shared" si="3"/>
        <v>257665</v>
      </c>
      <c r="H19" s="2019">
        <f>SUM(H6:H18)</f>
        <v>151132.10999999999</v>
      </c>
      <c r="I19" s="1072">
        <f t="shared" si="3"/>
        <v>4030</v>
      </c>
      <c r="J19" s="2090">
        <f t="shared" si="3"/>
        <v>155162.10999999999</v>
      </c>
      <c r="K19" s="2061">
        <f t="shared" si="3"/>
        <v>76350.2</v>
      </c>
      <c r="L19" s="1785">
        <f t="shared" si="3"/>
        <v>11635</v>
      </c>
      <c r="M19" s="2062">
        <f t="shared" si="3"/>
        <v>87985</v>
      </c>
      <c r="N19" s="2019">
        <f t="shared" si="3"/>
        <v>82138</v>
      </c>
      <c r="O19" s="1766">
        <f t="shared" si="3"/>
        <v>12302</v>
      </c>
      <c r="P19" s="2020">
        <f t="shared" si="3"/>
        <v>94440</v>
      </c>
      <c r="Q19" s="1995">
        <f t="shared" si="0"/>
        <v>420770.31</v>
      </c>
      <c r="R19" s="1785">
        <f t="shared" si="1"/>
        <v>198905</v>
      </c>
      <c r="S19" s="1806">
        <f t="shared" si="2"/>
        <v>619675.31000000006</v>
      </c>
    </row>
    <row r="20" spans="1:22" ht="13.9" customHeight="1">
      <c r="A20" s="23" t="s">
        <v>26</v>
      </c>
      <c r="B20" s="2079">
        <f>+'SZOLGÁLTATÓ IRODA'!B19</f>
        <v>0</v>
      </c>
      <c r="C20" s="1069">
        <f>+'SZOLGÁLTATÓ IRODA'!C19</f>
        <v>0</v>
      </c>
      <c r="D20" s="2091"/>
      <c r="E20" s="2157"/>
      <c r="F20" s="2158"/>
      <c r="G20" s="2159"/>
      <c r="H20" s="2079"/>
      <c r="I20" s="1069"/>
      <c r="J20" s="2091"/>
      <c r="K20" s="2063"/>
      <c r="L20" s="1070"/>
      <c r="M20" s="2064"/>
      <c r="N20" s="2021"/>
      <c r="O20" s="194"/>
      <c r="P20" s="2022"/>
      <c r="Q20" s="1996">
        <f t="shared" si="0"/>
        <v>0</v>
      </c>
      <c r="R20" s="1068">
        <f t="shared" si="1"/>
        <v>0</v>
      </c>
      <c r="S20" s="1788">
        <f t="shared" si="2"/>
        <v>0</v>
      </c>
      <c r="T20" s="2"/>
      <c r="V20" s="1"/>
    </row>
    <row r="21" spans="1:22" ht="13.9" customHeight="1">
      <c r="A21" s="222" t="s">
        <v>27</v>
      </c>
      <c r="B21" s="2065">
        <f>+'SZOLGÁLTATÓ IRODA'!B20</f>
        <v>8032</v>
      </c>
      <c r="C21" s="407">
        <f>+'SZOLGÁLTATÓ IRODA'!C20</f>
        <v>-3825</v>
      </c>
      <c r="D21" s="2108">
        <f>+'SZOLGÁLTATÓ IRODA'!D20</f>
        <v>4207</v>
      </c>
      <c r="E21" s="2160">
        <f>+'SEGÍTŐ SZOLGÁLAT'!AK28</f>
        <v>48732</v>
      </c>
      <c r="F21" s="2161">
        <f>+'SEGÍTŐ SZOLGÁLAT'!AL28</f>
        <v>279</v>
      </c>
      <c r="G21" s="2162">
        <f>+'SEGÍTŐ SZOLGÁLAT'!AM28</f>
        <v>49011</v>
      </c>
      <c r="H21" s="2092">
        <f>+ÓVODA!AF26</f>
        <v>86753</v>
      </c>
      <c r="I21" s="1032">
        <f>+ÓVODA!AG26</f>
        <v>1214</v>
      </c>
      <c r="J21" s="2093">
        <f>+ÓVODA!AH26</f>
        <v>87967</v>
      </c>
      <c r="K21" s="2065">
        <f>+'KOZMA FERENC ÁLT. ISK.'!V23</f>
        <v>40327</v>
      </c>
      <c r="L21" s="407">
        <f>+'KOZMA FERENC ÁLT. ISK.'!W23</f>
        <v>0</v>
      </c>
      <c r="M21" s="2066">
        <f>+'KOZMA FERENC ÁLT. ISK.'!X23</f>
        <v>40327</v>
      </c>
      <c r="N21" s="2013"/>
      <c r="O21" s="1033"/>
      <c r="P21" s="2022"/>
      <c r="Q21" s="1993">
        <f t="shared" si="0"/>
        <v>183844</v>
      </c>
      <c r="R21" s="1776">
        <f t="shared" si="1"/>
        <v>-2332</v>
      </c>
      <c r="S21" s="1641">
        <f t="shared" si="2"/>
        <v>181512</v>
      </c>
    </row>
    <row r="22" spans="1:22" ht="13.9" customHeight="1">
      <c r="A22" s="222" t="s">
        <v>28</v>
      </c>
      <c r="B22" s="2065">
        <f>+'SZOLGÁLTATÓ IRODA'!B21</f>
        <v>1020</v>
      </c>
      <c r="C22" s="407">
        <f>+'SZOLGÁLTATÓ IRODA'!C21</f>
        <v>-525</v>
      </c>
      <c r="D22" s="2108">
        <f>+'SZOLGÁLTATÓ IRODA'!D21</f>
        <v>495</v>
      </c>
      <c r="E22" s="2160">
        <f>+'SEGÍTŐ SZOLGÁLAT'!AK29</f>
        <v>1560</v>
      </c>
      <c r="F22" s="2161">
        <f>+'SEGÍTŐ SZOLGÁLAT'!AL29</f>
        <v>-120</v>
      </c>
      <c r="G22" s="2162">
        <f>+'SEGÍTŐ SZOLGÁLAT'!AM29</f>
        <v>1440</v>
      </c>
      <c r="H22" s="2092">
        <f>+ÓVODA!AF27</f>
        <v>2940</v>
      </c>
      <c r="I22" s="1032">
        <f>+ÓVODA!AG27</f>
        <v>0</v>
      </c>
      <c r="J22" s="2093">
        <f>+ÓVODA!AH27</f>
        <v>2940</v>
      </c>
      <c r="K22" s="2065">
        <f>+'KOZMA FERENC ÁLT. ISK.'!V24</f>
        <v>1947</v>
      </c>
      <c r="L22" s="407">
        <f>+'KOZMA FERENC ÁLT. ISK.'!W24</f>
        <v>0</v>
      </c>
      <c r="M22" s="2066">
        <f>+'KOZMA FERENC ÁLT. ISK.'!X24</f>
        <v>1947</v>
      </c>
      <c r="N22" s="2013"/>
      <c r="O22" s="1033"/>
      <c r="P22" s="2022"/>
      <c r="Q22" s="1993">
        <f t="shared" si="0"/>
        <v>7467</v>
      </c>
      <c r="R22" s="1776">
        <f t="shared" si="1"/>
        <v>-645</v>
      </c>
      <c r="S22" s="1641">
        <f t="shared" si="2"/>
        <v>6822</v>
      </c>
    </row>
    <row r="23" spans="1:22" ht="13.9" customHeight="1">
      <c r="A23" s="222" t="s">
        <v>29</v>
      </c>
      <c r="B23" s="2065">
        <f>+'SZOLGÁLTATÓ IRODA'!B22</f>
        <v>0</v>
      </c>
      <c r="C23" s="407">
        <f>+'SZOLGÁLTATÓ IRODA'!C22</f>
        <v>0</v>
      </c>
      <c r="D23" s="2108">
        <f>+'SZOLGÁLTATÓ IRODA'!D22</f>
        <v>0</v>
      </c>
      <c r="E23" s="2160">
        <f>+'SEGÍTŐ SZOLGÁLAT'!AK30</f>
        <v>0</v>
      </c>
      <c r="F23" s="2161">
        <f>+'SEGÍTŐ SZOLGÁLAT'!AL30</f>
        <v>0</v>
      </c>
      <c r="G23" s="2162">
        <f>+'SEGÍTŐ SZOLGÁLAT'!AM30</f>
        <v>0</v>
      </c>
      <c r="H23" s="2092">
        <f>+ÓVODA!AF28</f>
        <v>180</v>
      </c>
      <c r="I23" s="1032">
        <f>+ÓVODA!AG28</f>
        <v>0</v>
      </c>
      <c r="J23" s="2093">
        <f>+ÓVODA!AH28</f>
        <v>180</v>
      </c>
      <c r="K23" s="2065">
        <f>+'KOZMA FERENC ÁLT. ISK.'!V25</f>
        <v>120</v>
      </c>
      <c r="L23" s="407">
        <f>+'KOZMA FERENC ÁLT. ISK.'!W25</f>
        <v>0</v>
      </c>
      <c r="M23" s="2066">
        <f>+'KOZMA FERENC ÁLT. ISK.'!X25</f>
        <v>120</v>
      </c>
      <c r="N23" s="2013"/>
      <c r="O23" s="1033"/>
      <c r="P23" s="2022"/>
      <c r="Q23" s="1993">
        <f t="shared" si="0"/>
        <v>300</v>
      </c>
      <c r="R23" s="1776">
        <f t="shared" si="1"/>
        <v>0</v>
      </c>
      <c r="S23" s="1641">
        <f t="shared" si="2"/>
        <v>300</v>
      </c>
    </row>
    <row r="24" spans="1:22" s="368" customFormat="1" ht="13.9" customHeight="1">
      <c r="A24" s="222" t="s">
        <v>30</v>
      </c>
      <c r="B24" s="2065">
        <f>+'SZOLGÁLTATÓ IRODA'!B23</f>
        <v>0</v>
      </c>
      <c r="C24" s="407">
        <f>+'SZOLGÁLTATÓ IRODA'!C23</f>
        <v>0</v>
      </c>
      <c r="D24" s="2108">
        <f>+'SZOLGÁLTATÓ IRODA'!D23</f>
        <v>0</v>
      </c>
      <c r="E24" s="2160">
        <f>+'SEGÍTŐ SZOLGÁLAT'!AK31</f>
        <v>0</v>
      </c>
      <c r="F24" s="2161">
        <f>+'SEGÍTŐ SZOLGÁLAT'!AL31</f>
        <v>0</v>
      </c>
      <c r="G24" s="2162">
        <f>+'SEGÍTŐ SZOLGÁLAT'!AM31</f>
        <v>0</v>
      </c>
      <c r="H24" s="2092">
        <f>+ÓVODA!AF29</f>
        <v>0</v>
      </c>
      <c r="I24" s="1032">
        <f>+ÓVODA!AG29</f>
        <v>0</v>
      </c>
      <c r="J24" s="2093">
        <f>+ÓVODA!AH29</f>
        <v>0</v>
      </c>
      <c r="K24" s="2065">
        <f>+'KOZMA FERENC ÁLT. ISK.'!V26</f>
        <v>0</v>
      </c>
      <c r="L24" s="407">
        <f>+'KOZMA FERENC ÁLT. ISK.'!W26</f>
        <v>0</v>
      </c>
      <c r="M24" s="2066">
        <f>+'KOZMA FERENC ÁLT. ISK.'!X26</f>
        <v>0</v>
      </c>
      <c r="N24" s="2013"/>
      <c r="O24" s="1033"/>
      <c r="P24" s="2022"/>
      <c r="Q24" s="1993">
        <f t="shared" si="0"/>
        <v>0</v>
      </c>
      <c r="R24" s="1776">
        <f t="shared" si="1"/>
        <v>0</v>
      </c>
      <c r="S24" s="1641">
        <f t="shared" si="2"/>
        <v>0</v>
      </c>
      <c r="V24" s="367"/>
    </row>
    <row r="25" spans="1:22" s="368" customFormat="1" ht="13.9" customHeight="1">
      <c r="A25" s="1316" t="s">
        <v>31</v>
      </c>
      <c r="B25" s="2065">
        <f>+'SZOLGÁLTATÓ IRODA'!B24</f>
        <v>9052</v>
      </c>
      <c r="C25" s="407">
        <f>+'SZOLGÁLTATÓ IRODA'!C24</f>
        <v>-4350</v>
      </c>
      <c r="D25" s="2130">
        <f>+'SZOLGÁLTATÓ IRODA'!D24</f>
        <v>4702</v>
      </c>
      <c r="E25" s="2160">
        <f>+'SEGÍTŐ SZOLGÁLAT'!AK32</f>
        <v>49365</v>
      </c>
      <c r="F25" s="2161">
        <f>+'SEGÍTŐ SZOLGÁLAT'!AL32</f>
        <v>159</v>
      </c>
      <c r="G25" s="2162">
        <f>+'SEGÍTŐ SZOLGÁLAT'!AM32</f>
        <v>49524</v>
      </c>
      <c r="H25" s="2092">
        <f>+ÓVODA!AF30</f>
        <v>86790</v>
      </c>
      <c r="I25" s="1032">
        <f>+ÓVODA!AG30</f>
        <v>1214</v>
      </c>
      <c r="J25" s="2094">
        <f>+ÓVODA!AH30</f>
        <v>88004</v>
      </c>
      <c r="K25" s="2065">
        <f>+'KOZMA FERENC ÁLT. ISK.'!V27</f>
        <v>36093</v>
      </c>
      <c r="L25" s="407">
        <f>+'KOZMA FERENC ÁLT. ISK.'!W27</f>
        <v>0</v>
      </c>
      <c r="M25" s="2067">
        <f>+'KOZMA FERENC ÁLT. ISK.'!X27</f>
        <v>36093</v>
      </c>
      <c r="N25" s="2023"/>
      <c r="O25" s="1658"/>
      <c r="P25" s="2024"/>
      <c r="Q25" s="1993">
        <f t="shared" si="0"/>
        <v>181300</v>
      </c>
      <c r="R25" s="1776">
        <f t="shared" si="1"/>
        <v>-2977</v>
      </c>
      <c r="S25" s="1641">
        <f t="shared" si="2"/>
        <v>178323</v>
      </c>
      <c r="V25" s="367"/>
    </row>
    <row r="26" spans="1:22" ht="13.9" customHeight="1">
      <c r="A26" s="1318" t="s">
        <v>32</v>
      </c>
      <c r="B26" s="2068">
        <f>+'SZOLGÁLTATÓ IRODA'!B25</f>
        <v>0</v>
      </c>
      <c r="C26" s="408">
        <f>+'SZOLGÁLTATÓ IRODA'!C25</f>
        <v>0</v>
      </c>
      <c r="D26" s="2131">
        <f>+'SZOLGÁLTATÓ IRODA'!D25</f>
        <v>0</v>
      </c>
      <c r="E26" s="2163">
        <f>+'SEGÍTŐ SZOLGÁLAT'!AK33</f>
        <v>926</v>
      </c>
      <c r="F26" s="2164">
        <f>+'SEGÍTŐ SZOLGÁLAT'!AL33</f>
        <v>0</v>
      </c>
      <c r="G26" s="2165">
        <f>+'SEGÍTŐ SZOLGÁLAT'!AM33</f>
        <v>926</v>
      </c>
      <c r="H26" s="2095">
        <f>+ÓVODA!AF31</f>
        <v>3083</v>
      </c>
      <c r="I26" s="1035">
        <f>+ÓVODA!AG31</f>
        <v>0</v>
      </c>
      <c r="J26" s="2096">
        <f>+ÓVODA!AH31</f>
        <v>3083</v>
      </c>
      <c r="K26" s="2068">
        <f>+'KOZMA FERENC ÁLT. ISK.'!V28</f>
        <v>6301</v>
      </c>
      <c r="L26" s="408">
        <f>+'KOZMA FERENC ÁLT. ISK.'!W28</f>
        <v>0</v>
      </c>
      <c r="M26" s="2069">
        <f>+'KOZMA FERENC ÁLT. ISK.'!X28</f>
        <v>6301</v>
      </c>
      <c r="N26" s="2025"/>
      <c r="O26" s="1824"/>
      <c r="P26" s="2026"/>
      <c r="Q26" s="1994">
        <f t="shared" si="0"/>
        <v>10310</v>
      </c>
      <c r="R26" s="1780">
        <f t="shared" si="1"/>
        <v>0</v>
      </c>
      <c r="S26" s="1654">
        <f t="shared" si="2"/>
        <v>10310</v>
      </c>
    </row>
    <row r="27" spans="1:22" ht="13.9" customHeight="1">
      <c r="A27" s="1320" t="s">
        <v>33</v>
      </c>
      <c r="B27" s="1784">
        <f>+'SZOLGÁLTATÓ IRODA'!B26</f>
        <v>9052</v>
      </c>
      <c r="C27" s="409">
        <f>+'SZOLGÁLTATÓ IRODA'!C26</f>
        <v>-4350</v>
      </c>
      <c r="D27" s="2098">
        <f>+'SZOLGÁLTATÓ IRODA'!D26</f>
        <v>4702</v>
      </c>
      <c r="E27" s="2166">
        <f>+'SEGÍTŐ SZOLGÁLAT'!AK34</f>
        <v>50291</v>
      </c>
      <c r="F27" s="2167">
        <f>+'SEGÍTŐ SZOLGÁLAT'!AL34</f>
        <v>159</v>
      </c>
      <c r="G27" s="2168">
        <f>+'SEGÍTŐ SZOLGÁLAT'!AM34</f>
        <v>50450</v>
      </c>
      <c r="H27" s="2097">
        <f>+ÓVODA!AF32</f>
        <v>89873</v>
      </c>
      <c r="I27" s="1656">
        <f>+ÓVODA!AG32</f>
        <v>1214</v>
      </c>
      <c r="J27" s="2098">
        <f>+ÓVODA!AH32</f>
        <v>91087</v>
      </c>
      <c r="K27" s="1784">
        <f>+'KOZMA FERENC ÁLT. ISK.'!V29</f>
        <v>42394</v>
      </c>
      <c r="L27" s="409">
        <f>+'KOZMA FERENC ÁLT. ISK.'!W29</f>
        <v>0</v>
      </c>
      <c r="M27" s="2070">
        <f>+'KOZMA FERENC ÁLT. ISK.'!X29</f>
        <v>42394</v>
      </c>
      <c r="N27" s="2027"/>
      <c r="O27" s="1823"/>
      <c r="P27" s="2028"/>
      <c r="Q27" s="1997">
        <f t="shared" si="0"/>
        <v>191610</v>
      </c>
      <c r="R27" s="1656">
        <f t="shared" si="1"/>
        <v>-2977</v>
      </c>
      <c r="S27" s="1799">
        <f t="shared" si="2"/>
        <v>188633</v>
      </c>
    </row>
    <row r="28" spans="1:22" ht="13.9" customHeight="1">
      <c r="A28" s="1321" t="s">
        <v>34</v>
      </c>
      <c r="B28" s="2071">
        <f>+'SZOLGÁLTATÓ IRODA'!B27</f>
        <v>0</v>
      </c>
      <c r="C28" s="410">
        <f>+'SZOLGÁLTATÓ IRODA'!C27</f>
        <v>0</v>
      </c>
      <c r="D28" s="2093">
        <f>+'SZOLGÁLTATÓ IRODA'!D27</f>
        <v>0</v>
      </c>
      <c r="E28" s="2160">
        <f>+'SEGÍTŐ SZOLGÁLAT'!AK35</f>
        <v>183</v>
      </c>
      <c r="F28" s="2161">
        <f>+'SEGÍTŐ SZOLGÁLAT'!AL35</f>
        <v>0</v>
      </c>
      <c r="G28" s="2162">
        <f>+'SEGÍTŐ SZOLGÁLAT'!AM35</f>
        <v>183</v>
      </c>
      <c r="H28" s="2092">
        <f>+ÓVODA!AF33</f>
        <v>0</v>
      </c>
      <c r="I28" s="1032">
        <f>+ÓVODA!AG33</f>
        <v>0</v>
      </c>
      <c r="J28" s="2093">
        <f>+ÓVODA!AH33</f>
        <v>0</v>
      </c>
      <c r="K28" s="2071">
        <f>+'KOZMA FERENC ÁLT. ISK.'!V30</f>
        <v>0</v>
      </c>
      <c r="L28" s="410">
        <f>+'KOZMA FERENC ÁLT. ISK.'!W30</f>
        <v>0</v>
      </c>
      <c r="M28" s="2072">
        <f>+'KOZMA FERENC ÁLT. ISK.'!X30</f>
        <v>0</v>
      </c>
      <c r="N28" s="2013"/>
      <c r="O28" s="1033"/>
      <c r="P28" s="2022"/>
      <c r="Q28" s="1998">
        <f t="shared" si="0"/>
        <v>183</v>
      </c>
      <c r="R28" s="1032">
        <f t="shared" si="1"/>
        <v>0</v>
      </c>
      <c r="S28" s="1783">
        <f t="shared" si="2"/>
        <v>183</v>
      </c>
    </row>
    <row r="29" spans="1:22" ht="13.9" customHeight="1">
      <c r="A29" s="222" t="s">
        <v>35</v>
      </c>
      <c r="B29" s="2071">
        <f>+'SZOLGÁLTATÓ IRODA'!B28</f>
        <v>0</v>
      </c>
      <c r="C29" s="410">
        <f>+'SZOLGÁLTATÓ IRODA'!C28</f>
        <v>0</v>
      </c>
      <c r="D29" s="2093">
        <f>+'SZOLGÁLTATÓ IRODA'!D28</f>
        <v>0</v>
      </c>
      <c r="E29" s="2160">
        <f>+'SEGÍTŐ SZOLGÁLAT'!AK36</f>
        <v>0</v>
      </c>
      <c r="F29" s="2161">
        <f>+'SEGÍTŐ SZOLGÁLAT'!AL36</f>
        <v>0</v>
      </c>
      <c r="G29" s="2162">
        <f>+'SEGÍTŐ SZOLGÁLAT'!AM36</f>
        <v>0</v>
      </c>
      <c r="H29" s="2092">
        <f>+ÓVODA!AF34</f>
        <v>0</v>
      </c>
      <c r="I29" s="1032">
        <f>+ÓVODA!AG34</f>
        <v>0</v>
      </c>
      <c r="J29" s="2093">
        <f>+ÓVODA!AH34</f>
        <v>0</v>
      </c>
      <c r="K29" s="2065">
        <f>+'KOZMA FERENC ÁLT. ISK.'!V31</f>
        <v>0</v>
      </c>
      <c r="L29" s="407">
        <f>+'KOZMA FERENC ÁLT. ISK.'!W31</f>
        <v>0</v>
      </c>
      <c r="M29" s="2066">
        <f>+'KOZMA FERENC ÁLT. ISK.'!X31</f>
        <v>0</v>
      </c>
      <c r="N29" s="2013"/>
      <c r="O29" s="1033"/>
      <c r="P29" s="2022"/>
      <c r="Q29" s="1993">
        <f t="shared" si="0"/>
        <v>0</v>
      </c>
      <c r="R29" s="1776">
        <f t="shared" si="1"/>
        <v>0</v>
      </c>
      <c r="S29" s="1641">
        <f t="shared" si="2"/>
        <v>0</v>
      </c>
    </row>
    <row r="30" spans="1:22" ht="13.9" customHeight="1">
      <c r="A30" s="222" t="s">
        <v>36</v>
      </c>
      <c r="B30" s="2071">
        <f>+'SZOLGÁLTATÓ IRODA'!B29</f>
        <v>475</v>
      </c>
      <c r="C30" s="410">
        <f>+'SZOLGÁLTATÓ IRODA'!C29</f>
        <v>0</v>
      </c>
      <c r="D30" s="2093">
        <f>+'SZOLGÁLTATÓ IRODA'!D29</f>
        <v>475</v>
      </c>
      <c r="E30" s="2160">
        <f>+'SEGÍTŐ SZOLGÁLAT'!AK37</f>
        <v>220</v>
      </c>
      <c r="F30" s="2161">
        <f>+'SEGÍTŐ SZOLGÁLAT'!AL37</f>
        <v>27</v>
      </c>
      <c r="G30" s="2162">
        <f>+'SEGÍTŐ SZOLGÁLAT'!AM37</f>
        <v>247</v>
      </c>
      <c r="H30" s="2092">
        <f>+ÓVODA!AF35</f>
        <v>970</v>
      </c>
      <c r="I30" s="1032">
        <f>+ÓVODA!AG35</f>
        <v>0</v>
      </c>
      <c r="J30" s="2093">
        <f>+ÓVODA!AH35</f>
        <v>970</v>
      </c>
      <c r="K30" s="2065">
        <f>+'KOZMA FERENC ÁLT. ISK.'!V32</f>
        <v>800</v>
      </c>
      <c r="L30" s="407">
        <f>+'KOZMA FERENC ÁLT. ISK.'!W32</f>
        <v>0</v>
      </c>
      <c r="M30" s="2066">
        <f>+'KOZMA FERENC ÁLT. ISK.'!X32</f>
        <v>800</v>
      </c>
      <c r="N30" s="2013"/>
      <c r="O30" s="1033"/>
      <c r="P30" s="2022"/>
      <c r="Q30" s="1993">
        <f t="shared" si="0"/>
        <v>2465</v>
      </c>
      <c r="R30" s="1776">
        <f t="shared" si="1"/>
        <v>27</v>
      </c>
      <c r="S30" s="1641">
        <f t="shared" si="2"/>
        <v>2492</v>
      </c>
    </row>
    <row r="31" spans="1:22" ht="13.9" customHeight="1">
      <c r="A31" s="222" t="s">
        <v>37</v>
      </c>
      <c r="B31" s="2071">
        <f>+'SZOLGÁLTATÓ IRODA'!B30</f>
        <v>0</v>
      </c>
      <c r="C31" s="410">
        <f>+'SZOLGÁLTATÓ IRODA'!C30</f>
        <v>0</v>
      </c>
      <c r="D31" s="2093">
        <f>+'SZOLGÁLTATÓ IRODA'!D30</f>
        <v>0</v>
      </c>
      <c r="E31" s="2160">
        <f>+'SEGÍTŐ SZOLGÁLAT'!AK38</f>
        <v>0</v>
      </c>
      <c r="F31" s="2161">
        <f>+'SEGÍTŐ SZOLGÁLAT'!AL38</f>
        <v>0</v>
      </c>
      <c r="G31" s="2162">
        <f>+'SEGÍTŐ SZOLGÁLAT'!AM38</f>
        <v>0</v>
      </c>
      <c r="H31" s="2092">
        <f>+ÓVODA!AF36</f>
        <v>968</v>
      </c>
      <c r="I31" s="1032">
        <f>+ÓVODA!AG36</f>
        <v>0</v>
      </c>
      <c r="J31" s="2093">
        <f>+ÓVODA!AH36</f>
        <v>968</v>
      </c>
      <c r="K31" s="2065">
        <f>+'KOZMA FERENC ÁLT. ISK.'!V33</f>
        <v>2501</v>
      </c>
      <c r="L31" s="407">
        <f>+'KOZMA FERENC ÁLT. ISK.'!W33</f>
        <v>0</v>
      </c>
      <c r="M31" s="2066">
        <f>+'KOZMA FERENC ÁLT. ISK.'!X33</f>
        <v>2501</v>
      </c>
      <c r="N31" s="2013"/>
      <c r="O31" s="1033"/>
      <c r="P31" s="2022"/>
      <c r="Q31" s="1993">
        <f t="shared" si="0"/>
        <v>3469</v>
      </c>
      <c r="R31" s="1776">
        <f t="shared" si="1"/>
        <v>0</v>
      </c>
      <c r="S31" s="1641">
        <f t="shared" si="2"/>
        <v>3469</v>
      </c>
    </row>
    <row r="32" spans="1:22" s="368" customFormat="1" ht="13.9" customHeight="1">
      <c r="A32" s="222" t="s">
        <v>38</v>
      </c>
      <c r="B32" s="2071">
        <f>+'SZOLGÁLTATÓ IRODA'!B31</f>
        <v>0</v>
      </c>
      <c r="C32" s="410">
        <f>+'SZOLGÁLTATÓ IRODA'!C31</f>
        <v>0</v>
      </c>
      <c r="D32" s="2093">
        <f>+'SZOLGÁLTATÓ IRODA'!D31</f>
        <v>0</v>
      </c>
      <c r="E32" s="2160">
        <f>+'SEGÍTŐ SZOLGÁLAT'!AK39</f>
        <v>0</v>
      </c>
      <c r="F32" s="2161">
        <f>+'SEGÍTŐ SZOLGÁLAT'!AL39</f>
        <v>-120</v>
      </c>
      <c r="G32" s="2162">
        <f>+'SEGÍTŐ SZOLGÁLAT'!AM39</f>
        <v>-120</v>
      </c>
      <c r="H32" s="2092">
        <f>+ÓVODA!AF37</f>
        <v>2142</v>
      </c>
      <c r="I32" s="1032">
        <f>+ÓVODA!AG37</f>
        <v>0</v>
      </c>
      <c r="J32" s="2093">
        <f>+ÓVODA!AH37</f>
        <v>2142</v>
      </c>
      <c r="K32" s="2065">
        <f>+'KOZMA FERENC ÁLT. ISK.'!V34</f>
        <v>1007</v>
      </c>
      <c r="L32" s="407">
        <f>+'KOZMA FERENC ÁLT. ISK.'!W34</f>
        <v>0</v>
      </c>
      <c r="M32" s="2066">
        <f>+'KOZMA FERENC ÁLT. ISK.'!X34</f>
        <v>1007</v>
      </c>
      <c r="N32" s="2013"/>
      <c r="O32" s="1033"/>
      <c r="P32" s="2022"/>
      <c r="Q32" s="1993">
        <f t="shared" si="0"/>
        <v>3149</v>
      </c>
      <c r="R32" s="1776">
        <f t="shared" si="1"/>
        <v>-120</v>
      </c>
      <c r="S32" s="1641">
        <f t="shared" si="2"/>
        <v>3029</v>
      </c>
      <c r="V32" s="367"/>
    </row>
    <row r="33" spans="1:22" s="368" customFormat="1" ht="13.9" customHeight="1">
      <c r="A33" s="1316" t="s">
        <v>39</v>
      </c>
      <c r="B33" s="2071">
        <f>+'SZOLGÁLTATÓ IRODA'!B32</f>
        <v>475</v>
      </c>
      <c r="C33" s="410">
        <f>+'SZOLGÁLTATÓ IRODA'!C32</f>
        <v>0</v>
      </c>
      <c r="D33" s="2094">
        <f>+'SZOLGÁLTATÓ IRODA'!D32</f>
        <v>475</v>
      </c>
      <c r="E33" s="2160">
        <f>+'SEGÍTŐ SZOLGÁLAT'!AK40</f>
        <v>403</v>
      </c>
      <c r="F33" s="2161">
        <f>+'SEGÍTŐ SZOLGÁLAT'!AL40</f>
        <v>-93</v>
      </c>
      <c r="G33" s="2162">
        <f>+'SEGÍTŐ SZOLGÁLAT'!AM40</f>
        <v>310</v>
      </c>
      <c r="H33" s="2092">
        <f>+ÓVODA!AF38</f>
        <v>4056</v>
      </c>
      <c r="I33" s="1032">
        <f>+ÓVODA!AG38</f>
        <v>0</v>
      </c>
      <c r="J33" s="2094">
        <f>+ÓVODA!AH38</f>
        <v>4056</v>
      </c>
      <c r="K33" s="2065">
        <f>+'KOZMA FERENC ÁLT. ISK.'!V35</f>
        <v>3450</v>
      </c>
      <c r="L33" s="407">
        <f>+'KOZMA FERENC ÁLT. ISK.'!W35</f>
        <v>0</v>
      </c>
      <c r="M33" s="2067">
        <f>+'KOZMA FERENC ÁLT. ISK.'!X35</f>
        <v>3450</v>
      </c>
      <c r="N33" s="2029"/>
      <c r="O33" s="1825"/>
      <c r="P33" s="2026"/>
      <c r="Q33" s="1993">
        <f t="shared" si="0"/>
        <v>8384</v>
      </c>
      <c r="R33" s="1776">
        <f t="shared" si="1"/>
        <v>-93</v>
      </c>
      <c r="S33" s="1641">
        <f t="shared" si="2"/>
        <v>8291</v>
      </c>
      <c r="V33" s="367"/>
    </row>
    <row r="34" spans="1:22" ht="13.15" customHeight="1">
      <c r="A34" s="1318" t="s">
        <v>40</v>
      </c>
      <c r="B34" s="2085">
        <f>+'SZOLGÁLTATÓ IRODA'!B33</f>
        <v>0</v>
      </c>
      <c r="C34" s="414">
        <f>+'SZOLGÁLTATÓ IRODA'!C33</f>
        <v>0</v>
      </c>
      <c r="D34" s="2096">
        <f>+'SZOLGÁLTATÓ IRODA'!D33</f>
        <v>0</v>
      </c>
      <c r="E34" s="2163">
        <f>+'SEGÍTŐ SZOLGÁLAT'!AK41</f>
        <v>0</v>
      </c>
      <c r="F34" s="2164">
        <f>+'SEGÍTŐ SZOLGÁLAT'!AL41</f>
        <v>0</v>
      </c>
      <c r="G34" s="2165">
        <f>+'SEGÍTŐ SZOLGÁLAT'!AM41</f>
        <v>0</v>
      </c>
      <c r="H34" s="2095">
        <f>+ÓVODA!AF39</f>
        <v>24</v>
      </c>
      <c r="I34" s="1035">
        <f>+ÓVODA!AG39</f>
        <v>0</v>
      </c>
      <c r="J34" s="2096">
        <f>+ÓVODA!AH39</f>
        <v>24</v>
      </c>
      <c r="K34" s="2068">
        <f>+'KOZMA FERENC ÁLT. ISK.'!V36</f>
        <v>858</v>
      </c>
      <c r="L34" s="408">
        <f>+'KOZMA FERENC ÁLT. ISK.'!W36</f>
        <v>0</v>
      </c>
      <c r="M34" s="2069">
        <f>+'KOZMA FERENC ÁLT. ISK.'!X36</f>
        <v>858</v>
      </c>
      <c r="N34" s="2030"/>
      <c r="O34" s="1824"/>
      <c r="P34" s="2031"/>
      <c r="Q34" s="1994">
        <f t="shared" si="0"/>
        <v>882</v>
      </c>
      <c r="R34" s="1780">
        <f t="shared" si="1"/>
        <v>0</v>
      </c>
      <c r="S34" s="1654">
        <f t="shared" si="2"/>
        <v>882</v>
      </c>
    </row>
    <row r="35" spans="1:22" ht="13.15" customHeight="1">
      <c r="A35" s="1320" t="s">
        <v>41</v>
      </c>
      <c r="B35" s="1784">
        <f>+'SZOLGÁLTATÓ IRODA'!B34</f>
        <v>475</v>
      </c>
      <c r="C35" s="409">
        <f>+'SZOLGÁLTATÓ IRODA'!C34</f>
        <v>0</v>
      </c>
      <c r="D35" s="2098">
        <f>+'SZOLGÁLTATÓ IRODA'!D34</f>
        <v>475</v>
      </c>
      <c r="E35" s="2166">
        <f>+'SEGÍTŐ SZOLGÁLAT'!AK42</f>
        <v>403</v>
      </c>
      <c r="F35" s="2167">
        <f>+'SEGÍTŐ SZOLGÁLAT'!AL42</f>
        <v>-93</v>
      </c>
      <c r="G35" s="2168">
        <f>+'SEGÍTŐ SZOLGÁLAT'!AM42</f>
        <v>310</v>
      </c>
      <c r="H35" s="2097">
        <f>+ÓVODA!AF40</f>
        <v>4080</v>
      </c>
      <c r="I35" s="1656">
        <f>+ÓVODA!AG40</f>
        <v>0</v>
      </c>
      <c r="J35" s="2098">
        <f>+ÓVODA!AH40</f>
        <v>4584</v>
      </c>
      <c r="K35" s="1784">
        <f>+'KOZMA FERENC ÁLT. ISK.'!V37</f>
        <v>4308</v>
      </c>
      <c r="L35" s="409">
        <f>+'KOZMA FERENC ÁLT. ISK.'!W37</f>
        <v>0</v>
      </c>
      <c r="M35" s="2070">
        <f>+'KOZMA FERENC ÁLT. ISK.'!X37</f>
        <v>4308</v>
      </c>
      <c r="N35" s="2027"/>
      <c r="O35" s="1657"/>
      <c r="P35" s="2028"/>
      <c r="Q35" s="1997">
        <f t="shared" si="0"/>
        <v>9266</v>
      </c>
      <c r="R35" s="1656">
        <f t="shared" si="1"/>
        <v>-93</v>
      </c>
      <c r="S35" s="1799">
        <f t="shared" si="2"/>
        <v>9173</v>
      </c>
    </row>
    <row r="36" spans="1:22" ht="13.15" customHeight="1">
      <c r="A36" s="1321" t="s">
        <v>42</v>
      </c>
      <c r="B36" s="2071">
        <f>+'SZOLGÁLTATÓ IRODA'!B35</f>
        <v>0</v>
      </c>
      <c r="C36" s="410">
        <f>+'SZOLGÁLTATÓ IRODA'!C35</f>
        <v>0</v>
      </c>
      <c r="D36" s="2093">
        <f>+'SZOLGÁLTATÓ IRODA'!D35</f>
        <v>0</v>
      </c>
      <c r="E36" s="2160">
        <f>+'SEGÍTŐ SZOLGÁLAT'!AK43</f>
        <v>0</v>
      </c>
      <c r="F36" s="2161">
        <f>+'SEGÍTŐ SZOLGÁLAT'!AL43</f>
        <v>0</v>
      </c>
      <c r="G36" s="2162">
        <f>+'SEGÍTŐ SZOLGÁLAT'!AM43</f>
        <v>0</v>
      </c>
      <c r="H36" s="2092">
        <f>+ÓVODA!AF41</f>
        <v>0</v>
      </c>
      <c r="I36" s="1032">
        <f>+ÓVODA!AG41</f>
        <v>0</v>
      </c>
      <c r="J36" s="2093">
        <f>+ÓVODA!AH41</f>
        <v>0</v>
      </c>
      <c r="K36" s="2071">
        <f>+'KOZMA FERENC ÁLT. ISK.'!V38</f>
        <v>0</v>
      </c>
      <c r="L36" s="410">
        <f>+'KOZMA FERENC ÁLT. ISK.'!W38</f>
        <v>0</v>
      </c>
      <c r="M36" s="2072">
        <f>+'KOZMA FERENC ÁLT. ISK.'!X38</f>
        <v>0</v>
      </c>
      <c r="N36" s="2013"/>
      <c r="O36" s="1033"/>
      <c r="P36" s="2022"/>
      <c r="Q36" s="1998">
        <f t="shared" si="0"/>
        <v>0</v>
      </c>
      <c r="R36" s="1032">
        <f t="shared" si="1"/>
        <v>0</v>
      </c>
      <c r="S36" s="1783">
        <f t="shared" si="2"/>
        <v>0</v>
      </c>
    </row>
    <row r="37" spans="1:22" ht="13.15" customHeight="1">
      <c r="A37" s="222" t="s">
        <v>43</v>
      </c>
      <c r="B37" s="2071">
        <f>+'SZOLGÁLTATÓ IRODA'!B36</f>
        <v>0</v>
      </c>
      <c r="C37" s="410">
        <f>+'SZOLGÁLTATÓ IRODA'!C36</f>
        <v>0</v>
      </c>
      <c r="D37" s="2093">
        <f>+'SZOLGÁLTATÓ IRODA'!D36</f>
        <v>0</v>
      </c>
      <c r="E37" s="2160">
        <f>+'SEGÍTŐ SZOLGÁLAT'!AK44</f>
        <v>334</v>
      </c>
      <c r="F37" s="2161">
        <f>+'SEGÍTŐ SZOLGÁLAT'!AL44</f>
        <v>0</v>
      </c>
      <c r="G37" s="2162">
        <f>+'SEGÍTŐ SZOLGÁLAT'!AM44</f>
        <v>334</v>
      </c>
      <c r="H37" s="2092">
        <f>+ÓVODA!AF42</f>
        <v>295</v>
      </c>
      <c r="I37" s="1032">
        <f>+ÓVODA!AG42</f>
        <v>0</v>
      </c>
      <c r="J37" s="2093">
        <f>+ÓVODA!AH42</f>
        <v>295</v>
      </c>
      <c r="K37" s="2065">
        <f>+'KOZMA FERENC ÁLT. ISK.'!V39</f>
        <v>1133</v>
      </c>
      <c r="L37" s="407">
        <f>+'KOZMA FERENC ÁLT. ISK.'!W39</f>
        <v>0</v>
      </c>
      <c r="M37" s="2066">
        <f>+'KOZMA FERENC ÁLT. ISK.'!X39</f>
        <v>1133</v>
      </c>
      <c r="N37" s="2013"/>
      <c r="O37" s="1033"/>
      <c r="P37" s="2022"/>
      <c r="Q37" s="1993">
        <f t="shared" si="0"/>
        <v>1762</v>
      </c>
      <c r="R37" s="1776">
        <f t="shared" si="1"/>
        <v>0</v>
      </c>
      <c r="S37" s="1641">
        <f t="shared" si="2"/>
        <v>1762</v>
      </c>
    </row>
    <row r="38" spans="1:22" ht="13.15" customHeight="1">
      <c r="A38" s="222" t="s">
        <v>44</v>
      </c>
      <c r="B38" s="2071">
        <f>+'SZOLGÁLTATÓ IRODA'!B37</f>
        <v>0</v>
      </c>
      <c r="C38" s="410">
        <f>+'SZOLGÁLTATÓ IRODA'!C37</f>
        <v>0</v>
      </c>
      <c r="D38" s="2093">
        <f>+'SZOLGÁLTATÓ IRODA'!D37</f>
        <v>0</v>
      </c>
      <c r="E38" s="2160">
        <f>+'SEGÍTŐ SZOLGÁLAT'!AK45</f>
        <v>0</v>
      </c>
      <c r="F38" s="2161">
        <f>+'SEGÍTŐ SZOLGÁLAT'!AL45</f>
        <v>0</v>
      </c>
      <c r="G38" s="2162">
        <f>+'SEGÍTŐ SZOLGÁLAT'!AM45</f>
        <v>0</v>
      </c>
      <c r="H38" s="2092">
        <f>+ÓVODA!AF43</f>
        <v>0</v>
      </c>
      <c r="I38" s="1032">
        <f>+ÓVODA!AG43</f>
        <v>0</v>
      </c>
      <c r="J38" s="2093">
        <f>+ÓVODA!AH43</f>
        <v>0</v>
      </c>
      <c r="K38" s="2065">
        <f>+'KOZMA FERENC ÁLT. ISK.'!V40</f>
        <v>0</v>
      </c>
      <c r="L38" s="407">
        <f>+'KOZMA FERENC ÁLT. ISK.'!W40</f>
        <v>0</v>
      </c>
      <c r="M38" s="2066">
        <f>+'KOZMA FERENC ÁLT. ISK.'!X40</f>
        <v>0</v>
      </c>
      <c r="N38" s="2013"/>
      <c r="O38" s="1033"/>
      <c r="P38" s="2022"/>
      <c r="Q38" s="1993">
        <f t="shared" si="0"/>
        <v>0</v>
      </c>
      <c r="R38" s="1776">
        <f t="shared" si="1"/>
        <v>0</v>
      </c>
      <c r="S38" s="1641">
        <f t="shared" si="2"/>
        <v>0</v>
      </c>
    </row>
    <row r="39" spans="1:22" s="368" customFormat="1" ht="13.15" customHeight="1">
      <c r="A39" s="222" t="s">
        <v>45</v>
      </c>
      <c r="B39" s="2071">
        <f>+'SZOLGÁLTATÓ IRODA'!B38</f>
        <v>0</v>
      </c>
      <c r="C39" s="410">
        <f>+'SZOLGÁLTATÓ IRODA'!C38</f>
        <v>0</v>
      </c>
      <c r="D39" s="2093">
        <f>+'SZOLGÁLTATÓ IRODA'!D38</f>
        <v>0</v>
      </c>
      <c r="E39" s="2160">
        <f>+'SEGÍTŐ SZOLGÁLAT'!AK46</f>
        <v>548</v>
      </c>
      <c r="F39" s="2161">
        <f>+'SEGÍTŐ SZOLGÁLAT'!AL46</f>
        <v>69</v>
      </c>
      <c r="G39" s="2162">
        <f>+'SEGÍTŐ SZOLGÁLAT'!AM46</f>
        <v>617</v>
      </c>
      <c r="H39" s="2092">
        <f>+ÓVODA!AF44</f>
        <v>357</v>
      </c>
      <c r="I39" s="1032">
        <f>+ÓVODA!AG44</f>
        <v>0</v>
      </c>
      <c r="J39" s="2093">
        <f>+ÓVODA!AH44</f>
        <v>357</v>
      </c>
      <c r="K39" s="2065">
        <f>+'KOZMA FERENC ÁLT. ISK.'!V41</f>
        <v>168</v>
      </c>
      <c r="L39" s="407">
        <f>+'KOZMA FERENC ÁLT. ISK.'!W41</f>
        <v>0</v>
      </c>
      <c r="M39" s="2066">
        <f>+'KOZMA FERENC ÁLT. ISK.'!X41</f>
        <v>168</v>
      </c>
      <c r="N39" s="2013"/>
      <c r="O39" s="1033"/>
      <c r="P39" s="2022"/>
      <c r="Q39" s="1993">
        <f t="shared" si="0"/>
        <v>1073</v>
      </c>
      <c r="R39" s="1776">
        <f t="shared" si="1"/>
        <v>69</v>
      </c>
      <c r="S39" s="1641">
        <f t="shared" si="2"/>
        <v>1142</v>
      </c>
      <c r="V39" s="367"/>
    </row>
    <row r="40" spans="1:22" s="368" customFormat="1" ht="13.15" customHeight="1">
      <c r="A40" s="1318" t="s">
        <v>46</v>
      </c>
      <c r="B40" s="2071">
        <f>+'SZOLGÁLTATÓ IRODA'!B39</f>
        <v>0</v>
      </c>
      <c r="C40" s="410">
        <f>+'SZOLGÁLTATÓ IRODA'!C39</f>
        <v>0</v>
      </c>
      <c r="D40" s="2094">
        <f>+'SZOLGÁLTATÓ IRODA'!D39</f>
        <v>0</v>
      </c>
      <c r="E40" s="2160">
        <f>+'SEGÍTŐ SZOLGÁLAT'!AK47</f>
        <v>669</v>
      </c>
      <c r="F40" s="2161">
        <f>+'SEGÍTŐ SZOLGÁLAT'!AL47</f>
        <v>69</v>
      </c>
      <c r="G40" s="2162">
        <f>+'SEGÍTŐ SZOLGÁLAT'!AM47</f>
        <v>738</v>
      </c>
      <c r="H40" s="2092">
        <f>+ÓVODA!AF45</f>
        <v>623</v>
      </c>
      <c r="I40" s="1032">
        <f>+ÓVODA!AG45</f>
        <v>0</v>
      </c>
      <c r="J40" s="2094">
        <f>+ÓVODA!AH45</f>
        <v>623</v>
      </c>
      <c r="K40" s="2065">
        <f>+'KOZMA FERENC ÁLT. ISK.'!V42</f>
        <v>1301</v>
      </c>
      <c r="L40" s="407">
        <f>+'KOZMA FERENC ÁLT. ISK.'!W42</f>
        <v>0</v>
      </c>
      <c r="M40" s="2067">
        <f>+'KOZMA FERENC ÁLT. ISK.'!X42</f>
        <v>1301</v>
      </c>
      <c r="N40" s="2029"/>
      <c r="O40" s="1826"/>
      <c r="P40" s="2031"/>
      <c r="Q40" s="1993">
        <f t="shared" si="0"/>
        <v>2593</v>
      </c>
      <c r="R40" s="1776">
        <f t="shared" si="1"/>
        <v>69</v>
      </c>
      <c r="S40" s="1641">
        <f t="shared" si="2"/>
        <v>2662</v>
      </c>
      <c r="V40" s="367"/>
    </row>
    <row r="41" spans="1:22" ht="13.15" customHeight="1">
      <c r="A41" s="1650" t="s">
        <v>47</v>
      </c>
      <c r="B41" s="2085">
        <f>+'SZOLGÁLTATÓ IRODA'!B40</f>
        <v>0</v>
      </c>
      <c r="C41" s="414">
        <f>+'SZOLGÁLTATÓ IRODA'!C40</f>
        <v>0</v>
      </c>
      <c r="D41" s="2096">
        <f>+'SZOLGÁLTATÓ IRODA'!D40</f>
        <v>0</v>
      </c>
      <c r="E41" s="2163">
        <f>+'SEGÍTŐ SZOLGÁLAT'!AK48</f>
        <v>213</v>
      </c>
      <c r="F41" s="2164">
        <f>+'SEGÍTŐ SZOLGÁLAT'!AL48</f>
        <v>0</v>
      </c>
      <c r="G41" s="2165">
        <f>+'SEGÍTŐ SZOLGÁLAT'!AM48</f>
        <v>213</v>
      </c>
      <c r="H41" s="2095">
        <f>+ÓVODA!AF46</f>
        <v>62</v>
      </c>
      <c r="I41" s="1035">
        <f>+ÓVODA!AG46</f>
        <v>0</v>
      </c>
      <c r="J41" s="2096">
        <f>+ÓVODA!AH46</f>
        <v>62</v>
      </c>
      <c r="K41" s="2068">
        <f>+'KOZMA FERENC ÁLT. ISK.'!V43</f>
        <v>0</v>
      </c>
      <c r="L41" s="408">
        <f>+'KOZMA FERENC ÁLT. ISK.'!W43</f>
        <v>0</v>
      </c>
      <c r="M41" s="2069">
        <f>+'KOZMA FERENC ÁLT. ISK.'!X43</f>
        <v>0</v>
      </c>
      <c r="N41" s="2030"/>
      <c r="O41" s="1659"/>
      <c r="P41" s="2031"/>
      <c r="Q41" s="1994">
        <f t="shared" si="0"/>
        <v>275</v>
      </c>
      <c r="R41" s="1780">
        <f t="shared" si="1"/>
        <v>0</v>
      </c>
      <c r="S41" s="1654">
        <f t="shared" si="2"/>
        <v>275</v>
      </c>
    </row>
    <row r="42" spans="1:22" ht="13.15" customHeight="1">
      <c r="A42" s="1320" t="s">
        <v>48</v>
      </c>
      <c r="B42" s="1784">
        <f>+'SZOLGÁLTATÓ IRODA'!B41</f>
        <v>0</v>
      </c>
      <c r="C42" s="409">
        <f>+'SZOLGÁLTATÓ IRODA'!C41</f>
        <v>0</v>
      </c>
      <c r="D42" s="2098">
        <f>+'SZOLGÁLTATÓ IRODA'!D41</f>
        <v>0</v>
      </c>
      <c r="E42" s="2166">
        <f>+'SEGÍTŐ SZOLGÁLAT'!AK49</f>
        <v>882</v>
      </c>
      <c r="F42" s="2167">
        <f>+'SEGÍTŐ SZOLGÁLAT'!AL49</f>
        <v>69</v>
      </c>
      <c r="G42" s="2168">
        <f>+'SEGÍTŐ SZOLGÁLAT'!AM49</f>
        <v>951</v>
      </c>
      <c r="H42" s="2097">
        <f>+ÓVODA!AF47</f>
        <v>685</v>
      </c>
      <c r="I42" s="1656">
        <f>+ÓVODA!AG47</f>
        <v>0</v>
      </c>
      <c r="J42" s="2098">
        <f>+ÓVODA!AH47</f>
        <v>685</v>
      </c>
      <c r="K42" s="1784">
        <f>+'KOZMA FERENC ÁLT. ISK.'!V44</f>
        <v>1301</v>
      </c>
      <c r="L42" s="409">
        <f>+'KOZMA FERENC ÁLT. ISK.'!W44</f>
        <v>0</v>
      </c>
      <c r="M42" s="2070">
        <f>+'KOZMA FERENC ÁLT. ISK.'!X44</f>
        <v>1301</v>
      </c>
      <c r="N42" s="2027"/>
      <c r="O42" s="1657"/>
      <c r="P42" s="2028"/>
      <c r="Q42" s="1997">
        <f t="shared" si="0"/>
        <v>2868</v>
      </c>
      <c r="R42" s="1656">
        <f t="shared" si="1"/>
        <v>69</v>
      </c>
      <c r="S42" s="1799">
        <f t="shared" si="2"/>
        <v>2937</v>
      </c>
    </row>
    <row r="43" spans="1:22" ht="13.15" customHeight="1">
      <c r="A43" s="1321" t="s">
        <v>49</v>
      </c>
      <c r="B43" s="2071">
        <f>+'SZOLGÁLTATÓ IRODA'!B42</f>
        <v>199</v>
      </c>
      <c r="C43" s="410">
        <f>+'SZOLGÁLTATÓ IRODA'!C42</f>
        <v>-103</v>
      </c>
      <c r="D43" s="2093">
        <f>+'SZOLGÁLTATÓ IRODA'!D42</f>
        <v>96</v>
      </c>
      <c r="E43" s="2160">
        <f>+'SEGÍTŐ SZOLGÁLAT'!AK50</f>
        <v>423</v>
      </c>
      <c r="F43" s="2161">
        <f>+'SEGÍTŐ SZOLGÁLAT'!AL50</f>
        <v>-40</v>
      </c>
      <c r="G43" s="2162">
        <f>+'SEGÍTŐ SZOLGÁLAT'!AM50</f>
        <v>383</v>
      </c>
      <c r="H43" s="2092">
        <f>+ÓVODA!AF48</f>
        <v>1664</v>
      </c>
      <c r="I43" s="1032">
        <f>+ÓVODA!AG48</f>
        <v>0</v>
      </c>
      <c r="J43" s="2093">
        <f>+ÓVODA!AH48</f>
        <v>1664</v>
      </c>
      <c r="K43" s="2071">
        <f>+'KOZMA FERENC ÁLT. ISK.'!V45</f>
        <v>977</v>
      </c>
      <c r="L43" s="410">
        <f>+'KOZMA FERENC ÁLT. ISK.'!W45</f>
        <v>0</v>
      </c>
      <c r="M43" s="2072">
        <f>+'KOZMA FERENC ÁLT. ISK.'!X45</f>
        <v>977</v>
      </c>
      <c r="N43" s="2013"/>
      <c r="O43" s="1033"/>
      <c r="P43" s="2022"/>
      <c r="Q43" s="1998">
        <f t="shared" si="0"/>
        <v>3263</v>
      </c>
      <c r="R43" s="1032">
        <f t="shared" si="1"/>
        <v>-143</v>
      </c>
      <c r="S43" s="1783">
        <f t="shared" si="2"/>
        <v>3120</v>
      </c>
    </row>
    <row r="44" spans="1:22" ht="13.15" customHeight="1">
      <c r="A44" s="222" t="s">
        <v>50</v>
      </c>
      <c r="B44" s="2071">
        <f>+'SZOLGÁLTATÓ IRODA'!B43</f>
        <v>468</v>
      </c>
      <c r="C44" s="410">
        <f>+'SZOLGÁLTATÓ IRODA'!C43</f>
        <v>-199</v>
      </c>
      <c r="D44" s="2093">
        <f>+'SZOLGÁLTATÓ IRODA'!D43</f>
        <v>269</v>
      </c>
      <c r="E44" s="2160">
        <f>+'SEGÍTŐ SZOLGÁLAT'!AK51</f>
        <v>3846</v>
      </c>
      <c r="F44" s="2161">
        <f>+'SEGÍTŐ SZOLGÁLAT'!AL51</f>
        <v>0</v>
      </c>
      <c r="G44" s="2162">
        <f>+'SEGÍTŐ SZOLGÁLAT'!AM51</f>
        <v>3846</v>
      </c>
      <c r="H44" s="2092">
        <f>+ÓVODA!AF49</f>
        <v>6305</v>
      </c>
      <c r="I44" s="1032">
        <f>+ÓVODA!AG49</f>
        <v>90</v>
      </c>
      <c r="J44" s="2093">
        <f>+ÓVODA!AH49</f>
        <v>6395</v>
      </c>
      <c r="K44" s="2065">
        <f>+'KOZMA FERENC ÁLT. ISK.'!V46</f>
        <v>2995</v>
      </c>
      <c r="L44" s="407">
        <f>+'KOZMA FERENC ÁLT. ISK.'!W46</f>
        <v>0</v>
      </c>
      <c r="M44" s="2066">
        <f>+'KOZMA FERENC ÁLT. ISK.'!X46</f>
        <v>2995</v>
      </c>
      <c r="N44" s="2013"/>
      <c r="O44" s="1033"/>
      <c r="P44" s="2022"/>
      <c r="Q44" s="1993">
        <f t="shared" si="0"/>
        <v>13614</v>
      </c>
      <c r="R44" s="1776">
        <f t="shared" si="1"/>
        <v>-109</v>
      </c>
      <c r="S44" s="1641">
        <f t="shared" si="2"/>
        <v>13505</v>
      </c>
    </row>
    <row r="45" spans="1:22" ht="13.15" customHeight="1">
      <c r="A45" s="222" t="s">
        <v>51</v>
      </c>
      <c r="B45" s="2071">
        <f>+'SZOLGÁLTATÓ IRODA'!B44</f>
        <v>0</v>
      </c>
      <c r="C45" s="410">
        <f>+'SZOLGÁLTATÓ IRODA'!C44</f>
        <v>0</v>
      </c>
      <c r="D45" s="2093">
        <f>+'SZOLGÁLTATÓ IRODA'!D44</f>
        <v>0</v>
      </c>
      <c r="E45" s="2160">
        <f>+'SEGÍTŐ SZOLGÁLAT'!AK52</f>
        <v>0</v>
      </c>
      <c r="F45" s="2161">
        <f>+'SEGÍTŐ SZOLGÁLAT'!AL52</f>
        <v>0</v>
      </c>
      <c r="G45" s="2162">
        <f>+'SEGÍTŐ SZOLGÁLAT'!AM52</f>
        <v>0</v>
      </c>
      <c r="H45" s="2092">
        <f>+ÓVODA!AF50</f>
        <v>0</v>
      </c>
      <c r="I45" s="1032">
        <f>+ÓVODA!AG50</f>
        <v>0</v>
      </c>
      <c r="J45" s="2093">
        <f>+ÓVODA!AH50</f>
        <v>0</v>
      </c>
      <c r="K45" s="2065">
        <f>+'KOZMA FERENC ÁLT. ISK.'!V47</f>
        <v>0</v>
      </c>
      <c r="L45" s="407">
        <f>+'KOZMA FERENC ÁLT. ISK.'!W47</f>
        <v>0</v>
      </c>
      <c r="M45" s="2066">
        <f>+'KOZMA FERENC ÁLT. ISK.'!X47</f>
        <v>0</v>
      </c>
      <c r="N45" s="2013"/>
      <c r="O45" s="1033"/>
      <c r="P45" s="2022"/>
      <c r="Q45" s="1993">
        <f t="shared" si="0"/>
        <v>0</v>
      </c>
      <c r="R45" s="1776">
        <f t="shared" si="1"/>
        <v>0</v>
      </c>
      <c r="S45" s="1641">
        <f t="shared" si="2"/>
        <v>0</v>
      </c>
    </row>
    <row r="46" spans="1:22" s="368" customFormat="1" ht="13.15" customHeight="1">
      <c r="A46" s="222" t="s">
        <v>52</v>
      </c>
      <c r="B46" s="2071">
        <f>+'SZOLGÁLTATÓ IRODA'!B45</f>
        <v>0</v>
      </c>
      <c r="C46" s="410">
        <f>+'SZOLGÁLTATÓ IRODA'!C45</f>
        <v>0</v>
      </c>
      <c r="D46" s="2093">
        <f>+'SZOLGÁLTATÓ IRODA'!D45</f>
        <v>0</v>
      </c>
      <c r="E46" s="2160">
        <f>+'SEGÍTŐ SZOLGÁLAT'!AK53</f>
        <v>0</v>
      </c>
      <c r="F46" s="2161">
        <f>+'SEGÍTŐ SZOLGÁLAT'!AL53</f>
        <v>0</v>
      </c>
      <c r="G46" s="2162">
        <f>+'SEGÍTŐ SZOLGÁLAT'!AM53</f>
        <v>0</v>
      </c>
      <c r="H46" s="2092">
        <f>+ÓVODA!AF51</f>
        <v>0</v>
      </c>
      <c r="I46" s="1032">
        <f>+ÓVODA!AG51</f>
        <v>0</v>
      </c>
      <c r="J46" s="2093">
        <f>+ÓVODA!AH51</f>
        <v>0</v>
      </c>
      <c r="K46" s="2065">
        <f>+'KOZMA FERENC ÁLT. ISK.'!V48</f>
        <v>0</v>
      </c>
      <c r="L46" s="407">
        <f>+'KOZMA FERENC ÁLT. ISK.'!W48</f>
        <v>0</v>
      </c>
      <c r="M46" s="2066">
        <f>+'KOZMA FERENC ÁLT. ISK.'!X48</f>
        <v>0</v>
      </c>
      <c r="N46" s="2013"/>
      <c r="O46" s="1033"/>
      <c r="P46" s="2022"/>
      <c r="Q46" s="1993">
        <f t="shared" si="0"/>
        <v>0</v>
      </c>
      <c r="R46" s="1776">
        <f t="shared" si="1"/>
        <v>0</v>
      </c>
      <c r="S46" s="1641">
        <f t="shared" si="2"/>
        <v>0</v>
      </c>
      <c r="V46" s="367"/>
    </row>
    <row r="47" spans="1:22" s="368" customFormat="1" ht="13.15" customHeight="1">
      <c r="A47" s="1316" t="s">
        <v>53</v>
      </c>
      <c r="B47" s="2071">
        <f>+'SZOLGÁLTATÓ IRODA'!B46</f>
        <v>667</v>
      </c>
      <c r="C47" s="410">
        <f>+'SZOLGÁLTATÓ IRODA'!C46</f>
        <v>-302</v>
      </c>
      <c r="D47" s="2094">
        <f>+'SZOLGÁLTATÓ IRODA'!D46</f>
        <v>365</v>
      </c>
      <c r="E47" s="2160">
        <f>+'SEGÍTŐ SZOLGÁLAT'!AK54</f>
        <v>4212</v>
      </c>
      <c r="F47" s="2161">
        <f>+'SEGÍTŐ SZOLGÁLAT'!AL54</f>
        <v>-40</v>
      </c>
      <c r="G47" s="2162">
        <f>+'SEGÍTŐ SZOLGÁLAT'!AM54</f>
        <v>4172</v>
      </c>
      <c r="H47" s="2092">
        <f>+ÓVODA!AF52</f>
        <v>7707</v>
      </c>
      <c r="I47" s="1032">
        <f>+ÓVODA!AG52</f>
        <v>90</v>
      </c>
      <c r="J47" s="2094">
        <f>+ÓVODA!AH52</f>
        <v>7797</v>
      </c>
      <c r="K47" s="2065">
        <f>+'KOZMA FERENC ÁLT. ISK.'!V49</f>
        <v>3125</v>
      </c>
      <c r="L47" s="407">
        <f>+'KOZMA FERENC ÁLT. ISK.'!W49</f>
        <v>0</v>
      </c>
      <c r="M47" s="2067">
        <f>+'KOZMA FERENC ÁLT. ISK.'!X49</f>
        <v>3125</v>
      </c>
      <c r="N47" s="2023"/>
      <c r="O47" s="1658"/>
      <c r="P47" s="2024"/>
      <c r="Q47" s="1993">
        <f t="shared" si="0"/>
        <v>15711</v>
      </c>
      <c r="R47" s="1776">
        <f t="shared" si="1"/>
        <v>-252</v>
      </c>
      <c r="S47" s="1641">
        <f t="shared" si="2"/>
        <v>15459</v>
      </c>
      <c r="V47" s="367"/>
    </row>
    <row r="48" spans="1:22" ht="13.15" customHeight="1">
      <c r="A48" s="1318" t="s">
        <v>54</v>
      </c>
      <c r="B48" s="2085">
        <f>+'SZOLGÁLTATÓ IRODA'!B47</f>
        <v>0</v>
      </c>
      <c r="C48" s="414">
        <f>+'SZOLGÁLTATÓ IRODA'!C47</f>
        <v>0</v>
      </c>
      <c r="D48" s="2096">
        <f>+'SZOLGÁLTATÓ IRODA'!D47</f>
        <v>0</v>
      </c>
      <c r="E48" s="2163">
        <f>+'SEGÍTŐ SZOLGÁLAT'!AK55</f>
        <v>57</v>
      </c>
      <c r="F48" s="2164">
        <f>+'SEGÍTŐ SZOLGÁLAT'!AL55</f>
        <v>0</v>
      </c>
      <c r="G48" s="2165">
        <f>+'SEGÍTŐ SZOLGÁLAT'!AM55</f>
        <v>57</v>
      </c>
      <c r="H48" s="2095">
        <f>+ÓVODA!AF53</f>
        <v>262</v>
      </c>
      <c r="I48" s="1035">
        <f>+ÓVODA!AG53</f>
        <v>0</v>
      </c>
      <c r="J48" s="2096">
        <f>+ÓVODA!AH53</f>
        <v>262</v>
      </c>
      <c r="K48" s="2068">
        <f>+'KOZMA FERENC ÁLT. ISK.'!V50</f>
        <v>847</v>
      </c>
      <c r="L48" s="408">
        <f>+'KOZMA FERENC ÁLT. ISK.'!W50</f>
        <v>0</v>
      </c>
      <c r="M48" s="2069">
        <f>+'KOZMA FERENC ÁLT. ISK.'!X50</f>
        <v>847</v>
      </c>
      <c r="N48" s="2030"/>
      <c r="O48" s="1659"/>
      <c r="P48" s="2026"/>
      <c r="Q48" s="1994">
        <f t="shared" si="0"/>
        <v>1166</v>
      </c>
      <c r="R48" s="1780">
        <f t="shared" si="1"/>
        <v>0</v>
      </c>
      <c r="S48" s="1654">
        <f t="shared" si="2"/>
        <v>1166</v>
      </c>
    </row>
    <row r="49" spans="1:22" ht="13.15" customHeight="1">
      <c r="A49" s="1320" t="s">
        <v>55</v>
      </c>
      <c r="B49" s="1784">
        <f>+'SZOLGÁLTATÓ IRODA'!B48</f>
        <v>667</v>
      </c>
      <c r="C49" s="409">
        <f>+'SZOLGÁLTATÓ IRODA'!C48</f>
        <v>-302</v>
      </c>
      <c r="D49" s="2098">
        <f>+'SZOLGÁLTATÓ IRODA'!D48</f>
        <v>365</v>
      </c>
      <c r="E49" s="2166">
        <f>+'SEGÍTŐ SZOLGÁLAT'!AK56</f>
        <v>4269</v>
      </c>
      <c r="F49" s="2167">
        <f>+'SEGÍTŐ SZOLGÁLAT'!AL56</f>
        <v>-40</v>
      </c>
      <c r="G49" s="2168">
        <f>+'SEGÍTŐ SZOLGÁLAT'!AM56</f>
        <v>4229</v>
      </c>
      <c r="H49" s="2097">
        <f>+ÓVODA!AF54</f>
        <v>7969</v>
      </c>
      <c r="I49" s="1656">
        <f>+ÓVODA!AG54</f>
        <v>90</v>
      </c>
      <c r="J49" s="2098">
        <f>+ÓVODA!AH54</f>
        <v>8059</v>
      </c>
      <c r="K49" s="1784">
        <f>+'KOZMA FERENC ÁLT. ISK.'!V51</f>
        <v>3972</v>
      </c>
      <c r="L49" s="409">
        <f>+'KOZMA FERENC ÁLT. ISK.'!W51</f>
        <v>0</v>
      </c>
      <c r="M49" s="2070">
        <f>+'KOZMA FERENC ÁLT. ISK.'!X51</f>
        <v>3972</v>
      </c>
      <c r="N49" s="2027"/>
      <c r="O49" s="1657"/>
      <c r="P49" s="2028"/>
      <c r="Q49" s="1997">
        <f t="shared" si="0"/>
        <v>16877</v>
      </c>
      <c r="R49" s="1656">
        <f t="shared" si="1"/>
        <v>-252</v>
      </c>
      <c r="S49" s="1799">
        <f t="shared" si="2"/>
        <v>16625</v>
      </c>
    </row>
    <row r="50" spans="1:22" s="368" customFormat="1" ht="13.15" customHeight="1">
      <c r="A50" s="1321" t="s">
        <v>56</v>
      </c>
      <c r="B50" s="2071">
        <f>+'SZOLGÁLTATÓ IRODA'!B49</f>
        <v>0</v>
      </c>
      <c r="C50" s="410">
        <f>+'SZOLGÁLTATÓ IRODA'!C49</f>
        <v>0</v>
      </c>
      <c r="D50" s="2093">
        <f>+'SZOLGÁLTATÓ IRODA'!D49</f>
        <v>0</v>
      </c>
      <c r="E50" s="2160">
        <f>+'SEGÍTŐ SZOLGÁLAT'!AK57</f>
        <v>0</v>
      </c>
      <c r="F50" s="2161">
        <f>+'SEGÍTŐ SZOLGÁLAT'!AL57</f>
        <v>2032</v>
      </c>
      <c r="G50" s="2162">
        <f>+'SEGÍTŐ SZOLGÁLAT'!AM57</f>
        <v>2032</v>
      </c>
      <c r="H50" s="2092">
        <f>+ÓVODA!AF55</f>
        <v>0</v>
      </c>
      <c r="I50" s="1032">
        <f>+ÓVODA!AG55</f>
        <v>0</v>
      </c>
      <c r="J50" s="2093">
        <f>+ÓVODA!AH55</f>
        <v>0</v>
      </c>
      <c r="K50" s="2071">
        <f>+'KOZMA FERENC ÁLT. ISK.'!V52</f>
        <v>0</v>
      </c>
      <c r="L50" s="410">
        <f>+'KOZMA FERENC ÁLT. ISK.'!W52</f>
        <v>0</v>
      </c>
      <c r="M50" s="2072">
        <f>+'KOZMA FERENC ÁLT. ISK.'!X52</f>
        <v>0</v>
      </c>
      <c r="N50" s="2013"/>
      <c r="O50" s="1033"/>
      <c r="P50" s="2022"/>
      <c r="Q50" s="1998">
        <f t="shared" si="0"/>
        <v>0</v>
      </c>
      <c r="R50" s="1032">
        <f t="shared" si="1"/>
        <v>2032</v>
      </c>
      <c r="S50" s="1783">
        <f t="shared" si="2"/>
        <v>2032</v>
      </c>
      <c r="V50" s="367"/>
    </row>
    <row r="51" spans="1:22" s="368" customFormat="1" ht="13.15" customHeight="1">
      <c r="A51" s="1316" t="s">
        <v>57</v>
      </c>
      <c r="B51" s="2071">
        <f>+'SZOLGÁLTATÓ IRODA'!B50</f>
        <v>1142</v>
      </c>
      <c r="C51" s="410">
        <f>+'SZOLGÁLTATÓ IRODA'!C50</f>
        <v>-302</v>
      </c>
      <c r="D51" s="2094">
        <f>+'SZOLGÁLTATÓ IRODA'!D50</f>
        <v>840</v>
      </c>
      <c r="E51" s="2160">
        <f>+'SEGÍTŐ SZOLGÁLAT'!AK58</f>
        <v>5284</v>
      </c>
      <c r="F51" s="2161">
        <f>+'SEGÍTŐ SZOLGÁLAT'!AL58</f>
        <v>-64</v>
      </c>
      <c r="G51" s="2162">
        <f>+'SEGÍTŐ SZOLGÁLAT'!AM58</f>
        <v>5220</v>
      </c>
      <c r="H51" s="2092">
        <f>+ÓVODA!AF56</f>
        <v>12386</v>
      </c>
      <c r="I51" s="1032">
        <f>+ÓVODA!AG56</f>
        <v>90</v>
      </c>
      <c r="J51" s="2094">
        <f>+ÓVODA!AH56</f>
        <v>12476</v>
      </c>
      <c r="K51" s="2065">
        <f>+'KOZMA FERENC ÁLT. ISK.'!V53</f>
        <v>7876</v>
      </c>
      <c r="L51" s="407">
        <f>+'KOZMA FERENC ÁLT. ISK.'!W53</f>
        <v>0</v>
      </c>
      <c r="M51" s="2067">
        <f>+'KOZMA FERENC ÁLT. ISK.'!X53</f>
        <v>7876</v>
      </c>
      <c r="N51" s="2023"/>
      <c r="O51" s="1658"/>
      <c r="P51" s="2024"/>
      <c r="Q51" s="1993">
        <f t="shared" si="0"/>
        <v>26688</v>
      </c>
      <c r="R51" s="1776">
        <f t="shared" si="1"/>
        <v>-276</v>
      </c>
      <c r="S51" s="1641">
        <f t="shared" si="2"/>
        <v>26412</v>
      </c>
      <c r="V51" s="367"/>
    </row>
    <row r="52" spans="1:22" ht="13.15" customHeight="1">
      <c r="A52" s="1650" t="s">
        <v>58</v>
      </c>
      <c r="B52" s="2085">
        <f>+'SZOLGÁLTATÓ IRODA'!B51</f>
        <v>0</v>
      </c>
      <c r="C52" s="414">
        <f>+'SZOLGÁLTATÓ IRODA'!C51</f>
        <v>0</v>
      </c>
      <c r="D52" s="2096">
        <f>+'SZOLGÁLTATÓ IRODA'!D51</f>
        <v>0</v>
      </c>
      <c r="E52" s="2163">
        <f>+'SEGÍTŐ SZOLGÁLAT'!AK59</f>
        <v>270</v>
      </c>
      <c r="F52" s="2164">
        <f>+'SEGÍTŐ SZOLGÁLAT'!AL59</f>
        <v>0</v>
      </c>
      <c r="G52" s="2165">
        <f>+'SEGÍTŐ SZOLGÁLAT'!AM59</f>
        <v>270</v>
      </c>
      <c r="H52" s="2095">
        <f>+ÓVODA!AF57</f>
        <v>348</v>
      </c>
      <c r="I52" s="1035">
        <f>+ÓVODA!AG57</f>
        <v>0</v>
      </c>
      <c r="J52" s="2096">
        <f>+ÓVODA!AH57</f>
        <v>348</v>
      </c>
      <c r="K52" s="2068">
        <f>+'KOZMA FERENC ÁLT. ISK.'!V54</f>
        <v>1705</v>
      </c>
      <c r="L52" s="408">
        <f>+'KOZMA FERENC ÁLT. ISK.'!W54</f>
        <v>0</v>
      </c>
      <c r="M52" s="2069">
        <f>+'KOZMA FERENC ÁLT. ISK.'!X54</f>
        <v>1705</v>
      </c>
      <c r="N52" s="2030"/>
      <c r="O52" s="1659"/>
      <c r="P52" s="2026"/>
      <c r="Q52" s="1994">
        <f t="shared" si="0"/>
        <v>2323</v>
      </c>
      <c r="R52" s="1780">
        <f t="shared" si="1"/>
        <v>0</v>
      </c>
      <c r="S52" s="1654">
        <f t="shared" si="2"/>
        <v>2323</v>
      </c>
      <c r="T52" s="1801"/>
    </row>
    <row r="53" spans="1:22" ht="13.15" customHeight="1">
      <c r="A53" s="1320" t="s">
        <v>59</v>
      </c>
      <c r="B53" s="1784">
        <f>+'SZOLGÁLTATÓ IRODA'!B52</f>
        <v>1142</v>
      </c>
      <c r="C53" s="409">
        <f>+'SZOLGÁLTATÓ IRODA'!C52</f>
        <v>-302</v>
      </c>
      <c r="D53" s="2098">
        <f>+'SZOLGÁLTATÓ IRODA'!D52</f>
        <v>840</v>
      </c>
      <c r="E53" s="2166">
        <f>+'SEGÍTŐ SZOLGÁLAT'!AK60</f>
        <v>5554</v>
      </c>
      <c r="F53" s="2167">
        <f>+'SEGÍTŐ SZOLGÁLAT'!AL60</f>
        <v>-64</v>
      </c>
      <c r="G53" s="2168">
        <f>+'SEGÍTŐ SZOLGÁLAT'!AM60</f>
        <v>5490</v>
      </c>
      <c r="H53" s="2097">
        <f>+ÓVODA!AF58</f>
        <v>12734</v>
      </c>
      <c r="I53" s="1656">
        <f>+ÓVODA!AG58</f>
        <v>90</v>
      </c>
      <c r="J53" s="2098">
        <f>+ÓVODA!AH58</f>
        <v>12824</v>
      </c>
      <c r="K53" s="1784">
        <f>+'KOZMA FERENC ÁLT. ISK.'!V55</f>
        <v>9581</v>
      </c>
      <c r="L53" s="409">
        <f>+'KOZMA FERENC ÁLT. ISK.'!W55</f>
        <v>0</v>
      </c>
      <c r="M53" s="2070">
        <f>+'KOZMA FERENC ÁLT. ISK.'!X55</f>
        <v>9581</v>
      </c>
      <c r="N53" s="2027"/>
      <c r="O53" s="1657"/>
      <c r="P53" s="2028"/>
      <c r="Q53" s="1997">
        <f t="shared" si="0"/>
        <v>29011</v>
      </c>
      <c r="R53" s="1656">
        <f t="shared" si="1"/>
        <v>-276</v>
      </c>
      <c r="S53" s="1799">
        <f t="shared" si="2"/>
        <v>28735</v>
      </c>
      <c r="T53" s="1801"/>
    </row>
    <row r="54" spans="1:22" ht="13.15" customHeight="1">
      <c r="A54" s="1320" t="s">
        <v>60</v>
      </c>
      <c r="B54" s="1784">
        <f>+'SZOLGÁLTATÓ IRODA'!B53</f>
        <v>963</v>
      </c>
      <c r="C54" s="409">
        <f>+'SZOLGÁLTATÓ IRODA'!C53</f>
        <v>254</v>
      </c>
      <c r="D54" s="2098">
        <f>+'SZOLGÁLTATÓ IRODA'!D53</f>
        <v>1217</v>
      </c>
      <c r="E54" s="2163">
        <f>+'SEGÍTŐ SZOLGÁLAT'!AK61</f>
        <v>580</v>
      </c>
      <c r="F54" s="2164">
        <f>+'SEGÍTŐ SZOLGÁLAT'!AL61</f>
        <v>1563</v>
      </c>
      <c r="G54" s="2165">
        <f>+'SEGÍTŐ SZOLGÁLAT'!AM61</f>
        <v>2143</v>
      </c>
      <c r="H54" s="2095">
        <f>+ÓVODA!AF59</f>
        <v>2189</v>
      </c>
      <c r="I54" s="1035">
        <f>+ÓVODA!AG59</f>
        <v>121</v>
      </c>
      <c r="J54" s="2099">
        <f>+ÓVODA!AH59</f>
        <v>2310</v>
      </c>
      <c r="K54" s="2073">
        <f>+'KOZMA FERENC ÁLT. ISK.'!V56</f>
        <v>250</v>
      </c>
      <c r="L54" s="1765">
        <f>+'KOZMA FERENC ÁLT. ISK.'!W56</f>
        <v>382</v>
      </c>
      <c r="M54" s="2070">
        <f>+'KOZMA FERENC ÁLT. ISK.'!X56</f>
        <v>632</v>
      </c>
      <c r="N54" s="2027"/>
      <c r="O54" s="1657"/>
      <c r="P54" s="2028"/>
      <c r="Q54" s="1997">
        <f t="shared" si="0"/>
        <v>3982</v>
      </c>
      <c r="R54" s="1656">
        <f t="shared" si="1"/>
        <v>2320</v>
      </c>
      <c r="S54" s="1799">
        <f t="shared" si="2"/>
        <v>6302</v>
      </c>
      <c r="T54" s="1801"/>
    </row>
    <row r="55" spans="1:22" s="21" customFormat="1" ht="13.15" customHeight="1">
      <c r="A55" s="1512" t="s">
        <v>61</v>
      </c>
      <c r="B55" s="2132">
        <f>+'SZOLGÁLTATÓ IRODA'!B54</f>
        <v>11157</v>
      </c>
      <c r="C55" s="1807">
        <f>+'SZOLGÁLTATÓ IRODA'!C54</f>
        <v>-4398</v>
      </c>
      <c r="D55" s="2101">
        <f>+'SZOLGÁLTATÓ IRODA'!D54</f>
        <v>6759</v>
      </c>
      <c r="E55" s="2169">
        <f>+'SEGÍTŐ SZOLGÁLAT'!AK62</f>
        <v>56425</v>
      </c>
      <c r="F55" s="2170">
        <f>+'SEGÍTŐ SZOLGÁLAT'!AL62</f>
        <v>1658</v>
      </c>
      <c r="G55" s="2171">
        <f>+'SEGÍTŐ SZOLGÁLAT'!AM62</f>
        <v>58083</v>
      </c>
      <c r="H55" s="2100">
        <f>+ÓVODA!AF60</f>
        <v>104796</v>
      </c>
      <c r="I55" s="1808">
        <f>+ÓVODA!AG60</f>
        <v>1425</v>
      </c>
      <c r="J55" s="2101">
        <f>+ÓVODA!AH60</f>
        <v>106221</v>
      </c>
      <c r="K55" s="2074">
        <f>+'KOZMA FERENC ÁLT. ISK.'!V57</f>
        <v>52225</v>
      </c>
      <c r="L55" s="1809">
        <f>+'KOZMA FERENC ÁLT. ISK.'!W57</f>
        <v>382</v>
      </c>
      <c r="M55" s="2075">
        <f>+'KOZMA FERENC ÁLT. ISK.'!X57</f>
        <v>52607</v>
      </c>
      <c r="N55" s="2032"/>
      <c r="O55" s="1792"/>
      <c r="P55" s="2033"/>
      <c r="Q55" s="1999">
        <f t="shared" si="0"/>
        <v>224603</v>
      </c>
      <c r="R55" s="1810">
        <f t="shared" si="1"/>
        <v>-933</v>
      </c>
      <c r="S55" s="1811">
        <f t="shared" si="2"/>
        <v>223670</v>
      </c>
      <c r="V55" s="22"/>
    </row>
    <row r="56" spans="1:22" s="21" customFormat="1" ht="13.15" customHeight="1" thickBot="1">
      <c r="A56" s="1990" t="s">
        <v>62</v>
      </c>
      <c r="B56" s="2133">
        <f>+'SZOLGÁLTATÓ IRODA'!B55</f>
        <v>2832.3</v>
      </c>
      <c r="C56" s="1812">
        <f>+'SZOLGÁLTATÓ IRODA'!C55</f>
        <v>-972</v>
      </c>
      <c r="D56" s="2103">
        <f>+'SZOLGÁLTATÓ IRODA'!D55</f>
        <v>1860.3000000000002</v>
      </c>
      <c r="E56" s="2172">
        <f>+'SEGÍTŐ SZOLGÁLAT'!AK63</f>
        <v>13988.970000000001</v>
      </c>
      <c r="F56" s="2173">
        <f>+'SEGÍTŐ SZOLGÁLAT'!AL63</f>
        <v>416.92</v>
      </c>
      <c r="G56" s="2174">
        <f>+'SEGÍTŐ SZOLGÁLAT'!AM63</f>
        <v>14405.890000000001</v>
      </c>
      <c r="H56" s="2102">
        <f>+ÓVODA!AF61</f>
        <v>26046.900000000005</v>
      </c>
      <c r="I56" s="1813">
        <f>+ÓVODA!AG61</f>
        <v>357</v>
      </c>
      <c r="J56" s="2103">
        <f>+ÓVODA!AH61</f>
        <v>26403.900000000005</v>
      </c>
      <c r="K56" s="2076">
        <f>+'KOZMA FERENC ÁLT. ISK.'!V58</f>
        <v>12982.400000000001</v>
      </c>
      <c r="L56" s="1814">
        <f>+'KOZMA FERENC ÁLT. ISK.'!W58</f>
        <v>100</v>
      </c>
      <c r="M56" s="2077">
        <f>+'KOZMA FERENC ÁLT. ISK.'!X58</f>
        <v>13082.750000000002</v>
      </c>
      <c r="N56" s="2034"/>
      <c r="O56" s="1797"/>
      <c r="P56" s="2035"/>
      <c r="Q56" s="2000">
        <f t="shared" si="0"/>
        <v>55850.570000000007</v>
      </c>
      <c r="R56" s="1815">
        <f t="shared" si="1"/>
        <v>-98.079999999999927</v>
      </c>
      <c r="S56" s="1816">
        <f t="shared" si="2"/>
        <v>55752.490000000005</v>
      </c>
      <c r="V56" s="22"/>
    </row>
    <row r="57" spans="1:22" s="21" customFormat="1" ht="12.75" customHeight="1" thickBot="1">
      <c r="A57" s="1344" t="s">
        <v>63</v>
      </c>
      <c r="B57" s="2078">
        <f>+'SZOLGÁLTATÓ IRODA'!B56</f>
        <v>13989.3</v>
      </c>
      <c r="C57" s="417">
        <f>+'SZOLGÁLTATÓ IRODA'!C56</f>
        <v>-5370</v>
      </c>
      <c r="D57" s="2104">
        <f>SUM(D55:D56)</f>
        <v>8619.2999999999993</v>
      </c>
      <c r="E57" s="2154">
        <f>+'SEGÍTŐ SZOLGÁLAT'!AK64</f>
        <v>70413.97</v>
      </c>
      <c r="F57" s="2155">
        <f>+'SEGÍTŐ SZOLGÁLAT'!AL64</f>
        <v>2074.92</v>
      </c>
      <c r="G57" s="2156">
        <f>+'SEGÍTŐ SZOLGÁLAT'!AM64</f>
        <v>72488.89</v>
      </c>
      <c r="H57" s="2019">
        <f>+ÓVODA!AF62</f>
        <v>130842.89999999998</v>
      </c>
      <c r="I57" s="1072">
        <f>+ÓVODA!AG62</f>
        <v>1782</v>
      </c>
      <c r="J57" s="2104">
        <f>SUM(J55:J56)</f>
        <v>132624.9</v>
      </c>
      <c r="K57" s="2078">
        <f>+'KOZMA FERENC ÁLT. ISK.'!V59</f>
        <v>65207.4</v>
      </c>
      <c r="L57" s="417">
        <f>+'KOZMA FERENC ÁLT. ISK.'!W59</f>
        <v>482</v>
      </c>
      <c r="M57" s="2047">
        <f>SUM(M55:M56)</f>
        <v>65689.75</v>
      </c>
      <c r="N57" s="2036"/>
      <c r="O57" s="1798"/>
      <c r="P57" s="2037"/>
      <c r="Q57" s="1764">
        <f t="shared" si="0"/>
        <v>280453.57</v>
      </c>
      <c r="R57" s="1072">
        <f t="shared" si="1"/>
        <v>-1031.08</v>
      </c>
      <c r="S57" s="2140">
        <f t="shared" si="2"/>
        <v>279422.49</v>
      </c>
      <c r="V57" s="22"/>
    </row>
    <row r="58" spans="1:22">
      <c r="A58" s="23" t="s">
        <v>64</v>
      </c>
      <c r="B58" s="2079">
        <f>+'SZOLGÁLTATÓ IRODA'!B57</f>
        <v>150</v>
      </c>
      <c r="C58" s="1069">
        <f>+'SZOLGÁLTATÓ IRODA'!C57</f>
        <v>0</v>
      </c>
      <c r="D58" s="2091">
        <f>+'SZOLGÁLTATÓ IRODA'!D57</f>
        <v>150</v>
      </c>
      <c r="E58" s="2157">
        <f>+'SEGÍTŐ SZOLGÁLAT'!AK65</f>
        <v>120</v>
      </c>
      <c r="F58" s="2158">
        <f>+'SEGÍTŐ SZOLGÁLAT'!AL65</f>
        <v>8</v>
      </c>
      <c r="G58" s="2159">
        <f>+'SEGÍTŐ SZOLGÁLAT'!AM65</f>
        <v>128</v>
      </c>
      <c r="H58" s="2105">
        <f>+ÓVODA!AF63</f>
        <v>150</v>
      </c>
      <c r="I58" s="1068">
        <f>+ÓVODA!AG63</f>
        <v>0</v>
      </c>
      <c r="J58" s="2091">
        <f>+ÓVODA!AH63</f>
        <v>150</v>
      </c>
      <c r="K58" s="2079">
        <f>+'KOZMA FERENC ÁLT. ISK.'!V60</f>
        <v>450</v>
      </c>
      <c r="L58" s="1069">
        <f>+'KOZMA FERENC ÁLT. ISK.'!W60</f>
        <v>130</v>
      </c>
      <c r="M58" s="2064">
        <f>+'KOZMA FERENC ÁLT. ISK.'!X60</f>
        <v>580</v>
      </c>
      <c r="N58" s="2013"/>
      <c r="O58" s="1033"/>
      <c r="P58" s="2022"/>
      <c r="Q58" s="1998">
        <f t="shared" si="0"/>
        <v>870</v>
      </c>
      <c r="R58" s="1032">
        <f t="shared" si="1"/>
        <v>138</v>
      </c>
      <c r="S58" s="1783">
        <f t="shared" si="2"/>
        <v>1008</v>
      </c>
    </row>
    <row r="59" spans="1:22">
      <c r="A59" s="9" t="s">
        <v>65</v>
      </c>
      <c r="B59" s="2071">
        <f>+'SZOLGÁLTATÓ IRODA'!B58</f>
        <v>35</v>
      </c>
      <c r="C59" s="410">
        <f>+'SZOLGÁLTATÓ IRODA'!C58</f>
        <v>-18</v>
      </c>
      <c r="D59" s="2093">
        <f>+'SZOLGÁLTATÓ IRODA'!D58</f>
        <v>17</v>
      </c>
      <c r="E59" s="2160">
        <f>+'SEGÍTŐ SZOLGÁLAT'!AK66</f>
        <v>25</v>
      </c>
      <c r="F59" s="2161">
        <f>+'SEGÍTŐ SZOLGÁLAT'!AL66</f>
        <v>1</v>
      </c>
      <c r="G59" s="2162">
        <f>+'SEGÍTŐ SZOLGÁLAT'!AM66</f>
        <v>26</v>
      </c>
      <c r="H59" s="2092">
        <f>+ÓVODA!AF64</f>
        <v>250</v>
      </c>
      <c r="I59" s="1032">
        <f>+ÓVODA!AG64</f>
        <v>28</v>
      </c>
      <c r="J59" s="2093">
        <f>+ÓVODA!AH64</f>
        <v>278</v>
      </c>
      <c r="K59" s="2065">
        <f>+'KOZMA FERENC ÁLT. ISK.'!V61</f>
        <v>1269</v>
      </c>
      <c r="L59" s="407">
        <f>+'KOZMA FERENC ÁLT. ISK.'!W61</f>
        <v>1</v>
      </c>
      <c r="M59" s="2066">
        <f>+'KOZMA FERENC ÁLT. ISK.'!X61</f>
        <v>1270</v>
      </c>
      <c r="N59" s="2013"/>
      <c r="O59" s="1033"/>
      <c r="P59" s="2038"/>
      <c r="Q59" s="1993">
        <f t="shared" si="0"/>
        <v>1579</v>
      </c>
      <c r="R59" s="1776">
        <f t="shared" si="1"/>
        <v>12</v>
      </c>
      <c r="S59" s="1641">
        <f t="shared" si="2"/>
        <v>1591</v>
      </c>
    </row>
    <row r="60" spans="1:22">
      <c r="A60" s="9" t="s">
        <v>66</v>
      </c>
      <c r="B60" s="2071">
        <f>+'SZOLGÁLTATÓ IRODA'!B59</f>
        <v>20</v>
      </c>
      <c r="C60" s="410">
        <f>+'SZOLGÁLTATÓ IRODA'!C59</f>
        <v>-15</v>
      </c>
      <c r="D60" s="2093">
        <f>+'SZOLGÁLTATÓ IRODA'!D59</f>
        <v>5</v>
      </c>
      <c r="E60" s="2160">
        <f>+'SEGÍTŐ SZOLGÁLAT'!AK67</f>
        <v>0</v>
      </c>
      <c r="F60" s="2161">
        <f>+'SEGÍTŐ SZOLGÁLAT'!AL67</f>
        <v>0</v>
      </c>
      <c r="G60" s="2162">
        <f>+'SEGÍTŐ SZOLGÁLAT'!AM67</f>
        <v>0</v>
      </c>
      <c r="H60" s="2092">
        <f>+ÓVODA!AF65</f>
        <v>30</v>
      </c>
      <c r="I60" s="1032">
        <f>+ÓVODA!AG65</f>
        <v>0</v>
      </c>
      <c r="J60" s="2093">
        <f>+ÓVODA!AH65</f>
        <v>30</v>
      </c>
      <c r="K60" s="2065">
        <f>+'KOZMA FERENC ÁLT. ISK.'!V62</f>
        <v>15</v>
      </c>
      <c r="L60" s="407">
        <f>+'KOZMA FERENC ÁLT. ISK.'!W62</f>
        <v>0</v>
      </c>
      <c r="M60" s="2066">
        <f>+'KOZMA FERENC ÁLT. ISK.'!X62</f>
        <v>15</v>
      </c>
      <c r="N60" s="2013"/>
      <c r="O60" s="1033"/>
      <c r="P60" s="2038"/>
      <c r="Q60" s="1993">
        <f t="shared" si="0"/>
        <v>65</v>
      </c>
      <c r="R60" s="1776">
        <f t="shared" si="1"/>
        <v>-15</v>
      </c>
      <c r="S60" s="1641">
        <f t="shared" si="2"/>
        <v>50</v>
      </c>
    </row>
    <row r="61" spans="1:22" ht="13.9" customHeight="1">
      <c r="A61" s="9" t="s">
        <v>67</v>
      </c>
      <c r="B61" s="2071">
        <f>+'SZOLGÁLTATÓ IRODA'!B60</f>
        <v>0</v>
      </c>
      <c r="C61" s="410">
        <f>+'SZOLGÁLTATÓ IRODA'!C60</f>
        <v>0</v>
      </c>
      <c r="D61" s="2093">
        <f>+'SZOLGÁLTATÓ IRODA'!D60</f>
        <v>0</v>
      </c>
      <c r="E61" s="2160">
        <f>+'SEGÍTŐ SZOLGÁLAT'!AK68</f>
        <v>20</v>
      </c>
      <c r="F61" s="2161">
        <f>+'SEGÍTŐ SZOLGÁLAT'!AL68</f>
        <v>-20</v>
      </c>
      <c r="G61" s="2162">
        <f>+'SEGÍTŐ SZOLGÁLAT'!AM68</f>
        <v>0</v>
      </c>
      <c r="H61" s="2092">
        <f>+ÓVODA!AF66</f>
        <v>30</v>
      </c>
      <c r="I61" s="1032">
        <f>+ÓVODA!AG66</f>
        <v>0</v>
      </c>
      <c r="J61" s="2093">
        <f>+ÓVODA!AH66</f>
        <v>30</v>
      </c>
      <c r="K61" s="2065">
        <f>+'KOZMA FERENC ÁLT. ISK.'!V63</f>
        <v>10</v>
      </c>
      <c r="L61" s="407">
        <f>+'KOZMA FERENC ÁLT. ISK.'!W63</f>
        <v>0</v>
      </c>
      <c r="M61" s="2066">
        <f>+'KOZMA FERENC ÁLT. ISK.'!X63</f>
        <v>10</v>
      </c>
      <c r="N61" s="2013"/>
      <c r="O61" s="1033"/>
      <c r="P61" s="2038"/>
      <c r="Q61" s="1993">
        <f t="shared" si="0"/>
        <v>60</v>
      </c>
      <c r="R61" s="1776">
        <f t="shared" si="1"/>
        <v>-20</v>
      </c>
      <c r="S61" s="1641">
        <f t="shared" si="2"/>
        <v>40</v>
      </c>
    </row>
    <row r="62" spans="1:22">
      <c r="A62" s="9" t="s">
        <v>68</v>
      </c>
      <c r="B62" s="2071">
        <f>+'SZOLGÁLTATÓ IRODA'!B61</f>
        <v>0</v>
      </c>
      <c r="C62" s="410">
        <f>+'SZOLGÁLTATÓ IRODA'!C61</f>
        <v>0</v>
      </c>
      <c r="D62" s="2093">
        <f>+'SZOLGÁLTATÓ IRODA'!D61</f>
        <v>0</v>
      </c>
      <c r="E62" s="2160">
        <f>+'SEGÍTŐ SZOLGÁLAT'!AK69</f>
        <v>2110</v>
      </c>
      <c r="F62" s="2161">
        <f>+'SEGÍTŐ SZOLGÁLAT'!AL69</f>
        <v>-100</v>
      </c>
      <c r="G62" s="2162">
        <f>+'SEGÍTŐ SZOLGÁLAT'!AM69</f>
        <v>2010</v>
      </c>
      <c r="H62" s="2092">
        <f>+ÓVODA!AF67</f>
        <v>20</v>
      </c>
      <c r="I62" s="1032">
        <f>+ÓVODA!AG67</f>
        <v>0</v>
      </c>
      <c r="J62" s="2093">
        <f>+ÓVODA!AH67</f>
        <v>20</v>
      </c>
      <c r="K62" s="2065">
        <f>+'KOZMA FERENC ÁLT. ISK.'!V64</f>
        <v>10</v>
      </c>
      <c r="L62" s="407">
        <f>+'KOZMA FERENC ÁLT. ISK.'!W64</f>
        <v>0</v>
      </c>
      <c r="M62" s="2066">
        <f>+'KOZMA FERENC ÁLT. ISK.'!X64</f>
        <v>10</v>
      </c>
      <c r="N62" s="2013"/>
      <c r="O62" s="1033"/>
      <c r="P62" s="2038"/>
      <c r="Q62" s="1993">
        <f t="shared" si="0"/>
        <v>2140</v>
      </c>
      <c r="R62" s="1776">
        <f t="shared" si="1"/>
        <v>-100</v>
      </c>
      <c r="S62" s="1641">
        <f t="shared" si="2"/>
        <v>2040</v>
      </c>
    </row>
    <row r="63" spans="1:22">
      <c r="A63" s="9" t="s">
        <v>69</v>
      </c>
      <c r="B63" s="2071">
        <f>+'SZOLGÁLTATÓ IRODA'!B62</f>
        <v>50</v>
      </c>
      <c r="C63" s="410">
        <f>+'SZOLGÁLTATÓ IRODA'!C62</f>
        <v>-30</v>
      </c>
      <c r="D63" s="2093">
        <f>+'SZOLGÁLTATÓ IRODA'!D62</f>
        <v>20</v>
      </c>
      <c r="E63" s="2160">
        <f>+'SEGÍTŐ SZOLGÁLAT'!AK70</f>
        <v>210</v>
      </c>
      <c r="F63" s="2161">
        <f>+'SEGÍTŐ SZOLGÁLAT'!AL70</f>
        <v>-71</v>
      </c>
      <c r="G63" s="2162">
        <f>+'SEGÍTŐ SZOLGÁLAT'!AM70</f>
        <v>139</v>
      </c>
      <c r="H63" s="2092">
        <f>+ÓVODA!AF68</f>
        <v>255</v>
      </c>
      <c r="I63" s="1032">
        <f>+ÓVODA!AG68</f>
        <v>0</v>
      </c>
      <c r="J63" s="2093">
        <f>+ÓVODA!AH68</f>
        <v>255</v>
      </c>
      <c r="K63" s="2065">
        <f>+'KOZMA FERENC ÁLT. ISK.'!V65</f>
        <v>100</v>
      </c>
      <c r="L63" s="407">
        <f>+'KOZMA FERENC ÁLT. ISK.'!W65</f>
        <v>0</v>
      </c>
      <c r="M63" s="2066">
        <f>+'KOZMA FERENC ÁLT. ISK.'!X65</f>
        <v>100</v>
      </c>
      <c r="N63" s="2013"/>
      <c r="O63" s="1033"/>
      <c r="P63" s="2038"/>
      <c r="Q63" s="1993">
        <f t="shared" si="0"/>
        <v>615</v>
      </c>
      <c r="R63" s="1776">
        <f t="shared" si="1"/>
        <v>-101</v>
      </c>
      <c r="S63" s="1641">
        <f t="shared" si="2"/>
        <v>514</v>
      </c>
    </row>
    <row r="64" spans="1:22">
      <c r="A64" s="9" t="s">
        <v>70</v>
      </c>
      <c r="B64" s="2071">
        <f>+'SZOLGÁLTATÓ IRODA'!B63</f>
        <v>0</v>
      </c>
      <c r="C64" s="410">
        <f>+'SZOLGÁLTATÓ IRODA'!C63</f>
        <v>0</v>
      </c>
      <c r="D64" s="2093">
        <f>+'SZOLGÁLTATÓ IRODA'!D63</f>
        <v>0</v>
      </c>
      <c r="E64" s="2160">
        <f>+'SEGÍTŐ SZOLGÁLAT'!AK71</f>
        <v>15</v>
      </c>
      <c r="F64" s="2161">
        <f>+'SEGÍTŐ SZOLGÁLAT'!AL71</f>
        <v>8</v>
      </c>
      <c r="G64" s="2162">
        <f>+'SEGÍTŐ SZOLGÁLAT'!AM71</f>
        <v>23</v>
      </c>
      <c r="H64" s="2092">
        <f>+ÓVODA!AF69</f>
        <v>400</v>
      </c>
      <c r="I64" s="1032">
        <f>+ÓVODA!AG69</f>
        <v>41</v>
      </c>
      <c r="J64" s="2093">
        <f>+ÓVODA!AH69</f>
        <v>441</v>
      </c>
      <c r="K64" s="2065">
        <f>+'KOZMA FERENC ÁLT. ISK.'!V66</f>
        <v>100</v>
      </c>
      <c r="L64" s="407">
        <f>+'KOZMA FERENC ÁLT. ISK.'!W66</f>
        <v>0</v>
      </c>
      <c r="M64" s="2066">
        <f>+'KOZMA FERENC ÁLT. ISK.'!X66</f>
        <v>100</v>
      </c>
      <c r="N64" s="2013"/>
      <c r="O64" s="1033"/>
      <c r="P64" s="2038"/>
      <c r="Q64" s="1993">
        <f t="shared" si="0"/>
        <v>515</v>
      </c>
      <c r="R64" s="1776">
        <f t="shared" si="1"/>
        <v>49</v>
      </c>
      <c r="S64" s="1641">
        <f t="shared" si="2"/>
        <v>564</v>
      </c>
    </row>
    <row r="65" spans="1:19">
      <c r="A65" s="9" t="s">
        <v>71</v>
      </c>
      <c r="B65" s="2071">
        <f>+'SZOLGÁLTATÓ IRODA'!B64</f>
        <v>0</v>
      </c>
      <c r="C65" s="410">
        <f>+'SZOLGÁLTATÓ IRODA'!C64</f>
        <v>0</v>
      </c>
      <c r="D65" s="2093">
        <f>+'SZOLGÁLTATÓ IRODA'!D64</f>
        <v>0</v>
      </c>
      <c r="E65" s="2160">
        <f>+'SEGÍTŐ SZOLGÁLAT'!AK72</f>
        <v>0</v>
      </c>
      <c r="F65" s="2161">
        <f>+'SEGÍTŐ SZOLGÁLAT'!AL72</f>
        <v>0</v>
      </c>
      <c r="G65" s="2162">
        <f>+'SEGÍTŐ SZOLGÁLAT'!AM72</f>
        <v>0</v>
      </c>
      <c r="H65" s="2092">
        <f>+ÓVODA!AF70</f>
        <v>0</v>
      </c>
      <c r="I65" s="1032">
        <f>+ÓVODA!AG70</f>
        <v>0</v>
      </c>
      <c r="J65" s="2093">
        <f>+ÓVODA!AH70</f>
        <v>0</v>
      </c>
      <c r="K65" s="2065">
        <f>+'KOZMA FERENC ÁLT. ISK.'!V67</f>
        <v>0</v>
      </c>
      <c r="L65" s="407">
        <f>+'KOZMA FERENC ÁLT. ISK.'!W67</f>
        <v>0</v>
      </c>
      <c r="M65" s="2066">
        <f>+'KOZMA FERENC ÁLT. ISK.'!X67</f>
        <v>0</v>
      </c>
      <c r="N65" s="2013"/>
      <c r="O65" s="1033"/>
      <c r="P65" s="2038"/>
      <c r="Q65" s="1993">
        <f t="shared" si="0"/>
        <v>0</v>
      </c>
      <c r="R65" s="1776">
        <f t="shared" si="1"/>
        <v>0</v>
      </c>
      <c r="S65" s="1641">
        <f t="shared" si="2"/>
        <v>0</v>
      </c>
    </row>
    <row r="66" spans="1:19">
      <c r="A66" s="9" t="s">
        <v>72</v>
      </c>
      <c r="B66" s="2071">
        <f>+'SZOLGÁLTATÓ IRODA'!B65</f>
        <v>0</v>
      </c>
      <c r="C66" s="410">
        <f>+'SZOLGÁLTATÓ IRODA'!C65</f>
        <v>0</v>
      </c>
      <c r="D66" s="2093">
        <f>+'SZOLGÁLTATÓ IRODA'!D65</f>
        <v>0</v>
      </c>
      <c r="E66" s="2160">
        <f>+'SEGÍTŐ SZOLGÁLAT'!AK73</f>
        <v>0</v>
      </c>
      <c r="F66" s="2161">
        <f>+'SEGÍTŐ SZOLGÁLAT'!AL73</f>
        <v>0</v>
      </c>
      <c r="G66" s="2162">
        <f>+'SEGÍTŐ SZOLGÁLAT'!AM73</f>
        <v>0</v>
      </c>
      <c r="H66" s="2092">
        <f>+ÓVODA!AF71</f>
        <v>210</v>
      </c>
      <c r="I66" s="1032">
        <f>+ÓVODA!AG71</f>
        <v>0</v>
      </c>
      <c r="J66" s="2093">
        <f>+ÓVODA!AH71</f>
        <v>210</v>
      </c>
      <c r="K66" s="2065">
        <f>+'KOZMA FERENC ÁLT. ISK.'!V68</f>
        <v>80</v>
      </c>
      <c r="L66" s="407">
        <f>+'KOZMA FERENC ÁLT. ISK.'!W68</f>
        <v>0</v>
      </c>
      <c r="M66" s="2066">
        <f>+'KOZMA FERENC ÁLT. ISK.'!X68</f>
        <v>80</v>
      </c>
      <c r="N66" s="2013"/>
      <c r="O66" s="1033"/>
      <c r="P66" s="2038"/>
      <c r="Q66" s="1993">
        <f t="shared" si="0"/>
        <v>290</v>
      </c>
      <c r="R66" s="1776">
        <f t="shared" si="1"/>
        <v>0</v>
      </c>
      <c r="S66" s="1641">
        <f t="shared" si="2"/>
        <v>290</v>
      </c>
    </row>
    <row r="67" spans="1:19">
      <c r="A67" s="25" t="s">
        <v>73</v>
      </c>
      <c r="B67" s="2085">
        <f>+'SZOLGÁLTATÓ IRODA'!B66</f>
        <v>183.5</v>
      </c>
      <c r="C67" s="414">
        <f>+'SZOLGÁLTATÓ IRODA'!C66</f>
        <v>-60</v>
      </c>
      <c r="D67" s="2099">
        <f>+'SZOLGÁLTATÓ IRODA'!D66</f>
        <v>123.5</v>
      </c>
      <c r="E67" s="2163">
        <f>+'SEGÍTŐ SZOLGÁLAT'!AK74</f>
        <v>355</v>
      </c>
      <c r="F67" s="2164">
        <f>+'SEGÍTŐ SZOLGÁLAT'!AL74</f>
        <v>-330</v>
      </c>
      <c r="G67" s="2165">
        <f>+'SEGÍTŐ SZOLGÁLAT'!AM74</f>
        <v>25</v>
      </c>
      <c r="H67" s="2095">
        <f>+ÓVODA!AF72</f>
        <v>580</v>
      </c>
      <c r="I67" s="1035">
        <f>+ÓVODA!AG72</f>
        <v>-386</v>
      </c>
      <c r="J67" s="2099">
        <f>+ÓVODA!AH72</f>
        <v>194</v>
      </c>
      <c r="K67" s="2068">
        <f>+'KOZMA FERENC ÁLT. ISK.'!V69</f>
        <v>100</v>
      </c>
      <c r="L67" s="408">
        <f>+'KOZMA FERENC ÁLT. ISK.'!W69</f>
        <v>0</v>
      </c>
      <c r="M67" s="2080">
        <f>+'KOZMA FERENC ÁLT. ISK.'!X69</f>
        <v>100</v>
      </c>
      <c r="N67" s="2039"/>
      <c r="O67" s="1655"/>
      <c r="P67" s="2040"/>
      <c r="Q67" s="1994">
        <f t="shared" si="0"/>
        <v>1218.5</v>
      </c>
      <c r="R67" s="1780">
        <f t="shared" si="1"/>
        <v>-776</v>
      </c>
      <c r="S67" s="1654">
        <f t="shared" si="2"/>
        <v>442.5</v>
      </c>
    </row>
    <row r="68" spans="1:19">
      <c r="A68" s="825" t="s">
        <v>74</v>
      </c>
      <c r="B68" s="1784">
        <f>+'SZOLGÁLTATÓ IRODA'!B67</f>
        <v>438.5</v>
      </c>
      <c r="C68" s="409">
        <f>+'SZOLGÁLTATÓ IRODA'!C67</f>
        <v>-123</v>
      </c>
      <c r="D68" s="2098">
        <f>+'SZOLGÁLTATÓ IRODA'!D67</f>
        <v>315.5</v>
      </c>
      <c r="E68" s="2166">
        <f>+'SEGÍTŐ SZOLGÁLAT'!AK75</f>
        <v>2855</v>
      </c>
      <c r="F68" s="2167">
        <f>+'SEGÍTŐ SZOLGÁLAT'!AL75</f>
        <v>-504</v>
      </c>
      <c r="G68" s="2168">
        <f>+'SEGÍTŐ SZOLGÁLAT'!AM75</f>
        <v>2351</v>
      </c>
      <c r="H68" s="2097">
        <f>+ÓVODA!AF73</f>
        <v>1925</v>
      </c>
      <c r="I68" s="1656">
        <f>+ÓVODA!AG73</f>
        <v>-317</v>
      </c>
      <c r="J68" s="2098">
        <f>+ÓVODA!AH73</f>
        <v>1608</v>
      </c>
      <c r="K68" s="1784">
        <f>+'KOZMA FERENC ÁLT. ISK.'!V70</f>
        <v>2134</v>
      </c>
      <c r="L68" s="409">
        <f>+'KOZMA FERENC ÁLT. ISK.'!W70</f>
        <v>131</v>
      </c>
      <c r="M68" s="2070">
        <f>+'KOZMA FERENC ÁLT. ISK.'!X70</f>
        <v>2265</v>
      </c>
      <c r="N68" s="2027"/>
      <c r="O68" s="1657"/>
      <c r="P68" s="2028">
        <f>SUM(P58:P67)</f>
        <v>0</v>
      </c>
      <c r="Q68" s="1997">
        <f t="shared" si="0"/>
        <v>7352.5</v>
      </c>
      <c r="R68" s="1656">
        <f t="shared" si="1"/>
        <v>-813</v>
      </c>
      <c r="S68" s="1799">
        <f t="shared" si="2"/>
        <v>6539.5</v>
      </c>
    </row>
    <row r="69" spans="1:19">
      <c r="A69" s="23" t="s">
        <v>75</v>
      </c>
      <c r="B69" s="2071">
        <f>+'SZOLGÁLTATÓ IRODA'!B68</f>
        <v>220</v>
      </c>
      <c r="C69" s="410">
        <f>+'SZOLGÁLTATÓ IRODA'!C68</f>
        <v>-123</v>
      </c>
      <c r="D69" s="2093">
        <f>+'SZOLGÁLTATÓ IRODA'!D68</f>
        <v>97</v>
      </c>
      <c r="E69" s="2160">
        <f>+'SEGÍTŐ SZOLGÁLAT'!AK76</f>
        <v>740</v>
      </c>
      <c r="F69" s="2161">
        <f>+'SEGÍTŐ SZOLGÁLAT'!AL76</f>
        <v>22</v>
      </c>
      <c r="G69" s="2162">
        <f>+'SEGÍTŐ SZOLGÁLAT'!AM76</f>
        <v>762</v>
      </c>
      <c r="H69" s="2092">
        <f>+ÓVODA!AF74</f>
        <v>405</v>
      </c>
      <c r="I69" s="1032">
        <f>+ÓVODA!AG74</f>
        <v>13</v>
      </c>
      <c r="J69" s="2093">
        <f>+ÓVODA!AH74</f>
        <v>418</v>
      </c>
      <c r="K69" s="2071">
        <f>+'KOZMA FERENC ÁLT. ISK.'!V71</f>
        <v>200</v>
      </c>
      <c r="L69" s="410">
        <f>+'KOZMA FERENC ÁLT. ISK.'!W71</f>
        <v>16</v>
      </c>
      <c r="M69" s="2072">
        <f>+'KOZMA FERENC ÁLT. ISK.'!X71</f>
        <v>216</v>
      </c>
      <c r="N69" s="2013"/>
      <c r="O69" s="1033"/>
      <c r="P69" s="2022"/>
      <c r="Q69" s="1998">
        <f t="shared" si="0"/>
        <v>1565</v>
      </c>
      <c r="R69" s="1032">
        <f t="shared" si="1"/>
        <v>-72</v>
      </c>
      <c r="S69" s="1783">
        <f t="shared" si="2"/>
        <v>1493</v>
      </c>
    </row>
    <row r="70" spans="1:19">
      <c r="A70" s="9" t="s">
        <v>76</v>
      </c>
      <c r="B70" s="2071">
        <f>+'SZOLGÁLTATÓ IRODA'!B69</f>
        <v>100</v>
      </c>
      <c r="C70" s="410">
        <f>+'SZOLGÁLTATÓ IRODA'!C69</f>
        <v>-50</v>
      </c>
      <c r="D70" s="2093">
        <f>+'SZOLGÁLTATÓ IRODA'!D69</f>
        <v>50</v>
      </c>
      <c r="E70" s="2160">
        <f>+'SEGÍTŐ SZOLGÁLAT'!AK77</f>
        <v>0</v>
      </c>
      <c r="F70" s="2161">
        <f>+'SEGÍTŐ SZOLGÁLAT'!AL77</f>
        <v>0</v>
      </c>
      <c r="G70" s="2162">
        <f>+'SEGÍTŐ SZOLGÁLAT'!AM77</f>
        <v>0</v>
      </c>
      <c r="H70" s="2092">
        <f>+ÓVODA!AF75</f>
        <v>0</v>
      </c>
      <c r="I70" s="1032">
        <f>+ÓVODA!AG75</f>
        <v>0</v>
      </c>
      <c r="J70" s="2093">
        <f>+ÓVODA!AH75</f>
        <v>0</v>
      </c>
      <c r="K70" s="2065">
        <f>+'KOZMA FERENC ÁLT. ISK.'!V72</f>
        <v>0</v>
      </c>
      <c r="L70" s="407">
        <f>+'KOZMA FERENC ÁLT. ISK.'!W72</f>
        <v>0</v>
      </c>
      <c r="M70" s="2066">
        <f>+'KOZMA FERENC ÁLT. ISK.'!X72</f>
        <v>0</v>
      </c>
      <c r="N70" s="2013"/>
      <c r="O70" s="1033"/>
      <c r="P70" s="2038"/>
      <c r="Q70" s="1993">
        <f t="shared" si="0"/>
        <v>100</v>
      </c>
      <c r="R70" s="1776">
        <f t="shared" si="1"/>
        <v>-50</v>
      </c>
      <c r="S70" s="1641">
        <f t="shared" si="2"/>
        <v>50</v>
      </c>
    </row>
    <row r="71" spans="1:19">
      <c r="A71" s="25" t="s">
        <v>77</v>
      </c>
      <c r="B71" s="2085">
        <f>+'SZOLGÁLTATÓ IRODA'!B70</f>
        <v>300</v>
      </c>
      <c r="C71" s="414">
        <f>+'SZOLGÁLTATÓ IRODA'!C70</f>
        <v>-150</v>
      </c>
      <c r="D71" s="2099">
        <f>+'SZOLGÁLTATÓ IRODA'!D70</f>
        <v>150</v>
      </c>
      <c r="E71" s="2163">
        <f>+'SEGÍTŐ SZOLGÁLAT'!AK78</f>
        <v>0</v>
      </c>
      <c r="F71" s="2164">
        <f>+'SEGÍTŐ SZOLGÁLAT'!AL78</f>
        <v>0</v>
      </c>
      <c r="G71" s="2165">
        <f>+'SEGÍTŐ SZOLGÁLAT'!AM78</f>
        <v>0</v>
      </c>
      <c r="H71" s="2095">
        <f>+ÓVODA!AF76</f>
        <v>0</v>
      </c>
      <c r="I71" s="1035">
        <f>+ÓVODA!AG76</f>
        <v>0</v>
      </c>
      <c r="J71" s="2099">
        <f>+ÓVODA!AH76</f>
        <v>0</v>
      </c>
      <c r="K71" s="2068">
        <f>+'KOZMA FERENC ÁLT. ISK.'!V73</f>
        <v>0</v>
      </c>
      <c r="L71" s="408">
        <f>+'KOZMA FERENC ÁLT. ISK.'!W73</f>
        <v>0</v>
      </c>
      <c r="M71" s="2080">
        <f>+'KOZMA FERENC ÁLT. ISK.'!X73</f>
        <v>0</v>
      </c>
      <c r="N71" s="2039"/>
      <c r="O71" s="1655"/>
      <c r="P71" s="2040"/>
      <c r="Q71" s="1994">
        <f t="shared" ref="Q71:Q117" si="4">+B71+E71+H71+K71+N71</f>
        <v>300</v>
      </c>
      <c r="R71" s="1780">
        <f t="shared" ref="R71:R113" si="5">+C71+F71+I71+L71+O71</f>
        <v>-150</v>
      </c>
      <c r="S71" s="1654">
        <f t="shared" ref="S71:S113" si="6">SUM(Q71:R71)</f>
        <v>150</v>
      </c>
    </row>
    <row r="72" spans="1:19">
      <c r="A72" s="825" t="s">
        <v>78</v>
      </c>
      <c r="B72" s="1784">
        <f>+'SZOLGÁLTATÓ IRODA'!B71</f>
        <v>620</v>
      </c>
      <c r="C72" s="409">
        <f>+'SZOLGÁLTATÓ IRODA'!C71</f>
        <v>-323</v>
      </c>
      <c r="D72" s="2098">
        <f>+'SZOLGÁLTATÓ IRODA'!D71</f>
        <v>297</v>
      </c>
      <c r="E72" s="2166">
        <f>+'SEGÍTŐ SZOLGÁLAT'!AK79</f>
        <v>740</v>
      </c>
      <c r="F72" s="2167">
        <f>+'SEGÍTŐ SZOLGÁLAT'!AL79</f>
        <v>22</v>
      </c>
      <c r="G72" s="2168">
        <f>+'SEGÍTŐ SZOLGÁLAT'!AM79</f>
        <v>762</v>
      </c>
      <c r="H72" s="2097">
        <f>+ÓVODA!AF77</f>
        <v>405</v>
      </c>
      <c r="I72" s="1656">
        <f>+ÓVODA!AG77</f>
        <v>13</v>
      </c>
      <c r="J72" s="2098">
        <f>+ÓVODA!AH77</f>
        <v>418</v>
      </c>
      <c r="K72" s="1784">
        <f>+'KOZMA FERENC ÁLT. ISK.'!V74</f>
        <v>200</v>
      </c>
      <c r="L72" s="409">
        <f>+'KOZMA FERENC ÁLT. ISK.'!W74</f>
        <v>16</v>
      </c>
      <c r="M72" s="2070">
        <f>+'KOZMA FERENC ÁLT. ISK.'!X74</f>
        <v>216</v>
      </c>
      <c r="N72" s="2027"/>
      <c r="O72" s="1657"/>
      <c r="P72" s="2028"/>
      <c r="Q72" s="1997">
        <f t="shared" si="4"/>
        <v>1965</v>
      </c>
      <c r="R72" s="1656">
        <f t="shared" si="5"/>
        <v>-272</v>
      </c>
      <c r="S72" s="1799">
        <f t="shared" si="6"/>
        <v>1693</v>
      </c>
    </row>
    <row r="73" spans="1:19">
      <c r="A73" s="23" t="s">
        <v>79</v>
      </c>
      <c r="B73" s="2071">
        <f>+'SZOLGÁLTATÓ IRODA'!B72</f>
        <v>0</v>
      </c>
      <c r="C73" s="410">
        <f>+'SZOLGÁLTATÓ IRODA'!C72</f>
        <v>0</v>
      </c>
      <c r="D73" s="2093">
        <f>+'SZOLGÁLTATÓ IRODA'!D72</f>
        <v>0</v>
      </c>
      <c r="E73" s="2160">
        <f>+'SEGÍTŐ SZOLGÁLAT'!AK80</f>
        <v>2923</v>
      </c>
      <c r="F73" s="2161">
        <f>+'SEGÍTŐ SZOLGÁLAT'!AL80</f>
        <v>-776</v>
      </c>
      <c r="G73" s="2162">
        <f>+'SEGÍTŐ SZOLGÁLAT'!AM80</f>
        <v>2147</v>
      </c>
      <c r="H73" s="2092">
        <f>+ÓVODA!AF78</f>
        <v>0</v>
      </c>
      <c r="I73" s="1032">
        <f>+ÓVODA!AG78</f>
        <v>0</v>
      </c>
      <c r="J73" s="2093">
        <f>+ÓVODA!AH78</f>
        <v>0</v>
      </c>
      <c r="K73" s="2071">
        <f>+'KOZMA FERENC ÁLT. ISK.'!V75</f>
        <v>200</v>
      </c>
      <c r="L73" s="410">
        <f>+'KOZMA FERENC ÁLT. ISK.'!W75</f>
        <v>0</v>
      </c>
      <c r="M73" s="2072">
        <f>+'KOZMA FERENC ÁLT. ISK.'!X75</f>
        <v>200</v>
      </c>
      <c r="N73" s="2013"/>
      <c r="O73" s="1033"/>
      <c r="P73" s="2022"/>
      <c r="Q73" s="1998">
        <f t="shared" si="4"/>
        <v>3123</v>
      </c>
      <c r="R73" s="1032">
        <f t="shared" si="5"/>
        <v>-776</v>
      </c>
      <c r="S73" s="1783">
        <f t="shared" si="6"/>
        <v>2347</v>
      </c>
    </row>
    <row r="74" spans="1:19">
      <c r="A74" s="9" t="s">
        <v>80</v>
      </c>
      <c r="B74" s="2071">
        <f>+'SZOLGÁLTATÓ IRODA'!B73</f>
        <v>0</v>
      </c>
      <c r="C74" s="410">
        <f>+'SZOLGÁLTATÓ IRODA'!C73</f>
        <v>0</v>
      </c>
      <c r="D74" s="2093">
        <f>+'SZOLGÁLTATÓ IRODA'!D73</f>
        <v>0</v>
      </c>
      <c r="E74" s="2160">
        <f>+'SEGÍTŐ SZOLGÁLAT'!AK81</f>
        <v>2016</v>
      </c>
      <c r="F74" s="2161">
        <f>+'SEGÍTŐ SZOLGÁLAT'!AL81</f>
        <v>0</v>
      </c>
      <c r="G74" s="2162">
        <f>+'SEGÍTŐ SZOLGÁLAT'!AM81</f>
        <v>2016</v>
      </c>
      <c r="H74" s="2092">
        <f>+ÓVODA!AF79</f>
        <v>5143.6000000000004</v>
      </c>
      <c r="I74" s="1032">
        <f>+ÓVODA!AG79</f>
        <v>119</v>
      </c>
      <c r="J74" s="2093">
        <f>+ÓVODA!AH79</f>
        <v>5262.6</v>
      </c>
      <c r="K74" s="2065">
        <f>+'KOZMA FERENC ÁLT. ISK.'!V76</f>
        <v>0</v>
      </c>
      <c r="L74" s="407">
        <f>+'KOZMA FERENC ÁLT. ISK.'!W76</f>
        <v>0</v>
      </c>
      <c r="M74" s="2066">
        <f>+'KOZMA FERENC ÁLT. ISK.'!X76</f>
        <v>0</v>
      </c>
      <c r="N74" s="2013"/>
      <c r="O74" s="1033"/>
      <c r="P74" s="2038"/>
      <c r="Q74" s="1993">
        <f t="shared" si="4"/>
        <v>7159.6</v>
      </c>
      <c r="R74" s="1776">
        <f t="shared" si="5"/>
        <v>119</v>
      </c>
      <c r="S74" s="1641">
        <f t="shared" si="6"/>
        <v>7278.6</v>
      </c>
    </row>
    <row r="75" spans="1:19">
      <c r="A75" s="9" t="s">
        <v>81</v>
      </c>
      <c r="B75" s="2071">
        <f>+'SZOLGÁLTATÓ IRODA'!B74</f>
        <v>0</v>
      </c>
      <c r="C75" s="410">
        <f>+'SZOLGÁLTATÓ IRODA'!C74</f>
        <v>0</v>
      </c>
      <c r="D75" s="2093">
        <f>+'SZOLGÁLTATÓ IRODA'!D74</f>
        <v>0</v>
      </c>
      <c r="E75" s="2160">
        <f>+'SEGÍTŐ SZOLGÁLAT'!AK82</f>
        <v>105</v>
      </c>
      <c r="F75" s="2161">
        <f>+'SEGÍTŐ SZOLGÁLAT'!AL82</f>
        <v>-20</v>
      </c>
      <c r="G75" s="2162">
        <f>+'SEGÍTŐ SZOLGÁLAT'!AM82</f>
        <v>85</v>
      </c>
      <c r="H75" s="2092">
        <f>+ÓVODA!AF80</f>
        <v>50</v>
      </c>
      <c r="I75" s="1032">
        <f>+ÓVODA!AG80</f>
        <v>31</v>
      </c>
      <c r="J75" s="2093">
        <f>+ÓVODA!AH80</f>
        <v>81</v>
      </c>
      <c r="K75" s="2065">
        <f>+'KOZMA FERENC ÁLT. ISK.'!V77</f>
        <v>0</v>
      </c>
      <c r="L75" s="407">
        <f>+'KOZMA FERENC ÁLT. ISK.'!W77</f>
        <v>0</v>
      </c>
      <c r="M75" s="2066">
        <f>+'KOZMA FERENC ÁLT. ISK.'!X77</f>
        <v>0</v>
      </c>
      <c r="N75" s="2013"/>
      <c r="O75" s="1033"/>
      <c r="P75" s="2038"/>
      <c r="Q75" s="1993">
        <f t="shared" si="4"/>
        <v>155</v>
      </c>
      <c r="R75" s="1776">
        <f t="shared" si="5"/>
        <v>11</v>
      </c>
      <c r="S75" s="1641">
        <f t="shared" si="6"/>
        <v>166</v>
      </c>
    </row>
    <row r="76" spans="1:19">
      <c r="A76" s="9" t="s">
        <v>82</v>
      </c>
      <c r="B76" s="2071">
        <f>+'SZOLGÁLTATÓ IRODA'!B75</f>
        <v>500</v>
      </c>
      <c r="C76" s="410">
        <f>+'SZOLGÁLTATÓ IRODA'!C75</f>
        <v>0</v>
      </c>
      <c r="D76" s="2093">
        <f>+'SZOLGÁLTATÓ IRODA'!D75</f>
        <v>500</v>
      </c>
      <c r="E76" s="2160">
        <f>+'SEGÍTŐ SZOLGÁLAT'!AK83</f>
        <v>430</v>
      </c>
      <c r="F76" s="2161">
        <f>+'SEGÍTŐ SZOLGÁLAT'!AL83</f>
        <v>95</v>
      </c>
      <c r="G76" s="2162">
        <f>+'SEGÍTŐ SZOLGÁLAT'!AM83</f>
        <v>525</v>
      </c>
      <c r="H76" s="2092">
        <f>+ÓVODA!AF81</f>
        <v>2230</v>
      </c>
      <c r="I76" s="1032">
        <f>+ÓVODA!AG81</f>
        <v>0</v>
      </c>
      <c r="J76" s="2093">
        <f>+ÓVODA!AH81</f>
        <v>2230</v>
      </c>
      <c r="K76" s="2065">
        <f>+'KOZMA FERENC ÁLT. ISK.'!V78</f>
        <v>2158</v>
      </c>
      <c r="L76" s="407">
        <f>+'KOZMA FERENC ÁLT. ISK.'!W78</f>
        <v>0</v>
      </c>
      <c r="M76" s="2066">
        <f>+'KOZMA FERENC ÁLT. ISK.'!X78</f>
        <v>2158</v>
      </c>
      <c r="N76" s="2013"/>
      <c r="O76" s="1033"/>
      <c r="P76" s="2038"/>
      <c r="Q76" s="1993">
        <f t="shared" si="4"/>
        <v>5318</v>
      </c>
      <c r="R76" s="1776">
        <f t="shared" si="5"/>
        <v>95</v>
      </c>
      <c r="S76" s="1641">
        <f t="shared" si="6"/>
        <v>5413</v>
      </c>
    </row>
    <row r="77" spans="1:19">
      <c r="A77" s="9" t="s">
        <v>83</v>
      </c>
      <c r="B77" s="2071">
        <f>+'SZOLGÁLTATÓ IRODA'!B76</f>
        <v>190</v>
      </c>
      <c r="C77" s="410">
        <f>+'SZOLGÁLTATÓ IRODA'!C76</f>
        <v>-95</v>
      </c>
      <c r="D77" s="2093">
        <f>+'SZOLGÁLTATÓ IRODA'!D76</f>
        <v>95</v>
      </c>
      <c r="E77" s="2160">
        <f>+'SEGÍTŐ SZOLGÁLAT'!AK84</f>
        <v>330</v>
      </c>
      <c r="F77" s="2161">
        <f>+'SEGÍTŐ SZOLGÁLAT'!AL84</f>
        <v>25</v>
      </c>
      <c r="G77" s="2162">
        <f>+'SEGÍTŐ SZOLGÁLAT'!AM84</f>
        <v>355</v>
      </c>
      <c r="H77" s="2092">
        <f>+ÓVODA!AF82</f>
        <v>1200</v>
      </c>
      <c r="I77" s="1032">
        <f>+ÓVODA!AG82</f>
        <v>0</v>
      </c>
      <c r="J77" s="2093">
        <f>+ÓVODA!AH82</f>
        <v>1200</v>
      </c>
      <c r="K77" s="2065">
        <f>+'KOZMA FERENC ÁLT. ISK.'!V79</f>
        <v>600</v>
      </c>
      <c r="L77" s="407">
        <f>+'KOZMA FERENC ÁLT. ISK.'!W79</f>
        <v>0</v>
      </c>
      <c r="M77" s="2066">
        <f>+'KOZMA FERENC ÁLT. ISK.'!X79</f>
        <v>600</v>
      </c>
      <c r="N77" s="2013"/>
      <c r="O77" s="1033"/>
      <c r="P77" s="2038"/>
      <c r="Q77" s="1993">
        <f t="shared" si="4"/>
        <v>2320</v>
      </c>
      <c r="R77" s="1776">
        <f t="shared" si="5"/>
        <v>-70</v>
      </c>
      <c r="S77" s="1641">
        <f t="shared" si="6"/>
        <v>2250</v>
      </c>
    </row>
    <row r="78" spans="1:19">
      <c r="A78" s="9" t="s">
        <v>84</v>
      </c>
      <c r="B78" s="2071">
        <f>+'SZOLGÁLTATÓ IRODA'!B77</f>
        <v>20</v>
      </c>
      <c r="C78" s="410">
        <f>+'SZOLGÁLTATÓ IRODA'!C77</f>
        <v>-10</v>
      </c>
      <c r="D78" s="2093">
        <f>+'SZOLGÁLTATÓ IRODA'!D77</f>
        <v>10</v>
      </c>
      <c r="E78" s="2160">
        <f>+'SEGÍTŐ SZOLGÁLAT'!AK85</f>
        <v>60</v>
      </c>
      <c r="F78" s="2161">
        <f>+'SEGÍTŐ SZOLGÁLAT'!AL85</f>
        <v>0</v>
      </c>
      <c r="G78" s="2162">
        <f>+'SEGÍTŐ SZOLGÁLAT'!AM85</f>
        <v>60</v>
      </c>
      <c r="H78" s="2092">
        <f>+ÓVODA!AF83</f>
        <v>460</v>
      </c>
      <c r="I78" s="1032">
        <f>+ÓVODA!AG83</f>
        <v>0</v>
      </c>
      <c r="J78" s="2093">
        <f>+ÓVODA!AH83</f>
        <v>460</v>
      </c>
      <c r="K78" s="2065">
        <f>+'KOZMA FERENC ÁLT. ISK.'!V80</f>
        <v>200</v>
      </c>
      <c r="L78" s="407">
        <f>+'KOZMA FERENC ÁLT. ISK.'!W80</f>
        <v>0</v>
      </c>
      <c r="M78" s="2066">
        <f>+'KOZMA FERENC ÁLT. ISK.'!X80</f>
        <v>200</v>
      </c>
      <c r="N78" s="2013"/>
      <c r="O78" s="1033"/>
      <c r="P78" s="2038"/>
      <c r="Q78" s="1993">
        <f t="shared" si="4"/>
        <v>740</v>
      </c>
      <c r="R78" s="1776">
        <f t="shared" si="5"/>
        <v>-10</v>
      </c>
      <c r="S78" s="1641">
        <f t="shared" si="6"/>
        <v>730</v>
      </c>
    </row>
    <row r="79" spans="1:19">
      <c r="A79" s="9" t="s">
        <v>85</v>
      </c>
      <c r="B79" s="2071">
        <f>+'SZOLGÁLTATÓ IRODA'!B78</f>
        <v>100</v>
      </c>
      <c r="C79" s="410">
        <f>+'SZOLGÁLTATÓ IRODA'!C78</f>
        <v>0</v>
      </c>
      <c r="D79" s="2093">
        <f>+'SZOLGÁLTATÓ IRODA'!D78</f>
        <v>100</v>
      </c>
      <c r="E79" s="2160">
        <f>+'SEGÍTŐ SZOLGÁLAT'!AK86</f>
        <v>450</v>
      </c>
      <c r="F79" s="2161">
        <f>+'SEGÍTŐ SZOLGÁLAT'!AL86</f>
        <v>244</v>
      </c>
      <c r="G79" s="2162">
        <f>+'SEGÍTŐ SZOLGÁLAT'!AM86</f>
        <v>694</v>
      </c>
      <c r="H79" s="2092">
        <f>+ÓVODA!AF84</f>
        <v>390</v>
      </c>
      <c r="I79" s="1032">
        <f>+ÓVODA!AG84</f>
        <v>0</v>
      </c>
      <c r="J79" s="2093">
        <f>+ÓVODA!AH84</f>
        <v>390</v>
      </c>
      <c r="K79" s="2065">
        <f>+'KOZMA FERENC ÁLT. ISK.'!V81</f>
        <v>150</v>
      </c>
      <c r="L79" s="407">
        <f>+'KOZMA FERENC ÁLT. ISK.'!W81</f>
        <v>0</v>
      </c>
      <c r="M79" s="2066">
        <f>+'KOZMA FERENC ÁLT. ISK.'!X81</f>
        <v>150</v>
      </c>
      <c r="N79" s="2013"/>
      <c r="O79" s="1033"/>
      <c r="P79" s="2038"/>
      <c r="Q79" s="1993">
        <f t="shared" si="4"/>
        <v>1090</v>
      </c>
      <c r="R79" s="1776">
        <f t="shared" si="5"/>
        <v>244</v>
      </c>
      <c r="S79" s="1641">
        <f t="shared" si="6"/>
        <v>1334</v>
      </c>
    </row>
    <row r="80" spans="1:19">
      <c r="A80" s="9" t="s">
        <v>86</v>
      </c>
      <c r="B80" s="2071">
        <f>+'SZOLGÁLTATÓ IRODA'!B79</f>
        <v>550</v>
      </c>
      <c r="C80" s="410">
        <f>+'SZOLGÁLTATÓ IRODA'!C79</f>
        <v>-350</v>
      </c>
      <c r="D80" s="2093">
        <f>+'SZOLGÁLTATÓ IRODA'!D79</f>
        <v>200</v>
      </c>
      <c r="E80" s="2160">
        <f>+'SEGÍTŐ SZOLGÁLAT'!AK87</f>
        <v>150</v>
      </c>
      <c r="F80" s="2161">
        <f>+'SEGÍTŐ SZOLGÁLAT'!AL87</f>
        <v>0</v>
      </c>
      <c r="G80" s="2162">
        <f>+'SEGÍTŐ SZOLGÁLAT'!AM87</f>
        <v>150</v>
      </c>
      <c r="H80" s="2092">
        <f>+ÓVODA!AF85</f>
        <v>250</v>
      </c>
      <c r="I80" s="1032">
        <f>+ÓVODA!AG85</f>
        <v>16</v>
      </c>
      <c r="J80" s="2093">
        <f>+ÓVODA!AH85</f>
        <v>266</v>
      </c>
      <c r="K80" s="2065">
        <f>+'KOZMA FERENC ÁLT. ISK.'!V82</f>
        <v>500</v>
      </c>
      <c r="L80" s="407">
        <f>+'KOZMA FERENC ÁLT. ISK.'!W82</f>
        <v>348</v>
      </c>
      <c r="M80" s="2066">
        <f>+'KOZMA FERENC ÁLT. ISK.'!X82</f>
        <v>848</v>
      </c>
      <c r="N80" s="2013"/>
      <c r="O80" s="1033"/>
      <c r="P80" s="2038"/>
      <c r="Q80" s="1993">
        <f t="shared" si="4"/>
        <v>1450</v>
      </c>
      <c r="R80" s="1776">
        <f t="shared" si="5"/>
        <v>14</v>
      </c>
      <c r="S80" s="1654">
        <f t="shared" si="6"/>
        <v>1464</v>
      </c>
    </row>
    <row r="81" spans="1:33">
      <c r="A81" s="25" t="s">
        <v>87</v>
      </c>
      <c r="B81" s="2071">
        <f>+'SZOLGÁLTATÓ IRODA'!B80</f>
        <v>3550</v>
      </c>
      <c r="C81" s="410">
        <f>+'SZOLGÁLTATÓ IRODA'!C80</f>
        <v>0</v>
      </c>
      <c r="D81" s="2093">
        <f>+'SZOLGÁLTATÓ IRODA'!D80</f>
        <v>3550</v>
      </c>
      <c r="E81" s="2160">
        <f>+'SEGÍTŐ SZOLGÁLAT'!AK88</f>
        <v>1740</v>
      </c>
      <c r="F81" s="2161">
        <f>+'SEGÍTŐ SZOLGÁLAT'!AL88</f>
        <v>-170</v>
      </c>
      <c r="G81" s="2162">
        <f>+'SEGÍTŐ SZOLGÁLAT'!AM88</f>
        <v>1570</v>
      </c>
      <c r="H81" s="2092">
        <f>+ÓVODA!AF86</f>
        <v>470</v>
      </c>
      <c r="I81" s="1032">
        <f>+ÓVODA!AG86</f>
        <v>-40</v>
      </c>
      <c r="J81" s="2093">
        <f>+ÓVODA!AH86</f>
        <v>430</v>
      </c>
      <c r="K81" s="2065">
        <f>+'KOZMA FERENC ÁLT. ISK.'!V83</f>
        <v>1640</v>
      </c>
      <c r="L81" s="407">
        <f>+'KOZMA FERENC ÁLT. ISK.'!W83</f>
        <v>40</v>
      </c>
      <c r="M81" s="2066">
        <f>+'KOZMA FERENC ÁLT. ISK.'!X83</f>
        <v>1680</v>
      </c>
      <c r="N81" s="2013">
        <v>45480</v>
      </c>
      <c r="O81" s="1033">
        <f>+[3]Társulás!$H$9+[3]Társulás!$J$8</f>
        <v>-764</v>
      </c>
      <c r="P81" s="2038">
        <f>+[3]Társulás!$J$8+[3]Társulás!$H$9+45480</f>
        <v>44716</v>
      </c>
      <c r="Q81" s="1993">
        <f t="shared" si="4"/>
        <v>52880</v>
      </c>
      <c r="R81" s="1776">
        <f t="shared" si="5"/>
        <v>-934</v>
      </c>
      <c r="S81" s="1641">
        <f t="shared" si="6"/>
        <v>51946</v>
      </c>
    </row>
    <row r="82" spans="1:33">
      <c r="A82" s="1348" t="s">
        <v>88</v>
      </c>
      <c r="B82" s="2071">
        <f>+'SZOLGÁLTATÓ IRODA'!B81</f>
        <v>0</v>
      </c>
      <c r="C82" s="410">
        <f>+'SZOLGÁLTATÓ IRODA'!C81</f>
        <v>0</v>
      </c>
      <c r="D82" s="2093">
        <f>+'SZOLGÁLTATÓ IRODA'!D81</f>
        <v>0</v>
      </c>
      <c r="E82" s="2160">
        <f>+'SEGÍTŐ SZOLGÁLAT'!AK89</f>
        <v>0</v>
      </c>
      <c r="F82" s="2161">
        <f>+'SEGÍTŐ SZOLGÁLAT'!AL89</f>
        <v>0</v>
      </c>
      <c r="G82" s="2162">
        <f>+'SEGÍTŐ SZOLGÁLAT'!AM89</f>
        <v>0</v>
      </c>
      <c r="H82" s="2092">
        <f>+ÓVODA!AF87</f>
        <v>0</v>
      </c>
      <c r="I82" s="1032">
        <f>+ÓVODA!AG87</f>
        <v>0</v>
      </c>
      <c r="J82" s="2093">
        <f>+ÓVODA!AH87</f>
        <v>0</v>
      </c>
      <c r="K82" s="2065">
        <f>+'KOZMA FERENC ÁLT. ISK.'!V84</f>
        <v>0</v>
      </c>
      <c r="L82" s="407">
        <f>+'KOZMA FERENC ÁLT. ISK.'!W84</f>
        <v>0</v>
      </c>
      <c r="M82" s="2066">
        <f>+'KOZMA FERENC ÁLT. ISK.'!X84</f>
        <v>0</v>
      </c>
      <c r="N82" s="2013"/>
      <c r="O82" s="1033"/>
      <c r="P82" s="2038"/>
      <c r="Q82" s="1998">
        <f t="shared" si="4"/>
        <v>0</v>
      </c>
      <c r="R82" s="1032">
        <f t="shared" si="5"/>
        <v>0</v>
      </c>
      <c r="S82" s="1783">
        <f t="shared" si="6"/>
        <v>0</v>
      </c>
    </row>
    <row r="83" spans="1:33">
      <c r="A83" s="1347" t="s">
        <v>89</v>
      </c>
      <c r="B83" s="2071">
        <f>+'SZOLGÁLTATÓ IRODA'!B82</f>
        <v>0</v>
      </c>
      <c r="C83" s="410">
        <f>+'SZOLGÁLTATÓ IRODA'!C82</f>
        <v>0</v>
      </c>
      <c r="D83" s="2093">
        <f>+'SZOLGÁLTATÓ IRODA'!D82</f>
        <v>0</v>
      </c>
      <c r="E83" s="2160">
        <f>+'SEGÍTŐ SZOLGÁLAT'!AK90</f>
        <v>0</v>
      </c>
      <c r="F83" s="2161">
        <f>+'SEGÍTŐ SZOLGÁLAT'!AL90</f>
        <v>0</v>
      </c>
      <c r="G83" s="2162">
        <f>+'SEGÍTŐ SZOLGÁLAT'!AM90</f>
        <v>0</v>
      </c>
      <c r="H83" s="2092">
        <f>+ÓVODA!AF88</f>
        <v>0</v>
      </c>
      <c r="I83" s="1032">
        <f>+ÓVODA!AG88</f>
        <v>0</v>
      </c>
      <c r="J83" s="2093">
        <f>+ÓVODA!AH88</f>
        <v>0</v>
      </c>
      <c r="K83" s="2065">
        <f>+'KOZMA FERENC ÁLT. ISK.'!V85</f>
        <v>0</v>
      </c>
      <c r="L83" s="407">
        <f>+'KOZMA FERENC ÁLT. ISK.'!W85</f>
        <v>0</v>
      </c>
      <c r="M83" s="2066">
        <f>+'KOZMA FERENC ÁLT. ISK.'!X85</f>
        <v>0</v>
      </c>
      <c r="N83" s="2039"/>
      <c r="O83" s="1033"/>
      <c r="P83" s="2040"/>
      <c r="Q83" s="1993">
        <f t="shared" si="4"/>
        <v>0</v>
      </c>
      <c r="R83" s="1776">
        <f t="shared" si="5"/>
        <v>0</v>
      </c>
      <c r="S83" s="1641">
        <f t="shared" si="6"/>
        <v>0</v>
      </c>
    </row>
    <row r="84" spans="1:33">
      <c r="A84" s="1348" t="s">
        <v>90</v>
      </c>
      <c r="B84" s="2085">
        <f>+'SZOLGÁLTATÓ IRODA'!B83</f>
        <v>754</v>
      </c>
      <c r="C84" s="414">
        <f>+'SZOLGÁLTATÓ IRODA'!C83</f>
        <v>0</v>
      </c>
      <c r="D84" s="2099">
        <f>+'SZOLGÁLTATÓ IRODA'!D83</f>
        <v>754</v>
      </c>
      <c r="E84" s="2163">
        <f>+'SEGÍTŐ SZOLGÁLAT'!AK91</f>
        <v>0</v>
      </c>
      <c r="F84" s="2164">
        <f>+'SEGÍTŐ SZOLGÁLAT'!AL91</f>
        <v>0</v>
      </c>
      <c r="G84" s="2165">
        <f>+'SEGÍTŐ SZOLGÁLAT'!AM91</f>
        <v>0</v>
      </c>
      <c r="H84" s="2095">
        <f>+ÓVODA!AF89</f>
        <v>0</v>
      </c>
      <c r="I84" s="1035">
        <f>+ÓVODA!AG89</f>
        <v>0</v>
      </c>
      <c r="J84" s="2099">
        <f>+ÓVODA!AH89</f>
        <v>0</v>
      </c>
      <c r="K84" s="2068">
        <f>+'KOZMA FERENC ÁLT. ISK.'!V86</f>
        <v>0</v>
      </c>
      <c r="L84" s="408">
        <f>+'KOZMA FERENC ÁLT. ISK.'!W86</f>
        <v>0</v>
      </c>
      <c r="M84" s="2080">
        <f>+'KOZMA FERENC ÁLT. ISK.'!X86</f>
        <v>0</v>
      </c>
      <c r="N84" s="2041"/>
      <c r="O84" s="1655"/>
      <c r="P84" s="2040"/>
      <c r="Q84" s="1994">
        <f t="shared" si="4"/>
        <v>754</v>
      </c>
      <c r="R84" s="1780">
        <f t="shared" si="5"/>
        <v>0</v>
      </c>
      <c r="S84" s="1654">
        <f t="shared" si="6"/>
        <v>754</v>
      </c>
    </row>
    <row r="85" spans="1:33">
      <c r="A85" s="825" t="s">
        <v>91</v>
      </c>
      <c r="B85" s="1784">
        <f>+'SZOLGÁLTATÓ IRODA'!B84</f>
        <v>5664</v>
      </c>
      <c r="C85" s="409">
        <f>+'SZOLGÁLTATÓ IRODA'!C84</f>
        <v>-455</v>
      </c>
      <c r="D85" s="2098">
        <f>+'SZOLGÁLTATÓ IRODA'!D84</f>
        <v>5209</v>
      </c>
      <c r="E85" s="2166">
        <f>+'SEGÍTŐ SZOLGÁLAT'!AK92</f>
        <v>8204</v>
      </c>
      <c r="F85" s="2167">
        <f>+'SEGÍTŐ SZOLGÁLAT'!AL92</f>
        <v>-602</v>
      </c>
      <c r="G85" s="2168">
        <f>+'SEGÍTŐ SZOLGÁLAT'!AM92</f>
        <v>7602</v>
      </c>
      <c r="H85" s="2097">
        <f>+ÓVODA!AF90</f>
        <v>10193.6</v>
      </c>
      <c r="I85" s="1656">
        <f>+ÓVODA!AG90</f>
        <v>126</v>
      </c>
      <c r="J85" s="2098">
        <f>+ÓVODA!AH90</f>
        <v>10319.6</v>
      </c>
      <c r="K85" s="2081">
        <f>+'KOZMA FERENC ÁLT. ISK.'!V87</f>
        <v>5448</v>
      </c>
      <c r="L85" s="1791">
        <f>+'KOZMA FERENC ÁLT. ISK.'!W87</f>
        <v>388</v>
      </c>
      <c r="M85" s="2082">
        <f>+'KOZMA FERENC ÁLT. ISK.'!X87</f>
        <v>5836</v>
      </c>
      <c r="N85" s="2027">
        <f>SUM(N81:N84)</f>
        <v>45480</v>
      </c>
      <c r="O85" s="1790">
        <f>+[3]Társulás!$H$9+[3]Társulás!$J$8</f>
        <v>-764</v>
      </c>
      <c r="P85" s="2028">
        <f>SUM(P73:P84)</f>
        <v>44716</v>
      </c>
      <c r="Q85" s="1997">
        <f t="shared" si="4"/>
        <v>74989.600000000006</v>
      </c>
      <c r="R85" s="1802">
        <f t="shared" si="5"/>
        <v>-1307</v>
      </c>
      <c r="S85" s="1799">
        <f t="shared" si="6"/>
        <v>73682.600000000006</v>
      </c>
    </row>
    <row r="86" spans="1:33">
      <c r="A86" s="825" t="s">
        <v>92</v>
      </c>
      <c r="B86" s="1784">
        <f>+'SZOLGÁLTATÓ IRODA'!B85</f>
        <v>1680.625</v>
      </c>
      <c r="C86" s="409">
        <f>+'SZOLGÁLTATÓ IRODA'!C85</f>
        <v>-895</v>
      </c>
      <c r="D86" s="2098">
        <f>+'SZOLGÁLTATÓ IRODA'!D85</f>
        <v>785.625</v>
      </c>
      <c r="E86" s="2166">
        <f>+'SEGÍTŐ SZOLGÁLAT'!AK93</f>
        <v>2950.5</v>
      </c>
      <c r="F86" s="2167">
        <f>+'SEGÍTŐ SZOLGÁLAT'!AL93</f>
        <v>-143</v>
      </c>
      <c r="G86" s="2168">
        <f>+'SEGÍTŐ SZOLGÁLAT'!AM93</f>
        <v>2807.5</v>
      </c>
      <c r="H86" s="2097">
        <f>+ÓVODA!AF91</f>
        <v>3130.9</v>
      </c>
      <c r="I86" s="1656">
        <f>+ÓVODA!AG91</f>
        <v>-76</v>
      </c>
      <c r="J86" s="2098">
        <f>+ÓVODA!AH91</f>
        <v>3060.4</v>
      </c>
      <c r="K86" s="2083">
        <f>+'KOZMA FERENC ÁLT. ISK.'!V88</f>
        <v>1707.25</v>
      </c>
      <c r="L86" s="412">
        <f>+'KOZMA FERENC ÁLT. ISK.'!W88</f>
        <v>0</v>
      </c>
      <c r="M86" s="2084">
        <f>+'KOZMA FERENC ÁLT. ISK.'!X88</f>
        <v>1707.25</v>
      </c>
      <c r="N86" s="2027"/>
      <c r="O86" s="1657"/>
      <c r="P86" s="2042"/>
      <c r="Q86" s="2001">
        <f>+B86+E86+H86+K86+N86</f>
        <v>9469.2749999999996</v>
      </c>
      <c r="R86" s="1656">
        <f t="shared" si="5"/>
        <v>-1114</v>
      </c>
      <c r="S86" s="1803">
        <f t="shared" si="6"/>
        <v>8355.2749999999996</v>
      </c>
    </row>
    <row r="87" spans="1:33">
      <c r="A87" s="23" t="s">
        <v>93</v>
      </c>
      <c r="B87" s="2071">
        <f>+'SZOLGÁLTATÓ IRODA'!B86</f>
        <v>120</v>
      </c>
      <c r="C87" s="410">
        <f>+'SZOLGÁLTATÓ IRODA'!C86</f>
        <v>-80</v>
      </c>
      <c r="D87" s="2093">
        <f>+'SZOLGÁLTATÓ IRODA'!D86</f>
        <v>40</v>
      </c>
      <c r="E87" s="2160">
        <f>+'SEGÍTŐ SZOLGÁLAT'!AK94</f>
        <v>890</v>
      </c>
      <c r="F87" s="2161">
        <f>+'SEGÍTŐ SZOLGÁLAT'!AL94</f>
        <v>10</v>
      </c>
      <c r="G87" s="2162">
        <f>+'SEGÍTŐ SZOLGÁLAT'!AM94</f>
        <v>900</v>
      </c>
      <c r="H87" s="2092">
        <f>+ÓVODA!AF92</f>
        <v>100</v>
      </c>
      <c r="I87" s="1032">
        <f>+ÓVODA!AG92</f>
        <v>0</v>
      </c>
      <c r="J87" s="2093">
        <f>+ÓVODA!AH92</f>
        <v>100</v>
      </c>
      <c r="K87" s="2071">
        <f>+'KOZMA FERENC ÁLT. ISK.'!V89</f>
        <v>80</v>
      </c>
      <c r="L87" s="410">
        <f>+'KOZMA FERENC ÁLT. ISK.'!W89</f>
        <v>0</v>
      </c>
      <c r="M87" s="2072">
        <f>+'KOZMA FERENC ÁLT. ISK.'!X89</f>
        <v>80</v>
      </c>
      <c r="N87" s="2013"/>
      <c r="O87" s="1033"/>
      <c r="P87" s="2022">
        <v>0</v>
      </c>
      <c r="Q87" s="1998">
        <f t="shared" si="4"/>
        <v>1190</v>
      </c>
      <c r="R87" s="1032">
        <f t="shared" si="5"/>
        <v>-70</v>
      </c>
      <c r="S87" s="1783">
        <f t="shared" si="6"/>
        <v>1120</v>
      </c>
    </row>
    <row r="88" spans="1:33">
      <c r="A88" s="9" t="s">
        <v>94</v>
      </c>
      <c r="B88" s="2071">
        <f>+'SZOLGÁLTATÓ IRODA'!B87</f>
        <v>100</v>
      </c>
      <c r="C88" s="410">
        <f>+'SZOLGÁLTATÓ IRODA'!C87</f>
        <v>-50</v>
      </c>
      <c r="D88" s="2093">
        <f>+'SZOLGÁLTATÓ IRODA'!D87</f>
        <v>50</v>
      </c>
      <c r="E88" s="2160">
        <f>+'SEGÍTŐ SZOLGÁLAT'!AK95</f>
        <v>88</v>
      </c>
      <c r="F88" s="2161">
        <f>+'SEGÍTŐ SZOLGÁLAT'!AL95</f>
        <v>-20</v>
      </c>
      <c r="G88" s="2162">
        <f>+'SEGÍTŐ SZOLGÁLAT'!AM95</f>
        <v>68</v>
      </c>
      <c r="H88" s="2092">
        <f>+ÓVODA!AF93</f>
        <v>35</v>
      </c>
      <c r="I88" s="1032">
        <f>+ÓVODA!AG93</f>
        <v>0</v>
      </c>
      <c r="J88" s="2093">
        <f>+ÓVODA!AH93</f>
        <v>35</v>
      </c>
      <c r="K88" s="2065">
        <f>+'KOZMA FERENC ÁLT. ISK.'!V90</f>
        <v>30</v>
      </c>
      <c r="L88" s="407">
        <f>+'KOZMA FERENC ÁLT. ISK.'!W90</f>
        <v>0</v>
      </c>
      <c r="M88" s="2066">
        <f>+'KOZMA FERENC ÁLT. ISK.'!X90</f>
        <v>30</v>
      </c>
      <c r="N88" s="2013"/>
      <c r="O88" s="1033"/>
      <c r="P88" s="2038">
        <v>0</v>
      </c>
      <c r="Q88" s="1993">
        <f t="shared" si="4"/>
        <v>253</v>
      </c>
      <c r="R88" s="1776">
        <f t="shared" si="5"/>
        <v>-70</v>
      </c>
      <c r="S88" s="1641">
        <f t="shared" si="6"/>
        <v>183</v>
      </c>
    </row>
    <row r="89" spans="1:33">
      <c r="A89" s="25" t="s">
        <v>95</v>
      </c>
      <c r="B89" s="2085">
        <f>+'SZOLGÁLTATÓ IRODA'!B88</f>
        <v>20</v>
      </c>
      <c r="C89" s="414">
        <f>+'SZOLGÁLTATÓ IRODA'!C88</f>
        <v>-20</v>
      </c>
      <c r="D89" s="2099">
        <f>+'SZOLGÁLTATÓ IRODA'!D88</f>
        <v>0</v>
      </c>
      <c r="E89" s="2163">
        <f>+'SEGÍTŐ SZOLGÁLAT'!AK96</f>
        <v>10</v>
      </c>
      <c r="F89" s="2164">
        <f>+'SEGÍTŐ SZOLGÁLAT'!AL96</f>
        <v>0</v>
      </c>
      <c r="G89" s="2165">
        <f>+'SEGÍTŐ SZOLGÁLAT'!AM96</f>
        <v>10</v>
      </c>
      <c r="H89" s="2095">
        <f>+ÓVODA!AF94</f>
        <v>0</v>
      </c>
      <c r="I89" s="1035">
        <f>+ÓVODA!AG94</f>
        <v>0</v>
      </c>
      <c r="J89" s="2099">
        <f>+ÓVODA!AH94</f>
        <v>0</v>
      </c>
      <c r="K89" s="2068">
        <f>+'KOZMA FERENC ÁLT. ISK.'!V91</f>
        <v>10</v>
      </c>
      <c r="L89" s="408">
        <f>+'KOZMA FERENC ÁLT. ISK.'!W91</f>
        <v>0</v>
      </c>
      <c r="M89" s="2080">
        <f>+'KOZMA FERENC ÁLT. ISK.'!X91</f>
        <v>10</v>
      </c>
      <c r="N89" s="2039"/>
      <c r="O89" s="1655"/>
      <c r="P89" s="2040">
        <v>0</v>
      </c>
      <c r="Q89" s="1994">
        <f t="shared" si="4"/>
        <v>40</v>
      </c>
      <c r="R89" s="1780">
        <f t="shared" si="5"/>
        <v>-20</v>
      </c>
      <c r="S89" s="1654">
        <f t="shared" si="6"/>
        <v>20</v>
      </c>
    </row>
    <row r="90" spans="1:33">
      <c r="A90" s="825" t="s">
        <v>96</v>
      </c>
      <c r="B90" s="1784">
        <f>+'SZOLGÁLTATÓ IRODA'!B89</f>
        <v>240</v>
      </c>
      <c r="C90" s="409">
        <f>+'SZOLGÁLTATÓ IRODA'!C89</f>
        <v>-150</v>
      </c>
      <c r="D90" s="2098">
        <f>+'SZOLGÁLTATÓ IRODA'!D89</f>
        <v>90</v>
      </c>
      <c r="E90" s="2166">
        <f>+'SEGÍTŐ SZOLGÁLAT'!AK97</f>
        <v>988</v>
      </c>
      <c r="F90" s="2167">
        <f>+'SEGÍTŐ SZOLGÁLAT'!AL97</f>
        <v>-10</v>
      </c>
      <c r="G90" s="2168">
        <f>+'SEGÍTŐ SZOLGÁLAT'!AM97</f>
        <v>978</v>
      </c>
      <c r="H90" s="2097">
        <f>+ÓVODA!AF95</f>
        <v>135</v>
      </c>
      <c r="I90" s="1656">
        <f>+ÓVODA!AG95</f>
        <v>0</v>
      </c>
      <c r="J90" s="2098">
        <f>+ÓVODA!AH95</f>
        <v>135</v>
      </c>
      <c r="K90" s="1784">
        <f>+'KOZMA FERENC ÁLT. ISK.'!V92</f>
        <v>120</v>
      </c>
      <c r="L90" s="409">
        <f>+'KOZMA FERENC ÁLT. ISK.'!W92</f>
        <v>0</v>
      </c>
      <c r="M90" s="2070">
        <f>+'KOZMA FERENC ÁLT. ISK.'!X92</f>
        <v>120</v>
      </c>
      <c r="N90" s="2027"/>
      <c r="O90" s="1657"/>
      <c r="P90" s="2028">
        <f>SUM(P87:P89)</f>
        <v>0</v>
      </c>
      <c r="Q90" s="1997">
        <f t="shared" si="4"/>
        <v>1483</v>
      </c>
      <c r="R90" s="1656">
        <f t="shared" si="5"/>
        <v>-160</v>
      </c>
      <c r="S90" s="1799">
        <f t="shared" si="6"/>
        <v>1323</v>
      </c>
    </row>
    <row r="91" spans="1:33">
      <c r="A91" s="1651" t="s">
        <v>97</v>
      </c>
      <c r="B91" s="2085">
        <f>+'SZOLGÁLTATÓ IRODA'!B90</f>
        <v>0</v>
      </c>
      <c r="C91" s="414">
        <f>+'SZOLGÁLTATÓ IRODA'!C90</f>
        <v>0</v>
      </c>
      <c r="D91" s="2099">
        <f>+'SZOLGÁLTATÓ IRODA'!D90</f>
        <v>0</v>
      </c>
      <c r="E91" s="2163">
        <f>+'SEGÍTŐ SZOLGÁLAT'!AK98</f>
        <v>70</v>
      </c>
      <c r="F91" s="2164">
        <f>+'SEGÍTŐ SZOLGÁLAT'!AL98</f>
        <v>-20</v>
      </c>
      <c r="G91" s="2165">
        <f>+'SEGÍTŐ SZOLGÁLAT'!AM98</f>
        <v>50</v>
      </c>
      <c r="H91" s="2095">
        <f>+ÓVODA!AF96</f>
        <v>60</v>
      </c>
      <c r="I91" s="1035">
        <f>+ÓVODA!AG96</f>
        <v>0</v>
      </c>
      <c r="J91" s="2099">
        <f>+ÓVODA!AH96</f>
        <v>60</v>
      </c>
      <c r="K91" s="2085">
        <f>+'KOZMA FERENC ÁLT. ISK.'!V93</f>
        <v>0</v>
      </c>
      <c r="L91" s="414">
        <f>+'KOZMA FERENC ÁLT. ISK.'!W93</f>
        <v>0</v>
      </c>
      <c r="M91" s="2086">
        <f>+'KOZMA FERENC ÁLT. ISK.'!X93</f>
        <v>0</v>
      </c>
      <c r="N91" s="2039"/>
      <c r="O91" s="1655"/>
      <c r="P91" s="2043">
        <v>0</v>
      </c>
      <c r="Q91" s="2002">
        <f t="shared" si="4"/>
        <v>130</v>
      </c>
      <c r="R91" s="1035">
        <f t="shared" si="5"/>
        <v>-20</v>
      </c>
      <c r="S91" s="1789">
        <f t="shared" si="6"/>
        <v>110</v>
      </c>
    </row>
    <row r="92" spans="1:33" ht="15" customHeight="1">
      <c r="A92" s="76" t="s">
        <v>98</v>
      </c>
      <c r="B92" s="1784">
        <f>+'SZOLGÁLTATÓ IRODA'!B91</f>
        <v>8643.125</v>
      </c>
      <c r="C92" s="409">
        <f>+'SZOLGÁLTATÓ IRODA'!C91</f>
        <v>-1946</v>
      </c>
      <c r="D92" s="2098">
        <f>+'SZOLGÁLTATÓ IRODA'!D91</f>
        <v>6697.125</v>
      </c>
      <c r="E92" s="2166">
        <f>+'SEGÍTŐ SZOLGÁLAT'!AK99</f>
        <v>15807.5</v>
      </c>
      <c r="F92" s="2167">
        <f>+'SEGÍTŐ SZOLGÁLAT'!AL99</f>
        <v>-1257</v>
      </c>
      <c r="G92" s="2168">
        <f>+'SEGÍTŐ SZOLGÁLAT'!AM99</f>
        <v>14550.5</v>
      </c>
      <c r="H92" s="2097">
        <f>+ÓVODA!AF97</f>
        <v>15849.5</v>
      </c>
      <c r="I92" s="1656">
        <f>+ÓVODA!AG97</f>
        <v>-254</v>
      </c>
      <c r="J92" s="2098">
        <f>+ÓVODA!AH97</f>
        <v>15601</v>
      </c>
      <c r="K92" s="1784">
        <f>+'KOZMA FERENC ÁLT. ISK.'!V94</f>
        <v>9609</v>
      </c>
      <c r="L92" s="409">
        <f>+'KOZMA FERENC ÁLT. ISK.'!W94</f>
        <v>535</v>
      </c>
      <c r="M92" s="2070">
        <f>+'KOZMA FERENC ÁLT. ISK.'!X94</f>
        <v>10144.25</v>
      </c>
      <c r="N92" s="2044">
        <f>+N68+N72+N85+N86</f>
        <v>45480</v>
      </c>
      <c r="O92" s="1657">
        <f>+O68+O72+O85+O86</f>
        <v>-764</v>
      </c>
      <c r="P92" s="2028">
        <f>+P68+P72+P85+P86+SUM(P87:P89)</f>
        <v>44716</v>
      </c>
      <c r="Q92" s="1997">
        <f t="shared" si="4"/>
        <v>95389.125</v>
      </c>
      <c r="R92" s="1656">
        <f t="shared" si="5"/>
        <v>-3686</v>
      </c>
      <c r="S92" s="1799">
        <f t="shared" si="6"/>
        <v>91703.125</v>
      </c>
    </row>
    <row r="93" spans="1:33" ht="14.45" customHeight="1">
      <c r="A93" s="1347" t="s">
        <v>99</v>
      </c>
      <c r="B93" s="2071">
        <f>+'SZOLGÁLTATÓ IRODA'!B92</f>
        <v>0</v>
      </c>
      <c r="C93" s="410">
        <f>+'SZOLGÁLTATÓ IRODA'!C92</f>
        <v>0</v>
      </c>
      <c r="D93" s="2093">
        <f>+'SZOLGÁLTATÓ IRODA'!D92</f>
        <v>0</v>
      </c>
      <c r="E93" s="2160">
        <f>+'SEGÍTŐ SZOLGÁLAT'!AK100</f>
        <v>0</v>
      </c>
      <c r="F93" s="2161">
        <f>+'SEGÍTŐ SZOLGÁLAT'!AL100</f>
        <v>0</v>
      </c>
      <c r="G93" s="2162">
        <f>+'SEGÍTŐ SZOLGÁLAT'!AM100</f>
        <v>0</v>
      </c>
      <c r="H93" s="2092">
        <f>+ÓVODA!AF98</f>
        <v>0</v>
      </c>
      <c r="I93" s="1032">
        <f>+ÓVODA!AG98</f>
        <v>0</v>
      </c>
      <c r="J93" s="2093">
        <f>+ÓVODA!AH98</f>
        <v>0</v>
      </c>
      <c r="K93" s="2071">
        <f>+'KOZMA FERENC ÁLT. ISK.'!V95</f>
        <v>0</v>
      </c>
      <c r="L93" s="410">
        <f>+'KOZMA FERENC ÁLT. ISK.'!W95</f>
        <v>0</v>
      </c>
      <c r="M93" s="2072">
        <f>+'KOZMA FERENC ÁLT. ISK.'!X95</f>
        <v>0</v>
      </c>
      <c r="N93" s="2013"/>
      <c r="O93" s="1033">
        <f>+[3]Társulás!$J$7</f>
        <v>4676</v>
      </c>
      <c r="P93" s="2022">
        <f>+[3]Társulás!$J$7</f>
        <v>4676</v>
      </c>
      <c r="Q93" s="1998">
        <f t="shared" si="4"/>
        <v>0</v>
      </c>
      <c r="R93" s="1032">
        <f t="shared" si="5"/>
        <v>4676</v>
      </c>
      <c r="S93" s="1783">
        <f t="shared" si="6"/>
        <v>4676</v>
      </c>
      <c r="T93" s="2"/>
      <c r="U93" s="2"/>
      <c r="W93" s="2"/>
      <c r="X93" s="2"/>
      <c r="Y93" s="2"/>
      <c r="Z93" s="2"/>
      <c r="AB93" s="1" t="s">
        <v>101</v>
      </c>
      <c r="AC93" s="2" t="s">
        <v>102</v>
      </c>
      <c r="AD93" s="1" t="s">
        <v>103</v>
      </c>
      <c r="AE93" s="1" t="s">
        <v>104</v>
      </c>
    </row>
    <row r="94" spans="1:33">
      <c r="A94" s="83" t="s">
        <v>100</v>
      </c>
      <c r="B94" s="2071">
        <f>+'SZOLGÁLTATÓ IRODA'!B93</f>
        <v>0</v>
      </c>
      <c r="C94" s="410">
        <f>+'SZOLGÁLTATÓ IRODA'!C93</f>
        <v>0</v>
      </c>
      <c r="D94" s="2093">
        <f>+'SZOLGÁLTATÓ IRODA'!D93</f>
        <v>0</v>
      </c>
      <c r="E94" s="2160">
        <f>+'SEGÍTŐ SZOLGÁLAT'!AK101</f>
        <v>0</v>
      </c>
      <c r="F94" s="2161">
        <f>+'SEGÍTŐ SZOLGÁLAT'!AL101</f>
        <v>0</v>
      </c>
      <c r="G94" s="2162">
        <f>+'SEGÍTŐ SZOLGÁLAT'!AM101</f>
        <v>0</v>
      </c>
      <c r="H94" s="2092">
        <f>+ÓVODA!AF99</f>
        <v>0</v>
      </c>
      <c r="I94" s="1032">
        <f>+ÓVODA!AG99</f>
        <v>0</v>
      </c>
      <c r="J94" s="2093">
        <f>+ÓVODA!AH99</f>
        <v>0</v>
      </c>
      <c r="K94" s="2065">
        <f>+'KOZMA FERENC ÁLT. ISK.'!V96</f>
        <v>0</v>
      </c>
      <c r="L94" s="407">
        <f>+'KOZMA FERENC ÁLT. ISK.'!W96</f>
        <v>0</v>
      </c>
      <c r="M94" s="2066">
        <f>+'KOZMA FERENC ÁLT. ISK.'!X96</f>
        <v>0</v>
      </c>
      <c r="N94" s="2013"/>
      <c r="O94" s="1033"/>
      <c r="P94" s="2038"/>
      <c r="Q94" s="1993">
        <f t="shared" si="4"/>
        <v>0</v>
      </c>
      <c r="R94" s="1776">
        <f t="shared" si="5"/>
        <v>0</v>
      </c>
      <c r="S94" s="1641">
        <f t="shared" si="6"/>
        <v>0</v>
      </c>
      <c r="T94" s="2"/>
      <c r="U94" s="2"/>
      <c r="W94" s="2"/>
      <c r="X94" s="2"/>
      <c r="Y94" s="2"/>
      <c r="Z94" s="2"/>
      <c r="AA94" s="1" t="s">
        <v>106</v>
      </c>
      <c r="AB94" s="2">
        <f>+D57</f>
        <v>8619.2999999999993</v>
      </c>
      <c r="AC94" s="2">
        <f>+G57</f>
        <v>72488.89</v>
      </c>
      <c r="AD94" s="2">
        <f>+J57</f>
        <v>132624.9</v>
      </c>
      <c r="AE94" s="2">
        <f>+M57</f>
        <v>65689.75</v>
      </c>
      <c r="AF94" s="2">
        <f>SUM(AB94:AE94)</f>
        <v>279422.83999999997</v>
      </c>
      <c r="AG94" s="1">
        <f>+AF94/AF96</f>
        <v>0.82389184605027965</v>
      </c>
    </row>
    <row r="95" spans="1:33">
      <c r="A95" s="83" t="s">
        <v>105</v>
      </c>
      <c r="B95" s="2071">
        <f>+'SZOLGÁLTATÓ IRODA'!B94</f>
        <v>222.5</v>
      </c>
      <c r="C95" s="410">
        <f>+'SZOLGÁLTATÓ IRODA'!C94</f>
        <v>-163</v>
      </c>
      <c r="D95" s="2093">
        <f>+'SZOLGÁLTATÓ IRODA'!D94</f>
        <v>59.5</v>
      </c>
      <c r="E95" s="2160">
        <f>+'SEGÍTŐ SZOLGÁLAT'!AK102</f>
        <v>732.21840000000009</v>
      </c>
      <c r="F95" s="2161">
        <f>+'SEGÍTŐ SZOLGÁLAT'!AL102</f>
        <v>0</v>
      </c>
      <c r="G95" s="2162">
        <f>+'SEGÍTŐ SZOLGÁLAT'!AM102</f>
        <v>732.21840000000009</v>
      </c>
      <c r="H95" s="2092">
        <f>+ÓVODA!AF100</f>
        <v>1201.1220000000001</v>
      </c>
      <c r="I95" s="1032">
        <f>+ÓVODA!AG100</f>
        <v>17</v>
      </c>
      <c r="J95" s="2093">
        <f>+ÓVODA!AH100</f>
        <v>1218.1220000000001</v>
      </c>
      <c r="K95" s="2068">
        <f>+'KOZMA FERENC ÁLT. ISK.'!V97</f>
        <v>568.84799999999996</v>
      </c>
      <c r="L95" s="408">
        <f>+'KOZMA FERENC ÁLT. ISK.'!W97</f>
        <v>0</v>
      </c>
      <c r="M95" s="2066">
        <f>+'KOZMA FERENC ÁLT. ISK.'!X97</f>
        <v>568.84799999999996</v>
      </c>
      <c r="N95" s="2013"/>
      <c r="O95" s="1033"/>
      <c r="P95" s="2045"/>
      <c r="Q95" s="1993">
        <f t="shared" si="4"/>
        <v>2724.6884</v>
      </c>
      <c r="R95" s="1776">
        <f t="shared" si="5"/>
        <v>-146</v>
      </c>
      <c r="S95" s="1641">
        <f t="shared" si="6"/>
        <v>2578.6884</v>
      </c>
      <c r="T95" s="34"/>
      <c r="U95" s="2"/>
      <c r="W95" s="2"/>
      <c r="X95" s="2"/>
      <c r="Y95" s="2"/>
      <c r="Z95" s="2"/>
      <c r="AA95" s="1" t="s">
        <v>108</v>
      </c>
      <c r="AB95" s="2">
        <f>+D97</f>
        <v>6756.625</v>
      </c>
      <c r="AC95" s="2">
        <f>+G97</f>
        <v>19655.718400000002</v>
      </c>
      <c r="AD95" s="2">
        <f>+J97</f>
        <v>20671.622000000003</v>
      </c>
      <c r="AE95" s="2">
        <f>+M97</f>
        <v>12643.098</v>
      </c>
      <c r="AF95" s="2">
        <f>SUM(AB95:AE95)</f>
        <v>59727.063399999999</v>
      </c>
    </row>
    <row r="96" spans="1:33" ht="13.5" thickBot="1">
      <c r="A96" s="1652" t="s">
        <v>107</v>
      </c>
      <c r="B96" s="2134">
        <f>+'SZOLGÁLTATÓ IRODA'!B95</f>
        <v>0</v>
      </c>
      <c r="C96" s="1786">
        <f>+'SZOLGÁLTATÓ IRODA'!C95</f>
        <v>0</v>
      </c>
      <c r="D96" s="2107">
        <f>+'SZOLGÁLTATÓ IRODA'!D95</f>
        <v>0</v>
      </c>
      <c r="E96" s="2175">
        <f>+'SEGÍTŐ SZOLGÁLAT'!AK103</f>
        <v>1929</v>
      </c>
      <c r="F96" s="2176">
        <f>+'SEGÍTŐ SZOLGÁLAT'!AL103</f>
        <v>2444</v>
      </c>
      <c r="G96" s="2177">
        <f>+'SEGÍTŐ SZOLGÁLAT'!AM103</f>
        <v>4373</v>
      </c>
      <c r="H96" s="2106">
        <f>+ÓVODA!AF101</f>
        <v>1929</v>
      </c>
      <c r="I96" s="1787">
        <f>+ÓVODA!AG101</f>
        <v>1929</v>
      </c>
      <c r="J96" s="2107">
        <f>+ÓVODA!AH101</f>
        <v>3858</v>
      </c>
      <c r="K96" s="2087">
        <f>+'KOZMA FERENC ÁLT. ISK.'!V98</f>
        <v>965</v>
      </c>
      <c r="L96" s="1779">
        <f>+'KOZMA FERENC ÁLT. ISK.'!W98</f>
        <v>965</v>
      </c>
      <c r="M96" s="2086">
        <f>+'KOZMA FERENC ÁLT. ISK.'!X98</f>
        <v>1930</v>
      </c>
      <c r="N96" s="2039"/>
      <c r="O96" s="1655"/>
      <c r="P96" s="2040"/>
      <c r="Q96" s="1994">
        <f t="shared" si="4"/>
        <v>4823</v>
      </c>
      <c r="R96" s="1780">
        <f t="shared" si="5"/>
        <v>5338</v>
      </c>
      <c r="S96" s="1654">
        <f t="shared" si="6"/>
        <v>10161</v>
      </c>
      <c r="T96" s="21"/>
      <c r="AF96" s="2">
        <f>SUM(AF94:AF95)</f>
        <v>339149.90339999995</v>
      </c>
    </row>
    <row r="97" spans="1:32" s="21" customFormat="1" ht="13.5" thickBot="1">
      <c r="A97" s="1388" t="s">
        <v>109</v>
      </c>
      <c r="B97" s="2078">
        <f>+'SZOLGÁLTATÓ IRODA'!B96</f>
        <v>8865.625</v>
      </c>
      <c r="C97" s="417">
        <f>+'SZOLGÁLTATÓ IRODA'!C96</f>
        <v>-2109</v>
      </c>
      <c r="D97" s="2104">
        <f>+'SZOLGÁLTATÓ IRODA'!D96</f>
        <v>6756.625</v>
      </c>
      <c r="E97" s="2154">
        <f>+'SEGÍTŐ SZOLGÁLAT'!AK104</f>
        <v>18468.718400000002</v>
      </c>
      <c r="F97" s="2155">
        <f>+'SEGÍTŐ SZOLGÁLAT'!AL104</f>
        <v>1187</v>
      </c>
      <c r="G97" s="2156">
        <f>+'SEGÍTŐ SZOLGÁLAT'!AM104</f>
        <v>19655.718400000002</v>
      </c>
      <c r="H97" s="2019">
        <f>+ÓVODA!AF102</f>
        <v>18979.621999999999</v>
      </c>
      <c r="I97" s="1072">
        <f>+ÓVODA!AG102</f>
        <v>1692</v>
      </c>
      <c r="J97" s="2104">
        <f>+ÓVODA!AH102</f>
        <v>20671.622000000003</v>
      </c>
      <c r="K97" s="2078">
        <f>+'KOZMA FERENC ÁLT. ISK.'!V99</f>
        <v>11142.848</v>
      </c>
      <c r="L97" s="417">
        <f>+'KOZMA FERENC ÁLT. ISK.'!W99</f>
        <v>1500</v>
      </c>
      <c r="M97" s="2047">
        <f>+'KOZMA FERENC ÁLT. ISK.'!X99</f>
        <v>12643.098</v>
      </c>
      <c r="N97" s="2046">
        <f>+N92+SUM(N93:N96)</f>
        <v>45480</v>
      </c>
      <c r="O97" s="1767">
        <f>+O92+SUM(O93:O96)</f>
        <v>3912</v>
      </c>
      <c r="P97" s="2047">
        <f>+P92+SUM(P93:P96)</f>
        <v>49392</v>
      </c>
      <c r="Q97" s="1995">
        <f>+B97+E97+H97+K97+N97</f>
        <v>102936.8134</v>
      </c>
      <c r="R97" s="1072">
        <f t="shared" si="5"/>
        <v>6182</v>
      </c>
      <c r="S97" s="2141">
        <f t="shared" si="6"/>
        <v>109118.8134</v>
      </c>
      <c r="V97" s="22"/>
      <c r="AF97" s="22"/>
    </row>
    <row r="98" spans="1:32" ht="25.5">
      <c r="A98" s="1827" t="s">
        <v>371</v>
      </c>
      <c r="B98" s="2079">
        <f>+'SZOLGÁLTATÓ IRODA'!B97</f>
        <v>0</v>
      </c>
      <c r="C98" s="1069">
        <f>+'SZOLGÁLTATÓ IRODA'!C97</f>
        <v>8250</v>
      </c>
      <c r="D98" s="2091">
        <f>+'SZOLGÁLTATÓ IRODA'!D97</f>
        <v>8250</v>
      </c>
      <c r="E98" s="2157"/>
      <c r="F98" s="2158"/>
      <c r="G98" s="2159"/>
      <c r="H98" s="2105">
        <f>+ÓVODA!AF103</f>
        <v>0</v>
      </c>
      <c r="I98" s="1068">
        <f>+ÓVODA!AG103</f>
        <v>0</v>
      </c>
      <c r="J98" s="2091"/>
      <c r="K98" s="2071"/>
      <c r="L98" s="410"/>
      <c r="M98" s="2072"/>
      <c r="N98" s="2013"/>
      <c r="O98" s="1033"/>
      <c r="P98" s="2048"/>
      <c r="Q98" s="1996">
        <f t="shared" si="4"/>
        <v>0</v>
      </c>
      <c r="R98" s="1032">
        <f t="shared" si="5"/>
        <v>8250</v>
      </c>
      <c r="S98" s="1788">
        <f t="shared" si="6"/>
        <v>8250</v>
      </c>
      <c r="AF98" s="2"/>
    </row>
    <row r="99" spans="1:32">
      <c r="A99" s="1347" t="s">
        <v>702</v>
      </c>
      <c r="B99" s="2071">
        <f>+'SZOLGÁLTATÓ IRODA'!B98</f>
        <v>0</v>
      </c>
      <c r="C99" s="410">
        <f>+'SZOLGÁLTATÓ IRODA'!C98</f>
        <v>0</v>
      </c>
      <c r="D99" s="2093">
        <f>+'SZOLGÁLTATÓ IRODA'!D98</f>
        <v>0</v>
      </c>
      <c r="E99" s="2160"/>
      <c r="F99" s="2161"/>
      <c r="G99" s="2162"/>
      <c r="H99" s="2092">
        <f>+ÓVODA!AF104</f>
        <v>0</v>
      </c>
      <c r="I99" s="1032">
        <f>+ÓVODA!AG104</f>
        <v>0</v>
      </c>
      <c r="J99" s="2093"/>
      <c r="K99" s="2065"/>
      <c r="L99" s="407"/>
      <c r="M99" s="2066"/>
      <c r="N99" s="2013"/>
      <c r="O99" s="1033"/>
      <c r="P99" s="2022"/>
      <c r="Q99" s="1993">
        <f t="shared" si="4"/>
        <v>0</v>
      </c>
      <c r="R99" s="1776">
        <f t="shared" si="5"/>
        <v>0</v>
      </c>
      <c r="S99" s="1641">
        <f t="shared" si="6"/>
        <v>0</v>
      </c>
      <c r="T99" s="787"/>
      <c r="U99" s="787"/>
    </row>
    <row r="100" spans="1:32">
      <c r="A100" s="1347" t="s">
        <v>110</v>
      </c>
      <c r="B100" s="2071">
        <f>+'SZOLGÁLTATÓ IRODA'!B99</f>
        <v>0</v>
      </c>
      <c r="C100" s="410">
        <f>+'SZOLGÁLTATÓ IRODA'!C99</f>
        <v>0</v>
      </c>
      <c r="D100" s="2093">
        <f>+'SZOLGÁLTATÓ IRODA'!D99</f>
        <v>0</v>
      </c>
      <c r="E100" s="2160">
        <f>+'SEGÍTŐ SZOLGÁLAT'!AK105</f>
        <v>0</v>
      </c>
      <c r="F100" s="2161">
        <f>+'SEGÍTŐ SZOLGÁLAT'!AL105</f>
        <v>0</v>
      </c>
      <c r="G100" s="2162"/>
      <c r="H100" s="2092"/>
      <c r="I100" s="1032"/>
      <c r="J100" s="2093"/>
      <c r="K100" s="2065">
        <f>+'KOZMA FERENC ÁLT. ISK.'!V100</f>
        <v>0</v>
      </c>
      <c r="L100" s="407">
        <f>+'KOZMA FERENC ÁLT. ISK.'!W100</f>
        <v>0</v>
      </c>
      <c r="M100" s="2066">
        <f>+'KOZMA FERENC ÁLT. ISK.'!X100</f>
        <v>0</v>
      </c>
      <c r="N100" s="2013"/>
      <c r="O100" s="1033"/>
      <c r="P100" s="2022"/>
      <c r="Q100" s="1993">
        <f t="shared" si="4"/>
        <v>0</v>
      </c>
      <c r="R100" s="1776">
        <f t="shared" si="5"/>
        <v>0</v>
      </c>
      <c r="S100" s="1641">
        <f t="shared" si="6"/>
        <v>0</v>
      </c>
      <c r="T100" s="788"/>
      <c r="U100" s="788"/>
    </row>
    <row r="101" spans="1:32">
      <c r="A101" s="83" t="s">
        <v>111</v>
      </c>
      <c r="B101" s="2071">
        <f>+'SZOLGÁLTATÓ IRODA'!B100</f>
        <v>0</v>
      </c>
      <c r="C101" s="410">
        <f>+'SZOLGÁLTATÓ IRODA'!C100</f>
        <v>0</v>
      </c>
      <c r="D101" s="2093">
        <f>+'SZOLGÁLTATÓ IRODA'!D100</f>
        <v>0</v>
      </c>
      <c r="E101" s="2160">
        <f>+'SEGÍTŐ SZOLGÁLAT'!AK106</f>
        <v>0</v>
      </c>
      <c r="F101" s="2161">
        <f>+'SEGÍTŐ SZOLGÁLAT'!AL106</f>
        <v>0</v>
      </c>
      <c r="G101" s="2162"/>
      <c r="H101" s="2092"/>
      <c r="I101" s="1032"/>
      <c r="J101" s="2093"/>
      <c r="K101" s="2065">
        <f>+'KOZMA FERENC ÁLT. ISK.'!V101</f>
        <v>0</v>
      </c>
      <c r="L101" s="407">
        <f>+'KOZMA FERENC ÁLT. ISK.'!W101</f>
        <v>0</v>
      </c>
      <c r="M101" s="2066">
        <f>+'KOZMA FERENC ÁLT. ISK.'!X101</f>
        <v>0</v>
      </c>
      <c r="N101" s="2013"/>
      <c r="O101" s="1033"/>
      <c r="P101" s="2038"/>
      <c r="Q101" s="1993">
        <f t="shared" si="4"/>
        <v>0</v>
      </c>
      <c r="R101" s="1776">
        <f t="shared" si="5"/>
        <v>0</v>
      </c>
      <c r="S101" s="1641">
        <f t="shared" si="6"/>
        <v>0</v>
      </c>
      <c r="T101" s="788"/>
      <c r="U101" s="788"/>
    </row>
    <row r="102" spans="1:32">
      <c r="A102" s="83" t="s">
        <v>112</v>
      </c>
      <c r="B102" s="2071">
        <f>+'SZOLGÁLTATÓ IRODA'!B101</f>
        <v>0</v>
      </c>
      <c r="C102" s="410">
        <f>+'SZOLGÁLTATÓ IRODA'!C101</f>
        <v>297</v>
      </c>
      <c r="D102" s="2093">
        <f>+'SZOLGÁLTATÓ IRODA'!D101</f>
        <v>297</v>
      </c>
      <c r="E102" s="2160">
        <f>+'SEGÍTŐ SZOLGÁLAT'!AK107</f>
        <v>0</v>
      </c>
      <c r="F102" s="2161">
        <f>+'SEGÍTŐ SZOLGÁLAT'!AL107</f>
        <v>0</v>
      </c>
      <c r="G102" s="2162"/>
      <c r="H102" s="2092">
        <f>+ÓVODA!AF105</f>
        <v>0</v>
      </c>
      <c r="I102" s="1032">
        <f>+ÓVODA!AG105</f>
        <v>450</v>
      </c>
      <c r="J102" s="2093">
        <f>+ÓVODA!AH105</f>
        <v>450</v>
      </c>
      <c r="K102" s="2065">
        <f>+'KOZMA FERENC ÁLT. ISK.'!V102</f>
        <v>0</v>
      </c>
      <c r="L102" s="407">
        <f>+'KOZMA FERENC ÁLT. ISK.'!W102</f>
        <v>0</v>
      </c>
      <c r="M102" s="2066">
        <f>+'KOZMA FERENC ÁLT. ISK.'!X102</f>
        <v>0</v>
      </c>
      <c r="N102" s="2013"/>
      <c r="O102" s="1033"/>
      <c r="P102" s="2038"/>
      <c r="Q102" s="1993">
        <f t="shared" si="4"/>
        <v>0</v>
      </c>
      <c r="R102" s="1776">
        <f t="shared" si="5"/>
        <v>747</v>
      </c>
      <c r="S102" s="1641">
        <f t="shared" si="6"/>
        <v>747</v>
      </c>
      <c r="T102" s="788"/>
      <c r="U102" s="788"/>
    </row>
    <row r="103" spans="1:32">
      <c r="A103" s="83" t="s">
        <v>113</v>
      </c>
      <c r="B103" s="2071">
        <f>+'SZOLGÁLTATÓ IRODA'!B102</f>
        <v>0</v>
      </c>
      <c r="C103" s="410">
        <f>+'SZOLGÁLTATÓ IRODA'!C102</f>
        <v>0</v>
      </c>
      <c r="D103" s="2093">
        <f>+'SZOLGÁLTATÓ IRODA'!D102</f>
        <v>0</v>
      </c>
      <c r="E103" s="2160">
        <f>+'SEGÍTŐ SZOLGÁLAT'!AK108</f>
        <v>0</v>
      </c>
      <c r="F103" s="2161">
        <f>+'SEGÍTŐ SZOLGÁLAT'!AL108</f>
        <v>0</v>
      </c>
      <c r="G103" s="2162"/>
      <c r="H103" s="2092">
        <f>+ÓVODA!AF106</f>
        <v>0</v>
      </c>
      <c r="I103" s="1032">
        <f>+ÓVODA!AG106</f>
        <v>0</v>
      </c>
      <c r="J103" s="2093">
        <f>+ÓVODA!AH106</f>
        <v>0</v>
      </c>
      <c r="K103" s="2065">
        <f>+'KOZMA FERENC ÁLT. ISK.'!V103</f>
        <v>0</v>
      </c>
      <c r="L103" s="407">
        <f>+'KOZMA FERENC ÁLT. ISK.'!W103</f>
        <v>9398</v>
      </c>
      <c r="M103" s="2066">
        <f>+'KOZMA FERENC ÁLT. ISK.'!X103</f>
        <v>9398</v>
      </c>
      <c r="N103" s="2013"/>
      <c r="O103" s="1033"/>
      <c r="P103" s="2038"/>
      <c r="Q103" s="1993">
        <f t="shared" si="4"/>
        <v>0</v>
      </c>
      <c r="R103" s="1776">
        <f t="shared" si="5"/>
        <v>9398</v>
      </c>
      <c r="S103" s="1641">
        <f t="shared" si="6"/>
        <v>9398</v>
      </c>
      <c r="T103" s="789"/>
      <c r="U103" s="789"/>
    </row>
    <row r="104" spans="1:32">
      <c r="A104" s="83" t="s">
        <v>114</v>
      </c>
      <c r="B104" s="2071">
        <f>+'SZOLGÁLTATÓ IRODA'!B103</f>
        <v>0</v>
      </c>
      <c r="C104" s="410">
        <f>+'SZOLGÁLTATÓ IRODA'!C103</f>
        <v>0</v>
      </c>
      <c r="D104" s="2093">
        <f>+'SZOLGÁLTATÓ IRODA'!D103</f>
        <v>0</v>
      </c>
      <c r="E104" s="2160">
        <f>+'SEGÍTŐ SZOLGÁLAT'!AK109</f>
        <v>0</v>
      </c>
      <c r="F104" s="2161">
        <f>+'SEGÍTŐ SZOLGÁLAT'!AL109</f>
        <v>0</v>
      </c>
      <c r="G104" s="2162">
        <f>+'SEGÍTŐ SZOLGÁLAT'!AM109</f>
        <v>0</v>
      </c>
      <c r="H104" s="2092">
        <f>+ÓVODA!AF107</f>
        <v>0</v>
      </c>
      <c r="I104" s="1032">
        <f>+ÓVODA!AG107</f>
        <v>0</v>
      </c>
      <c r="J104" s="2093">
        <f>+ÓVODA!AH107</f>
        <v>0</v>
      </c>
      <c r="K104" s="2065">
        <f>+'KOZMA FERENC ÁLT. ISK.'!V104</f>
        <v>0</v>
      </c>
      <c r="L104" s="407">
        <f>+'KOZMA FERENC ÁLT. ISK.'!W104</f>
        <v>55</v>
      </c>
      <c r="M104" s="2066">
        <f>+'KOZMA FERENC ÁLT. ISK.'!X104</f>
        <v>55</v>
      </c>
      <c r="N104" s="2013"/>
      <c r="O104" s="1033">
        <v>1000</v>
      </c>
      <c r="P104" s="2038">
        <f>+[3]Társulás!$P$4</f>
        <v>1000</v>
      </c>
      <c r="Q104" s="1993">
        <f t="shared" si="4"/>
        <v>0</v>
      </c>
      <c r="R104" s="1776">
        <f t="shared" si="5"/>
        <v>1055</v>
      </c>
      <c r="S104" s="1641">
        <f t="shared" si="6"/>
        <v>1055</v>
      </c>
    </row>
    <row r="105" spans="1:32">
      <c r="A105" s="83" t="s">
        <v>115</v>
      </c>
      <c r="B105" s="2071">
        <f>+'SZOLGÁLTATÓ IRODA'!B104</f>
        <v>0</v>
      </c>
      <c r="C105" s="410">
        <f>+'SZOLGÁLTATÓ IRODA'!C104</f>
        <v>0</v>
      </c>
      <c r="D105" s="2093">
        <f>+'SZOLGÁLTATÓ IRODA'!D104</f>
        <v>0</v>
      </c>
      <c r="E105" s="2160">
        <f>+'SEGÍTŐ SZOLGÁLAT'!AK110</f>
        <v>0</v>
      </c>
      <c r="F105" s="2161">
        <f>+'SEGÍTŐ SZOLGÁLAT'!AL110</f>
        <v>131520</v>
      </c>
      <c r="G105" s="2162">
        <f>+'SEGÍTŐ SZOLGÁLAT'!AM110</f>
        <v>0</v>
      </c>
      <c r="H105" s="2092">
        <f>+ÓVODA!AF108</f>
        <v>0</v>
      </c>
      <c r="I105" s="1032">
        <f>+ÓVODA!AG108</f>
        <v>0</v>
      </c>
      <c r="J105" s="2093">
        <f>+ÓVODA!AH108</f>
        <v>0</v>
      </c>
      <c r="K105" s="2065">
        <f>+'KOZMA FERENC ÁLT. ISK.'!V105</f>
        <v>0</v>
      </c>
      <c r="L105" s="407">
        <f>+'KOZMA FERENC ÁLT. ISK.'!W105</f>
        <v>0</v>
      </c>
      <c r="M105" s="2066">
        <f>+'KOZMA FERENC ÁLT. ISK.'!X105</f>
        <v>0</v>
      </c>
      <c r="N105" s="2013"/>
      <c r="O105" s="1033"/>
      <c r="P105" s="2038"/>
      <c r="Q105" s="1993">
        <f t="shared" si="4"/>
        <v>0</v>
      </c>
      <c r="R105" s="1776">
        <f t="shared" si="5"/>
        <v>131520</v>
      </c>
      <c r="S105" s="1641">
        <f t="shared" si="6"/>
        <v>131520</v>
      </c>
    </row>
    <row r="106" spans="1:32">
      <c r="A106" s="83" t="s">
        <v>116</v>
      </c>
      <c r="B106" s="2071">
        <f>+'SZOLGÁLTATÓ IRODA'!B105</f>
        <v>0</v>
      </c>
      <c r="C106" s="410">
        <f>+'SZOLGÁLTATÓ IRODA'!C105</f>
        <v>0</v>
      </c>
      <c r="D106" s="2093">
        <f>+'SZOLGÁLTATÓ IRODA'!D105</f>
        <v>0</v>
      </c>
      <c r="E106" s="2160">
        <f>+'SEGÍTŐ SZOLGÁLAT'!AK111</f>
        <v>0</v>
      </c>
      <c r="F106" s="2161">
        <f>+'SEGÍTŐ SZOLGÁLAT'!AL111</f>
        <v>607</v>
      </c>
      <c r="G106" s="2162">
        <f>+'SEGÍTŐ SZOLGÁLAT'!AM111</f>
        <v>607</v>
      </c>
      <c r="H106" s="2092">
        <f>+ÓVODA!AF109</f>
        <v>0</v>
      </c>
      <c r="I106" s="1032">
        <f>+ÓVODA!AG109</f>
        <v>0</v>
      </c>
      <c r="J106" s="2093">
        <f>+ÓVODA!AH109</f>
        <v>0</v>
      </c>
      <c r="K106" s="2065">
        <f>+'KOZMA FERENC ÁLT. ISK.'!V106</f>
        <v>0</v>
      </c>
      <c r="L106" s="407">
        <f>+'KOZMA FERENC ÁLT. ISK.'!W106</f>
        <v>0</v>
      </c>
      <c r="M106" s="2066">
        <f>+'KOZMA FERENC ÁLT. ISK.'!X106</f>
        <v>0</v>
      </c>
      <c r="N106" s="2013"/>
      <c r="O106" s="1033"/>
      <c r="P106" s="2038"/>
      <c r="Q106" s="1993">
        <f t="shared" si="4"/>
        <v>0</v>
      </c>
      <c r="R106" s="1776">
        <f t="shared" si="5"/>
        <v>607</v>
      </c>
      <c r="S106" s="1641">
        <f t="shared" si="6"/>
        <v>607</v>
      </c>
    </row>
    <row r="107" spans="1:32">
      <c r="A107" s="1653" t="s">
        <v>117</v>
      </c>
      <c r="B107" s="2071">
        <f>+'SZOLGÁLTATÓ IRODA'!B106</f>
        <v>0</v>
      </c>
      <c r="C107" s="410">
        <f>+'SZOLGÁLTATÓ IRODA'!C106</f>
        <v>297</v>
      </c>
      <c r="D107" s="2093">
        <f>+'SZOLGÁLTATÓ IRODA'!D106</f>
        <v>297</v>
      </c>
      <c r="E107" s="2160">
        <f>+'SEGÍTŐ SZOLGÁLAT'!AK112</f>
        <v>0</v>
      </c>
      <c r="F107" s="2161">
        <f>+'SEGÍTŐ SZOLGÁLAT'!AL112</f>
        <v>132127</v>
      </c>
      <c r="G107" s="2162">
        <f>+'SEGÍTŐ SZOLGÁLAT'!AM112</f>
        <v>132127</v>
      </c>
      <c r="H107" s="2092">
        <f>+ÓVODA!AF110</f>
        <v>0</v>
      </c>
      <c r="I107" s="1032">
        <f>+ÓVODA!AG110</f>
        <v>450</v>
      </c>
      <c r="J107" s="2093">
        <f>+ÓVODA!AH110</f>
        <v>450</v>
      </c>
      <c r="K107" s="2065">
        <f>+'KOZMA FERENC ÁLT. ISK.'!V107</f>
        <v>0</v>
      </c>
      <c r="L107" s="407">
        <f>+'KOZMA FERENC ÁLT. ISK.'!W107</f>
        <v>9453</v>
      </c>
      <c r="M107" s="2066">
        <f>+'KOZMA FERENC ÁLT. ISK.'!X107</f>
        <v>9453</v>
      </c>
      <c r="N107" s="2013"/>
      <c r="O107" s="1033">
        <f>SUM(O104:O106)</f>
        <v>1000</v>
      </c>
      <c r="P107" s="2038">
        <f>SUM(P98:P106)</f>
        <v>1000</v>
      </c>
      <c r="Q107" s="1993">
        <f t="shared" si="4"/>
        <v>0</v>
      </c>
      <c r="R107" s="1776">
        <f t="shared" si="5"/>
        <v>143327</v>
      </c>
      <c r="S107" s="1641">
        <f t="shared" si="6"/>
        <v>143327</v>
      </c>
    </row>
    <row r="108" spans="1:32">
      <c r="A108" s="1385" t="s">
        <v>118</v>
      </c>
      <c r="B108" s="2085">
        <f>+'SZOLGÁLTATÓ IRODA'!B107</f>
        <v>0</v>
      </c>
      <c r="C108" s="414">
        <f>+'SZOLGÁLTATÓ IRODA'!C107</f>
        <v>0</v>
      </c>
      <c r="D108" s="2099">
        <f>+'SZOLGÁLTATÓ IRODA'!D107</f>
        <v>0</v>
      </c>
      <c r="E108" s="2163">
        <f>+'SEGÍTŐ SZOLGÁLAT'!AK113</f>
        <v>0</v>
      </c>
      <c r="F108" s="2164">
        <f>+'SEGÍTŐ SZOLGÁLAT'!AL113</f>
        <v>32658</v>
      </c>
      <c r="G108" s="2165">
        <f>+'SEGÍTŐ SZOLGÁLAT'!AM113</f>
        <v>32658</v>
      </c>
      <c r="H108" s="2095">
        <f>+ÓVODA!AF111</f>
        <v>0</v>
      </c>
      <c r="I108" s="1035">
        <f>+ÓVODA!AG111</f>
        <v>106</v>
      </c>
      <c r="J108" s="2099">
        <f>+ÓVODA!AH111</f>
        <v>106</v>
      </c>
      <c r="K108" s="2068">
        <f>+'KOZMA FERENC ÁLT. ISK.'!V108</f>
        <v>0</v>
      </c>
      <c r="L108" s="408">
        <f>+'KOZMA FERENC ÁLT. ISK.'!W108</f>
        <v>200</v>
      </c>
      <c r="M108" s="2080">
        <f>+'KOZMA FERENC ÁLT. ISK.'!X108</f>
        <v>200</v>
      </c>
      <c r="N108" s="2039"/>
      <c r="O108" s="1655"/>
      <c r="P108" s="2040"/>
      <c r="Q108" s="1994">
        <f t="shared" si="4"/>
        <v>0</v>
      </c>
      <c r="R108" s="1780">
        <f t="shared" si="5"/>
        <v>32964</v>
      </c>
      <c r="S108" s="1654">
        <f t="shared" si="6"/>
        <v>32964</v>
      </c>
    </row>
    <row r="109" spans="1:32">
      <c r="A109" s="76" t="s">
        <v>119</v>
      </c>
      <c r="B109" s="1784">
        <f>+'SZOLGÁLTATÓ IRODA'!B108</f>
        <v>0</v>
      </c>
      <c r="C109" s="409">
        <f>+'SZOLGÁLTATÓ IRODA'!C108</f>
        <v>297</v>
      </c>
      <c r="D109" s="2028">
        <f>SUM(D107:D108)</f>
        <v>297</v>
      </c>
      <c r="E109" s="2166">
        <f>+'SEGÍTŐ SZOLGÁLAT'!AK114</f>
        <v>0</v>
      </c>
      <c r="F109" s="2167">
        <f>+'SEGÍTŐ SZOLGÁLAT'!AL114</f>
        <v>164785</v>
      </c>
      <c r="G109" s="2178">
        <f>SUM(G107:G108)</f>
        <v>164785</v>
      </c>
      <c r="H109" s="2097">
        <f>+ÓVODA!AF112</f>
        <v>0</v>
      </c>
      <c r="I109" s="1656">
        <f>+ÓVODA!AG112</f>
        <v>556</v>
      </c>
      <c r="J109" s="2028">
        <f>SUM(J107:J108)</f>
        <v>556</v>
      </c>
      <c r="K109" s="1784">
        <f>+'KOZMA FERENC ÁLT. ISK.'!V109</f>
        <v>0</v>
      </c>
      <c r="L109" s="409">
        <f>+'KOZMA FERENC ÁLT. ISK.'!W109</f>
        <v>9653</v>
      </c>
      <c r="M109" s="2028">
        <f>SUM(M107:M108)</f>
        <v>9653</v>
      </c>
      <c r="N109" s="2049"/>
      <c r="O109" s="1315">
        <f>SUM(O107:O108)</f>
        <v>1000</v>
      </c>
      <c r="P109" s="2028">
        <f>SUM(P107:P108)</f>
        <v>1000</v>
      </c>
      <c r="Q109" s="1997">
        <f t="shared" si="4"/>
        <v>0</v>
      </c>
      <c r="R109" s="1656">
        <f t="shared" si="5"/>
        <v>176291</v>
      </c>
      <c r="S109" s="2142">
        <f t="shared" si="6"/>
        <v>176291</v>
      </c>
    </row>
    <row r="110" spans="1:32">
      <c r="A110" s="1347" t="s">
        <v>120</v>
      </c>
      <c r="B110" s="2071">
        <f>+'SZOLGÁLTATÓ IRODA'!B109</f>
        <v>0</v>
      </c>
      <c r="C110" s="410">
        <f>+'SZOLGÁLTATÓ IRODA'!C109</f>
        <v>0</v>
      </c>
      <c r="D110" s="2093">
        <f>+'SZOLGÁLTATÓ IRODA'!D109</f>
        <v>0</v>
      </c>
      <c r="E110" s="2160">
        <f>+'SEGÍTŐ SZOLGÁLAT'!AK115</f>
        <v>0</v>
      </c>
      <c r="F110" s="2161">
        <f>+'SEGÍTŐ SZOLGÁLAT'!AL115</f>
        <v>0</v>
      </c>
      <c r="G110" s="2162">
        <f>+'SEGÍTŐ SZOLGÁLAT'!AM115</f>
        <v>0</v>
      </c>
      <c r="H110" s="2092">
        <f>+ÓVODA!AF113</f>
        <v>0</v>
      </c>
      <c r="I110" s="1032">
        <f>+ÓVODA!AG113</f>
        <v>0</v>
      </c>
      <c r="J110" s="2093">
        <f>+ÓVODA!AH113</f>
        <v>0</v>
      </c>
      <c r="K110" s="2071">
        <f>+'KOZMA FERENC ÁLT. ISK.'!V110</f>
        <v>0</v>
      </c>
      <c r="L110" s="410">
        <f>+'KOZMA FERENC ÁLT. ISK.'!W110</f>
        <v>0</v>
      </c>
      <c r="M110" s="2072">
        <f>+'KOZMA FERENC ÁLT. ISK.'!X110</f>
        <v>0</v>
      </c>
      <c r="N110" s="2013">
        <v>31448</v>
      </c>
      <c r="O110" s="1033"/>
      <c r="P110" s="2022">
        <v>31448</v>
      </c>
      <c r="Q110" s="1998">
        <f t="shared" si="4"/>
        <v>31448</v>
      </c>
      <c r="R110" s="1032">
        <f t="shared" si="5"/>
        <v>0</v>
      </c>
      <c r="S110" s="1783">
        <f t="shared" si="6"/>
        <v>31448</v>
      </c>
    </row>
    <row r="111" spans="1:32" s="21" customFormat="1">
      <c r="A111" s="83" t="s">
        <v>121</v>
      </c>
      <c r="B111" s="2071">
        <f>+'SZOLGÁLTATÓ IRODA'!B110</f>
        <v>0</v>
      </c>
      <c r="C111" s="410">
        <f>+'SZOLGÁLTATÓ IRODA'!C110</f>
        <v>0</v>
      </c>
      <c r="D111" s="2093">
        <f>+'SZOLGÁLTATÓ IRODA'!D110</f>
        <v>0</v>
      </c>
      <c r="E111" s="2160">
        <f>+'SEGÍTŐ SZOLGÁLAT'!AK116</f>
        <v>0</v>
      </c>
      <c r="F111" s="2161">
        <f>+'SEGÍTŐ SZOLGÁLAT'!AL116</f>
        <v>0</v>
      </c>
      <c r="G111" s="2162">
        <f>+'SEGÍTŐ SZOLGÁLAT'!AM116</f>
        <v>0</v>
      </c>
      <c r="H111" s="2092">
        <f>+ÓVODA!AF114</f>
        <v>0</v>
      </c>
      <c r="I111" s="1032">
        <f>+ÓVODA!AG114</f>
        <v>0</v>
      </c>
      <c r="J111" s="2093">
        <f>+ÓVODA!AH114</f>
        <v>0</v>
      </c>
      <c r="K111" s="2065">
        <f>+'KOZMA FERENC ÁLT. ISK.'!V111</f>
        <v>0</v>
      </c>
      <c r="L111" s="407">
        <f>+'KOZMA FERENC ÁLT. ISK.'!W111</f>
        <v>0</v>
      </c>
      <c r="M111" s="2066">
        <f>+'KOZMA FERENC ÁLT. ISK.'!X111</f>
        <v>0</v>
      </c>
      <c r="N111" s="2013"/>
      <c r="O111" s="1033"/>
      <c r="P111" s="2022">
        <f>+P7</f>
        <v>0</v>
      </c>
      <c r="Q111" s="1993">
        <f t="shared" si="4"/>
        <v>0</v>
      </c>
      <c r="R111" s="1776">
        <f t="shared" si="5"/>
        <v>0</v>
      </c>
      <c r="S111" s="1641">
        <f t="shared" si="6"/>
        <v>0</v>
      </c>
      <c r="T111" s="22"/>
      <c r="V111" s="22"/>
    </row>
    <row r="112" spans="1:32">
      <c r="A112" s="1348" t="s">
        <v>122</v>
      </c>
      <c r="B112" s="2071">
        <f>+'SZOLGÁLTATÓ IRODA'!B111</f>
        <v>0</v>
      </c>
      <c r="C112" s="410">
        <f>+'SZOLGÁLTATÓ IRODA'!C111</f>
        <v>0</v>
      </c>
      <c r="D112" s="2093">
        <f>+'SZOLGÁLTATÓ IRODA'!D111</f>
        <v>0</v>
      </c>
      <c r="E112" s="2160">
        <f>+'SEGÍTŐ SZOLGÁLAT'!AK117</f>
        <v>0</v>
      </c>
      <c r="F112" s="2161">
        <f>+'SEGÍTŐ SZOLGÁLAT'!AL117</f>
        <v>0</v>
      </c>
      <c r="G112" s="2162">
        <f>+'SEGÍTŐ SZOLGÁLAT'!AM117</f>
        <v>0</v>
      </c>
      <c r="H112" s="2092">
        <f>+ÓVODA!AF115</f>
        <v>0</v>
      </c>
      <c r="I112" s="1032">
        <f>+ÓVODA!AG115</f>
        <v>0</v>
      </c>
      <c r="J112" s="2093">
        <f>+ÓVODA!AH115</f>
        <v>0</v>
      </c>
      <c r="K112" s="2065">
        <f>+'KOZMA FERENC ÁLT. ISK.'!V112</f>
        <v>0</v>
      </c>
      <c r="L112" s="407">
        <f>+'KOZMA FERENC ÁLT. ISK.'!W112</f>
        <v>0</v>
      </c>
      <c r="M112" s="2066">
        <f>+'KOZMA FERENC ÁLT. ISK.'!X112</f>
        <v>0</v>
      </c>
      <c r="N112" s="2013"/>
      <c r="O112" s="1033"/>
      <c r="P112" s="2038"/>
      <c r="Q112" s="1993">
        <f t="shared" si="4"/>
        <v>0</v>
      </c>
      <c r="R112" s="1776">
        <f t="shared" si="5"/>
        <v>0</v>
      </c>
      <c r="S112" s="1641">
        <f t="shared" si="6"/>
        <v>0</v>
      </c>
    </row>
    <row r="113" spans="1:22">
      <c r="A113" s="83" t="s">
        <v>708</v>
      </c>
      <c r="B113" s="2065">
        <f>+'SZOLGÁLTATÓ IRODA'!B112</f>
        <v>0</v>
      </c>
      <c r="C113" s="407">
        <f>+'SZOLGÁLTATÓ IRODA'!C112</f>
        <v>0</v>
      </c>
      <c r="D113" s="2108">
        <f>+'SZOLGÁLTATÓ IRODA'!D112</f>
        <v>0</v>
      </c>
      <c r="E113" s="2149">
        <f>+'SEGÍTŐ SZOLGÁLAT'!AK118</f>
        <v>0</v>
      </c>
      <c r="F113" s="2150">
        <f>+'SEGÍTŐ SZOLGÁLAT'!AL118</f>
        <v>0</v>
      </c>
      <c r="G113" s="2151">
        <f>+'SEGÍTŐ SZOLGÁLAT'!AM118</f>
        <v>0</v>
      </c>
      <c r="H113" s="1863">
        <f>+ÓVODA!AF116</f>
        <v>0</v>
      </c>
      <c r="I113" s="1776">
        <f>+ÓVODA!AG116</f>
        <v>0</v>
      </c>
      <c r="J113" s="2108">
        <f>+ÓVODA!AH116</f>
        <v>0</v>
      </c>
      <c r="K113" s="2065">
        <f>+'KOZMA FERENC ÁLT. ISK.'!V113</f>
        <v>0</v>
      </c>
      <c r="L113" s="407">
        <f>+'KOZMA FERENC ÁLT. ISK.'!W113</f>
        <v>0</v>
      </c>
      <c r="M113" s="2066">
        <f>+'KOZMA FERENC ÁLT. ISK.'!X113</f>
        <v>0</v>
      </c>
      <c r="N113" s="2011">
        <v>5932</v>
      </c>
      <c r="O113" s="1781">
        <f>+[3]Társulás!$Q$5</f>
        <v>-1000</v>
      </c>
      <c r="P113" s="2038">
        <f>SUM(N113:O113)</f>
        <v>4932</v>
      </c>
      <c r="Q113" s="1993">
        <f t="shared" si="4"/>
        <v>5932</v>
      </c>
      <c r="R113" s="1776">
        <f t="shared" si="5"/>
        <v>-1000</v>
      </c>
      <c r="S113" s="1641">
        <f t="shared" si="6"/>
        <v>4932</v>
      </c>
      <c r="T113" s="2"/>
    </row>
    <row r="114" spans="1:22">
      <c r="A114" s="83" t="s">
        <v>709</v>
      </c>
      <c r="B114" s="2065"/>
      <c r="C114" s="407"/>
      <c r="D114" s="2108"/>
      <c r="E114" s="2149"/>
      <c r="F114" s="2150"/>
      <c r="G114" s="2151"/>
      <c r="H114" s="1863"/>
      <c r="I114" s="1776"/>
      <c r="J114" s="2108"/>
      <c r="K114" s="2065"/>
      <c r="L114" s="407"/>
      <c r="M114" s="2066"/>
      <c r="N114" s="2050"/>
      <c r="O114" s="1781">
        <f>+[3]Társulás!$Q$14</f>
        <v>8420</v>
      </c>
      <c r="P114" s="2038">
        <f>SUM(N114:O114)</f>
        <v>8420</v>
      </c>
      <c r="Q114" s="1993">
        <f t="shared" ref="Q114" si="7">+B114+E114+H114+K114+N114</f>
        <v>0</v>
      </c>
      <c r="R114" s="1776">
        <f t="shared" ref="R114" si="8">+C114+F114+I114+L114+O114</f>
        <v>8420</v>
      </c>
      <c r="S114" s="1641">
        <f t="shared" ref="S114" si="9">SUM(Q114:R114)</f>
        <v>8420</v>
      </c>
      <c r="T114" s="2"/>
    </row>
    <row r="115" spans="1:22">
      <c r="A115" s="83" t="s">
        <v>706</v>
      </c>
      <c r="B115" s="2065"/>
      <c r="C115" s="407"/>
      <c r="D115" s="2108"/>
      <c r="E115" s="2149"/>
      <c r="F115" s="2150"/>
      <c r="G115" s="2151"/>
      <c r="H115" s="1863"/>
      <c r="I115" s="1776"/>
      <c r="J115" s="2108"/>
      <c r="K115" s="2065"/>
      <c r="L115" s="407"/>
      <c r="M115" s="2066"/>
      <c r="N115" s="2050"/>
      <c r="O115" s="1781">
        <f>+[3]Társulás!$Q$15</f>
        <v>500</v>
      </c>
      <c r="P115" s="2038">
        <f>SUM(O115)</f>
        <v>500</v>
      </c>
      <c r="Q115" s="1993">
        <f t="shared" ref="Q115" si="10">+B115+E115+H115+K115+N115</f>
        <v>0</v>
      </c>
      <c r="R115" s="1776">
        <f t="shared" ref="R115" si="11">+C115+F115+I115+L115+O115</f>
        <v>500</v>
      </c>
      <c r="S115" s="1641">
        <f t="shared" ref="S115" si="12">SUM(Q115:R115)</f>
        <v>500</v>
      </c>
      <c r="T115" s="2"/>
    </row>
    <row r="116" spans="1:22" ht="13.5" thickBot="1">
      <c r="A116" s="1820" t="s">
        <v>707</v>
      </c>
      <c r="B116" s="2087"/>
      <c r="C116" s="1779"/>
      <c r="D116" s="2110"/>
      <c r="E116" s="2179"/>
      <c r="F116" s="2180"/>
      <c r="G116" s="2181"/>
      <c r="H116" s="2109"/>
      <c r="I116" s="1821"/>
      <c r="J116" s="2110"/>
      <c r="K116" s="2087"/>
      <c r="L116" s="1779"/>
      <c r="M116" s="2088"/>
      <c r="N116" s="2051"/>
      <c r="O116" s="1822">
        <f>+[3]Társulás!$Q$16</f>
        <v>1293</v>
      </c>
      <c r="P116" s="2052">
        <f>SUM(O116)</f>
        <v>1293</v>
      </c>
      <c r="Q116" s="1993">
        <f t="shared" ref="Q116" si="13">+B116+E116+H116+K116+N116</f>
        <v>0</v>
      </c>
      <c r="R116" s="1776">
        <f t="shared" ref="R116" si="14">+C116+F116+I116+L116+O116</f>
        <v>1293</v>
      </c>
      <c r="S116" s="1641">
        <f t="shared" ref="S116" si="15">SUM(Q116:R116)</f>
        <v>1293</v>
      </c>
      <c r="T116" s="2"/>
    </row>
    <row r="117" spans="1:22" s="21" customFormat="1" ht="13.5" thickBot="1">
      <c r="A117" s="1388" t="s">
        <v>124</v>
      </c>
      <c r="B117" s="2078">
        <f>+'SZOLGÁLTATÓ IRODA'!B113</f>
        <v>22854.924999999999</v>
      </c>
      <c r="C117" s="417">
        <f>+'SZOLGÁLTATÓ IRODA'!C113</f>
        <v>1068</v>
      </c>
      <c r="D117" s="2270">
        <f>+D57+D97+D98+D99+D109+D110+D111+D112+D113</f>
        <v>23922.924999999999</v>
      </c>
      <c r="E117" s="2154">
        <f>+'SEGÍTŐ SZOLGÁLAT'!AK119</f>
        <v>88882.688399999985</v>
      </c>
      <c r="F117" s="2155">
        <f>+'SEGÍTŐ SZOLGÁLAT'!AL119</f>
        <v>168046.92</v>
      </c>
      <c r="G117" s="2182">
        <f>+G57+G97+G109+G110+G111+G112+G113</f>
        <v>256929.6084</v>
      </c>
      <c r="H117" s="2019">
        <f>+ÓVODA!AF117</f>
        <v>149822.52199999997</v>
      </c>
      <c r="I117" s="1072">
        <f>+ÓVODA!AG117</f>
        <v>4030</v>
      </c>
      <c r="J117" s="2054">
        <f>+J57+J97+J109+J110+J111+J112+J113</f>
        <v>153852.522</v>
      </c>
      <c r="K117" s="2078">
        <f>+'KOZMA FERENC ÁLT. ISK.'!V114</f>
        <v>76350.248000000007</v>
      </c>
      <c r="L117" s="417">
        <f>+'KOZMA FERENC ÁLT. ISK.'!W114</f>
        <v>11635</v>
      </c>
      <c r="M117" s="2054">
        <f>+M57+M97+M109+M110+M111+M112+M113</f>
        <v>87985.847999999998</v>
      </c>
      <c r="N117" s="2053">
        <f>+N57+N97+N109+SUM(N110:N113)</f>
        <v>82860</v>
      </c>
      <c r="O117" s="1403">
        <f>+O57+O97+O109+SUM(O110:O116)</f>
        <v>14125</v>
      </c>
      <c r="P117" s="2054">
        <f>+P57+P97+P109+SUM(P110:P116)</f>
        <v>96985</v>
      </c>
      <c r="Q117" s="1995">
        <f t="shared" si="4"/>
        <v>420770.38339999999</v>
      </c>
      <c r="R117" s="1785">
        <f>+C117+F117+I117+L117+O117</f>
        <v>198904.92</v>
      </c>
      <c r="S117" s="1817">
        <f>SUM(Q117:R117)</f>
        <v>619675.30339999998</v>
      </c>
      <c r="U117" s="22"/>
      <c r="V117" s="22"/>
    </row>
    <row r="118" spans="1:22" ht="13.5" thickBot="1">
      <c r="A118" s="1652"/>
      <c r="B118" s="2085"/>
      <c r="C118" s="414"/>
      <c r="D118" s="2099"/>
      <c r="E118" s="2163"/>
      <c r="F118" s="2164"/>
      <c r="G118" s="2165"/>
      <c r="H118" s="2095"/>
      <c r="I118" s="1035"/>
      <c r="J118" s="2099"/>
      <c r="K118" s="2085"/>
      <c r="L118" s="414"/>
      <c r="M118" s="2086"/>
      <c r="N118" s="2055"/>
      <c r="O118" s="1823"/>
      <c r="P118" s="2056"/>
      <c r="Q118" s="2003"/>
      <c r="R118" s="1804"/>
      <c r="S118" s="1800"/>
      <c r="U118" s="2"/>
    </row>
    <row r="119" spans="1:22" s="21" customFormat="1" ht="13.5" thickBot="1">
      <c r="A119" s="1388" t="s">
        <v>125</v>
      </c>
      <c r="B119" s="2135">
        <f t="shared" ref="B119:S119" si="16">+B19-B117</f>
        <v>7.5000000000727596E-2</v>
      </c>
      <c r="C119" s="2136">
        <f t="shared" si="16"/>
        <v>500</v>
      </c>
      <c r="D119" s="2137">
        <f t="shared" si="16"/>
        <v>500.07500000000073</v>
      </c>
      <c r="E119" s="2183">
        <f t="shared" si="16"/>
        <v>-587.68839999998454</v>
      </c>
      <c r="F119" s="2138">
        <f t="shared" si="16"/>
        <v>1323.0799999999872</v>
      </c>
      <c r="G119" s="2184">
        <f t="shared" si="16"/>
        <v>735.39160000000265</v>
      </c>
      <c r="H119" s="2111">
        <f t="shared" si="16"/>
        <v>1309.5880000000179</v>
      </c>
      <c r="I119" s="2112">
        <f t="shared" si="16"/>
        <v>0</v>
      </c>
      <c r="J119" s="2113">
        <f t="shared" si="16"/>
        <v>1309.5879999999888</v>
      </c>
      <c r="K119" s="2089">
        <f t="shared" si="16"/>
        <v>-4.8000000009778887E-2</v>
      </c>
      <c r="L119" s="2089">
        <f t="shared" si="16"/>
        <v>0</v>
      </c>
      <c r="M119" s="2089">
        <f t="shared" si="16"/>
        <v>-0.84799999999813735</v>
      </c>
      <c r="N119" s="2004">
        <f t="shared" si="16"/>
        <v>-722</v>
      </c>
      <c r="O119" s="2005">
        <f t="shared" si="16"/>
        <v>-1823</v>
      </c>
      <c r="P119" s="2006">
        <f t="shared" si="16"/>
        <v>-2545</v>
      </c>
      <c r="Q119" s="1642">
        <f t="shared" si="16"/>
        <v>-7.3399999993853271E-2</v>
      </c>
      <c r="R119" s="1072">
        <f t="shared" si="16"/>
        <v>7.9999999987194315E-2</v>
      </c>
      <c r="S119" s="1818">
        <f t="shared" si="16"/>
        <v>6.600000080652535E-3</v>
      </c>
      <c r="V119" s="22"/>
    </row>
    <row r="120" spans="1:22">
      <c r="A120" s="1"/>
      <c r="B120" s="1"/>
      <c r="C120" s="1"/>
      <c r="D120" s="1"/>
      <c r="E120" s="2185"/>
      <c r="F120" s="2186"/>
      <c r="G120" s="2185"/>
      <c r="H120" s="1770"/>
      <c r="I120" s="1770"/>
      <c r="J120" s="1721"/>
      <c r="K120" s="1721"/>
      <c r="L120" s="1721"/>
      <c r="M120" s="1768"/>
      <c r="N120" s="1768"/>
      <c r="O120" s="1768"/>
      <c r="P120" s="2"/>
      <c r="Q120" s="2"/>
      <c r="R120" s="2"/>
      <c r="S120" s="1"/>
    </row>
    <row r="121" spans="1:22">
      <c r="A121" s="1"/>
      <c r="B121" s="1"/>
      <c r="C121" s="1"/>
      <c r="D121" s="1"/>
      <c r="E121" s="2185"/>
      <c r="F121" s="2139"/>
      <c r="G121" s="2187"/>
      <c r="H121" s="1770"/>
      <c r="I121" s="1770"/>
      <c r="J121" s="1"/>
      <c r="K121" s="1721"/>
      <c r="L121" s="1721"/>
      <c r="M121" s="359"/>
      <c r="N121" s="359"/>
      <c r="O121" s="359"/>
      <c r="P121" s="2"/>
      <c r="Q121" s="2"/>
      <c r="R121" s="2"/>
      <c r="S121" s="1"/>
    </row>
    <row r="122" spans="1:22">
      <c r="H122" s="1770"/>
      <c r="I122" s="1770"/>
      <c r="J122" s="1"/>
      <c r="K122" s="1721"/>
      <c r="L122" s="1721"/>
    </row>
  </sheetData>
  <mergeCells count="17">
    <mergeCell ref="B1:D1"/>
    <mergeCell ref="B2:D2"/>
    <mergeCell ref="C3:C4"/>
    <mergeCell ref="E2:G2"/>
    <mergeCell ref="E1:G1"/>
    <mergeCell ref="F3:F4"/>
    <mergeCell ref="Q1:S1"/>
    <mergeCell ref="I3:I4"/>
    <mergeCell ref="L3:L4"/>
    <mergeCell ref="O3:O4"/>
    <mergeCell ref="R3:R4"/>
    <mergeCell ref="K1:M1"/>
    <mergeCell ref="K2:M2"/>
    <mergeCell ref="H1:J1"/>
    <mergeCell ref="H2:J2"/>
    <mergeCell ref="N1:P1"/>
    <mergeCell ref="N2:P2"/>
  </mergeCells>
  <phoneticPr fontId="25" type="noConversion"/>
  <printOptions horizontalCentered="1"/>
  <pageMargins left="0.31496062992125984" right="3.937007874015748E-2" top="1.1100000000000001" bottom="0.51181102362204722" header="0.27" footer="0.15748031496062992"/>
  <pageSetup paperSize="8" scale="90" orientation="landscape" r:id="rId1"/>
  <headerFooter alignWithMargins="0">
    <oddHeader>&amp;L&amp;"Times New Roman,Normál"&amp;12Szent László Völgye
Kistérségi Szolgáltató Iroda&amp;C&amp;"Times New Roman,Félkövér"&amp;14
2011. ÉVI KÖLTSÉGVETÉS
1. SZ. MÓDOSÍTÁSA&amp;R1. sz. melléklet
Adatok: eFt</oddHeader>
    <oddFooter>&amp;L&amp;F&amp;C&amp;D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K136"/>
  <sheetViews>
    <sheetView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" sqref="G8"/>
    </sheetView>
  </sheetViews>
  <sheetFormatPr defaultColWidth="8.85546875" defaultRowHeight="12.75"/>
  <cols>
    <col min="1" max="1" width="60.7109375" style="1455" customWidth="1"/>
    <col min="2" max="4" width="10.7109375" style="393" customWidth="1"/>
    <col min="5" max="5" width="7.7109375" style="1028" customWidth="1"/>
    <col min="6" max="6" width="3.28515625" style="98" customWidth="1"/>
    <col min="7" max="9" width="10.7109375" style="393" customWidth="1"/>
    <col min="10" max="10" width="7.7109375" style="1456" customWidth="1"/>
    <col min="11" max="11" width="3.28515625" style="98" customWidth="1"/>
    <col min="12" max="14" width="10.7109375" style="1028" customWidth="1"/>
    <col min="15" max="15" width="7.7109375" style="1456" customWidth="1"/>
    <col min="16" max="16" width="3.140625" style="382" customWidth="1"/>
    <col min="17" max="19" width="10.5703125" style="1456" customWidth="1"/>
    <col min="20" max="20" width="7.85546875" style="1456" customWidth="1"/>
    <col min="21" max="21" width="3.7109375" style="1" customWidth="1"/>
    <col min="22" max="23" width="10.7109375" style="1028" customWidth="1"/>
    <col min="24" max="24" width="10.7109375" style="1031" customWidth="1"/>
    <col min="25" max="25" width="7.7109375" style="1028" customWidth="1"/>
    <col min="26" max="26" width="3.28515625" style="1" customWidth="1"/>
    <col min="27" max="29" width="10.7109375" style="393" customWidth="1"/>
    <col min="30" max="30" width="8.28515625" style="1028" customWidth="1"/>
    <col min="31" max="31" width="3.28515625" style="1" customWidth="1"/>
    <col min="32" max="33" width="10.7109375" style="1028" customWidth="1"/>
    <col min="34" max="34" width="10.7109375" style="1031" customWidth="1"/>
    <col min="35" max="35" width="8.5703125" style="1031" customWidth="1"/>
    <col min="36" max="36" width="8.85546875" style="1" customWidth="1"/>
    <col min="37" max="37" width="40.7109375" style="1" customWidth="1"/>
    <col min="38" max="16384" width="8.85546875" style="1"/>
  </cols>
  <sheetData>
    <row r="1" spans="1:36" ht="13.5" thickBot="1">
      <c r="AH1" s="2340" t="s">
        <v>374</v>
      </c>
      <c r="AI1" s="2340"/>
    </row>
    <row r="2" spans="1:36" s="149" customFormat="1" ht="13.9" customHeight="1">
      <c r="A2" s="1457"/>
      <c r="B2" s="2446" t="s">
        <v>266</v>
      </c>
      <c r="C2" s="2447"/>
      <c r="D2" s="2447"/>
      <c r="E2" s="2448"/>
      <c r="F2" s="147"/>
      <c r="G2" s="2380" t="s">
        <v>267</v>
      </c>
      <c r="H2" s="2381"/>
      <c r="I2" s="2381"/>
      <c r="J2" s="2382"/>
      <c r="K2" s="151"/>
      <c r="L2" s="2449" t="s">
        <v>268</v>
      </c>
      <c r="M2" s="2450"/>
      <c r="N2" s="2450"/>
      <c r="O2" s="2451"/>
      <c r="P2" s="147"/>
      <c r="Q2" s="2380" t="s">
        <v>269</v>
      </c>
      <c r="R2" s="2381"/>
      <c r="S2" s="2381"/>
      <c r="T2" s="2382"/>
      <c r="V2" s="2380" t="s">
        <v>270</v>
      </c>
      <c r="W2" s="2381"/>
      <c r="X2" s="2381"/>
      <c r="Y2" s="2382"/>
      <c r="Z2" s="151"/>
      <c r="AA2" s="2380" t="s">
        <v>271</v>
      </c>
      <c r="AB2" s="2381"/>
      <c r="AC2" s="2381"/>
      <c r="AD2" s="2382"/>
      <c r="AE2" s="151"/>
      <c r="AF2" s="2380" t="s">
        <v>272</v>
      </c>
      <c r="AG2" s="2381"/>
      <c r="AH2" s="2381"/>
      <c r="AI2" s="2382"/>
    </row>
    <row r="3" spans="1:36" s="151" customFormat="1" ht="13.9" customHeight="1">
      <c r="A3" s="1458"/>
      <c r="B3" s="2455">
        <v>110</v>
      </c>
      <c r="C3" s="2456"/>
      <c r="D3" s="2456"/>
      <c r="E3" s="2457"/>
      <c r="G3" s="2455">
        <v>210</v>
      </c>
      <c r="H3" s="2456"/>
      <c r="I3" s="2456"/>
      <c r="J3" s="2457"/>
      <c r="L3" s="2458">
        <v>410</v>
      </c>
      <c r="M3" s="2459"/>
      <c r="N3" s="2459"/>
      <c r="O3" s="2460"/>
      <c r="Q3" s="2452">
        <v>310</v>
      </c>
      <c r="R3" s="2453"/>
      <c r="S3" s="2453"/>
      <c r="T3" s="2454"/>
      <c r="V3" s="2452">
        <v>510</v>
      </c>
      <c r="W3" s="2453"/>
      <c r="X3" s="2453"/>
      <c r="Y3" s="2454"/>
      <c r="Z3" s="383"/>
      <c r="AA3" s="2452">
        <v>610</v>
      </c>
      <c r="AB3" s="2453"/>
      <c r="AC3" s="2453"/>
      <c r="AD3" s="2454"/>
      <c r="AE3" s="383"/>
      <c r="AF3" s="2452"/>
      <c r="AG3" s="2453"/>
      <c r="AH3" s="2453"/>
      <c r="AI3" s="2454"/>
    </row>
    <row r="4" spans="1:36" s="151" customFormat="1" ht="13.9" customHeight="1">
      <c r="A4" s="1457"/>
      <c r="B4" s="1589" t="s">
        <v>244</v>
      </c>
      <c r="C4" s="2274" t="s">
        <v>690</v>
      </c>
      <c r="D4" s="1590" t="s">
        <v>689</v>
      </c>
      <c r="E4" s="1268" t="s">
        <v>127</v>
      </c>
      <c r="G4" s="1589" t="s">
        <v>244</v>
      </c>
      <c r="H4" s="2274" t="s">
        <v>690</v>
      </c>
      <c r="I4" s="1590" t="s">
        <v>689</v>
      </c>
      <c r="J4" s="1268" t="s">
        <v>127</v>
      </c>
      <c r="L4" s="1589" t="s">
        <v>244</v>
      </c>
      <c r="M4" s="2274" t="s">
        <v>690</v>
      </c>
      <c r="N4" s="1590" t="s">
        <v>689</v>
      </c>
      <c r="O4" s="1459" t="s">
        <v>127</v>
      </c>
      <c r="P4" s="58"/>
      <c r="Q4" s="1589" t="s">
        <v>244</v>
      </c>
      <c r="R4" s="2274" t="s">
        <v>690</v>
      </c>
      <c r="S4" s="1590" t="s">
        <v>689</v>
      </c>
      <c r="T4" s="1268" t="s">
        <v>127</v>
      </c>
      <c r="V4" s="1589" t="s">
        <v>244</v>
      </c>
      <c r="W4" s="2274" t="s">
        <v>690</v>
      </c>
      <c r="X4" s="1590" t="s">
        <v>689</v>
      </c>
      <c r="Y4" s="1268" t="s">
        <v>127</v>
      </c>
      <c r="Z4" s="383"/>
      <c r="AA4" s="1589" t="s">
        <v>244</v>
      </c>
      <c r="AB4" s="2274" t="s">
        <v>690</v>
      </c>
      <c r="AC4" s="1590" t="s">
        <v>689</v>
      </c>
      <c r="AD4" s="1268" t="s">
        <v>127</v>
      </c>
      <c r="AE4" s="383"/>
      <c r="AF4" s="1589" t="s">
        <v>244</v>
      </c>
      <c r="AG4" s="2274" t="s">
        <v>690</v>
      </c>
      <c r="AH4" s="1590" t="s">
        <v>689</v>
      </c>
      <c r="AI4" s="1268" t="s">
        <v>127</v>
      </c>
    </row>
    <row r="5" spans="1:36" s="151" customFormat="1" ht="13.9" customHeight="1" thickBot="1">
      <c r="A5" s="1457"/>
      <c r="B5" s="1644" t="s">
        <v>128</v>
      </c>
      <c r="C5" s="2276"/>
      <c r="D5" s="1645" t="s">
        <v>128</v>
      </c>
      <c r="E5" s="1273"/>
      <c r="G5" s="1644" t="s">
        <v>128</v>
      </c>
      <c r="H5" s="2276"/>
      <c r="I5" s="1645" t="s">
        <v>128</v>
      </c>
      <c r="J5" s="1273"/>
      <c r="L5" s="1644" t="s">
        <v>128</v>
      </c>
      <c r="M5" s="2276"/>
      <c r="N5" s="1645" t="s">
        <v>128</v>
      </c>
      <c r="O5" s="1460"/>
      <c r="P5" s="351"/>
      <c r="Q5" s="1644" t="s">
        <v>128</v>
      </c>
      <c r="R5" s="2276"/>
      <c r="S5" s="1645" t="s">
        <v>128</v>
      </c>
      <c r="T5" s="1273"/>
      <c r="V5" s="1644" t="s">
        <v>128</v>
      </c>
      <c r="W5" s="2276"/>
      <c r="X5" s="1645" t="s">
        <v>128</v>
      </c>
      <c r="Y5" s="1273"/>
      <c r="Z5" s="383"/>
      <c r="AA5" s="1644" t="s">
        <v>128</v>
      </c>
      <c r="AB5" s="2276"/>
      <c r="AC5" s="1645" t="s">
        <v>128</v>
      </c>
      <c r="AD5" s="1273"/>
      <c r="AE5" s="383"/>
      <c r="AF5" s="1644" t="s">
        <v>128</v>
      </c>
      <c r="AG5" s="2276"/>
      <c r="AH5" s="1645" t="s">
        <v>128</v>
      </c>
      <c r="AI5" s="1273"/>
    </row>
    <row r="6" spans="1:36" s="385" customFormat="1" ht="15" customHeight="1">
      <c r="A6" s="1461" t="s">
        <v>11</v>
      </c>
      <c r="B6" s="1418"/>
      <c r="C6" s="1419"/>
      <c r="D6" s="1419"/>
      <c r="E6" s="1420"/>
      <c r="F6" s="383"/>
      <c r="G6" s="1418"/>
      <c r="H6" s="1419"/>
      <c r="I6" s="1419"/>
      <c r="J6" s="1420"/>
      <c r="K6" s="383"/>
      <c r="L6" s="1462"/>
      <c r="M6" s="1463"/>
      <c r="N6" s="1463"/>
      <c r="O6" s="1464"/>
      <c r="P6" s="384"/>
      <c r="Q6" s="1418"/>
      <c r="R6" s="1419"/>
      <c r="S6" s="1419"/>
      <c r="T6" s="1420"/>
      <c r="V6" s="1418"/>
      <c r="W6" s="1465"/>
      <c r="X6" s="1419"/>
      <c r="Y6" s="1420"/>
      <c r="Z6" s="68"/>
      <c r="AA6" s="1418"/>
      <c r="AB6" s="1465"/>
      <c r="AC6" s="1419"/>
      <c r="AD6" s="1420"/>
      <c r="AE6" s="68"/>
      <c r="AF6" s="1418"/>
      <c r="AG6" s="1419"/>
      <c r="AH6" s="1419"/>
      <c r="AI6" s="1420"/>
    </row>
    <row r="7" spans="1:36" s="149" customFormat="1" ht="15" customHeight="1">
      <c r="A7" s="1466" t="s">
        <v>361</v>
      </c>
      <c r="B7" s="64">
        <f>+ÓVODAINORMATÍVA!C65</f>
        <v>14198</v>
      </c>
      <c r="C7" s="66"/>
      <c r="D7" s="66">
        <f>SUM(B7:C7)</f>
        <v>14198</v>
      </c>
      <c r="E7" s="67">
        <f>+D7/B7</f>
        <v>1</v>
      </c>
      <c r="F7" s="68"/>
      <c r="G7" s="64">
        <f>+ÓVODAINORMATÍVA!D65</f>
        <v>35278</v>
      </c>
      <c r="H7" s="66"/>
      <c r="I7" s="66">
        <f>SUM(G7:H7)</f>
        <v>35278</v>
      </c>
      <c r="J7" s="67">
        <f>+I7/G7</f>
        <v>1</v>
      </c>
      <c r="K7" s="68"/>
      <c r="L7" s="1467">
        <f>+ÓVODAINORMATÍVA!E65</f>
        <v>16597</v>
      </c>
      <c r="M7" s="1468"/>
      <c r="N7" s="1468">
        <f>SUM(L7:M7)</f>
        <v>16597</v>
      </c>
      <c r="O7" s="1469">
        <f>+N7/L7</f>
        <v>1</v>
      </c>
      <c r="P7" s="68"/>
      <c r="Q7" s="64">
        <f>+ÓVODAINORMATÍVA!F65</f>
        <v>42239</v>
      </c>
      <c r="R7" s="66"/>
      <c r="S7" s="66">
        <f>SUM(Q7:R7)</f>
        <v>42239</v>
      </c>
      <c r="T7" s="67">
        <f>+S7/Q7</f>
        <v>1</v>
      </c>
      <c r="V7" s="64">
        <f>+ÓVODAINORMATÍVA!G65</f>
        <v>25578</v>
      </c>
      <c r="W7" s="65"/>
      <c r="X7" s="66">
        <f>SUM(V7:W7)</f>
        <v>25578</v>
      </c>
      <c r="Y7" s="67">
        <f>+X7/V7</f>
        <v>1</v>
      </c>
      <c r="Z7" s="68"/>
      <c r="AA7" s="64">
        <f>+ÓVODAINORMATÍVA!H67</f>
        <v>1780.609999999986</v>
      </c>
      <c r="AB7" s="65"/>
      <c r="AC7" s="66">
        <f>SUM(AA7:AB7)</f>
        <v>1780.609999999986</v>
      </c>
      <c r="AD7" s="67">
        <f>+AC7/AA7</f>
        <v>1</v>
      </c>
      <c r="AE7" s="68"/>
      <c r="AF7" s="64">
        <f>+B7+G7+Q7+L7+V7+AA7</f>
        <v>135670.60999999999</v>
      </c>
      <c r="AG7" s="66">
        <f>+C7+H7+R7+M7+W7+AB7</f>
        <v>0</v>
      </c>
      <c r="AH7" s="66">
        <f>+D7+I7+S7+N7+X7+AC7</f>
        <v>135670.60999999999</v>
      </c>
      <c r="AI7" s="67">
        <f>+AH7/AF7</f>
        <v>1</v>
      </c>
    </row>
    <row r="8" spans="1:36" s="149" customFormat="1" ht="15" customHeight="1">
      <c r="A8" s="1466" t="s">
        <v>362</v>
      </c>
      <c r="B8" s="64"/>
      <c r="C8" s="66"/>
      <c r="D8" s="66"/>
      <c r="E8" s="67"/>
      <c r="F8" s="68"/>
      <c r="G8" s="64">
        <v>2448</v>
      </c>
      <c r="H8" s="66"/>
      <c r="I8" s="66">
        <v>2448</v>
      </c>
      <c r="J8" s="67">
        <f>+I8/G8</f>
        <v>1</v>
      </c>
      <c r="K8" s="68"/>
      <c r="L8" s="1467"/>
      <c r="M8" s="1468"/>
      <c r="N8" s="1468"/>
      <c r="O8" s="1469"/>
      <c r="P8" s="68"/>
      <c r="Q8" s="64"/>
      <c r="R8" s="66"/>
      <c r="S8" s="66"/>
      <c r="T8" s="67"/>
      <c r="V8" s="64"/>
      <c r="W8" s="65"/>
      <c r="X8" s="66"/>
      <c r="Y8" s="67"/>
      <c r="Z8" s="68"/>
      <c r="AA8" s="64"/>
      <c r="AB8" s="65"/>
      <c r="AC8" s="66"/>
      <c r="AD8" s="67"/>
      <c r="AE8" s="68"/>
      <c r="AF8" s="66">
        <f t="shared" ref="AF8" si="0">+B8+G8+Q8+L8+V8+AA8</f>
        <v>2448</v>
      </c>
      <c r="AG8" s="66">
        <f t="shared" ref="AG8" si="1">+C8+H8+R8+M8+W8+AB8</f>
        <v>0</v>
      </c>
      <c r="AH8" s="66">
        <f t="shared" ref="AH8:AH71" si="2">+D8+I8+S8+N8+X8+AC8</f>
        <v>2448</v>
      </c>
      <c r="AI8" s="67"/>
    </row>
    <row r="9" spans="1:36" s="149" customFormat="1" ht="15" customHeight="1">
      <c r="A9" s="1470" t="s">
        <v>251</v>
      </c>
      <c r="B9" s="84">
        <f>+B127/1000</f>
        <v>3118.5</v>
      </c>
      <c r="C9" s="85"/>
      <c r="D9" s="85">
        <f>SUM(B9:C9)</f>
        <v>3118.5</v>
      </c>
      <c r="E9" s="67">
        <f t="shared" ref="E9:E20" si="3">+D9/B9</f>
        <v>1</v>
      </c>
      <c r="F9" s="68"/>
      <c r="G9" s="84"/>
      <c r="H9" s="85"/>
      <c r="I9" s="85">
        <f>SUM(G9:H9)</f>
        <v>0</v>
      </c>
      <c r="J9" s="67"/>
      <c r="K9" s="68"/>
      <c r="L9" s="1471"/>
      <c r="M9" s="1472"/>
      <c r="N9" s="1472">
        <f>SUM(L9:M9)</f>
        <v>0</v>
      </c>
      <c r="O9" s="1469"/>
      <c r="P9" s="68"/>
      <c r="Q9" s="84"/>
      <c r="R9" s="85"/>
      <c r="S9" s="85">
        <f>SUM(Q9:R9)</f>
        <v>0</v>
      </c>
      <c r="T9" s="67"/>
      <c r="V9" s="84"/>
      <c r="W9" s="229"/>
      <c r="X9" s="85"/>
      <c r="Y9" s="67"/>
      <c r="Z9" s="68"/>
      <c r="AA9" s="84"/>
      <c r="AB9" s="229"/>
      <c r="AC9" s="85">
        <f>SUM(AA9:AB9)</f>
        <v>0</v>
      </c>
      <c r="AD9" s="67"/>
      <c r="AE9" s="68"/>
      <c r="AF9" s="64">
        <f t="shared" ref="AF9:AF20" si="4">+B9+G9+Q9+L9+V9+AA9</f>
        <v>3118.5</v>
      </c>
      <c r="AG9" s="66">
        <f t="shared" ref="AG9:AG71" si="5">+C9+H9+R9+M9+W9+AB9</f>
        <v>0</v>
      </c>
      <c r="AH9" s="66">
        <f t="shared" si="2"/>
        <v>3118.5</v>
      </c>
      <c r="AI9" s="67">
        <f>+AH9/AF9</f>
        <v>1</v>
      </c>
    </row>
    <row r="10" spans="1:36" s="149" customFormat="1" ht="15" customHeight="1">
      <c r="A10" s="1470" t="s">
        <v>15</v>
      </c>
      <c r="B10" s="84"/>
      <c r="C10" s="85"/>
      <c r="D10" s="85"/>
      <c r="E10" s="67"/>
      <c r="F10" s="68"/>
      <c r="G10" s="84"/>
      <c r="H10" s="85"/>
      <c r="I10" s="85"/>
      <c r="J10" s="67"/>
      <c r="K10" s="68"/>
      <c r="L10" s="1471"/>
      <c r="M10" s="1472"/>
      <c r="N10" s="1472"/>
      <c r="O10" s="1469"/>
      <c r="P10" s="68"/>
      <c r="Q10" s="84"/>
      <c r="R10" s="85"/>
      <c r="S10" s="85"/>
      <c r="T10" s="67"/>
      <c r="V10" s="84"/>
      <c r="W10" s="229"/>
      <c r="X10" s="85"/>
      <c r="Y10" s="67"/>
      <c r="Z10" s="68"/>
      <c r="AA10" s="84"/>
      <c r="AB10" s="229"/>
      <c r="AC10" s="85"/>
      <c r="AD10" s="67"/>
      <c r="AE10" s="68"/>
      <c r="AF10" s="64">
        <f t="shared" si="4"/>
        <v>0</v>
      </c>
      <c r="AG10" s="66">
        <f t="shared" si="5"/>
        <v>0</v>
      </c>
      <c r="AH10" s="66">
        <f t="shared" si="2"/>
        <v>0</v>
      </c>
      <c r="AI10" s="67"/>
    </row>
    <row r="11" spans="1:36" s="149" customFormat="1" ht="15" customHeight="1">
      <c r="A11" s="1470" t="s">
        <v>16</v>
      </c>
      <c r="B11" s="84"/>
      <c r="C11" s="85"/>
      <c r="D11" s="85"/>
      <c r="E11" s="67"/>
      <c r="F11" s="68"/>
      <c r="G11" s="84"/>
      <c r="H11" s="85"/>
      <c r="I11" s="85"/>
      <c r="J11" s="67"/>
      <c r="K11" s="68"/>
      <c r="L11" s="1471"/>
      <c r="M11" s="1472"/>
      <c r="N11" s="1472"/>
      <c r="O11" s="1469"/>
      <c r="P11" s="68"/>
      <c r="Q11" s="84"/>
      <c r="R11" s="85"/>
      <c r="S11" s="85"/>
      <c r="T11" s="67"/>
      <c r="V11" s="84"/>
      <c r="W11" s="229"/>
      <c r="X11" s="85"/>
      <c r="Y11" s="67"/>
      <c r="Z11" s="68"/>
      <c r="AA11" s="84"/>
      <c r="AB11" s="229"/>
      <c r="AC11" s="85"/>
      <c r="AD11" s="67"/>
      <c r="AE11" s="68"/>
      <c r="AF11" s="64">
        <f t="shared" si="4"/>
        <v>0</v>
      </c>
      <c r="AG11" s="66">
        <f t="shared" si="5"/>
        <v>0</v>
      </c>
      <c r="AH11" s="66">
        <f t="shared" si="2"/>
        <v>0</v>
      </c>
      <c r="AI11" s="67"/>
    </row>
    <row r="12" spans="1:36" s="149" customFormat="1" ht="15" customHeight="1">
      <c r="A12" s="1470" t="s">
        <v>17</v>
      </c>
      <c r="B12" s="84"/>
      <c r="C12" s="85"/>
      <c r="D12" s="85"/>
      <c r="E12" s="67"/>
      <c r="F12" s="68"/>
      <c r="G12" s="84"/>
      <c r="H12" s="85"/>
      <c r="I12" s="85"/>
      <c r="J12" s="67"/>
      <c r="K12" s="68"/>
      <c r="L12" s="1471"/>
      <c r="M12" s="1472"/>
      <c r="N12" s="1472"/>
      <c r="O12" s="1469"/>
      <c r="P12" s="68"/>
      <c r="Q12" s="84">
        <v>120</v>
      </c>
      <c r="R12" s="85"/>
      <c r="S12" s="85">
        <f>SUM(Q12:R12)</f>
        <v>120</v>
      </c>
      <c r="T12" s="67">
        <f>+S12/Q12</f>
        <v>1</v>
      </c>
      <c r="V12" s="84"/>
      <c r="W12" s="229"/>
      <c r="X12" s="85"/>
      <c r="Y12" s="67"/>
      <c r="Z12" s="68"/>
      <c r="AA12" s="84"/>
      <c r="AB12" s="229"/>
      <c r="AC12" s="85"/>
      <c r="AD12" s="67"/>
      <c r="AE12" s="68"/>
      <c r="AF12" s="64">
        <f t="shared" si="4"/>
        <v>120</v>
      </c>
      <c r="AG12" s="66">
        <f t="shared" si="5"/>
        <v>0</v>
      </c>
      <c r="AH12" s="66">
        <f t="shared" si="2"/>
        <v>120</v>
      </c>
      <c r="AI12" s="67">
        <f>+AH12/AF12</f>
        <v>1</v>
      </c>
    </row>
    <row r="13" spans="1:36" s="149" customFormat="1" ht="15" customHeight="1">
      <c r="A13" s="1470" t="s">
        <v>18</v>
      </c>
      <c r="B13" s="84"/>
      <c r="C13" s="85"/>
      <c r="D13" s="85"/>
      <c r="E13" s="67"/>
      <c r="F13" s="68"/>
      <c r="G13" s="84"/>
      <c r="H13" s="85"/>
      <c r="I13" s="85"/>
      <c r="J13" s="67"/>
      <c r="K13" s="68"/>
      <c r="L13" s="1471"/>
      <c r="M13" s="1472"/>
      <c r="N13" s="1472"/>
      <c r="O13" s="1469"/>
      <c r="P13" s="68"/>
      <c r="Q13" s="84"/>
      <c r="R13" s="85"/>
      <c r="S13" s="85"/>
      <c r="T13" s="67"/>
      <c r="V13" s="84"/>
      <c r="W13" s="229"/>
      <c r="X13" s="85"/>
      <c r="Y13" s="67"/>
      <c r="Z13" s="68"/>
      <c r="AA13" s="84"/>
      <c r="AB13" s="229"/>
      <c r="AC13" s="85"/>
      <c r="AD13" s="67"/>
      <c r="AE13" s="68"/>
      <c r="AF13" s="64">
        <f t="shared" si="4"/>
        <v>0</v>
      </c>
      <c r="AG13" s="66">
        <f t="shared" si="5"/>
        <v>0</v>
      </c>
      <c r="AH13" s="66">
        <f t="shared" si="2"/>
        <v>0</v>
      </c>
      <c r="AI13" s="67" t="e">
        <f>+AH13/AF13</f>
        <v>#DIV/0!</v>
      </c>
    </row>
    <row r="14" spans="1:36" s="149" customFormat="1" ht="15" customHeight="1">
      <c r="A14" s="1470" t="s">
        <v>264</v>
      </c>
      <c r="B14" s="84"/>
      <c r="C14" s="85"/>
      <c r="D14" s="85"/>
      <c r="E14" s="67"/>
      <c r="F14" s="68"/>
      <c r="G14" s="84"/>
      <c r="H14" s="85"/>
      <c r="I14" s="85"/>
      <c r="J14" s="67"/>
      <c r="K14" s="68"/>
      <c r="L14" s="1471"/>
      <c r="M14" s="1472"/>
      <c r="N14" s="1472"/>
      <c r="O14" s="1469"/>
      <c r="P14" s="68"/>
      <c r="Q14" s="84"/>
      <c r="R14" s="85"/>
      <c r="S14" s="85"/>
      <c r="T14" s="67"/>
      <c r="V14" s="84"/>
      <c r="W14" s="229"/>
      <c r="X14" s="85"/>
      <c r="Y14" s="67"/>
      <c r="Z14" s="68"/>
      <c r="AA14" s="84"/>
      <c r="AB14" s="229"/>
      <c r="AC14" s="85"/>
      <c r="AD14" s="67"/>
      <c r="AE14" s="68"/>
      <c r="AF14" s="64">
        <f t="shared" si="4"/>
        <v>0</v>
      </c>
      <c r="AG14" s="66">
        <f t="shared" si="5"/>
        <v>0</v>
      </c>
      <c r="AH14" s="66">
        <f t="shared" si="2"/>
        <v>0</v>
      </c>
      <c r="AI14" s="67"/>
    </row>
    <row r="15" spans="1:36" s="149" customFormat="1" ht="15" customHeight="1">
      <c r="A15" s="1470" t="s">
        <v>20</v>
      </c>
      <c r="B15" s="73"/>
      <c r="C15" s="74"/>
      <c r="D15" s="74"/>
      <c r="E15" s="67"/>
      <c r="F15" s="68"/>
      <c r="G15" s="73"/>
      <c r="H15" s="74"/>
      <c r="I15" s="74"/>
      <c r="J15" s="67"/>
      <c r="K15" s="68"/>
      <c r="L15" s="1473"/>
      <c r="M15" s="1474"/>
      <c r="N15" s="1474"/>
      <c r="O15" s="1469"/>
      <c r="P15" s="68"/>
      <c r="Q15" s="73"/>
      <c r="R15" s="74"/>
      <c r="S15" s="74"/>
      <c r="T15" s="67"/>
      <c r="V15" s="73"/>
      <c r="W15" s="1349"/>
      <c r="X15" s="74"/>
      <c r="Y15" s="67"/>
      <c r="Z15" s="68"/>
      <c r="AA15" s="73"/>
      <c r="AB15" s="1349"/>
      <c r="AC15" s="74"/>
      <c r="AD15" s="67"/>
      <c r="AE15" s="68"/>
      <c r="AF15" s="64">
        <f t="shared" si="4"/>
        <v>0</v>
      </c>
      <c r="AG15" s="66">
        <f t="shared" si="5"/>
        <v>0</v>
      </c>
      <c r="AH15" s="66">
        <f t="shared" si="2"/>
        <v>0</v>
      </c>
      <c r="AI15" s="67"/>
    </row>
    <row r="16" spans="1:36" s="149" customFormat="1" ht="24.75" customHeight="1">
      <c r="A16" s="1470" t="s">
        <v>394</v>
      </c>
      <c r="B16" s="84">
        <f>7506-189</f>
        <v>7317</v>
      </c>
      <c r="C16" s="85"/>
      <c r="D16" s="85">
        <f>SUM(B16:C16)</f>
        <v>7317</v>
      </c>
      <c r="E16" s="67">
        <f t="shared" si="3"/>
        <v>1</v>
      </c>
      <c r="F16" s="68"/>
      <c r="G16" s="84">
        <f>3000</f>
        <v>3000</v>
      </c>
      <c r="H16" s="85"/>
      <c r="I16" s="85">
        <f>SUM(G16:H16)</f>
        <v>3000</v>
      </c>
      <c r="J16" s="67">
        <f>+I16/G16</f>
        <v>1</v>
      </c>
      <c r="K16" s="68"/>
      <c r="L16" s="1471"/>
      <c r="M16" s="1472"/>
      <c r="N16" s="1472">
        <f>SUM(L16:M16)</f>
        <v>0</v>
      </c>
      <c r="O16" s="1469"/>
      <c r="P16" s="68"/>
      <c r="Q16" s="73"/>
      <c r="R16" s="74">
        <f>+[3]ROVI!$Y$7</f>
        <v>1649</v>
      </c>
      <c r="S16" s="85">
        <f>SUM(Q16:R16)</f>
        <v>1649</v>
      </c>
      <c r="T16" s="67"/>
      <c r="V16" s="73"/>
      <c r="W16" s="1349"/>
      <c r="X16" s="85"/>
      <c r="Y16" s="67"/>
      <c r="Z16" s="68"/>
      <c r="AA16" s="84">
        <f>5868-97</f>
        <v>5771</v>
      </c>
      <c r="AB16" s="229"/>
      <c r="AC16" s="85">
        <f>SUM(AA16:AB16)</f>
        <v>5771</v>
      </c>
      <c r="AD16" s="67">
        <f>+AC16/AA16</f>
        <v>1</v>
      </c>
      <c r="AE16" s="68"/>
      <c r="AF16" s="84">
        <f t="shared" si="4"/>
        <v>16088</v>
      </c>
      <c r="AG16" s="66">
        <f t="shared" si="5"/>
        <v>1649</v>
      </c>
      <c r="AH16" s="66">
        <f t="shared" si="2"/>
        <v>17737</v>
      </c>
      <c r="AI16" s="67">
        <f>+AH16/AF16</f>
        <v>1.1024987568373943</v>
      </c>
      <c r="AJ16" s="149">
        <v>27602</v>
      </c>
    </row>
    <row r="17" spans="1:35" s="387" customFormat="1" ht="15" customHeight="1">
      <c r="A17" s="1475" t="s">
        <v>395</v>
      </c>
      <c r="B17" s="1424">
        <f>+G123</f>
        <v>2121.9299999999998</v>
      </c>
      <c r="C17" s="1476"/>
      <c r="D17" s="1476">
        <f>SUM(B17:C17)</f>
        <v>2121.9299999999998</v>
      </c>
      <c r="E17" s="67">
        <f t="shared" si="3"/>
        <v>1</v>
      </c>
      <c r="F17" s="386"/>
      <c r="G17" s="1424"/>
      <c r="H17" s="1476"/>
      <c r="I17" s="1476">
        <f>SUM(G17:H17)</f>
        <v>0</v>
      </c>
      <c r="J17" s="67"/>
      <c r="K17" s="386"/>
      <c r="L17" s="1477"/>
      <c r="M17" s="1478"/>
      <c r="N17" s="1478">
        <f>SUM(L17:M17)</f>
        <v>0</v>
      </c>
      <c r="O17" s="1469"/>
      <c r="P17" s="386"/>
      <c r="Q17" s="1479"/>
      <c r="R17" s="1319"/>
      <c r="S17" s="1476">
        <f>SUM(Q17:R17)</f>
        <v>0</v>
      </c>
      <c r="T17" s="67"/>
      <c r="V17" s="1479"/>
      <c r="W17" s="1310"/>
      <c r="X17" s="1476"/>
      <c r="Y17" s="67"/>
      <c r="Z17" s="386"/>
      <c r="AA17" s="1424">
        <f>+G124</f>
        <v>1673.59</v>
      </c>
      <c r="AB17" s="1480"/>
      <c r="AC17" s="1476">
        <f>SUM(AA17:AB17)</f>
        <v>1673.59</v>
      </c>
      <c r="AD17" s="67">
        <f>+AC17/AA17</f>
        <v>1</v>
      </c>
      <c r="AE17" s="386"/>
      <c r="AF17" s="1421">
        <f t="shared" si="4"/>
        <v>3795.5199999999995</v>
      </c>
      <c r="AG17" s="66">
        <f t="shared" si="5"/>
        <v>0</v>
      </c>
      <c r="AH17" s="66">
        <f t="shared" si="2"/>
        <v>3795.5199999999995</v>
      </c>
      <c r="AI17" s="67">
        <f>+AH17/AF17</f>
        <v>1</v>
      </c>
    </row>
    <row r="18" spans="1:35" s="387" customFormat="1" ht="15" customHeight="1">
      <c r="A18" s="1475" t="s">
        <v>396</v>
      </c>
      <c r="B18" s="1424">
        <f>+L123</f>
        <v>1024.3800000000001</v>
      </c>
      <c r="C18" s="1476"/>
      <c r="D18" s="1476">
        <f>SUM(B18:C18)</f>
        <v>1024.3800000000001</v>
      </c>
      <c r="E18" s="67">
        <f t="shared" si="3"/>
        <v>1</v>
      </c>
      <c r="F18" s="386"/>
      <c r="G18" s="1424"/>
      <c r="H18" s="1476"/>
      <c r="I18" s="1476">
        <f>SUM(G18:H18)</f>
        <v>0</v>
      </c>
      <c r="J18" s="67"/>
      <c r="K18" s="386"/>
      <c r="L18" s="1477"/>
      <c r="M18" s="1478"/>
      <c r="N18" s="1478">
        <f>SUM(L18:M18)</f>
        <v>0</v>
      </c>
      <c r="O18" s="1469"/>
      <c r="P18" s="386"/>
      <c r="Q18" s="1479"/>
      <c r="R18" s="1319"/>
      <c r="S18" s="1476">
        <f>SUM(Q18:R18)</f>
        <v>0</v>
      </c>
      <c r="T18" s="67"/>
      <c r="V18" s="1479"/>
      <c r="W18" s="1310"/>
      <c r="X18" s="1476"/>
      <c r="Y18" s="67"/>
      <c r="Z18" s="386"/>
      <c r="AA18" s="1424">
        <f>+L124</f>
        <v>807.94</v>
      </c>
      <c r="AB18" s="1480"/>
      <c r="AC18" s="1476">
        <f>SUM(AA18:AB18)</f>
        <v>807.94</v>
      </c>
      <c r="AD18" s="67">
        <f>+AC18/AA18</f>
        <v>1</v>
      </c>
      <c r="AE18" s="386"/>
      <c r="AF18" s="1421">
        <f t="shared" si="4"/>
        <v>1832.3200000000002</v>
      </c>
      <c r="AG18" s="66">
        <f t="shared" si="5"/>
        <v>0</v>
      </c>
      <c r="AH18" s="66">
        <f t="shared" si="2"/>
        <v>1832.3200000000002</v>
      </c>
      <c r="AI18" s="67">
        <f>+AH18/AF18</f>
        <v>1</v>
      </c>
    </row>
    <row r="19" spans="1:35" s="387" customFormat="1" ht="15" customHeight="1">
      <c r="A19" s="1475" t="s">
        <v>397</v>
      </c>
      <c r="B19" s="1424">
        <f>+Q123</f>
        <v>2634.12</v>
      </c>
      <c r="C19" s="1476"/>
      <c r="D19" s="1476">
        <f>SUM(B19:C19)</f>
        <v>2634.12</v>
      </c>
      <c r="E19" s="67">
        <f t="shared" si="3"/>
        <v>1</v>
      </c>
      <c r="F19" s="386"/>
      <c r="G19" s="1424"/>
      <c r="H19" s="1476"/>
      <c r="I19" s="1476">
        <f>SUM(G19:H19)</f>
        <v>0</v>
      </c>
      <c r="J19" s="67"/>
      <c r="K19" s="386"/>
      <c r="L19" s="1477"/>
      <c r="M19" s="1478"/>
      <c r="N19" s="1478">
        <f>SUM(L19:M19)</f>
        <v>0</v>
      </c>
      <c r="O19" s="1469"/>
      <c r="P19" s="386"/>
      <c r="Q19" s="1479"/>
      <c r="R19" s="1319"/>
      <c r="S19" s="1476">
        <f>SUM(Q19:R19)</f>
        <v>0</v>
      </c>
      <c r="T19" s="67"/>
      <c r="V19" s="1479"/>
      <c r="W19" s="1310"/>
      <c r="X19" s="1476"/>
      <c r="Y19" s="67"/>
      <c r="Z19" s="386"/>
      <c r="AA19" s="1424">
        <f>+Q124</f>
        <v>2077.56</v>
      </c>
      <c r="AB19" s="1480"/>
      <c r="AC19" s="1476">
        <f>SUM(AA19:AB19)</f>
        <v>2077.56</v>
      </c>
      <c r="AD19" s="67">
        <f>+AC19/AA19</f>
        <v>1</v>
      </c>
      <c r="AE19" s="386"/>
      <c r="AF19" s="1421">
        <f t="shared" si="4"/>
        <v>4711.68</v>
      </c>
      <c r="AG19" s="66">
        <f t="shared" si="5"/>
        <v>0</v>
      </c>
      <c r="AH19" s="66">
        <f t="shared" si="2"/>
        <v>4711.68</v>
      </c>
      <c r="AI19" s="67">
        <f>+AH19/AF19</f>
        <v>1</v>
      </c>
    </row>
    <row r="20" spans="1:35" s="387" customFormat="1" ht="15" customHeight="1">
      <c r="A20" s="1475" t="s">
        <v>398</v>
      </c>
      <c r="B20" s="1424">
        <f>+V123</f>
        <v>1536.57</v>
      </c>
      <c r="C20" s="1476"/>
      <c r="D20" s="1476">
        <f>SUM(B20:C20)</f>
        <v>1536.57</v>
      </c>
      <c r="E20" s="67">
        <f t="shared" si="3"/>
        <v>1</v>
      </c>
      <c r="F20" s="386"/>
      <c r="G20" s="1424"/>
      <c r="H20" s="1476"/>
      <c r="I20" s="1476">
        <f>SUM(G20:H20)</f>
        <v>0</v>
      </c>
      <c r="J20" s="67"/>
      <c r="K20" s="386"/>
      <c r="L20" s="1477"/>
      <c r="M20" s="1478"/>
      <c r="N20" s="1478">
        <f>SUM(L20:M20)</f>
        <v>0</v>
      </c>
      <c r="O20" s="1469"/>
      <c r="P20" s="386"/>
      <c r="Q20" s="1479"/>
      <c r="R20" s="1319"/>
      <c r="S20" s="1476">
        <f>SUM(Q20:R20)</f>
        <v>0</v>
      </c>
      <c r="T20" s="67"/>
      <c r="V20" s="1479"/>
      <c r="W20" s="1310"/>
      <c r="X20" s="1476"/>
      <c r="Y20" s="67"/>
      <c r="Z20" s="386"/>
      <c r="AA20" s="1424">
        <f>+V124</f>
        <v>1211.9099999999999</v>
      </c>
      <c r="AB20" s="1480"/>
      <c r="AC20" s="1476">
        <f>SUM(AA20:AB20)</f>
        <v>1211.9099999999999</v>
      </c>
      <c r="AD20" s="67">
        <f>+AC20/AA20</f>
        <v>1</v>
      </c>
      <c r="AE20" s="386"/>
      <c r="AF20" s="1421">
        <f t="shared" si="4"/>
        <v>2748.4799999999996</v>
      </c>
      <c r="AG20" s="66">
        <f t="shared" si="5"/>
        <v>0</v>
      </c>
      <c r="AH20" s="66">
        <f t="shared" si="2"/>
        <v>2748.4799999999996</v>
      </c>
      <c r="AI20" s="67">
        <f>+AH20/AF20</f>
        <v>1</v>
      </c>
    </row>
    <row r="21" spans="1:35" s="13" customFormat="1" ht="15" customHeight="1">
      <c r="A21" s="1481" t="s">
        <v>22</v>
      </c>
      <c r="B21" s="64"/>
      <c r="C21" s="66"/>
      <c r="D21" s="66"/>
      <c r="E21" s="67"/>
      <c r="F21" s="68"/>
      <c r="G21" s="64"/>
      <c r="H21" s="66"/>
      <c r="I21" s="66"/>
      <c r="J21" s="67"/>
      <c r="K21" s="68"/>
      <c r="L21" s="1467"/>
      <c r="M21" s="1468"/>
      <c r="N21" s="1468"/>
      <c r="O21" s="1469"/>
      <c r="P21" s="68"/>
      <c r="Q21" s="84"/>
      <c r="R21" s="85"/>
      <c r="S21" s="66"/>
      <c r="T21" s="67"/>
      <c r="U21" s="149"/>
      <c r="V21" s="84"/>
      <c r="W21" s="85"/>
      <c r="X21" s="66"/>
      <c r="Y21" s="67"/>
      <c r="Z21" s="68"/>
      <c r="AA21" s="64"/>
      <c r="AB21" s="66"/>
      <c r="AC21" s="66"/>
      <c r="AD21" s="67"/>
      <c r="AE21" s="68"/>
      <c r="AF21" s="64"/>
      <c r="AG21" s="66">
        <f t="shared" si="5"/>
        <v>0</v>
      </c>
      <c r="AH21" s="66">
        <f t="shared" si="2"/>
        <v>0</v>
      </c>
      <c r="AI21" s="67"/>
    </row>
    <row r="22" spans="1:35" s="149" customFormat="1" ht="15" customHeight="1">
      <c r="A22" s="1482" t="s">
        <v>23</v>
      </c>
      <c r="B22" s="84"/>
      <c r="C22" s="85">
        <f>+[3]MOVI!$Y$4</f>
        <v>300</v>
      </c>
      <c r="D22" s="85">
        <f>SUM(B22:C22)</f>
        <v>300</v>
      </c>
      <c r="E22" s="67"/>
      <c r="F22" s="68"/>
      <c r="G22" s="84"/>
      <c r="H22" s="85"/>
      <c r="I22" s="85">
        <f>SUM(G22:H22)</f>
        <v>0</v>
      </c>
      <c r="J22" s="67"/>
      <c r="K22" s="68"/>
      <c r="L22" s="1471"/>
      <c r="M22" s="1472"/>
      <c r="N22" s="1472">
        <f>SUM(L22:M22)</f>
        <v>0</v>
      </c>
      <c r="O22" s="1469"/>
      <c r="P22" s="68"/>
      <c r="Q22" s="84"/>
      <c r="R22" s="85"/>
      <c r="S22" s="85">
        <f>SUM(Q22:R22)</f>
        <v>0</v>
      </c>
      <c r="T22" s="67"/>
      <c r="V22" s="84"/>
      <c r="W22" s="85"/>
      <c r="X22" s="85"/>
      <c r="Y22" s="67"/>
      <c r="Z22" s="68"/>
      <c r="AA22" s="84"/>
      <c r="AB22" s="85"/>
      <c r="AC22" s="85">
        <f>SUM(AA22:AB22)</f>
        <v>0</v>
      </c>
      <c r="AD22" s="67"/>
      <c r="AE22" s="68"/>
      <c r="AF22" s="84"/>
      <c r="AG22" s="66">
        <f t="shared" si="5"/>
        <v>300</v>
      </c>
      <c r="AH22" s="66">
        <f t="shared" si="2"/>
        <v>300</v>
      </c>
      <c r="AI22" s="67"/>
    </row>
    <row r="23" spans="1:35" s="149" customFormat="1" ht="15" customHeight="1" thickBot="1">
      <c r="A23" s="1483" t="s">
        <v>24</v>
      </c>
      <c r="B23" s="94"/>
      <c r="C23" s="95">
        <f>+[3]MOVI!$AC$12</f>
        <v>338</v>
      </c>
      <c r="D23" s="95">
        <f>SUM(B23:C23)</f>
        <v>338</v>
      </c>
      <c r="E23" s="67"/>
      <c r="F23" s="68"/>
      <c r="G23" s="94"/>
      <c r="H23" s="95">
        <f>+[3]BOVI!$AC$6</f>
        <v>506</v>
      </c>
      <c r="I23" s="95">
        <f>SUM(G23:H23)</f>
        <v>506</v>
      </c>
      <c r="J23" s="67"/>
      <c r="K23" s="68"/>
      <c r="L23" s="94"/>
      <c r="M23" s="95">
        <f>+M101</f>
        <v>216</v>
      </c>
      <c r="N23" s="95">
        <f>SUM(L23:M23)</f>
        <v>216</v>
      </c>
      <c r="O23" s="1469"/>
      <c r="P23" s="68"/>
      <c r="Q23" s="94"/>
      <c r="R23" s="95">
        <f>+[3]ROVI!$AC$9</f>
        <v>615</v>
      </c>
      <c r="S23" s="95">
        <f>SUM(Q23:R23)</f>
        <v>615</v>
      </c>
      <c r="T23" s="67"/>
      <c r="V23" s="94"/>
      <c r="W23" s="95">
        <f>+W101</f>
        <v>325</v>
      </c>
      <c r="X23" s="95">
        <f>SUM(V23:W23)</f>
        <v>325</v>
      </c>
      <c r="Y23" s="67"/>
      <c r="Z23" s="68"/>
      <c r="AA23" s="94"/>
      <c r="AB23" s="95">
        <f>+AB101</f>
        <v>81</v>
      </c>
      <c r="AC23" s="95">
        <f>SUM(AA23:AB23)</f>
        <v>81</v>
      </c>
      <c r="AD23" s="67"/>
      <c r="AE23" s="68"/>
      <c r="AF23" s="94"/>
      <c r="AG23" s="95">
        <f>+C23+H23+M23+R23+W23+AB23</f>
        <v>2081</v>
      </c>
      <c r="AH23" s="95">
        <f>+D23+I23+N23+S23+X23+AC23</f>
        <v>2081</v>
      </c>
      <c r="AI23" s="67"/>
    </row>
    <row r="24" spans="1:35" s="149" customFormat="1" ht="15" customHeight="1" thickBot="1">
      <c r="A24" s="1388" t="s">
        <v>25</v>
      </c>
      <c r="B24" s="1297">
        <f>SUM(B7:B23)-SUM(B17:B20)</f>
        <v>24633.5</v>
      </c>
      <c r="C24" s="1298">
        <f>SUM(C7:C23)-SUM(C17:C20)</f>
        <v>638</v>
      </c>
      <c r="D24" s="1298">
        <f>SUM(D7:D23)-SUM(D17:D20)</f>
        <v>25271.5</v>
      </c>
      <c r="E24" s="1410">
        <f>+D24/B24</f>
        <v>1.0258996894472974</v>
      </c>
      <c r="F24" s="90"/>
      <c r="G24" s="1297">
        <f>SUM(G7:G23)-SUM(G17:G20)</f>
        <v>40726</v>
      </c>
      <c r="H24" s="1298">
        <f>SUM(H7:H23)-SUM(H17:H20)</f>
        <v>506</v>
      </c>
      <c r="I24" s="1298">
        <f>SUM(I7:I23)-SUM(I17:I20)</f>
        <v>41232</v>
      </c>
      <c r="J24" s="1410">
        <f>+I24/G24</f>
        <v>1.0124244954083386</v>
      </c>
      <c r="K24" s="90"/>
      <c r="L24" s="1484">
        <f>SUM(L7:L23)-SUM(L17:L20)</f>
        <v>16597</v>
      </c>
      <c r="M24" s="1485">
        <f>SUM(M7:M23)-SUM(M17:M20)</f>
        <v>216</v>
      </c>
      <c r="N24" s="1485">
        <f>SUM(N7:N23)-SUM(N17:N20)</f>
        <v>16813</v>
      </c>
      <c r="O24" s="1486">
        <f>+N24/L24</f>
        <v>1.0130144001928059</v>
      </c>
      <c r="P24" s="90"/>
      <c r="Q24" s="1297">
        <f>SUM(Q7:Q23)-SUM(Q17:Q20)</f>
        <v>42359</v>
      </c>
      <c r="R24" s="1298">
        <f>SUM(R7:R23)-SUM(R17:R20)</f>
        <v>2264</v>
      </c>
      <c r="S24" s="1298">
        <f>SUM(S7:S23)-SUM(S17:S20)</f>
        <v>44623</v>
      </c>
      <c r="T24" s="1410">
        <f>+S24/Q24</f>
        <v>1.0534479095351637</v>
      </c>
      <c r="U24" s="13"/>
      <c r="V24" s="1297">
        <f>SUM(V7:V23)-SUM(V17:V20)</f>
        <v>25578</v>
      </c>
      <c r="W24" s="1298">
        <f>SUM(W7:W23)-SUM(W17:W20)</f>
        <v>325</v>
      </c>
      <c r="X24" s="1298">
        <f>SUM(X7:X23)-SUM(X17:X20)</f>
        <v>25903</v>
      </c>
      <c r="Y24" s="1410">
        <f>+X24/V24</f>
        <v>1.0127062319180546</v>
      </c>
      <c r="Z24" s="90"/>
      <c r="AA24" s="1297">
        <f>SUM(AA7:AA23)-SUM(AA17:AA20)</f>
        <v>7551.609999999986</v>
      </c>
      <c r="AB24" s="1298">
        <f>SUM(AB7:AB23)-SUM(AB17:AB20)</f>
        <v>81</v>
      </c>
      <c r="AC24" s="1298">
        <f>SUM(AC7:AC23)-SUM(AC17:AC20)</f>
        <v>7632.609999999986</v>
      </c>
      <c r="AD24" s="1410">
        <f>+AC24/AA24</f>
        <v>1.0107261895145538</v>
      </c>
      <c r="AE24" s="90"/>
      <c r="AF24" s="1397">
        <f>SUM(AF7:AF23)-SUM(AF17:AF20)</f>
        <v>157445.10999999999</v>
      </c>
      <c r="AG24" s="1422">
        <f t="shared" si="5"/>
        <v>4030</v>
      </c>
      <c r="AH24" s="1298">
        <f t="shared" si="2"/>
        <v>161475.10999999999</v>
      </c>
      <c r="AI24" s="1410">
        <f>+AH24/AF24</f>
        <v>1.025596222073839</v>
      </c>
    </row>
    <row r="25" spans="1:35" s="149" customFormat="1" ht="15" customHeight="1">
      <c r="A25" s="1470" t="s">
        <v>26</v>
      </c>
      <c r="B25" s="84"/>
      <c r="C25" s="85"/>
      <c r="D25" s="66"/>
      <c r="E25" s="67"/>
      <c r="F25" s="68"/>
      <c r="G25" s="84"/>
      <c r="H25" s="85"/>
      <c r="I25" s="66"/>
      <c r="J25" s="67"/>
      <c r="K25" s="68"/>
      <c r="L25" s="1471"/>
      <c r="M25" s="1472"/>
      <c r="N25" s="1468"/>
      <c r="O25" s="1469"/>
      <c r="P25" s="68"/>
      <c r="Q25" s="84"/>
      <c r="R25" s="85"/>
      <c r="S25" s="66"/>
      <c r="T25" s="67"/>
      <c r="V25" s="84"/>
      <c r="W25" s="229"/>
      <c r="X25" s="66"/>
      <c r="Y25" s="67"/>
      <c r="Z25" s="68"/>
      <c r="AA25" s="84"/>
      <c r="AB25" s="229"/>
      <c r="AC25" s="66"/>
      <c r="AD25" s="67"/>
      <c r="AE25" s="68"/>
      <c r="AF25" s="84"/>
      <c r="AG25" s="66">
        <f t="shared" si="5"/>
        <v>0</v>
      </c>
      <c r="AH25" s="66">
        <f t="shared" si="2"/>
        <v>0</v>
      </c>
      <c r="AI25" s="67"/>
    </row>
    <row r="26" spans="1:35" s="149" customFormat="1" ht="15" customHeight="1">
      <c r="A26" s="1482" t="str">
        <f>+'[11]Ovik összesen'!$A24</f>
        <v>Garantált illetmény</v>
      </c>
      <c r="B26" s="84">
        <f>+'[12]Ovik összesen'!B25</f>
        <v>10803</v>
      </c>
      <c r="C26" s="85"/>
      <c r="D26" s="85">
        <f t="shared" ref="D26:D72" si="6">SUM(B26:C26)</f>
        <v>10803</v>
      </c>
      <c r="E26" s="67">
        <f>+D26/B26</f>
        <v>1</v>
      </c>
      <c r="F26" s="68"/>
      <c r="G26" s="84">
        <f>+'[12]Ovik összesen'!E25</f>
        <v>20328</v>
      </c>
      <c r="H26" s="85"/>
      <c r="I26" s="85">
        <f t="shared" ref="I26:I72" si="7">SUM(G26:H26)</f>
        <v>20328</v>
      </c>
      <c r="J26" s="67">
        <f>+I26/G26</f>
        <v>1</v>
      </c>
      <c r="K26" s="68"/>
      <c r="L26" s="1471">
        <f>+'[12]Ovik összesen'!G25</f>
        <v>10731</v>
      </c>
      <c r="M26" s="1472"/>
      <c r="N26" s="1472">
        <f t="shared" ref="N26:N72" si="8">SUM(L26:M26)</f>
        <v>10731</v>
      </c>
      <c r="O26" s="1469">
        <f>+N26/L26</f>
        <v>1</v>
      </c>
      <c r="P26" s="68"/>
      <c r="Q26" s="84">
        <f>+'[12]Ovik összesen'!F25</f>
        <v>26532</v>
      </c>
      <c r="R26" s="85">
        <f>+[3]ROVI!$D$4</f>
        <v>1214</v>
      </c>
      <c r="S26" s="85">
        <f t="shared" ref="S26:S72" si="9">SUM(Q26:R26)</f>
        <v>27746</v>
      </c>
      <c r="T26" s="67">
        <f>+S26/Q26</f>
        <v>1.0457560681441278</v>
      </c>
      <c r="V26" s="84">
        <f>+'[12]Ovik összesen'!H25</f>
        <v>14217</v>
      </c>
      <c r="W26" s="229"/>
      <c r="X26" s="85">
        <f t="shared" ref="X26:X72" si="10">SUM(V26:W26)</f>
        <v>14217</v>
      </c>
      <c r="Y26" s="67">
        <f t="shared" ref="Y26:Y32" si="11">+X26/V26</f>
        <v>1</v>
      </c>
      <c r="Z26" s="68"/>
      <c r="AA26" s="84">
        <f>+'[12]Ovik összesen'!I25</f>
        <v>4142</v>
      </c>
      <c r="AB26" s="85"/>
      <c r="AC26" s="85">
        <f t="shared" ref="AC26:AC72" si="12">SUM(AA26:AB26)</f>
        <v>4142</v>
      </c>
      <c r="AD26" s="67">
        <f t="shared" ref="AD26:AD32" si="13">+AC26/AA26</f>
        <v>1</v>
      </c>
      <c r="AE26" s="68"/>
      <c r="AF26" s="64">
        <f t="shared" ref="AF26:AF31" si="14">+B26+G26+Q26+L26+V26+AA26</f>
        <v>86753</v>
      </c>
      <c r="AG26" s="66">
        <f t="shared" si="5"/>
        <v>1214</v>
      </c>
      <c r="AH26" s="66">
        <f t="shared" si="2"/>
        <v>87967</v>
      </c>
      <c r="AI26" s="67">
        <f t="shared" ref="AI26:AI32" si="15">+AH26/AF26</f>
        <v>1.0139937523774394</v>
      </c>
    </row>
    <row r="27" spans="1:35" s="149" customFormat="1" ht="15" customHeight="1">
      <c r="A27" s="1482" t="str">
        <f>+'[11]Ovik összesen'!$A25</f>
        <v>Egyéb kötelező illetménypótlékok</v>
      </c>
      <c r="B27" s="84">
        <f>+'[12]Ovik összesen'!B26</f>
        <v>360</v>
      </c>
      <c r="C27" s="85"/>
      <c r="D27" s="85">
        <f t="shared" si="6"/>
        <v>360</v>
      </c>
      <c r="E27" s="67">
        <f>+D27/B27</f>
        <v>1</v>
      </c>
      <c r="F27" s="68"/>
      <c r="G27" s="84">
        <f>+'[12]Ovik összesen'!E26</f>
        <v>588</v>
      </c>
      <c r="H27" s="85"/>
      <c r="I27" s="85">
        <f t="shared" si="7"/>
        <v>588</v>
      </c>
      <c r="J27" s="67">
        <f>+I27/G27</f>
        <v>1</v>
      </c>
      <c r="K27" s="68"/>
      <c r="L27" s="1471">
        <f>+'[12]Ovik összesen'!G26</f>
        <v>360</v>
      </c>
      <c r="M27" s="1472"/>
      <c r="N27" s="1472">
        <f t="shared" si="8"/>
        <v>360</v>
      </c>
      <c r="O27" s="1469">
        <f>+N27/L27</f>
        <v>1</v>
      </c>
      <c r="P27" s="68"/>
      <c r="Q27" s="84">
        <f>+'[12]Ovik összesen'!F26</f>
        <v>552</v>
      </c>
      <c r="R27" s="85"/>
      <c r="S27" s="85">
        <f t="shared" si="9"/>
        <v>552</v>
      </c>
      <c r="T27" s="67">
        <f>+S27/Q27</f>
        <v>1</v>
      </c>
      <c r="V27" s="84">
        <f>+'[12]Ovik összesen'!H26</f>
        <v>360</v>
      </c>
      <c r="W27" s="229"/>
      <c r="X27" s="85">
        <f t="shared" si="10"/>
        <v>360</v>
      </c>
      <c r="Y27" s="67">
        <f t="shared" si="11"/>
        <v>1</v>
      </c>
      <c r="Z27" s="68"/>
      <c r="AA27" s="84">
        <f>+'[12]Ovik összesen'!I26</f>
        <v>720</v>
      </c>
      <c r="AB27" s="229"/>
      <c r="AC27" s="85">
        <f t="shared" si="12"/>
        <v>720</v>
      </c>
      <c r="AD27" s="67">
        <f t="shared" si="13"/>
        <v>1</v>
      </c>
      <c r="AE27" s="68"/>
      <c r="AF27" s="64">
        <f t="shared" si="14"/>
        <v>2940</v>
      </c>
      <c r="AG27" s="66">
        <f t="shared" si="5"/>
        <v>0</v>
      </c>
      <c r="AH27" s="66">
        <f t="shared" si="2"/>
        <v>2940</v>
      </c>
      <c r="AI27" s="67">
        <f t="shared" si="15"/>
        <v>1</v>
      </c>
    </row>
    <row r="28" spans="1:35" s="149" customFormat="1" ht="15" customHeight="1">
      <c r="A28" s="1482" t="str">
        <f>+'[11]Ovik összesen'!$A26</f>
        <v xml:space="preserve">Címpótlék </v>
      </c>
      <c r="B28" s="84">
        <f>+'[12]Ovik összesen'!B27</f>
        <v>0</v>
      </c>
      <c r="C28" s="85"/>
      <c r="D28" s="85">
        <f t="shared" si="6"/>
        <v>0</v>
      </c>
      <c r="E28" s="67"/>
      <c r="F28" s="68"/>
      <c r="G28" s="84">
        <f>+'[12]Ovik összesen'!E27</f>
        <v>180</v>
      </c>
      <c r="H28" s="85"/>
      <c r="I28" s="85">
        <f t="shared" si="7"/>
        <v>180</v>
      </c>
      <c r="J28" s="67"/>
      <c r="K28" s="68"/>
      <c r="L28" s="1471">
        <f>+'[12]Ovik összesen'!G27</f>
        <v>0</v>
      </c>
      <c r="M28" s="1472"/>
      <c r="N28" s="1472">
        <f t="shared" si="8"/>
        <v>0</v>
      </c>
      <c r="O28" s="1469"/>
      <c r="P28" s="68"/>
      <c r="Q28" s="84">
        <f>+'[12]Ovik összesen'!F27</f>
        <v>0</v>
      </c>
      <c r="R28" s="85"/>
      <c r="S28" s="85">
        <f t="shared" si="9"/>
        <v>0</v>
      </c>
      <c r="T28" s="67"/>
      <c r="V28" s="84">
        <f>+'[12]Ovik összesen'!H27</f>
        <v>0</v>
      </c>
      <c r="W28" s="229"/>
      <c r="X28" s="85">
        <f t="shared" si="10"/>
        <v>0</v>
      </c>
      <c r="Y28" s="67"/>
      <c r="Z28" s="68"/>
      <c r="AA28" s="84">
        <f>+'[12]Ovik összesen'!I27</f>
        <v>0</v>
      </c>
      <c r="AB28" s="229"/>
      <c r="AC28" s="85">
        <f t="shared" si="12"/>
        <v>0</v>
      </c>
      <c r="AD28" s="67"/>
      <c r="AE28" s="68"/>
      <c r="AF28" s="64">
        <f t="shared" si="14"/>
        <v>180</v>
      </c>
      <c r="AG28" s="66">
        <f t="shared" si="5"/>
        <v>0</v>
      </c>
      <c r="AH28" s="66">
        <f t="shared" si="2"/>
        <v>180</v>
      </c>
      <c r="AI28" s="67">
        <f>+AH28/AF28</f>
        <v>1</v>
      </c>
    </row>
    <row r="29" spans="1:35" s="149" customFormat="1" ht="15" customHeight="1">
      <c r="A29" s="1482" t="str">
        <f>+'[11]Ovik összesen'!$A27</f>
        <v>Egyéb feltételtől függő pótlék, juttatás</v>
      </c>
      <c r="B29" s="84">
        <f>+'[12]Ovik összesen'!B28</f>
        <v>0</v>
      </c>
      <c r="C29" s="85"/>
      <c r="D29" s="85">
        <f t="shared" si="6"/>
        <v>0</v>
      </c>
      <c r="E29" s="67"/>
      <c r="F29" s="68"/>
      <c r="G29" s="84">
        <f>+'[12]Ovik összesen'!E28</f>
        <v>0</v>
      </c>
      <c r="H29" s="85"/>
      <c r="I29" s="85">
        <f t="shared" si="7"/>
        <v>0</v>
      </c>
      <c r="J29" s="67"/>
      <c r="K29" s="68"/>
      <c r="L29" s="1471">
        <f>+'[12]Ovik összesen'!G28</f>
        <v>0</v>
      </c>
      <c r="M29" s="1472"/>
      <c r="N29" s="1472">
        <f t="shared" si="8"/>
        <v>0</v>
      </c>
      <c r="O29" s="1469"/>
      <c r="P29" s="68"/>
      <c r="Q29" s="84">
        <f>+'[12]Ovik összesen'!F28</f>
        <v>0</v>
      </c>
      <c r="R29" s="85"/>
      <c r="S29" s="85">
        <f t="shared" si="9"/>
        <v>0</v>
      </c>
      <c r="T29" s="67"/>
      <c r="V29" s="84">
        <f>+'[12]Ovik összesen'!H28</f>
        <v>0</v>
      </c>
      <c r="W29" s="229"/>
      <c r="X29" s="85">
        <f t="shared" si="10"/>
        <v>0</v>
      </c>
      <c r="Y29" s="67"/>
      <c r="Z29" s="68"/>
      <c r="AA29" s="84">
        <f>+'[12]Ovik összesen'!I28</f>
        <v>0</v>
      </c>
      <c r="AB29" s="229"/>
      <c r="AC29" s="85">
        <f t="shared" si="12"/>
        <v>0</v>
      </c>
      <c r="AD29" s="67"/>
      <c r="AE29" s="68"/>
      <c r="AF29" s="64">
        <f t="shared" si="14"/>
        <v>0</v>
      </c>
      <c r="AG29" s="66">
        <f t="shared" si="5"/>
        <v>0</v>
      </c>
      <c r="AH29" s="66">
        <f t="shared" si="2"/>
        <v>0</v>
      </c>
      <c r="AI29" s="67"/>
    </row>
    <row r="30" spans="1:35" s="387" customFormat="1" ht="15" customHeight="1">
      <c r="A30" s="1487" t="str">
        <f>+'[11]Ovik összesen'!$A28</f>
        <v>Teljes munkaidőben foglalkoztatottak rendszeres juttatásai</v>
      </c>
      <c r="B30" s="1421">
        <f>+'[12]Ovik összesen'!B29</f>
        <v>9830</v>
      </c>
      <c r="C30" s="1317"/>
      <c r="D30" s="1317">
        <f t="shared" si="6"/>
        <v>9830</v>
      </c>
      <c r="E30" s="1411">
        <f>+D30/B30</f>
        <v>1</v>
      </c>
      <c r="F30" s="386"/>
      <c r="G30" s="1421">
        <f>+'[12]Ovik összesen'!E29</f>
        <v>20787</v>
      </c>
      <c r="H30" s="1317"/>
      <c r="I30" s="1317">
        <f t="shared" si="7"/>
        <v>20787</v>
      </c>
      <c r="J30" s="1411">
        <f>+I30/G30</f>
        <v>1</v>
      </c>
      <c r="K30" s="386"/>
      <c r="L30" s="1506">
        <f>+'[12]Ovik összesen'!G29</f>
        <v>11091</v>
      </c>
      <c r="M30" s="1488"/>
      <c r="N30" s="1488">
        <f t="shared" si="8"/>
        <v>11091</v>
      </c>
      <c r="O30" s="1507">
        <f>+N30/L30</f>
        <v>1</v>
      </c>
      <c r="P30" s="386"/>
      <c r="Q30" s="1421">
        <f>+'[12]Ovik összesen'!F29</f>
        <v>25953</v>
      </c>
      <c r="R30" s="1317">
        <f>SUM(R26:R29)</f>
        <v>1214</v>
      </c>
      <c r="S30" s="1317">
        <f t="shared" si="9"/>
        <v>27167</v>
      </c>
      <c r="T30" s="1411">
        <f>+S30/Q30</f>
        <v>1.0467768658729242</v>
      </c>
      <c r="V30" s="1421">
        <f>+'[12]Ovik összesen'!H29</f>
        <v>14577</v>
      </c>
      <c r="W30" s="1307"/>
      <c r="X30" s="1317">
        <f t="shared" si="10"/>
        <v>14577</v>
      </c>
      <c r="Y30" s="1411">
        <f t="shared" si="11"/>
        <v>1</v>
      </c>
      <c r="Z30" s="386"/>
      <c r="AA30" s="1421">
        <f>+'[12]Ovik összesen'!I29</f>
        <v>4552</v>
      </c>
      <c r="AB30" s="1307"/>
      <c r="AC30" s="1317">
        <f t="shared" si="12"/>
        <v>4552</v>
      </c>
      <c r="AD30" s="1411">
        <f t="shared" si="13"/>
        <v>1</v>
      </c>
      <c r="AE30" s="386"/>
      <c r="AF30" s="1424">
        <f t="shared" si="14"/>
        <v>86790</v>
      </c>
      <c r="AG30" s="1476">
        <f t="shared" si="5"/>
        <v>1214</v>
      </c>
      <c r="AH30" s="1476">
        <f t="shared" si="2"/>
        <v>88004</v>
      </c>
      <c r="AI30" s="1411">
        <f t="shared" si="15"/>
        <v>1.0139877866113607</v>
      </c>
    </row>
    <row r="31" spans="1:35" s="387" customFormat="1" ht="15" customHeight="1">
      <c r="A31" s="1489" t="str">
        <f>+'[11]Ovik összesen'!$A29</f>
        <v>Részmunkaidősök rendszeres személyi juttatása</v>
      </c>
      <c r="B31" s="1421">
        <f>+'[12]Ovik összesen'!B30</f>
        <v>1333</v>
      </c>
      <c r="C31" s="1319"/>
      <c r="D31" s="1319">
        <f t="shared" si="6"/>
        <v>1333</v>
      </c>
      <c r="E31" s="1411">
        <f>+D31/B31</f>
        <v>1</v>
      </c>
      <c r="F31" s="386"/>
      <c r="G31" s="1421">
        <f>+'[12]Ovik összesen'!E30</f>
        <v>309</v>
      </c>
      <c r="H31" s="1319"/>
      <c r="I31" s="1319">
        <f t="shared" si="7"/>
        <v>309</v>
      </c>
      <c r="J31" s="1411">
        <f>+I31/G31</f>
        <v>1</v>
      </c>
      <c r="K31" s="386"/>
      <c r="L31" s="1506">
        <f>+'[12]Ovik összesen'!G30</f>
        <v>0</v>
      </c>
      <c r="M31" s="1490"/>
      <c r="N31" s="1490">
        <f t="shared" si="8"/>
        <v>0</v>
      </c>
      <c r="O31" s="1507"/>
      <c r="P31" s="386"/>
      <c r="Q31" s="1421">
        <f>+'[12]Ovik összesen'!F30</f>
        <v>1131</v>
      </c>
      <c r="R31" s="1319">
        <v>0</v>
      </c>
      <c r="S31" s="1319">
        <f t="shared" si="9"/>
        <v>1131</v>
      </c>
      <c r="T31" s="1411">
        <f>+S31/Q31</f>
        <v>1</v>
      </c>
      <c r="V31" s="1421">
        <f>+'[12]Ovik összesen'!H30</f>
        <v>0</v>
      </c>
      <c r="W31" s="1310"/>
      <c r="X31" s="1319">
        <f t="shared" si="10"/>
        <v>0</v>
      </c>
      <c r="Y31" s="1411"/>
      <c r="Z31" s="386"/>
      <c r="AA31" s="1421">
        <f>+'[12]Ovik összesen'!I30</f>
        <v>310</v>
      </c>
      <c r="AB31" s="1310"/>
      <c r="AC31" s="1319">
        <f t="shared" si="12"/>
        <v>310</v>
      </c>
      <c r="AD31" s="1411">
        <f t="shared" si="13"/>
        <v>1</v>
      </c>
      <c r="AE31" s="386"/>
      <c r="AF31" s="1425">
        <f t="shared" si="14"/>
        <v>3083</v>
      </c>
      <c r="AG31" s="1510">
        <f t="shared" si="5"/>
        <v>0</v>
      </c>
      <c r="AH31" s="1510">
        <f t="shared" si="2"/>
        <v>3083</v>
      </c>
      <c r="AI31" s="1411">
        <f t="shared" si="15"/>
        <v>1</v>
      </c>
    </row>
    <row r="32" spans="1:35" s="13" customFormat="1" ht="15" customHeight="1">
      <c r="A32" s="1491" t="str">
        <f>+'[11]Ovik összesen'!$A30</f>
        <v>RENDSZERES SZEMÉLYI JUTTATÁSOK ÖSSZESEN</v>
      </c>
      <c r="B32" s="162">
        <f>SUM(B30:B31)</f>
        <v>11163</v>
      </c>
      <c r="C32" s="163">
        <f>SUM(C30:C31)</f>
        <v>0</v>
      </c>
      <c r="D32" s="163">
        <f t="shared" si="6"/>
        <v>11163</v>
      </c>
      <c r="E32" s="165">
        <f>+D32/B32</f>
        <v>1</v>
      </c>
      <c r="F32" s="90"/>
      <c r="G32" s="162">
        <f>SUM(G30:G31)</f>
        <v>21096</v>
      </c>
      <c r="H32" s="163"/>
      <c r="I32" s="163">
        <f t="shared" si="7"/>
        <v>21096</v>
      </c>
      <c r="J32" s="165">
        <f>+I32/G32</f>
        <v>1</v>
      </c>
      <c r="K32" s="90"/>
      <c r="L32" s="1492">
        <f>SUM(L30:L31)</f>
        <v>11091</v>
      </c>
      <c r="M32" s="1493"/>
      <c r="N32" s="1493">
        <f t="shared" si="8"/>
        <v>11091</v>
      </c>
      <c r="O32" s="1494">
        <f>+N32/L32</f>
        <v>1</v>
      </c>
      <c r="P32" s="90"/>
      <c r="Q32" s="162">
        <f>SUM(Q30:Q31)</f>
        <v>27084</v>
      </c>
      <c r="R32" s="163">
        <f>SUM(R30:R31)</f>
        <v>1214</v>
      </c>
      <c r="S32" s="163">
        <f t="shared" si="9"/>
        <v>28298</v>
      </c>
      <c r="T32" s="165">
        <f>+S32/Q32</f>
        <v>1.0448235120366267</v>
      </c>
      <c r="V32" s="162">
        <f>SUM(V30:V31)</f>
        <v>14577</v>
      </c>
      <c r="W32" s="1495"/>
      <c r="X32" s="163">
        <f t="shared" si="10"/>
        <v>14577</v>
      </c>
      <c r="Y32" s="165">
        <f t="shared" si="11"/>
        <v>1</v>
      </c>
      <c r="Z32" s="90"/>
      <c r="AA32" s="162">
        <f>SUM(AA30:AA31)</f>
        <v>4862</v>
      </c>
      <c r="AB32" s="1495"/>
      <c r="AC32" s="163">
        <f t="shared" si="12"/>
        <v>4862</v>
      </c>
      <c r="AD32" s="165">
        <f t="shared" si="13"/>
        <v>1</v>
      </c>
      <c r="AE32" s="90"/>
      <c r="AF32" s="162">
        <f>SUM(AF30:AF31)</f>
        <v>89873</v>
      </c>
      <c r="AG32" s="163">
        <f t="shared" si="5"/>
        <v>1214</v>
      </c>
      <c r="AH32" s="163">
        <f t="shared" si="2"/>
        <v>91087</v>
      </c>
      <c r="AI32" s="165">
        <f t="shared" si="15"/>
        <v>1.0135079501073738</v>
      </c>
    </row>
    <row r="33" spans="1:35" s="149" customFormat="1" ht="15" customHeight="1">
      <c r="A33" s="1496" t="str">
        <f>+'[11]Ovik összesen'!$A31</f>
        <v>Jutalom, teljesitményhez kötött</v>
      </c>
      <c r="B33" s="64">
        <f>+'[5]bér ovi'!B32</f>
        <v>0</v>
      </c>
      <c r="C33" s="66"/>
      <c r="D33" s="66">
        <f t="shared" si="6"/>
        <v>0</v>
      </c>
      <c r="E33" s="67"/>
      <c r="F33" s="68"/>
      <c r="G33" s="64">
        <f>+'[5]bér ovi'!E32</f>
        <v>0</v>
      </c>
      <c r="H33" s="66"/>
      <c r="I33" s="66">
        <f t="shared" si="7"/>
        <v>0</v>
      </c>
      <c r="J33" s="67"/>
      <c r="K33" s="68"/>
      <c r="L33" s="1467">
        <f>+'[5]bér ovi'!G32</f>
        <v>0</v>
      </c>
      <c r="M33" s="1468"/>
      <c r="N33" s="1468">
        <f t="shared" si="8"/>
        <v>0</v>
      </c>
      <c r="O33" s="1469"/>
      <c r="P33" s="68"/>
      <c r="Q33" s="64">
        <f>+'[5]bér ovi'!F32</f>
        <v>0</v>
      </c>
      <c r="R33" s="66"/>
      <c r="S33" s="66">
        <f t="shared" si="9"/>
        <v>0</v>
      </c>
      <c r="T33" s="67"/>
      <c r="V33" s="64">
        <f>+'[5]bér ovi'!H32</f>
        <v>0</v>
      </c>
      <c r="W33" s="65"/>
      <c r="X33" s="66">
        <f t="shared" si="10"/>
        <v>0</v>
      </c>
      <c r="Y33" s="67"/>
      <c r="Z33" s="68"/>
      <c r="AA33" s="64">
        <f>+'[5]bér ovi'!I32</f>
        <v>0</v>
      </c>
      <c r="AB33" s="65"/>
      <c r="AC33" s="66">
        <f t="shared" si="12"/>
        <v>0</v>
      </c>
      <c r="AD33" s="67"/>
      <c r="AE33" s="68"/>
      <c r="AF33" s="64">
        <f t="shared" ref="AF33:AF39" si="16">+B33+G33+Q33+L33+V33+AA33</f>
        <v>0</v>
      </c>
      <c r="AG33" s="66">
        <f t="shared" si="5"/>
        <v>0</v>
      </c>
      <c r="AH33" s="66">
        <f t="shared" si="2"/>
        <v>0</v>
      </c>
      <c r="AI33" s="67"/>
    </row>
    <row r="34" spans="1:35" s="149" customFormat="1" ht="15" customHeight="1">
      <c r="A34" s="1482" t="str">
        <f>+'[11]Ovik összesen'!$A32</f>
        <v>Jutalom normatív</v>
      </c>
      <c r="B34" s="64">
        <f>+'[5]bér ovi'!B33</f>
        <v>0</v>
      </c>
      <c r="C34" s="85"/>
      <c r="D34" s="85">
        <f t="shared" si="6"/>
        <v>0</v>
      </c>
      <c r="E34" s="67"/>
      <c r="F34" s="68"/>
      <c r="G34" s="64">
        <f>+'[5]bér ovi'!E33</f>
        <v>0</v>
      </c>
      <c r="H34" s="85"/>
      <c r="I34" s="85">
        <f t="shared" si="7"/>
        <v>0</v>
      </c>
      <c r="J34" s="67"/>
      <c r="K34" s="68"/>
      <c r="L34" s="1467">
        <f>+'[5]bér ovi'!G33</f>
        <v>0</v>
      </c>
      <c r="M34" s="1472"/>
      <c r="N34" s="1472">
        <f t="shared" si="8"/>
        <v>0</v>
      </c>
      <c r="O34" s="1469"/>
      <c r="P34" s="68"/>
      <c r="Q34" s="64">
        <f>+'[5]bér ovi'!F33</f>
        <v>0</v>
      </c>
      <c r="R34" s="85"/>
      <c r="S34" s="85">
        <f t="shared" si="9"/>
        <v>0</v>
      </c>
      <c r="T34" s="67"/>
      <c r="V34" s="64">
        <f>+'[5]bér ovi'!H33</f>
        <v>0</v>
      </c>
      <c r="W34" s="229"/>
      <c r="X34" s="85">
        <f t="shared" si="10"/>
        <v>0</v>
      </c>
      <c r="Y34" s="67"/>
      <c r="Z34" s="68"/>
      <c r="AA34" s="64">
        <f>+'[5]bér ovi'!I33</f>
        <v>0</v>
      </c>
      <c r="AB34" s="229"/>
      <c r="AC34" s="85">
        <f t="shared" si="12"/>
        <v>0</v>
      </c>
      <c r="AD34" s="67"/>
      <c r="AE34" s="68"/>
      <c r="AF34" s="64">
        <f t="shared" si="16"/>
        <v>0</v>
      </c>
      <c r="AG34" s="66">
        <f t="shared" si="5"/>
        <v>0</v>
      </c>
      <c r="AH34" s="66">
        <f t="shared" si="2"/>
        <v>0</v>
      </c>
      <c r="AI34" s="67"/>
    </row>
    <row r="35" spans="1:35" s="149" customFormat="1" ht="15" customHeight="1">
      <c r="A35" s="1482" t="str">
        <f>+'[11]Ovik összesen'!$A33</f>
        <v>Helyettesítés</v>
      </c>
      <c r="B35" s="64">
        <f>+'[5]bér ovi'!B34</f>
        <v>126</v>
      </c>
      <c r="C35" s="85"/>
      <c r="D35" s="85">
        <f t="shared" si="6"/>
        <v>126</v>
      </c>
      <c r="E35" s="67">
        <f>+D35/B35</f>
        <v>1</v>
      </c>
      <c r="F35" s="68"/>
      <c r="G35" s="64">
        <f>+'[5]bér ovi'!E34</f>
        <v>309</v>
      </c>
      <c r="H35" s="85"/>
      <c r="I35" s="85">
        <f t="shared" si="7"/>
        <v>309</v>
      </c>
      <c r="J35" s="67">
        <f>+I35/G35</f>
        <v>1</v>
      </c>
      <c r="K35" s="68"/>
      <c r="L35" s="1467">
        <f>+'[5]bér ovi'!G34</f>
        <v>151</v>
      </c>
      <c r="M35" s="1472"/>
      <c r="N35" s="1472">
        <f t="shared" si="8"/>
        <v>151</v>
      </c>
      <c r="O35" s="1469">
        <f>+N35/L35</f>
        <v>1</v>
      </c>
      <c r="P35" s="68"/>
      <c r="Q35" s="64">
        <f>+'[5]bér ovi'!F34</f>
        <v>100</v>
      </c>
      <c r="R35" s="85"/>
      <c r="S35" s="85">
        <f t="shared" si="9"/>
        <v>100</v>
      </c>
      <c r="T35" s="67">
        <f>+S35/Q35</f>
        <v>1</v>
      </c>
      <c r="V35" s="64">
        <f>+'[5]bér ovi'!H34</f>
        <v>227</v>
      </c>
      <c r="W35" s="229"/>
      <c r="X35" s="85">
        <f t="shared" si="10"/>
        <v>227</v>
      </c>
      <c r="Y35" s="67">
        <f>+X35/V35</f>
        <v>1</v>
      </c>
      <c r="Z35" s="68"/>
      <c r="AA35" s="64">
        <f>+'[5]bér ovi'!I34</f>
        <v>57</v>
      </c>
      <c r="AB35" s="229"/>
      <c r="AC35" s="85">
        <f t="shared" si="12"/>
        <v>57</v>
      </c>
      <c r="AD35" s="67">
        <f>+AC35/AA35</f>
        <v>1</v>
      </c>
      <c r="AE35" s="68"/>
      <c r="AF35" s="64">
        <f t="shared" si="16"/>
        <v>970</v>
      </c>
      <c r="AG35" s="66">
        <f t="shared" si="5"/>
        <v>0</v>
      </c>
      <c r="AH35" s="66">
        <f t="shared" si="2"/>
        <v>970</v>
      </c>
      <c r="AI35" s="67">
        <f t="shared" ref="AI35:AI71" si="17">+AH35/AF35</f>
        <v>1</v>
      </c>
    </row>
    <row r="36" spans="1:35" s="149" customFormat="1" ht="15" customHeight="1">
      <c r="A36" s="1482" t="str">
        <f>+'[11]Ovik összesen'!$A34</f>
        <v>Túlóra</v>
      </c>
      <c r="B36" s="64">
        <f>+'[5]bér ovi'!B35</f>
        <v>126</v>
      </c>
      <c r="C36" s="85"/>
      <c r="D36" s="85">
        <f t="shared" si="6"/>
        <v>126</v>
      </c>
      <c r="E36" s="67">
        <f>+D36/B36</f>
        <v>1</v>
      </c>
      <c r="F36" s="68"/>
      <c r="G36" s="64">
        <f>+'[5]bér ovi'!E35</f>
        <v>308</v>
      </c>
      <c r="H36" s="85"/>
      <c r="I36" s="85">
        <f t="shared" si="7"/>
        <v>308</v>
      </c>
      <c r="J36" s="67">
        <f>+I36/G36</f>
        <v>1</v>
      </c>
      <c r="K36" s="68"/>
      <c r="L36" s="1467">
        <f>+'[5]bér ovi'!G35</f>
        <v>151</v>
      </c>
      <c r="M36" s="1472"/>
      <c r="N36" s="1472">
        <f t="shared" si="8"/>
        <v>151</v>
      </c>
      <c r="O36" s="1469">
        <f>+N36/L36</f>
        <v>1</v>
      </c>
      <c r="P36" s="68"/>
      <c r="Q36" s="64">
        <f>+'[5]bér ovi'!F35</f>
        <v>100</v>
      </c>
      <c r="R36" s="85"/>
      <c r="S36" s="85">
        <f t="shared" si="9"/>
        <v>100</v>
      </c>
      <c r="T36" s="67">
        <f>+S36/Q36</f>
        <v>1</v>
      </c>
      <c r="V36" s="64">
        <f>+'[5]bér ovi'!H35</f>
        <v>227</v>
      </c>
      <c r="W36" s="229"/>
      <c r="X36" s="85">
        <f t="shared" si="10"/>
        <v>227</v>
      </c>
      <c r="Y36" s="67">
        <f>+X36/V36</f>
        <v>1</v>
      </c>
      <c r="Z36" s="68"/>
      <c r="AA36" s="64">
        <f>+'[5]bér ovi'!I35</f>
        <v>56</v>
      </c>
      <c r="AB36" s="229"/>
      <c r="AC36" s="85">
        <f t="shared" si="12"/>
        <v>56</v>
      </c>
      <c r="AD36" s="67">
        <f>+AC36/AA36</f>
        <v>1</v>
      </c>
      <c r="AE36" s="68"/>
      <c r="AF36" s="64">
        <f t="shared" si="16"/>
        <v>968</v>
      </c>
      <c r="AG36" s="66">
        <f t="shared" si="5"/>
        <v>0</v>
      </c>
      <c r="AH36" s="66">
        <f t="shared" si="2"/>
        <v>968</v>
      </c>
      <c r="AI36" s="67">
        <f t="shared" si="17"/>
        <v>1</v>
      </c>
    </row>
    <row r="37" spans="1:35" s="149" customFormat="1" ht="15" customHeight="1">
      <c r="A37" s="1482" t="str">
        <f>+'[11]Ovik összesen'!$A35</f>
        <v>Egyéb munkavégzéshez kapcsolódó juttatások</v>
      </c>
      <c r="B37" s="64">
        <f>+'[5]bér ovi'!B36</f>
        <v>252</v>
      </c>
      <c r="C37" s="85"/>
      <c r="D37" s="85">
        <f t="shared" si="6"/>
        <v>252</v>
      </c>
      <c r="E37" s="67">
        <f>+D37/B37</f>
        <v>1</v>
      </c>
      <c r="F37" s="68"/>
      <c r="G37" s="64">
        <f>+'[5]bér ovi'!E36</f>
        <v>504</v>
      </c>
      <c r="H37" s="85"/>
      <c r="I37" s="85">
        <f t="shared" si="7"/>
        <v>504</v>
      </c>
      <c r="J37" s="67">
        <f>+I37/G37</f>
        <v>1</v>
      </c>
      <c r="K37" s="68"/>
      <c r="L37" s="1467">
        <f>+'[5]bér ovi'!G36</f>
        <v>252</v>
      </c>
      <c r="M37" s="1472"/>
      <c r="N37" s="1472">
        <f t="shared" si="8"/>
        <v>252</v>
      </c>
      <c r="O37" s="1469">
        <f>+N37/L37</f>
        <v>1</v>
      </c>
      <c r="P37" s="68"/>
      <c r="Q37" s="64">
        <f>+'[5]bér ovi'!F36</f>
        <v>630</v>
      </c>
      <c r="R37" s="85"/>
      <c r="S37" s="85">
        <f t="shared" si="9"/>
        <v>630</v>
      </c>
      <c r="T37" s="67">
        <f>+S37/Q37</f>
        <v>1</v>
      </c>
      <c r="V37" s="64">
        <f>+'[5]bér ovi'!H36</f>
        <v>378</v>
      </c>
      <c r="W37" s="229"/>
      <c r="X37" s="85">
        <f t="shared" si="10"/>
        <v>378</v>
      </c>
      <c r="Y37" s="67">
        <f>+X37/V37</f>
        <v>1</v>
      </c>
      <c r="Z37" s="68"/>
      <c r="AA37" s="64">
        <f>+'[5]bér ovi'!I36</f>
        <v>126</v>
      </c>
      <c r="AB37" s="229"/>
      <c r="AC37" s="85">
        <f t="shared" si="12"/>
        <v>126</v>
      </c>
      <c r="AD37" s="67">
        <f>+AC37/AA37</f>
        <v>1</v>
      </c>
      <c r="AE37" s="68"/>
      <c r="AF37" s="64">
        <f t="shared" si="16"/>
        <v>2142</v>
      </c>
      <c r="AG37" s="66">
        <f t="shared" si="5"/>
        <v>0</v>
      </c>
      <c r="AH37" s="66">
        <f t="shared" si="2"/>
        <v>2142</v>
      </c>
      <c r="AI37" s="67">
        <f t="shared" si="17"/>
        <v>1</v>
      </c>
    </row>
    <row r="38" spans="1:35" s="387" customFormat="1" ht="15" customHeight="1">
      <c r="A38" s="1487" t="str">
        <f>+'[11]Ovik összesen'!$A36</f>
        <v>Teljes munkaidőben foglalkoztatottak munkavégzéshez kapcsolódó juttatásai</v>
      </c>
      <c r="B38" s="1424">
        <f>+'[5]bér ovi'!B37</f>
        <v>504</v>
      </c>
      <c r="C38" s="1317"/>
      <c r="D38" s="1317">
        <f t="shared" si="6"/>
        <v>504</v>
      </c>
      <c r="E38" s="67">
        <f>+D38/B38</f>
        <v>1</v>
      </c>
      <c r="F38" s="386"/>
      <c r="G38" s="1424">
        <f>+'[5]bér ovi'!E37</f>
        <v>1109</v>
      </c>
      <c r="H38" s="1317"/>
      <c r="I38" s="1317">
        <f t="shared" si="7"/>
        <v>1109</v>
      </c>
      <c r="J38" s="67">
        <f>+I38/G38</f>
        <v>1</v>
      </c>
      <c r="K38" s="386"/>
      <c r="L38" s="1477">
        <f>+'[5]bér ovi'!G37</f>
        <v>554</v>
      </c>
      <c r="M38" s="1488"/>
      <c r="N38" s="1488">
        <f t="shared" si="8"/>
        <v>554</v>
      </c>
      <c r="O38" s="1469">
        <f>+N38/L38</f>
        <v>1</v>
      </c>
      <c r="P38" s="386"/>
      <c r="Q38" s="1424">
        <f>+'[5]bér ovi'!F37</f>
        <v>830</v>
      </c>
      <c r="R38" s="1317"/>
      <c r="S38" s="1317">
        <f t="shared" si="9"/>
        <v>830</v>
      </c>
      <c r="T38" s="67">
        <f>+S38/Q38</f>
        <v>1</v>
      </c>
      <c r="V38" s="1424">
        <f>+'[5]bér ovi'!H37</f>
        <v>832</v>
      </c>
      <c r="W38" s="1307"/>
      <c r="X38" s="1317">
        <f t="shared" si="10"/>
        <v>832</v>
      </c>
      <c r="Y38" s="67">
        <f>+X38/V38</f>
        <v>1</v>
      </c>
      <c r="Z38" s="386"/>
      <c r="AA38" s="1424">
        <f>+'[5]bér ovi'!I37</f>
        <v>227</v>
      </c>
      <c r="AB38" s="1307"/>
      <c r="AC38" s="1317">
        <f t="shared" si="12"/>
        <v>227</v>
      </c>
      <c r="AD38" s="67">
        <f>+AC38/AA38</f>
        <v>1</v>
      </c>
      <c r="AE38" s="386"/>
      <c r="AF38" s="1424">
        <f t="shared" si="16"/>
        <v>4056</v>
      </c>
      <c r="AG38" s="66">
        <f t="shared" si="5"/>
        <v>0</v>
      </c>
      <c r="AH38" s="66">
        <f t="shared" si="2"/>
        <v>4056</v>
      </c>
      <c r="AI38" s="67">
        <f t="shared" si="17"/>
        <v>1</v>
      </c>
    </row>
    <row r="39" spans="1:35" s="387" customFormat="1" ht="15" customHeight="1">
      <c r="A39" s="1497" t="str">
        <f>+'[11]Ovik összesen'!$A37</f>
        <v>Részmunkaidőben foglalkoztatottak munkavégzéshez kapcsolódó juttatásai</v>
      </c>
      <c r="B39" s="1424">
        <f>+'[5]bér ovi'!B38</f>
        <v>0</v>
      </c>
      <c r="C39" s="1319"/>
      <c r="D39" s="1319">
        <f t="shared" si="6"/>
        <v>0</v>
      </c>
      <c r="E39" s="67"/>
      <c r="F39" s="386"/>
      <c r="G39" s="1424">
        <f>+'[5]bér ovi'!E38</f>
        <v>12</v>
      </c>
      <c r="H39" s="1319"/>
      <c r="I39" s="1319">
        <f t="shared" si="7"/>
        <v>12</v>
      </c>
      <c r="J39" s="67"/>
      <c r="K39" s="386"/>
      <c r="L39" s="1477">
        <f>+'[5]bér ovi'!G38</f>
        <v>0</v>
      </c>
      <c r="M39" s="1490"/>
      <c r="N39" s="1490">
        <f t="shared" si="8"/>
        <v>0</v>
      </c>
      <c r="O39" s="1469"/>
      <c r="P39" s="386"/>
      <c r="Q39" s="1424">
        <f>+'[5]bér ovi'!F38</f>
        <v>0</v>
      </c>
      <c r="R39" s="1319"/>
      <c r="S39" s="1319">
        <f t="shared" si="9"/>
        <v>0</v>
      </c>
      <c r="T39" s="67"/>
      <c r="V39" s="1424">
        <f>+'[5]bér ovi'!H38</f>
        <v>0</v>
      </c>
      <c r="W39" s="1310"/>
      <c r="X39" s="1319">
        <f t="shared" si="10"/>
        <v>0</v>
      </c>
      <c r="Y39" s="67"/>
      <c r="Z39" s="386"/>
      <c r="AA39" s="1424">
        <f>+'[5]bér ovi'!I38</f>
        <v>12</v>
      </c>
      <c r="AB39" s="1310"/>
      <c r="AC39" s="1319">
        <f t="shared" si="12"/>
        <v>12</v>
      </c>
      <c r="AD39" s="67">
        <f>+AC39/AA39</f>
        <v>1</v>
      </c>
      <c r="AE39" s="386"/>
      <c r="AF39" s="1425">
        <f t="shared" si="16"/>
        <v>24</v>
      </c>
      <c r="AG39" s="1366">
        <f t="shared" si="5"/>
        <v>0</v>
      </c>
      <c r="AH39" s="1366">
        <f t="shared" si="2"/>
        <v>24</v>
      </c>
      <c r="AI39" s="67">
        <f t="shared" si="17"/>
        <v>1</v>
      </c>
    </row>
    <row r="40" spans="1:35" s="149" customFormat="1" ht="15" customHeight="1">
      <c r="A40" s="1498" t="str">
        <f>+'[11]Ovik összesen'!$A38</f>
        <v>Munkavégzéshez kapcsolódó juttatások összesen</v>
      </c>
      <c r="B40" s="77">
        <f>SUM(B33:B39)</f>
        <v>1008</v>
      </c>
      <c r="C40" s="78">
        <f>SUM(C33:C39)</f>
        <v>0</v>
      </c>
      <c r="D40" s="78">
        <f t="shared" si="6"/>
        <v>1008</v>
      </c>
      <c r="E40" s="79">
        <f>+D40/B40</f>
        <v>1</v>
      </c>
      <c r="F40" s="68"/>
      <c r="G40" s="77">
        <f>SUM(G38:G39)</f>
        <v>1121</v>
      </c>
      <c r="H40" s="1499"/>
      <c r="I40" s="78">
        <f t="shared" si="7"/>
        <v>1121</v>
      </c>
      <c r="J40" s="79">
        <f>+I40/G40</f>
        <v>1</v>
      </c>
      <c r="K40" s="68"/>
      <c r="L40" s="1500">
        <f>SUM(L38:L39)</f>
        <v>554</v>
      </c>
      <c r="M40" s="1501"/>
      <c r="N40" s="1502">
        <f t="shared" si="8"/>
        <v>554</v>
      </c>
      <c r="O40" s="1503">
        <f>+N40/L40</f>
        <v>1</v>
      </c>
      <c r="P40" s="68"/>
      <c r="Q40" s="77">
        <f>SUM(Q38:Q39)</f>
        <v>830</v>
      </c>
      <c r="R40" s="78">
        <f>SUM(R38:R39)</f>
        <v>0</v>
      </c>
      <c r="S40" s="78">
        <f t="shared" si="9"/>
        <v>830</v>
      </c>
      <c r="T40" s="79">
        <f>+S40/Q40</f>
        <v>1</v>
      </c>
      <c r="V40" s="77">
        <f>SUM(V38:V39)</f>
        <v>832</v>
      </c>
      <c r="W40" s="1504"/>
      <c r="X40" s="78">
        <f t="shared" si="10"/>
        <v>832</v>
      </c>
      <c r="Y40" s="79">
        <f t="shared" ref="Y40:Y62" si="18">+X40/V40</f>
        <v>1</v>
      </c>
      <c r="Z40" s="68"/>
      <c r="AA40" s="77">
        <f>SUM(AA38:AA39)</f>
        <v>239</v>
      </c>
      <c r="AB40" s="1504"/>
      <c r="AC40" s="78">
        <f t="shared" si="12"/>
        <v>239</v>
      </c>
      <c r="AD40" s="79">
        <f t="shared" ref="AD40:AD64" si="19">+AC40/AA40</f>
        <v>1</v>
      </c>
      <c r="AE40" s="68"/>
      <c r="AF40" s="1426">
        <f>SUM(AF38:AF39)</f>
        <v>4080</v>
      </c>
      <c r="AG40" s="78">
        <f t="shared" si="5"/>
        <v>0</v>
      </c>
      <c r="AH40" s="78">
        <f t="shared" si="2"/>
        <v>4584</v>
      </c>
      <c r="AI40" s="79">
        <f t="shared" si="17"/>
        <v>1.1235294117647059</v>
      </c>
    </row>
    <row r="41" spans="1:35" s="149" customFormat="1" ht="15" customHeight="1">
      <c r="A41" s="1496" t="str">
        <f>+'[11]Ovik összesen'!$A39</f>
        <v>Ker. kiegészítés fedezete</v>
      </c>
      <c r="B41" s="64">
        <f>+'[12]Ovik összesen'!$B$40-223</f>
        <v>0</v>
      </c>
      <c r="C41" s="66"/>
      <c r="D41" s="66">
        <f t="shared" si="6"/>
        <v>0</v>
      </c>
      <c r="E41" s="67"/>
      <c r="F41" s="68"/>
      <c r="G41" s="64">
        <f>+'[12]Ovik összesen'!$E$40-422</f>
        <v>0</v>
      </c>
      <c r="H41" s="66"/>
      <c r="I41" s="66">
        <f t="shared" si="7"/>
        <v>0</v>
      </c>
      <c r="J41" s="67"/>
      <c r="K41" s="68"/>
      <c r="L41" s="1467">
        <f>+'[12]Ovik összesen'!$G$40-222</f>
        <v>0</v>
      </c>
      <c r="M41" s="1468"/>
      <c r="N41" s="1468">
        <f t="shared" si="8"/>
        <v>0</v>
      </c>
      <c r="O41" s="1469"/>
      <c r="P41" s="68"/>
      <c r="Q41" s="64">
        <f>+'[12]Ovik összesen'!$F$40-542</f>
        <v>0</v>
      </c>
      <c r="R41" s="66"/>
      <c r="S41" s="66">
        <f t="shared" si="9"/>
        <v>0</v>
      </c>
      <c r="T41" s="67"/>
      <c r="V41" s="64">
        <f>+'[12]Ovik összesen'!$H$40-291</f>
        <v>0</v>
      </c>
      <c r="W41" s="65"/>
      <c r="X41" s="66">
        <f t="shared" si="10"/>
        <v>0</v>
      </c>
      <c r="Y41" s="67"/>
      <c r="Z41" s="68"/>
      <c r="AA41" s="64">
        <f>+'[12]Ovik összesen'!$I$40-97</f>
        <v>0</v>
      </c>
      <c r="AB41" s="65"/>
      <c r="AC41" s="66">
        <f t="shared" si="12"/>
        <v>0</v>
      </c>
      <c r="AD41" s="67"/>
      <c r="AE41" s="68"/>
      <c r="AF41" s="64">
        <f t="shared" ref="AF41:AF46" si="20">+B41+G41+Q41+L41+V41+AA41</f>
        <v>0</v>
      </c>
      <c r="AG41" s="66">
        <f t="shared" si="5"/>
        <v>0</v>
      </c>
      <c r="AH41" s="66">
        <f t="shared" si="2"/>
        <v>0</v>
      </c>
      <c r="AI41" s="67"/>
    </row>
    <row r="42" spans="1:35" s="149" customFormat="1" ht="15" customHeight="1">
      <c r="A42" s="1482" t="str">
        <f>+'[11]Ovik összesen'!$A40</f>
        <v>Jubileumi jutalom</v>
      </c>
      <c r="B42" s="64">
        <f>+'[5]bér ovi'!B41</f>
        <v>0</v>
      </c>
      <c r="C42" s="85"/>
      <c r="D42" s="85">
        <f t="shared" si="6"/>
        <v>0</v>
      </c>
      <c r="E42" s="67"/>
      <c r="F42" s="68"/>
      <c r="G42" s="64">
        <f>+'[5]bér ovi'!E41</f>
        <v>104</v>
      </c>
      <c r="H42" s="85"/>
      <c r="I42" s="85">
        <f t="shared" si="7"/>
        <v>104</v>
      </c>
      <c r="J42" s="67"/>
      <c r="K42" s="68"/>
      <c r="L42" s="1467">
        <f>+'[5]bér ovi'!G41</f>
        <v>0</v>
      </c>
      <c r="M42" s="1472"/>
      <c r="N42" s="1472">
        <f t="shared" si="8"/>
        <v>0</v>
      </c>
      <c r="O42" s="1469"/>
      <c r="P42" s="68"/>
      <c r="Q42" s="64">
        <f>+'[5]bér ovi'!F41</f>
        <v>191</v>
      </c>
      <c r="R42" s="85"/>
      <c r="S42" s="85">
        <f t="shared" si="9"/>
        <v>191</v>
      </c>
      <c r="T42" s="67">
        <f>+S42/Q42</f>
        <v>1</v>
      </c>
      <c r="V42" s="64">
        <f>+'[5]bér ovi'!H41</f>
        <v>0</v>
      </c>
      <c r="W42" s="229"/>
      <c r="X42" s="85">
        <f t="shared" si="10"/>
        <v>0</v>
      </c>
      <c r="Y42" s="67"/>
      <c r="Z42" s="68"/>
      <c r="AA42" s="64">
        <f>+'[5]bér ovi'!I41</f>
        <v>0</v>
      </c>
      <c r="AB42" s="229"/>
      <c r="AC42" s="85">
        <f t="shared" si="12"/>
        <v>0</v>
      </c>
      <c r="AD42" s="67"/>
      <c r="AE42" s="68"/>
      <c r="AF42" s="64">
        <f t="shared" si="20"/>
        <v>295</v>
      </c>
      <c r="AG42" s="66">
        <f t="shared" si="5"/>
        <v>0</v>
      </c>
      <c r="AH42" s="66">
        <f t="shared" si="2"/>
        <v>295</v>
      </c>
      <c r="AI42" s="67">
        <f>+AH42/AF42</f>
        <v>1</v>
      </c>
    </row>
    <row r="43" spans="1:35" s="149" customFormat="1" ht="15" customHeight="1">
      <c r="A43" s="1482" t="str">
        <f>+'[11]Ovik összesen'!$A41</f>
        <v>Napidíj</v>
      </c>
      <c r="B43" s="64">
        <f>+'[5]bér ovi'!B42</f>
        <v>0</v>
      </c>
      <c r="C43" s="85"/>
      <c r="D43" s="85">
        <f t="shared" si="6"/>
        <v>0</v>
      </c>
      <c r="E43" s="67"/>
      <c r="F43" s="68"/>
      <c r="G43" s="64">
        <f>+'[5]bér ovi'!E42</f>
        <v>0</v>
      </c>
      <c r="H43" s="85"/>
      <c r="I43" s="85">
        <f t="shared" si="7"/>
        <v>0</v>
      </c>
      <c r="J43" s="67"/>
      <c r="K43" s="68"/>
      <c r="L43" s="1467">
        <f>+'[5]bér ovi'!G42</f>
        <v>0</v>
      </c>
      <c r="M43" s="1472"/>
      <c r="N43" s="1472">
        <f t="shared" si="8"/>
        <v>0</v>
      </c>
      <c r="O43" s="1469"/>
      <c r="P43" s="68"/>
      <c r="Q43" s="64">
        <f>+'[5]bér ovi'!F42</f>
        <v>0</v>
      </c>
      <c r="R43" s="85"/>
      <c r="S43" s="85">
        <f t="shared" si="9"/>
        <v>0</v>
      </c>
      <c r="T43" s="67"/>
      <c r="V43" s="64">
        <f>+'[5]bér ovi'!H42</f>
        <v>0</v>
      </c>
      <c r="W43" s="229"/>
      <c r="X43" s="85">
        <f t="shared" si="10"/>
        <v>0</v>
      </c>
      <c r="Y43" s="67"/>
      <c r="Z43" s="68"/>
      <c r="AA43" s="64">
        <f>+'[5]bér ovi'!I42</f>
        <v>0</v>
      </c>
      <c r="AB43" s="229"/>
      <c r="AC43" s="85">
        <f t="shared" si="12"/>
        <v>0</v>
      </c>
      <c r="AD43" s="67"/>
      <c r="AE43" s="68"/>
      <c r="AF43" s="64">
        <f t="shared" si="20"/>
        <v>0</v>
      </c>
      <c r="AG43" s="66">
        <f t="shared" si="5"/>
        <v>0</v>
      </c>
      <c r="AH43" s="66">
        <f t="shared" si="2"/>
        <v>0</v>
      </c>
      <c r="AI43" s="67"/>
    </row>
    <row r="44" spans="1:35" s="149" customFormat="1" ht="15" customHeight="1">
      <c r="A44" s="1482" t="str">
        <f>+'[11]Ovik összesen'!$A42</f>
        <v>Egyéb sajátos juttatások</v>
      </c>
      <c r="B44" s="64">
        <f>+'[5]bér ovi'!B43</f>
        <v>42</v>
      </c>
      <c r="C44" s="85"/>
      <c r="D44" s="85">
        <f t="shared" si="6"/>
        <v>42</v>
      </c>
      <c r="E44" s="67">
        <f t="shared" ref="E44:E49" si="21">+D44/B44</f>
        <v>1</v>
      </c>
      <c r="F44" s="68"/>
      <c r="G44" s="64">
        <f>+'[5]bér ovi'!E43</f>
        <v>84</v>
      </c>
      <c r="H44" s="85"/>
      <c r="I44" s="85">
        <f t="shared" si="7"/>
        <v>84</v>
      </c>
      <c r="J44" s="67">
        <f t="shared" ref="J44:J49" si="22">+I44/G44</f>
        <v>1</v>
      </c>
      <c r="K44" s="68"/>
      <c r="L44" s="1467">
        <f>+'[5]bér ovi'!G43</f>
        <v>42</v>
      </c>
      <c r="M44" s="1472"/>
      <c r="N44" s="1472">
        <f t="shared" si="8"/>
        <v>42</v>
      </c>
      <c r="O44" s="1469">
        <f>+N44/L44</f>
        <v>1</v>
      </c>
      <c r="P44" s="68"/>
      <c r="Q44" s="64">
        <f>+'[5]bér ovi'!F43</f>
        <v>105</v>
      </c>
      <c r="R44" s="85"/>
      <c r="S44" s="85">
        <f t="shared" si="9"/>
        <v>105</v>
      </c>
      <c r="T44" s="67">
        <f t="shared" ref="T44:T49" si="23">+S44/Q44</f>
        <v>1</v>
      </c>
      <c r="V44" s="64">
        <f>+'[5]bér ovi'!H43</f>
        <v>63</v>
      </c>
      <c r="W44" s="229"/>
      <c r="X44" s="85">
        <f t="shared" si="10"/>
        <v>63</v>
      </c>
      <c r="Y44" s="67">
        <f t="shared" si="18"/>
        <v>1</v>
      </c>
      <c r="Z44" s="68"/>
      <c r="AA44" s="64">
        <f>+'[5]bér ovi'!I43</f>
        <v>21</v>
      </c>
      <c r="AB44" s="229"/>
      <c r="AC44" s="85">
        <f t="shared" si="12"/>
        <v>21</v>
      </c>
      <c r="AD44" s="67">
        <f t="shared" si="19"/>
        <v>1</v>
      </c>
      <c r="AE44" s="68"/>
      <c r="AF44" s="64">
        <f t="shared" si="20"/>
        <v>357</v>
      </c>
      <c r="AG44" s="66">
        <f t="shared" si="5"/>
        <v>0</v>
      </c>
      <c r="AH44" s="66">
        <f t="shared" si="2"/>
        <v>357</v>
      </c>
      <c r="AI44" s="67">
        <f t="shared" si="17"/>
        <v>1</v>
      </c>
    </row>
    <row r="45" spans="1:35" s="387" customFormat="1" ht="15" customHeight="1">
      <c r="A45" s="1487" t="str">
        <f>+'[11]Ovik összesen'!$A43</f>
        <v>Teljes munkaidőben foglalkoztatottak sajátos juttatásai összesen</v>
      </c>
      <c r="B45" s="1424">
        <f>SUM(B41:B44)</f>
        <v>42</v>
      </c>
      <c r="C45" s="1317"/>
      <c r="D45" s="1317">
        <f t="shared" si="6"/>
        <v>42</v>
      </c>
      <c r="E45" s="67">
        <f t="shared" si="21"/>
        <v>1</v>
      </c>
      <c r="F45" s="386"/>
      <c r="G45" s="1424">
        <f>SUM(G41:G44)</f>
        <v>188</v>
      </c>
      <c r="H45" s="1317"/>
      <c r="I45" s="1317">
        <f t="shared" si="7"/>
        <v>188</v>
      </c>
      <c r="J45" s="67">
        <f t="shared" si="22"/>
        <v>1</v>
      </c>
      <c r="K45" s="386"/>
      <c r="L45" s="1477">
        <f>SUM(L41:L44)</f>
        <v>42</v>
      </c>
      <c r="M45" s="1488"/>
      <c r="N45" s="1488">
        <f t="shared" si="8"/>
        <v>42</v>
      </c>
      <c r="O45" s="1469">
        <f>+N45/L45</f>
        <v>1</v>
      </c>
      <c r="P45" s="386"/>
      <c r="Q45" s="1424">
        <v>273</v>
      </c>
      <c r="R45" s="1317"/>
      <c r="S45" s="1317">
        <f t="shared" si="9"/>
        <v>273</v>
      </c>
      <c r="T45" s="67">
        <f t="shared" si="23"/>
        <v>1</v>
      </c>
      <c r="V45" s="1424">
        <f>SUM(V41:V44)</f>
        <v>63</v>
      </c>
      <c r="W45" s="1307"/>
      <c r="X45" s="1317">
        <f t="shared" si="10"/>
        <v>63</v>
      </c>
      <c r="Y45" s="67">
        <f t="shared" si="18"/>
        <v>1</v>
      </c>
      <c r="Z45" s="386"/>
      <c r="AA45" s="1424">
        <v>15</v>
      </c>
      <c r="AB45" s="1307"/>
      <c r="AC45" s="1317">
        <f t="shared" si="12"/>
        <v>15</v>
      </c>
      <c r="AD45" s="67">
        <f t="shared" si="19"/>
        <v>1</v>
      </c>
      <c r="AE45" s="386"/>
      <c r="AF45" s="1424">
        <f t="shared" si="20"/>
        <v>623</v>
      </c>
      <c r="AG45" s="66">
        <f t="shared" si="5"/>
        <v>0</v>
      </c>
      <c r="AH45" s="66">
        <f t="shared" si="2"/>
        <v>623</v>
      </c>
      <c r="AI45" s="67">
        <f t="shared" si="17"/>
        <v>1</v>
      </c>
    </row>
    <row r="46" spans="1:35" s="387" customFormat="1" ht="15" customHeight="1">
      <c r="A46" s="1497" t="str">
        <f>+'[11]Ovik összesen'!$A44</f>
        <v>Részmunkaidőben foglalkoztatottak sajátos juttatásai</v>
      </c>
      <c r="B46" s="1424">
        <f>+'[5]bér ovi'!B45</f>
        <v>27</v>
      </c>
      <c r="C46" s="1319"/>
      <c r="D46" s="1319">
        <f t="shared" si="6"/>
        <v>27</v>
      </c>
      <c r="E46" s="67">
        <f t="shared" si="21"/>
        <v>1</v>
      </c>
      <c r="F46" s="386"/>
      <c r="G46" s="1424">
        <f>+'[5]bér ovi'!E45</f>
        <v>6</v>
      </c>
      <c r="H46" s="1319"/>
      <c r="I46" s="1319">
        <f t="shared" si="7"/>
        <v>6</v>
      </c>
      <c r="J46" s="67">
        <f t="shared" si="22"/>
        <v>1</v>
      </c>
      <c r="K46" s="386"/>
      <c r="L46" s="1477">
        <f>+'[5]bér ovi'!G45</f>
        <v>0</v>
      </c>
      <c r="M46" s="1490"/>
      <c r="N46" s="1490">
        <f t="shared" si="8"/>
        <v>0</v>
      </c>
      <c r="O46" s="1469"/>
      <c r="P46" s="386"/>
      <c r="Q46" s="1424">
        <f>+'[5]bér ovi'!F45</f>
        <v>23</v>
      </c>
      <c r="R46" s="1319"/>
      <c r="S46" s="1319">
        <f t="shared" si="9"/>
        <v>23</v>
      </c>
      <c r="T46" s="67">
        <f t="shared" si="23"/>
        <v>1</v>
      </c>
      <c r="V46" s="1424">
        <f>+'[5]bér ovi'!H45</f>
        <v>0</v>
      </c>
      <c r="W46" s="1310"/>
      <c r="X46" s="1319">
        <f t="shared" si="10"/>
        <v>0</v>
      </c>
      <c r="Y46" s="67"/>
      <c r="Z46" s="386"/>
      <c r="AA46" s="1424">
        <f>+'[5]bér ovi'!I45</f>
        <v>6</v>
      </c>
      <c r="AB46" s="1310"/>
      <c r="AC46" s="1319">
        <f t="shared" si="12"/>
        <v>6</v>
      </c>
      <c r="AD46" s="67">
        <f t="shared" si="19"/>
        <v>1</v>
      </c>
      <c r="AE46" s="386"/>
      <c r="AF46" s="1425">
        <f t="shared" si="20"/>
        <v>62</v>
      </c>
      <c r="AG46" s="1366">
        <f t="shared" si="5"/>
        <v>0</v>
      </c>
      <c r="AH46" s="1366">
        <f t="shared" si="2"/>
        <v>62</v>
      </c>
      <c r="AI46" s="67">
        <f t="shared" si="17"/>
        <v>1</v>
      </c>
    </row>
    <row r="47" spans="1:35" s="149" customFormat="1" ht="15" customHeight="1">
      <c r="A47" s="1498" t="str">
        <f>+'[11]Ovik összesen'!$A45</f>
        <v>Foglalkoztatottak sajátos juttatásai</v>
      </c>
      <c r="B47" s="77">
        <f>SUM(B45:B46)</f>
        <v>69</v>
      </c>
      <c r="C47" s="78">
        <f>SUM(C45:C46)</f>
        <v>0</v>
      </c>
      <c r="D47" s="78">
        <f t="shared" si="6"/>
        <v>69</v>
      </c>
      <c r="E47" s="79">
        <f t="shared" si="21"/>
        <v>1</v>
      </c>
      <c r="F47" s="68"/>
      <c r="G47" s="77">
        <f>SUM(G45:G46)</f>
        <v>194</v>
      </c>
      <c r="H47" s="1499"/>
      <c r="I47" s="78">
        <f t="shared" si="7"/>
        <v>194</v>
      </c>
      <c r="J47" s="79">
        <f t="shared" si="22"/>
        <v>1</v>
      </c>
      <c r="K47" s="68"/>
      <c r="L47" s="1500">
        <f>SUM(L45:L46)</f>
        <v>42</v>
      </c>
      <c r="M47" s="1501"/>
      <c r="N47" s="1502">
        <f t="shared" si="8"/>
        <v>42</v>
      </c>
      <c r="O47" s="1503">
        <f>+N47/L47</f>
        <v>1</v>
      </c>
      <c r="P47" s="68"/>
      <c r="Q47" s="77">
        <f>SUM(Q45:Q46)</f>
        <v>296</v>
      </c>
      <c r="R47" s="78">
        <f>SUM(R45:R46)</f>
        <v>0</v>
      </c>
      <c r="S47" s="78">
        <f t="shared" si="9"/>
        <v>296</v>
      </c>
      <c r="T47" s="79">
        <f t="shared" si="23"/>
        <v>1</v>
      </c>
      <c r="V47" s="77">
        <f>SUM(V45:V46)</f>
        <v>63</v>
      </c>
      <c r="W47" s="1504"/>
      <c r="X47" s="78">
        <f t="shared" si="10"/>
        <v>63</v>
      </c>
      <c r="Y47" s="79">
        <f t="shared" si="18"/>
        <v>1</v>
      </c>
      <c r="Z47" s="68"/>
      <c r="AA47" s="77">
        <f>SUM(AA45:AA46)</f>
        <v>21</v>
      </c>
      <c r="AB47" s="1504"/>
      <c r="AC47" s="78">
        <f t="shared" si="12"/>
        <v>21</v>
      </c>
      <c r="AD47" s="79">
        <f t="shared" si="19"/>
        <v>1</v>
      </c>
      <c r="AE47" s="68"/>
      <c r="AF47" s="1426">
        <f>SUM(AF45:AF46)</f>
        <v>685</v>
      </c>
      <c r="AG47" s="78">
        <f t="shared" si="5"/>
        <v>0</v>
      </c>
      <c r="AH47" s="78">
        <f t="shared" si="2"/>
        <v>685</v>
      </c>
      <c r="AI47" s="79">
        <f t="shared" si="17"/>
        <v>1</v>
      </c>
    </row>
    <row r="48" spans="1:35" s="149" customFormat="1" ht="15" customHeight="1">
      <c r="A48" s="1496" t="str">
        <f>+'[11]Ovik összesen'!$A46</f>
        <v>Közlekedési költségtérítés</v>
      </c>
      <c r="B48" s="64">
        <f>+'[5]bér ovi'!B47</f>
        <v>164</v>
      </c>
      <c r="C48" s="66"/>
      <c r="D48" s="66">
        <f t="shared" si="6"/>
        <v>164</v>
      </c>
      <c r="E48" s="67">
        <f t="shared" si="21"/>
        <v>1</v>
      </c>
      <c r="F48" s="68"/>
      <c r="G48" s="64">
        <f>+'[5]bér ovi'!E47</f>
        <v>251</v>
      </c>
      <c r="H48" s="66"/>
      <c r="I48" s="66">
        <f t="shared" si="7"/>
        <v>251</v>
      </c>
      <c r="J48" s="67">
        <f t="shared" si="22"/>
        <v>1</v>
      </c>
      <c r="K48" s="68"/>
      <c r="L48" s="1467">
        <f>+'[5]bér ovi'!G47</f>
        <v>198</v>
      </c>
      <c r="M48" s="1468"/>
      <c r="N48" s="1468">
        <f t="shared" si="8"/>
        <v>198</v>
      </c>
      <c r="O48" s="1469">
        <f>+N48/L48</f>
        <v>1</v>
      </c>
      <c r="P48" s="68"/>
      <c r="Q48" s="64">
        <f>+'[5]bér ovi'!F47</f>
        <v>643</v>
      </c>
      <c r="R48" s="66"/>
      <c r="S48" s="66">
        <f t="shared" si="9"/>
        <v>643</v>
      </c>
      <c r="T48" s="67">
        <f t="shared" si="23"/>
        <v>1</v>
      </c>
      <c r="V48" s="64">
        <f>+'[5]bér ovi'!H47</f>
        <v>295</v>
      </c>
      <c r="W48" s="65"/>
      <c r="X48" s="66">
        <f t="shared" si="10"/>
        <v>295</v>
      </c>
      <c r="Y48" s="67">
        <f t="shared" si="18"/>
        <v>1</v>
      </c>
      <c r="Z48" s="68"/>
      <c r="AA48" s="64">
        <f>+'[5]bér ovi'!I47</f>
        <v>113</v>
      </c>
      <c r="AB48" s="65"/>
      <c r="AC48" s="66">
        <f t="shared" si="12"/>
        <v>113</v>
      </c>
      <c r="AD48" s="67">
        <f t="shared" si="19"/>
        <v>1</v>
      </c>
      <c r="AE48" s="68"/>
      <c r="AF48" s="64">
        <f t="shared" ref="AF48:AF53" si="24">+B48+G48+Q48+L48+V48+AA48</f>
        <v>1664</v>
      </c>
      <c r="AG48" s="66">
        <f t="shared" si="5"/>
        <v>0</v>
      </c>
      <c r="AH48" s="66">
        <f t="shared" si="2"/>
        <v>1664</v>
      </c>
      <c r="AI48" s="67">
        <f t="shared" si="17"/>
        <v>1</v>
      </c>
    </row>
    <row r="49" spans="1:35" s="149" customFormat="1" ht="15" customHeight="1">
      <c r="A49" s="1482" t="str">
        <f>+'[11]Ovik összesen'!$A47</f>
        <v>Étkezési hozzájárulás</v>
      </c>
      <c r="B49" s="64">
        <f>+'[5]bér ovi'!B48</f>
        <v>744</v>
      </c>
      <c r="C49" s="85"/>
      <c r="D49" s="85">
        <f t="shared" si="6"/>
        <v>744</v>
      </c>
      <c r="E49" s="67">
        <f t="shared" si="21"/>
        <v>1</v>
      </c>
      <c r="F49" s="68"/>
      <c r="G49" s="64">
        <f>+'[5]bér ovi'!E48</f>
        <v>1745</v>
      </c>
      <c r="H49" s="85"/>
      <c r="I49" s="85">
        <f t="shared" si="7"/>
        <v>1745</v>
      </c>
      <c r="J49" s="67">
        <f t="shared" si="22"/>
        <v>1</v>
      </c>
      <c r="K49" s="68"/>
      <c r="L49" s="1467">
        <f>+'[5]bér ovi'!G48</f>
        <v>689</v>
      </c>
      <c r="M49" s="1472"/>
      <c r="N49" s="1472">
        <f t="shared" si="8"/>
        <v>689</v>
      </c>
      <c r="O49" s="1469">
        <f>+N49/L49</f>
        <v>1</v>
      </c>
      <c r="P49" s="68"/>
      <c r="Q49" s="64">
        <f>+'[5]bér ovi'!F48</f>
        <v>1834</v>
      </c>
      <c r="R49" s="85">
        <f>+[3]ROVI!$D$5</f>
        <v>90</v>
      </c>
      <c r="S49" s="85">
        <f t="shared" si="9"/>
        <v>1924</v>
      </c>
      <c r="T49" s="67">
        <f t="shared" si="23"/>
        <v>1.0490730643402399</v>
      </c>
      <c r="V49" s="64">
        <f>+'[5]bér ovi'!H48</f>
        <v>1033</v>
      </c>
      <c r="W49" s="229"/>
      <c r="X49" s="85">
        <f t="shared" si="10"/>
        <v>1033</v>
      </c>
      <c r="Y49" s="67">
        <f t="shared" si="18"/>
        <v>1</v>
      </c>
      <c r="Z49" s="68"/>
      <c r="AA49" s="64">
        <f>+'[5]bér ovi'!I48</f>
        <v>260</v>
      </c>
      <c r="AB49" s="229"/>
      <c r="AC49" s="85">
        <f t="shared" si="12"/>
        <v>260</v>
      </c>
      <c r="AD49" s="67">
        <f t="shared" si="19"/>
        <v>1</v>
      </c>
      <c r="AE49" s="68"/>
      <c r="AF49" s="64">
        <f t="shared" si="24"/>
        <v>6305</v>
      </c>
      <c r="AG49" s="66">
        <f t="shared" si="5"/>
        <v>90</v>
      </c>
      <c r="AH49" s="66">
        <f t="shared" si="2"/>
        <v>6395</v>
      </c>
      <c r="AI49" s="67">
        <f t="shared" si="17"/>
        <v>1.014274385408406</v>
      </c>
    </row>
    <row r="50" spans="1:35" s="149" customFormat="1" ht="15" customHeight="1">
      <c r="A50" s="1482" t="str">
        <f>+'[11]Ovik összesen'!$A48</f>
        <v>Üdülési hozzájárulás</v>
      </c>
      <c r="B50" s="64">
        <f>+'[5]bér ovi'!B49</f>
        <v>0</v>
      </c>
      <c r="C50" s="85"/>
      <c r="D50" s="85">
        <f t="shared" si="6"/>
        <v>0</v>
      </c>
      <c r="E50" s="67"/>
      <c r="F50" s="68"/>
      <c r="G50" s="64">
        <f>+'[5]bér ovi'!E49</f>
        <v>0</v>
      </c>
      <c r="H50" s="85"/>
      <c r="I50" s="85">
        <f t="shared" si="7"/>
        <v>0</v>
      </c>
      <c r="J50" s="67"/>
      <c r="K50" s="68"/>
      <c r="L50" s="1467">
        <f>+'[5]bér ovi'!G49</f>
        <v>0</v>
      </c>
      <c r="M50" s="1472"/>
      <c r="N50" s="1472">
        <f t="shared" si="8"/>
        <v>0</v>
      </c>
      <c r="O50" s="1469"/>
      <c r="P50" s="68"/>
      <c r="Q50" s="64">
        <f>+'[5]bér ovi'!F49</f>
        <v>0</v>
      </c>
      <c r="R50" s="85"/>
      <c r="S50" s="85">
        <f t="shared" si="9"/>
        <v>0</v>
      </c>
      <c r="T50" s="67"/>
      <c r="V50" s="64">
        <f>+'[5]bér ovi'!H49</f>
        <v>0</v>
      </c>
      <c r="W50" s="229"/>
      <c r="X50" s="85">
        <f t="shared" si="10"/>
        <v>0</v>
      </c>
      <c r="Y50" s="67"/>
      <c r="Z50" s="68"/>
      <c r="AA50" s="64">
        <f>+'[5]bér ovi'!I49</f>
        <v>0</v>
      </c>
      <c r="AB50" s="229"/>
      <c r="AC50" s="85">
        <f t="shared" si="12"/>
        <v>0</v>
      </c>
      <c r="AD50" s="67"/>
      <c r="AE50" s="68"/>
      <c r="AF50" s="64">
        <f t="shared" si="24"/>
        <v>0</v>
      </c>
      <c r="AG50" s="66">
        <f t="shared" si="5"/>
        <v>0</v>
      </c>
      <c r="AH50" s="66">
        <f t="shared" si="2"/>
        <v>0</v>
      </c>
      <c r="AI50" s="67"/>
    </row>
    <row r="51" spans="1:35" s="149" customFormat="1" ht="15" customHeight="1">
      <c r="A51" s="1482" t="str">
        <f>+'[11]Ovik összesen'!$A49</f>
        <v>Egyéb költségtérítés, hozzájárulás</v>
      </c>
      <c r="B51" s="64">
        <f>+'[5]bér ovi'!B50</f>
        <v>0</v>
      </c>
      <c r="C51" s="85"/>
      <c r="D51" s="85">
        <f t="shared" si="6"/>
        <v>0</v>
      </c>
      <c r="E51" s="67"/>
      <c r="F51" s="68"/>
      <c r="G51" s="64">
        <f>+'[5]bér ovi'!EE50</f>
        <v>0</v>
      </c>
      <c r="H51" s="85"/>
      <c r="I51" s="85">
        <f t="shared" si="7"/>
        <v>0</v>
      </c>
      <c r="J51" s="67"/>
      <c r="K51" s="68"/>
      <c r="L51" s="1467">
        <f>+'[5]bér ovi'!G50</f>
        <v>0</v>
      </c>
      <c r="M51" s="1472"/>
      <c r="N51" s="1472">
        <f t="shared" si="8"/>
        <v>0</v>
      </c>
      <c r="O51" s="1469"/>
      <c r="P51" s="68"/>
      <c r="Q51" s="64">
        <f>+'[5]bér ovi'!F50</f>
        <v>0</v>
      </c>
      <c r="R51" s="85"/>
      <c r="S51" s="85">
        <f t="shared" si="9"/>
        <v>0</v>
      </c>
      <c r="T51" s="67"/>
      <c r="V51" s="64">
        <f>+'[5]bér ovi'!H50</f>
        <v>0</v>
      </c>
      <c r="W51" s="229"/>
      <c r="X51" s="85">
        <f t="shared" si="10"/>
        <v>0</v>
      </c>
      <c r="Y51" s="67"/>
      <c r="Z51" s="68"/>
      <c r="AA51" s="64">
        <f>+'[5]bér ovi'!I50</f>
        <v>0</v>
      </c>
      <c r="AB51" s="229"/>
      <c r="AC51" s="85">
        <f t="shared" si="12"/>
        <v>0</v>
      </c>
      <c r="AD51" s="67"/>
      <c r="AE51" s="68"/>
      <c r="AF51" s="64">
        <f t="shared" si="24"/>
        <v>0</v>
      </c>
      <c r="AG51" s="66">
        <f t="shared" si="5"/>
        <v>0</v>
      </c>
      <c r="AH51" s="66">
        <f t="shared" si="2"/>
        <v>0</v>
      </c>
      <c r="AI51" s="67"/>
    </row>
    <row r="52" spans="1:35" s="387" customFormat="1" ht="15" customHeight="1">
      <c r="A52" s="1487" t="str">
        <f>+'[11]Ovik összesen'!$A50</f>
        <v>Teljes munkaidőben foglalkoztatottak személyhez kapcsolódó költségtérítések és hozzájárulások</v>
      </c>
      <c r="B52" s="1424">
        <f>+'[5]bér ovi'!B51</f>
        <v>773</v>
      </c>
      <c r="C52" s="1317"/>
      <c r="D52" s="1317">
        <f t="shared" si="6"/>
        <v>773</v>
      </c>
      <c r="E52" s="67"/>
      <c r="F52" s="386"/>
      <c r="G52" s="1424">
        <f>+'[5]bér ovi'!E51</f>
        <v>1919</v>
      </c>
      <c r="H52" s="1317"/>
      <c r="I52" s="1317">
        <f t="shared" si="7"/>
        <v>1919</v>
      </c>
      <c r="J52" s="67">
        <f>+I52/G52</f>
        <v>1</v>
      </c>
      <c r="K52" s="386"/>
      <c r="L52" s="1477">
        <f>+'[5]bér ovi'!G51</f>
        <v>887</v>
      </c>
      <c r="M52" s="1488"/>
      <c r="N52" s="1488">
        <f t="shared" si="8"/>
        <v>887</v>
      </c>
      <c r="O52" s="1469"/>
      <c r="P52" s="386"/>
      <c r="Q52" s="1424">
        <f>+'[5]bér ovi'!F51</f>
        <v>2465</v>
      </c>
      <c r="R52" s="1476">
        <f>SUM(R48:R51)</f>
        <v>90</v>
      </c>
      <c r="S52" s="1317">
        <f t="shared" si="9"/>
        <v>2555</v>
      </c>
      <c r="T52" s="67">
        <f>+S52/Q52</f>
        <v>1.0365111561866125</v>
      </c>
      <c r="V52" s="1424">
        <f>+'[5]bér ovi'!H51</f>
        <v>1328</v>
      </c>
      <c r="W52" s="1307"/>
      <c r="X52" s="1317">
        <f t="shared" si="10"/>
        <v>1328</v>
      </c>
      <c r="Y52" s="67">
        <f t="shared" si="18"/>
        <v>1</v>
      </c>
      <c r="Z52" s="386"/>
      <c r="AA52" s="1424">
        <f>+'[5]bér ovi'!I51</f>
        <v>335</v>
      </c>
      <c r="AB52" s="1307"/>
      <c r="AC52" s="1317">
        <f t="shared" si="12"/>
        <v>335</v>
      </c>
      <c r="AD52" s="67">
        <f t="shared" si="19"/>
        <v>1</v>
      </c>
      <c r="AE52" s="386"/>
      <c r="AF52" s="1424">
        <f t="shared" si="24"/>
        <v>7707</v>
      </c>
      <c r="AG52" s="66">
        <f t="shared" si="5"/>
        <v>90</v>
      </c>
      <c r="AH52" s="66">
        <f t="shared" si="2"/>
        <v>7797</v>
      </c>
      <c r="AI52" s="67">
        <f t="shared" si="17"/>
        <v>1.0116776956014013</v>
      </c>
    </row>
    <row r="53" spans="1:35" s="387" customFormat="1" ht="15" customHeight="1">
      <c r="A53" s="1489" t="str">
        <f>+'[11]Ovik összesen'!$A51</f>
        <v>Részmunkaidős költségtérítés</v>
      </c>
      <c r="B53" s="1424">
        <f>+'[5]bér ovi'!B52</f>
        <v>135</v>
      </c>
      <c r="C53" s="1319"/>
      <c r="D53" s="1319">
        <f t="shared" si="6"/>
        <v>135</v>
      </c>
      <c r="E53" s="67">
        <f>+D53/B53</f>
        <v>1</v>
      </c>
      <c r="F53" s="386"/>
      <c r="G53" s="1424">
        <f>+'[5]bér ovi'!E52</f>
        <v>77</v>
      </c>
      <c r="H53" s="1319"/>
      <c r="I53" s="1319">
        <f t="shared" si="7"/>
        <v>77</v>
      </c>
      <c r="J53" s="67">
        <f>+I53/G53</f>
        <v>1</v>
      </c>
      <c r="K53" s="386"/>
      <c r="L53" s="1477">
        <f>+'[5]bér ovi'!G52</f>
        <v>0</v>
      </c>
      <c r="M53" s="1490"/>
      <c r="N53" s="1490">
        <f t="shared" si="8"/>
        <v>0</v>
      </c>
      <c r="O53" s="1469"/>
      <c r="P53" s="386"/>
      <c r="Q53" s="1424">
        <f>+'[5]bér ovi'!F52</f>
        <v>12</v>
      </c>
      <c r="R53" s="1319"/>
      <c r="S53" s="1319">
        <f t="shared" si="9"/>
        <v>12</v>
      </c>
      <c r="T53" s="67">
        <f>+S53/Q53</f>
        <v>1</v>
      </c>
      <c r="V53" s="1424">
        <f>+'[5]bér ovi'!H52</f>
        <v>0</v>
      </c>
      <c r="W53" s="1310"/>
      <c r="X53" s="1319">
        <f t="shared" si="10"/>
        <v>0</v>
      </c>
      <c r="Y53" s="67"/>
      <c r="Z53" s="386"/>
      <c r="AA53" s="1424">
        <f>+'[5]bér ovi'!I52</f>
        <v>38</v>
      </c>
      <c r="AB53" s="1310"/>
      <c r="AC53" s="1319">
        <f t="shared" si="12"/>
        <v>38</v>
      </c>
      <c r="AD53" s="67">
        <f t="shared" si="19"/>
        <v>1</v>
      </c>
      <c r="AE53" s="386"/>
      <c r="AF53" s="1425">
        <f t="shared" si="24"/>
        <v>262</v>
      </c>
      <c r="AG53" s="1366">
        <f t="shared" si="5"/>
        <v>0</v>
      </c>
      <c r="AH53" s="1366">
        <f t="shared" si="2"/>
        <v>262</v>
      </c>
      <c r="AI53" s="67">
        <f t="shared" si="17"/>
        <v>1</v>
      </c>
    </row>
    <row r="54" spans="1:35" s="149" customFormat="1" ht="15" customHeight="1">
      <c r="A54" s="1498" t="str">
        <f>+'[11]Ovik összesen'!$A52</f>
        <v>Személyhez kapcsolódó költségtérítések és hozzájárulások összesen</v>
      </c>
      <c r="B54" s="77">
        <f>SUM(B52:B53)</f>
        <v>908</v>
      </c>
      <c r="C54" s="78">
        <f>SUM(C52:C53)</f>
        <v>0</v>
      </c>
      <c r="D54" s="78">
        <f t="shared" si="6"/>
        <v>908</v>
      </c>
      <c r="E54" s="79">
        <f>+D54/B54</f>
        <v>1</v>
      </c>
      <c r="F54" s="68"/>
      <c r="G54" s="77">
        <f>SUM(G52:G53)</f>
        <v>1996</v>
      </c>
      <c r="H54" s="1499"/>
      <c r="I54" s="78">
        <f t="shared" si="7"/>
        <v>1996</v>
      </c>
      <c r="J54" s="79">
        <f>+I54/G54</f>
        <v>1</v>
      </c>
      <c r="K54" s="68"/>
      <c r="L54" s="1500">
        <f>SUM(L52:L53)</f>
        <v>887</v>
      </c>
      <c r="M54" s="1501"/>
      <c r="N54" s="1502">
        <f t="shared" si="8"/>
        <v>887</v>
      </c>
      <c r="O54" s="1503">
        <f>+N54/L54</f>
        <v>1</v>
      </c>
      <c r="P54" s="68"/>
      <c r="Q54" s="77">
        <f>SUM(Q52:Q53)</f>
        <v>2477</v>
      </c>
      <c r="R54" s="78">
        <f>SUM(R52:R53)</f>
        <v>90</v>
      </c>
      <c r="S54" s="78">
        <f t="shared" si="9"/>
        <v>2567</v>
      </c>
      <c r="T54" s="79">
        <f>+S54/Q54</f>
        <v>1.0363342753330642</v>
      </c>
      <c r="V54" s="77">
        <f>SUM(V52:V53)</f>
        <v>1328</v>
      </c>
      <c r="W54" s="1504"/>
      <c r="X54" s="78">
        <f t="shared" si="10"/>
        <v>1328</v>
      </c>
      <c r="Y54" s="79">
        <f t="shared" si="18"/>
        <v>1</v>
      </c>
      <c r="Z54" s="68"/>
      <c r="AA54" s="77">
        <f>SUM(AA52:AA53)</f>
        <v>373</v>
      </c>
      <c r="AB54" s="1504"/>
      <c r="AC54" s="78">
        <f t="shared" si="12"/>
        <v>373</v>
      </c>
      <c r="AD54" s="79">
        <f t="shared" si="19"/>
        <v>1</v>
      </c>
      <c r="AE54" s="68"/>
      <c r="AF54" s="1426">
        <f>SUM(AF52:AF53)</f>
        <v>7969</v>
      </c>
      <c r="AG54" s="78">
        <f t="shared" si="5"/>
        <v>90</v>
      </c>
      <c r="AH54" s="78">
        <f t="shared" si="2"/>
        <v>8059</v>
      </c>
      <c r="AI54" s="79">
        <f t="shared" si="17"/>
        <v>1.0112937633329151</v>
      </c>
    </row>
    <row r="55" spans="1:35" s="149" customFormat="1" ht="15" customHeight="1">
      <c r="A55" s="1505" t="str">
        <f>+'[11]Ovik összesen'!$A53</f>
        <v>Teljes munkaidőben foglalkoztatottak szoc. jellegű juttatásai</v>
      </c>
      <c r="B55" s="64">
        <f>+'[12]Ovik összesen'!B54</f>
        <v>0</v>
      </c>
      <c r="C55" s="66"/>
      <c r="D55" s="66">
        <f t="shared" si="6"/>
        <v>0</v>
      </c>
      <c r="E55" s="67"/>
      <c r="F55" s="68"/>
      <c r="G55" s="64">
        <f>+'[12]Ovik összesen'!E54</f>
        <v>0</v>
      </c>
      <c r="H55" s="66"/>
      <c r="I55" s="66">
        <f t="shared" si="7"/>
        <v>0</v>
      </c>
      <c r="J55" s="67"/>
      <c r="K55" s="68"/>
      <c r="L55" s="1467">
        <f>+'[12]Ovik összesen'!G54</f>
        <v>0</v>
      </c>
      <c r="M55" s="1468"/>
      <c r="N55" s="1468">
        <f t="shared" si="8"/>
        <v>0</v>
      </c>
      <c r="O55" s="1469"/>
      <c r="P55" s="68"/>
      <c r="Q55" s="64">
        <f>+'[12]Ovik összesen'!F54</f>
        <v>0</v>
      </c>
      <c r="R55" s="66"/>
      <c r="S55" s="66">
        <f t="shared" si="9"/>
        <v>0</v>
      </c>
      <c r="T55" s="67"/>
      <c r="V55" s="64">
        <f>+'[12]Ovik összesen'!H54</f>
        <v>0</v>
      </c>
      <c r="W55" s="65"/>
      <c r="X55" s="66">
        <f t="shared" si="10"/>
        <v>0</v>
      </c>
      <c r="Y55" s="67"/>
      <c r="Z55" s="68"/>
      <c r="AA55" s="64">
        <f>+'[12]Ovik összesen'!I54</f>
        <v>0</v>
      </c>
      <c r="AB55" s="65"/>
      <c r="AC55" s="66">
        <f t="shared" si="12"/>
        <v>0</v>
      </c>
      <c r="AD55" s="67"/>
      <c r="AE55" s="68"/>
      <c r="AF55" s="64">
        <f t="shared" ref="AF55:AF72" si="25">+B55+G55+Q55+L55+V55+AA55</f>
        <v>0</v>
      </c>
      <c r="AG55" s="66">
        <f t="shared" si="5"/>
        <v>0</v>
      </c>
      <c r="AH55" s="66">
        <f t="shared" si="2"/>
        <v>0</v>
      </c>
      <c r="AI55" s="67"/>
    </row>
    <row r="56" spans="1:35" s="387" customFormat="1" ht="15" customHeight="1">
      <c r="A56" s="1487" t="str">
        <f>+'[11]Ovik összesen'!$A54</f>
        <v>Teljes munkaidőben foglalkoztatottak nem rendszeres juttatásai</v>
      </c>
      <c r="B56" s="1421">
        <f>+B38+B45+B52</f>
        <v>1319</v>
      </c>
      <c r="C56" s="1317"/>
      <c r="D56" s="1317">
        <f t="shared" si="6"/>
        <v>1319</v>
      </c>
      <c r="E56" s="1411">
        <f>+D56/B56</f>
        <v>1</v>
      </c>
      <c r="F56" s="386"/>
      <c r="G56" s="1421">
        <f>+G38+G45+G52</f>
        <v>3216</v>
      </c>
      <c r="H56" s="1317"/>
      <c r="I56" s="1317">
        <f t="shared" si="7"/>
        <v>3216</v>
      </c>
      <c r="J56" s="1411">
        <f>+I56/G56</f>
        <v>1</v>
      </c>
      <c r="K56" s="386"/>
      <c r="L56" s="1506">
        <f>+L38+L45+L52</f>
        <v>1483</v>
      </c>
      <c r="M56" s="1488"/>
      <c r="N56" s="1488">
        <f t="shared" si="8"/>
        <v>1483</v>
      </c>
      <c r="O56" s="1507">
        <f>+N56/L56</f>
        <v>1</v>
      </c>
      <c r="P56" s="386"/>
      <c r="Q56" s="1421">
        <f>+Q38+Q45+Q52</f>
        <v>3568</v>
      </c>
      <c r="R56" s="1317">
        <f>+R38+R45+R52</f>
        <v>90</v>
      </c>
      <c r="S56" s="1317">
        <f t="shared" si="9"/>
        <v>3658</v>
      </c>
      <c r="T56" s="1411">
        <f>+S56/Q56</f>
        <v>1.0252242152466369</v>
      </c>
      <c r="V56" s="1424">
        <f>+V38+V45+V52</f>
        <v>2223</v>
      </c>
      <c r="W56" s="1307"/>
      <c r="X56" s="1317">
        <f t="shared" si="10"/>
        <v>2223</v>
      </c>
      <c r="Y56" s="1411">
        <f t="shared" si="18"/>
        <v>1</v>
      </c>
      <c r="Z56" s="386"/>
      <c r="AA56" s="1424">
        <f>+AA38+AA45+AA52</f>
        <v>577</v>
      </c>
      <c r="AB56" s="1307"/>
      <c r="AC56" s="1317">
        <f t="shared" si="12"/>
        <v>577</v>
      </c>
      <c r="AD56" s="1411">
        <f t="shared" si="19"/>
        <v>1</v>
      </c>
      <c r="AE56" s="386"/>
      <c r="AF56" s="1425">
        <f t="shared" si="25"/>
        <v>12386</v>
      </c>
      <c r="AG56" s="1476">
        <f t="shared" si="5"/>
        <v>90</v>
      </c>
      <c r="AH56" s="1476">
        <f t="shared" si="2"/>
        <v>12476</v>
      </c>
      <c r="AI56" s="1411">
        <f>+AH56/AF56</f>
        <v>1.0072662683675118</v>
      </c>
    </row>
    <row r="57" spans="1:35" s="1511" customFormat="1" ht="15" customHeight="1">
      <c r="A57" s="1497" t="str">
        <f>+'[11]Ovik összesen'!$A55</f>
        <v>Részmunkaidőben foglalkoztatottak nem rendszeres személyi juttatásai</v>
      </c>
      <c r="B57" s="1479">
        <f>+B39+B46+B53</f>
        <v>162</v>
      </c>
      <c r="C57" s="1319"/>
      <c r="D57" s="1319">
        <f t="shared" si="6"/>
        <v>162</v>
      </c>
      <c r="E57" s="1412">
        <f>+D57/B57</f>
        <v>1</v>
      </c>
      <c r="F57" s="386"/>
      <c r="G57" s="1479">
        <f>+G39+G46+G53</f>
        <v>95</v>
      </c>
      <c r="H57" s="1319"/>
      <c r="I57" s="1319">
        <f t="shared" si="7"/>
        <v>95</v>
      </c>
      <c r="J57" s="1412">
        <f>+I57/G57</f>
        <v>1</v>
      </c>
      <c r="K57" s="386"/>
      <c r="L57" s="1508">
        <f>+L39+L46+L53</f>
        <v>0</v>
      </c>
      <c r="M57" s="1490"/>
      <c r="N57" s="1490">
        <f t="shared" si="8"/>
        <v>0</v>
      </c>
      <c r="O57" s="1509"/>
      <c r="P57" s="386"/>
      <c r="Q57" s="1479">
        <f>+Q39+Q46+Q53</f>
        <v>35</v>
      </c>
      <c r="R57" s="1319">
        <f>+R39+R46+R53</f>
        <v>0</v>
      </c>
      <c r="S57" s="1319">
        <f t="shared" si="9"/>
        <v>35</v>
      </c>
      <c r="T57" s="1412">
        <f>+S57/Q57</f>
        <v>1</v>
      </c>
      <c r="U57" s="387"/>
      <c r="V57" s="1424">
        <f>+'[12]Ovik összesen'!H56</f>
        <v>0</v>
      </c>
      <c r="W57" s="1310"/>
      <c r="X57" s="1319">
        <f t="shared" si="10"/>
        <v>0</v>
      </c>
      <c r="Y57" s="1412"/>
      <c r="Z57" s="386"/>
      <c r="AA57" s="1424">
        <f>+'[12]Ovik összesen'!I56</f>
        <v>56</v>
      </c>
      <c r="AB57" s="1310"/>
      <c r="AC57" s="1319">
        <f t="shared" si="12"/>
        <v>56</v>
      </c>
      <c r="AD57" s="1412">
        <f t="shared" si="19"/>
        <v>1</v>
      </c>
      <c r="AE57" s="386"/>
      <c r="AF57" s="1425">
        <f t="shared" si="25"/>
        <v>348</v>
      </c>
      <c r="AG57" s="1510">
        <f t="shared" si="5"/>
        <v>0</v>
      </c>
      <c r="AH57" s="1510">
        <f t="shared" si="2"/>
        <v>348</v>
      </c>
      <c r="AI57" s="1412"/>
    </row>
    <row r="58" spans="1:35" s="13" customFormat="1" ht="15" customHeight="1">
      <c r="A58" s="1491" t="str">
        <f>+'[11]Ovik összesen'!$A56</f>
        <v>NEM RENDSZERES SZEMÉLYI JUTTATÁSOK</v>
      </c>
      <c r="B58" s="77">
        <f>SUM(B55:B57)</f>
        <v>1481</v>
      </c>
      <c r="C58" s="78"/>
      <c r="D58" s="78">
        <f t="shared" si="6"/>
        <v>1481</v>
      </c>
      <c r="E58" s="79">
        <f>+D58/B58</f>
        <v>1</v>
      </c>
      <c r="F58" s="68"/>
      <c r="G58" s="77">
        <f>SUM(G56:G57)</f>
        <v>3311</v>
      </c>
      <c r="H58" s="78"/>
      <c r="I58" s="78">
        <f t="shared" si="7"/>
        <v>3311</v>
      </c>
      <c r="J58" s="79">
        <f>+I58/G58</f>
        <v>1</v>
      </c>
      <c r="K58" s="68"/>
      <c r="L58" s="1500">
        <f>SUM(L56:L57)</f>
        <v>1483</v>
      </c>
      <c r="M58" s="1502"/>
      <c r="N58" s="1502">
        <f t="shared" si="8"/>
        <v>1483</v>
      </c>
      <c r="O58" s="1503"/>
      <c r="P58" s="68"/>
      <c r="Q58" s="77">
        <f>SUM(Q56:Q57)</f>
        <v>3603</v>
      </c>
      <c r="R58" s="78">
        <f>SUM(R56:R57)</f>
        <v>90</v>
      </c>
      <c r="S58" s="78">
        <f t="shared" si="9"/>
        <v>3693</v>
      </c>
      <c r="T58" s="79">
        <f>+S58/Q58</f>
        <v>1.0249791840133222</v>
      </c>
      <c r="U58" s="149"/>
      <c r="V58" s="77">
        <f>SUM(V56:V57)</f>
        <v>2223</v>
      </c>
      <c r="W58" s="1313"/>
      <c r="X58" s="78">
        <f t="shared" si="10"/>
        <v>2223</v>
      </c>
      <c r="Y58" s="79">
        <f t="shared" si="18"/>
        <v>1</v>
      </c>
      <c r="Z58" s="68"/>
      <c r="AA58" s="77">
        <f>SUM(AA56:AA57)</f>
        <v>633</v>
      </c>
      <c r="AB58" s="1313"/>
      <c r="AC58" s="78">
        <f t="shared" si="12"/>
        <v>633</v>
      </c>
      <c r="AD58" s="79">
        <f t="shared" si="19"/>
        <v>1</v>
      </c>
      <c r="AE58" s="68"/>
      <c r="AF58" s="77">
        <f t="shared" si="25"/>
        <v>12734</v>
      </c>
      <c r="AG58" s="78">
        <f t="shared" si="5"/>
        <v>90</v>
      </c>
      <c r="AH58" s="78">
        <f t="shared" si="2"/>
        <v>12824</v>
      </c>
      <c r="AI58" s="79">
        <f t="shared" si="17"/>
        <v>1.0070676927909534</v>
      </c>
    </row>
    <row r="59" spans="1:35" s="13" customFormat="1" ht="15" customHeight="1" thickBot="1">
      <c r="A59" s="1512" t="str">
        <f>+'[11]Ovik összesen'!$A57</f>
        <v>ÁLLOMÁNYBA NEM TARTOZÓK JUTTATÁSAI</v>
      </c>
      <c r="B59" s="1427">
        <f>+'[12]Ovik összesen'!B58</f>
        <v>0</v>
      </c>
      <c r="C59" s="1428">
        <f>+[3]MOVI!$D$5</f>
        <v>121</v>
      </c>
      <c r="D59" s="1428">
        <f t="shared" si="6"/>
        <v>121</v>
      </c>
      <c r="E59" s="1413"/>
      <c r="F59" s="68"/>
      <c r="G59" s="1427">
        <f>+'[12]Ovik összesen'!E58</f>
        <v>2189</v>
      </c>
      <c r="H59" s="1428"/>
      <c r="I59" s="1428">
        <f t="shared" si="7"/>
        <v>2189</v>
      </c>
      <c r="J59" s="1413"/>
      <c r="K59" s="68"/>
      <c r="L59" s="1513">
        <f>+'[12]Ovik összesen'!L58</f>
        <v>0</v>
      </c>
      <c r="M59" s="1514"/>
      <c r="N59" s="1514">
        <f t="shared" si="8"/>
        <v>0</v>
      </c>
      <c r="O59" s="1515"/>
      <c r="P59" s="68"/>
      <c r="Q59" s="1427">
        <f>+'[12]Ovik összesen'!F58</f>
        <v>0</v>
      </c>
      <c r="R59" s="1428">
        <f>+'[12]Ovik összesen'!G58</f>
        <v>0</v>
      </c>
      <c r="S59" s="1428">
        <f t="shared" si="9"/>
        <v>0</v>
      </c>
      <c r="T59" s="1413"/>
      <c r="U59" s="149"/>
      <c r="V59" s="1427">
        <f>+'[12]Ovik összesen'!H58</f>
        <v>0</v>
      </c>
      <c r="W59" s="1516"/>
      <c r="X59" s="1428">
        <f t="shared" si="10"/>
        <v>0</v>
      </c>
      <c r="Y59" s="1413"/>
      <c r="Z59" s="68"/>
      <c r="AA59" s="1427">
        <f>+'[12]Ovik összesen'!I58</f>
        <v>0</v>
      </c>
      <c r="AB59" s="1516"/>
      <c r="AC59" s="1428">
        <f t="shared" si="12"/>
        <v>0</v>
      </c>
      <c r="AD59" s="1413"/>
      <c r="AE59" s="68"/>
      <c r="AF59" s="1427">
        <f t="shared" si="25"/>
        <v>2189</v>
      </c>
      <c r="AG59" s="1428">
        <f t="shared" si="5"/>
        <v>121</v>
      </c>
      <c r="AH59" s="1428">
        <f t="shared" si="2"/>
        <v>2310</v>
      </c>
      <c r="AI59" s="1413"/>
    </row>
    <row r="60" spans="1:35" s="149" customFormat="1" ht="15" customHeight="1" thickBot="1">
      <c r="A60" s="1344" t="str">
        <f>+'[11]Ovik összesen'!$A58</f>
        <v>SZEMÉLYI JUTTATÁSOK ÖSSZESEN</v>
      </c>
      <c r="B60" s="1297">
        <f>+B32+B58+B59</f>
        <v>12644</v>
      </c>
      <c r="C60" s="1298">
        <f>+C32+C58+C59</f>
        <v>121</v>
      </c>
      <c r="D60" s="1298">
        <f t="shared" si="6"/>
        <v>12765</v>
      </c>
      <c r="E60" s="1410">
        <f>+D60/B60</f>
        <v>1.0095697564062005</v>
      </c>
      <c r="F60" s="90"/>
      <c r="G60" s="1297">
        <f>+G32+G58+G59</f>
        <v>26596</v>
      </c>
      <c r="H60" s="1298"/>
      <c r="I60" s="1298">
        <f t="shared" si="7"/>
        <v>26596</v>
      </c>
      <c r="J60" s="1410">
        <f t="shared" ref="J60:J69" si="26">+I60/G60</f>
        <v>1</v>
      </c>
      <c r="K60" s="90"/>
      <c r="L60" s="1484">
        <f>+L32+L58+L59</f>
        <v>12574</v>
      </c>
      <c r="M60" s="1485">
        <f>+M32+M58+M59</f>
        <v>0</v>
      </c>
      <c r="N60" s="1485">
        <f t="shared" si="8"/>
        <v>12574</v>
      </c>
      <c r="O60" s="1486">
        <f>+N60/L60</f>
        <v>1</v>
      </c>
      <c r="P60" s="90"/>
      <c r="Q60" s="1297">
        <f>+Q32+Q58+Q59</f>
        <v>30687</v>
      </c>
      <c r="R60" s="1298">
        <f>+R32+R58+R59</f>
        <v>1304</v>
      </c>
      <c r="S60" s="1298">
        <f t="shared" si="9"/>
        <v>31991</v>
      </c>
      <c r="T60" s="1410">
        <f>+S60/Q60</f>
        <v>1.0424935640499233</v>
      </c>
      <c r="U60" s="13"/>
      <c r="V60" s="1297">
        <f>+V32+V58+V59</f>
        <v>16800</v>
      </c>
      <c r="W60" s="1370"/>
      <c r="X60" s="1298">
        <f t="shared" si="10"/>
        <v>16800</v>
      </c>
      <c r="Y60" s="1410">
        <f t="shared" si="18"/>
        <v>1</v>
      </c>
      <c r="Z60" s="90"/>
      <c r="AA60" s="1297">
        <f>+AA32+AA58+AA59</f>
        <v>5495</v>
      </c>
      <c r="AB60" s="1370"/>
      <c r="AC60" s="1298">
        <f t="shared" si="12"/>
        <v>5495</v>
      </c>
      <c r="AD60" s="1410">
        <f t="shared" si="19"/>
        <v>1</v>
      </c>
      <c r="AE60" s="90"/>
      <c r="AF60" s="1297">
        <f t="shared" si="25"/>
        <v>104796</v>
      </c>
      <c r="AG60" s="1430">
        <f t="shared" si="5"/>
        <v>1425</v>
      </c>
      <c r="AH60" s="1430">
        <f t="shared" si="2"/>
        <v>106221</v>
      </c>
      <c r="AI60" s="1410">
        <f t="shared" si="17"/>
        <v>1.013597847246078</v>
      </c>
    </row>
    <row r="61" spans="1:35" s="149" customFormat="1" ht="15" customHeight="1" thickBot="1">
      <c r="A61" s="1344" t="str">
        <f>+'[11]Ovik összesen'!$A59</f>
        <v>Járulékok (TB, termbeni.+pénzbeni ebj, MEP)</v>
      </c>
      <c r="B61" s="1297">
        <f>+(B60-(B54+B44))*0.27</f>
        <v>3157.38</v>
      </c>
      <c r="C61" s="1298">
        <f>+[3]MOVI!$E$6</f>
        <v>29</v>
      </c>
      <c r="D61" s="1298">
        <f t="shared" si="6"/>
        <v>3186.38</v>
      </c>
      <c r="E61" s="1410">
        <f>+D61/B61</f>
        <v>1.0091848304606985</v>
      </c>
      <c r="F61" s="90"/>
      <c r="G61" s="1297">
        <f>+(G60-(G44+G54))*0.27</f>
        <v>6619.3200000000006</v>
      </c>
      <c r="H61" s="1298"/>
      <c r="I61" s="1298">
        <f t="shared" si="7"/>
        <v>6619.3200000000006</v>
      </c>
      <c r="J61" s="1410">
        <f t="shared" si="26"/>
        <v>1</v>
      </c>
      <c r="K61" s="90"/>
      <c r="L61" s="1484">
        <f>+(L60-(L44+L54))*0.27</f>
        <v>3144.15</v>
      </c>
      <c r="M61" s="1485">
        <f>+(M60-(M44+M54))*0.27</f>
        <v>0</v>
      </c>
      <c r="N61" s="1485">
        <f t="shared" si="8"/>
        <v>3144.15</v>
      </c>
      <c r="O61" s="1486">
        <f>+N61/L61</f>
        <v>1</v>
      </c>
      <c r="P61" s="90"/>
      <c r="Q61" s="1297">
        <f>+(Q60-(Q54+Q44))*0.27</f>
        <v>7588.35</v>
      </c>
      <c r="R61" s="1298">
        <f>+[3]ROVI!$E$6</f>
        <v>328</v>
      </c>
      <c r="S61" s="1298">
        <f t="shared" si="9"/>
        <v>7916.35</v>
      </c>
      <c r="T61" s="1410">
        <f>+S61/Q61</f>
        <v>1.0432241528131938</v>
      </c>
      <c r="U61" s="13"/>
      <c r="V61" s="1297">
        <f>+(V60-(V54+V44))*0.27</f>
        <v>4160.43</v>
      </c>
      <c r="W61" s="1370"/>
      <c r="X61" s="1298">
        <f t="shared" si="10"/>
        <v>4160.43</v>
      </c>
      <c r="Y61" s="1410">
        <f t="shared" si="18"/>
        <v>1</v>
      </c>
      <c r="Z61" s="90"/>
      <c r="AA61" s="1297">
        <f>+(AA60-(AA54+AA44))*0.27</f>
        <v>1377.27</v>
      </c>
      <c r="AB61" s="1370"/>
      <c r="AC61" s="1298">
        <f t="shared" si="12"/>
        <v>1377.27</v>
      </c>
      <c r="AD61" s="1410">
        <f t="shared" si="19"/>
        <v>1</v>
      </c>
      <c r="AE61" s="90"/>
      <c r="AF61" s="1297">
        <f t="shared" si="25"/>
        <v>26046.900000000005</v>
      </c>
      <c r="AG61" s="1430">
        <f t="shared" si="5"/>
        <v>357</v>
      </c>
      <c r="AH61" s="1430">
        <f t="shared" si="2"/>
        <v>26403.900000000005</v>
      </c>
      <c r="AI61" s="1410">
        <f t="shared" si="17"/>
        <v>1.0137060456330695</v>
      </c>
    </row>
    <row r="62" spans="1:35" s="149" customFormat="1" ht="15" customHeight="1" thickBot="1">
      <c r="A62" s="1344" t="s">
        <v>63</v>
      </c>
      <c r="B62" s="1297">
        <f>SUM(B60:B61)</f>
        <v>15801.380000000001</v>
      </c>
      <c r="C62" s="1298">
        <f>SUM(C60:C61)</f>
        <v>150</v>
      </c>
      <c r="D62" s="1298">
        <f t="shared" si="6"/>
        <v>15951.380000000001</v>
      </c>
      <c r="E62" s="1410">
        <f>+D62/B62</f>
        <v>1.0094928417644535</v>
      </c>
      <c r="F62" s="90"/>
      <c r="G62" s="1297">
        <f>SUM(G60:G61)</f>
        <v>33215.32</v>
      </c>
      <c r="H62" s="1298"/>
      <c r="I62" s="1298">
        <f t="shared" si="7"/>
        <v>33215.32</v>
      </c>
      <c r="J62" s="1410">
        <f t="shared" si="26"/>
        <v>1</v>
      </c>
      <c r="K62" s="90"/>
      <c r="L62" s="1484">
        <f>SUM(L60:L61)</f>
        <v>15718.15</v>
      </c>
      <c r="M62" s="1485">
        <f>SUM(M60:M61)</f>
        <v>0</v>
      </c>
      <c r="N62" s="1485">
        <f t="shared" si="8"/>
        <v>15718.15</v>
      </c>
      <c r="O62" s="1486">
        <f>+N62/L62</f>
        <v>1</v>
      </c>
      <c r="P62" s="90"/>
      <c r="Q62" s="1297">
        <f>SUM(Q60:Q61)</f>
        <v>38275.35</v>
      </c>
      <c r="R62" s="1298">
        <f>SUM(R60:R61)</f>
        <v>1632</v>
      </c>
      <c r="S62" s="1298">
        <f t="shared" si="9"/>
        <v>39907.35</v>
      </c>
      <c r="T62" s="1410">
        <f>+S62/Q62</f>
        <v>1.0426384082705971</v>
      </c>
      <c r="U62" s="13"/>
      <c r="V62" s="1297">
        <f>SUM(V60:V61)</f>
        <v>20960.43</v>
      </c>
      <c r="W62" s="1370"/>
      <c r="X62" s="1298">
        <f t="shared" si="10"/>
        <v>20960.43</v>
      </c>
      <c r="Y62" s="1410">
        <f t="shared" si="18"/>
        <v>1</v>
      </c>
      <c r="Z62" s="90"/>
      <c r="AA62" s="1297">
        <f>SUM(AA60:AA61)</f>
        <v>6872.27</v>
      </c>
      <c r="AB62" s="1370"/>
      <c r="AC62" s="1298">
        <f t="shared" si="12"/>
        <v>6872.27</v>
      </c>
      <c r="AD62" s="1410">
        <f t="shared" si="19"/>
        <v>1</v>
      </c>
      <c r="AE62" s="90"/>
      <c r="AF62" s="1297">
        <f>+B62+G62+Q62+L62+V62+AA62</f>
        <v>130842.89999999998</v>
      </c>
      <c r="AG62" s="1430">
        <f t="shared" si="5"/>
        <v>1782</v>
      </c>
      <c r="AH62" s="1430">
        <f t="shared" si="2"/>
        <v>132624.89999999997</v>
      </c>
      <c r="AI62" s="1410">
        <f t="shared" si="17"/>
        <v>1.0136193863021989</v>
      </c>
    </row>
    <row r="63" spans="1:35" s="149" customFormat="1" ht="15" customHeight="1">
      <c r="A63" s="1481" t="s">
        <v>64</v>
      </c>
      <c r="B63" s="64">
        <f>+[7]OVIK!B6</f>
        <v>40</v>
      </c>
      <c r="C63" s="66"/>
      <c r="D63" s="66">
        <f t="shared" si="6"/>
        <v>40</v>
      </c>
      <c r="E63" s="67">
        <f>+D63/B63</f>
        <v>1</v>
      </c>
      <c r="F63" s="68"/>
      <c r="G63" s="64">
        <f>+[7]OVIK!E6</f>
        <v>60</v>
      </c>
      <c r="H63" s="66"/>
      <c r="I63" s="66">
        <f t="shared" si="7"/>
        <v>60</v>
      </c>
      <c r="J63" s="67">
        <f t="shared" si="26"/>
        <v>1</v>
      </c>
      <c r="K63" s="68"/>
      <c r="L63" s="1467">
        <f>+[7]OVIK!H6</f>
        <v>0</v>
      </c>
      <c r="M63" s="1468"/>
      <c r="N63" s="1468">
        <f t="shared" si="8"/>
        <v>0</v>
      </c>
      <c r="O63" s="1469"/>
      <c r="P63" s="68"/>
      <c r="Q63" s="64">
        <f>+[7]OVIK!K6</f>
        <v>0</v>
      </c>
      <c r="R63" s="66"/>
      <c r="S63" s="66">
        <f t="shared" si="9"/>
        <v>0</v>
      </c>
      <c r="T63" s="67"/>
      <c r="V63" s="64"/>
      <c r="W63" s="65"/>
      <c r="X63" s="66">
        <f t="shared" si="10"/>
        <v>0</v>
      </c>
      <c r="Y63" s="67"/>
      <c r="Z63" s="68"/>
      <c r="AA63" s="64">
        <f>+[7]OVIK!Q6</f>
        <v>50</v>
      </c>
      <c r="AB63" s="65"/>
      <c r="AC63" s="66">
        <f t="shared" si="12"/>
        <v>50</v>
      </c>
      <c r="AD63" s="67">
        <f t="shared" si="19"/>
        <v>1</v>
      </c>
      <c r="AE63" s="68"/>
      <c r="AF63" s="64">
        <f t="shared" si="25"/>
        <v>150</v>
      </c>
      <c r="AG63" s="66">
        <f t="shared" si="5"/>
        <v>0</v>
      </c>
      <c r="AH63" s="66">
        <f t="shared" si="2"/>
        <v>150</v>
      </c>
      <c r="AI63" s="67">
        <f t="shared" si="17"/>
        <v>1</v>
      </c>
    </row>
    <row r="64" spans="1:35" s="149" customFormat="1" ht="15" customHeight="1">
      <c r="A64" s="1470" t="s">
        <v>65</v>
      </c>
      <c r="B64" s="64">
        <f>+[7]OVIK!B7</f>
        <v>50</v>
      </c>
      <c r="C64" s="85">
        <f>+[3]MOVI!$F$9</f>
        <v>8</v>
      </c>
      <c r="D64" s="85">
        <f t="shared" si="6"/>
        <v>58</v>
      </c>
      <c r="E64" s="67">
        <f>+D64/B64</f>
        <v>1.1599999999999999</v>
      </c>
      <c r="F64" s="68"/>
      <c r="G64" s="64">
        <f>+[7]OVIK!E7</f>
        <v>130</v>
      </c>
      <c r="H64" s="85">
        <f>+[3]BOVI!$F$5</f>
        <v>20</v>
      </c>
      <c r="I64" s="85">
        <f t="shared" si="7"/>
        <v>150</v>
      </c>
      <c r="J64" s="67">
        <f t="shared" si="26"/>
        <v>1.1538461538461537</v>
      </c>
      <c r="K64" s="68"/>
      <c r="L64" s="1467">
        <f>+[7]OVIK!H7</f>
        <v>0</v>
      </c>
      <c r="M64" s="1472"/>
      <c r="N64" s="1472">
        <f t="shared" si="8"/>
        <v>0</v>
      </c>
      <c r="O64" s="1469"/>
      <c r="P64" s="68"/>
      <c r="Q64" s="64">
        <f>+[7]OVIK!K7</f>
        <v>0</v>
      </c>
      <c r="R64" s="85"/>
      <c r="S64" s="85">
        <f t="shared" si="9"/>
        <v>0</v>
      </c>
      <c r="T64" s="67"/>
      <c r="V64" s="64"/>
      <c r="W64" s="229"/>
      <c r="X64" s="85">
        <f t="shared" si="10"/>
        <v>0</v>
      </c>
      <c r="Y64" s="67"/>
      <c r="Z64" s="68"/>
      <c r="AA64" s="64">
        <f>+[7]OVIK!Q7</f>
        <v>70</v>
      </c>
      <c r="AB64" s="229"/>
      <c r="AC64" s="85">
        <f t="shared" si="12"/>
        <v>70</v>
      </c>
      <c r="AD64" s="67">
        <f t="shared" si="19"/>
        <v>1</v>
      </c>
      <c r="AE64" s="68"/>
      <c r="AF64" s="64">
        <f t="shared" si="25"/>
        <v>250</v>
      </c>
      <c r="AG64" s="66">
        <f t="shared" si="5"/>
        <v>28</v>
      </c>
      <c r="AH64" s="66">
        <f t="shared" si="2"/>
        <v>278</v>
      </c>
      <c r="AI64" s="67">
        <f t="shared" si="17"/>
        <v>1.1120000000000001</v>
      </c>
    </row>
    <row r="65" spans="1:35" s="149" customFormat="1" ht="15" customHeight="1">
      <c r="A65" s="1470" t="s">
        <v>66</v>
      </c>
      <c r="B65" s="64">
        <f>+[7]OVIK!B8</f>
        <v>0</v>
      </c>
      <c r="C65" s="85"/>
      <c r="D65" s="85">
        <f t="shared" si="6"/>
        <v>0</v>
      </c>
      <c r="E65" s="67"/>
      <c r="F65" s="68"/>
      <c r="G65" s="64">
        <f>+[7]OVIK!E8</f>
        <v>20</v>
      </c>
      <c r="H65" s="85"/>
      <c r="I65" s="85">
        <f t="shared" si="7"/>
        <v>20</v>
      </c>
      <c r="J65" s="67">
        <f t="shared" si="26"/>
        <v>1</v>
      </c>
      <c r="K65" s="68"/>
      <c r="L65" s="1467">
        <f>+[7]OVIK!H8</f>
        <v>0</v>
      </c>
      <c r="M65" s="1472"/>
      <c r="N65" s="1472">
        <f t="shared" si="8"/>
        <v>0</v>
      </c>
      <c r="O65" s="1469"/>
      <c r="P65" s="68"/>
      <c r="Q65" s="64">
        <f>+[7]OVIK!K8</f>
        <v>0</v>
      </c>
      <c r="R65" s="85"/>
      <c r="S65" s="85">
        <f t="shared" si="9"/>
        <v>0</v>
      </c>
      <c r="T65" s="67"/>
      <c r="V65" s="64"/>
      <c r="W65" s="229"/>
      <c r="X65" s="85">
        <f t="shared" si="10"/>
        <v>0</v>
      </c>
      <c r="Y65" s="67"/>
      <c r="Z65" s="68"/>
      <c r="AA65" s="64">
        <f>+[7]OVIK!Q8</f>
        <v>10</v>
      </c>
      <c r="AB65" s="229"/>
      <c r="AC65" s="85">
        <f t="shared" si="12"/>
        <v>10</v>
      </c>
      <c r="AD65" s="67">
        <f t="shared" ref="AD65:AD71" si="27">+AC65/AA65</f>
        <v>1</v>
      </c>
      <c r="AE65" s="68"/>
      <c r="AF65" s="64">
        <f t="shared" si="25"/>
        <v>30</v>
      </c>
      <c r="AG65" s="66">
        <f t="shared" si="5"/>
        <v>0</v>
      </c>
      <c r="AH65" s="66">
        <f t="shared" si="2"/>
        <v>30</v>
      </c>
      <c r="AI65" s="67">
        <f t="shared" si="17"/>
        <v>1</v>
      </c>
    </row>
    <row r="66" spans="1:35" s="149" customFormat="1" ht="15" customHeight="1">
      <c r="A66" s="1470" t="s">
        <v>67</v>
      </c>
      <c r="B66" s="64">
        <f>+[7]OVIK!B9</f>
        <v>20</v>
      </c>
      <c r="C66" s="85"/>
      <c r="D66" s="85">
        <f t="shared" si="6"/>
        <v>20</v>
      </c>
      <c r="E66" s="67">
        <f t="shared" ref="E66:E72" si="28">+D66/B66</f>
        <v>1</v>
      </c>
      <c r="F66" s="68"/>
      <c r="G66" s="64">
        <v>10</v>
      </c>
      <c r="H66" s="85"/>
      <c r="I66" s="85">
        <f t="shared" si="7"/>
        <v>10</v>
      </c>
      <c r="J66" s="67">
        <f t="shared" si="26"/>
        <v>1</v>
      </c>
      <c r="K66" s="68"/>
      <c r="L66" s="1467">
        <f>+[7]OVIK!H9</f>
        <v>0</v>
      </c>
      <c r="M66" s="1472"/>
      <c r="N66" s="1472">
        <f t="shared" si="8"/>
        <v>0</v>
      </c>
      <c r="O66" s="1469"/>
      <c r="P66" s="68"/>
      <c r="Q66" s="64">
        <f>+[7]OVIK!K9</f>
        <v>0</v>
      </c>
      <c r="R66" s="85"/>
      <c r="S66" s="85">
        <f t="shared" si="9"/>
        <v>0</v>
      </c>
      <c r="T66" s="67"/>
      <c r="V66" s="64"/>
      <c r="W66" s="229"/>
      <c r="X66" s="85">
        <f t="shared" si="10"/>
        <v>0</v>
      </c>
      <c r="Y66" s="67"/>
      <c r="Z66" s="68"/>
      <c r="AA66" s="64">
        <f>+[7]OVIK!Q9</f>
        <v>0</v>
      </c>
      <c r="AB66" s="229"/>
      <c r="AC66" s="85">
        <f t="shared" si="12"/>
        <v>0</v>
      </c>
      <c r="AD66" s="67"/>
      <c r="AE66" s="68"/>
      <c r="AF66" s="64">
        <f t="shared" si="25"/>
        <v>30</v>
      </c>
      <c r="AG66" s="66">
        <f t="shared" si="5"/>
        <v>0</v>
      </c>
      <c r="AH66" s="66">
        <f t="shared" si="2"/>
        <v>30</v>
      </c>
      <c r="AI66" s="67"/>
    </row>
    <row r="67" spans="1:35" s="149" customFormat="1" ht="15" customHeight="1">
      <c r="A67" s="1470" t="s">
        <v>68</v>
      </c>
      <c r="B67" s="64">
        <f>+[7]OVIK!B10</f>
        <v>10</v>
      </c>
      <c r="C67" s="85"/>
      <c r="D67" s="85">
        <f t="shared" si="6"/>
        <v>10</v>
      </c>
      <c r="E67" s="67">
        <f t="shared" si="28"/>
        <v>1</v>
      </c>
      <c r="F67" s="68"/>
      <c r="G67" s="64">
        <f>+[7]OVIK!E10</f>
        <v>10</v>
      </c>
      <c r="H67" s="85"/>
      <c r="I67" s="85">
        <f t="shared" si="7"/>
        <v>10</v>
      </c>
      <c r="J67" s="67">
        <f t="shared" si="26"/>
        <v>1</v>
      </c>
      <c r="K67" s="68"/>
      <c r="L67" s="1467">
        <f>+[7]OVIK!H10</f>
        <v>0</v>
      </c>
      <c r="M67" s="1472"/>
      <c r="N67" s="1472">
        <f t="shared" si="8"/>
        <v>0</v>
      </c>
      <c r="O67" s="1469"/>
      <c r="P67" s="68"/>
      <c r="Q67" s="64">
        <f>+[7]OVIK!K10</f>
        <v>0</v>
      </c>
      <c r="R67" s="85"/>
      <c r="S67" s="85">
        <f t="shared" si="9"/>
        <v>0</v>
      </c>
      <c r="T67" s="67"/>
      <c r="V67" s="64"/>
      <c r="W67" s="229"/>
      <c r="X67" s="85">
        <f t="shared" si="10"/>
        <v>0</v>
      </c>
      <c r="Y67" s="67"/>
      <c r="Z67" s="68"/>
      <c r="AA67" s="64">
        <f>+[7]OVIK!Q10</f>
        <v>0</v>
      </c>
      <c r="AB67" s="229"/>
      <c r="AC67" s="85">
        <f t="shared" si="12"/>
        <v>0</v>
      </c>
      <c r="AD67" s="67"/>
      <c r="AE67" s="68"/>
      <c r="AF67" s="64">
        <f t="shared" si="25"/>
        <v>20</v>
      </c>
      <c r="AG67" s="66">
        <f t="shared" si="5"/>
        <v>0</v>
      </c>
      <c r="AH67" s="66">
        <f t="shared" si="2"/>
        <v>20</v>
      </c>
      <c r="AI67" s="67"/>
    </row>
    <row r="68" spans="1:35" s="149" customFormat="1" ht="15" customHeight="1">
      <c r="A68" s="1470" t="s">
        <v>69</v>
      </c>
      <c r="B68" s="64">
        <f>+[7]OVIK!B11</f>
        <v>100</v>
      </c>
      <c r="C68" s="85"/>
      <c r="D68" s="85">
        <f t="shared" si="6"/>
        <v>100</v>
      </c>
      <c r="E68" s="67">
        <f t="shared" si="28"/>
        <v>1</v>
      </c>
      <c r="F68" s="68"/>
      <c r="G68" s="64">
        <v>140</v>
      </c>
      <c r="H68" s="85"/>
      <c r="I68" s="85">
        <f t="shared" si="7"/>
        <v>140</v>
      </c>
      <c r="J68" s="67">
        <f t="shared" si="26"/>
        <v>1</v>
      </c>
      <c r="K68" s="68"/>
      <c r="L68" s="1467">
        <f>+[7]OVIK!H11</f>
        <v>0</v>
      </c>
      <c r="M68" s="1472"/>
      <c r="N68" s="1472">
        <f t="shared" si="8"/>
        <v>0</v>
      </c>
      <c r="O68" s="1469"/>
      <c r="P68" s="68"/>
      <c r="Q68" s="64">
        <f>+[7]OVIK!K11</f>
        <v>0</v>
      </c>
      <c r="R68" s="85"/>
      <c r="S68" s="85">
        <f t="shared" si="9"/>
        <v>0</v>
      </c>
      <c r="T68" s="67"/>
      <c r="V68" s="64"/>
      <c r="W68" s="229"/>
      <c r="X68" s="85">
        <f t="shared" si="10"/>
        <v>0</v>
      </c>
      <c r="Y68" s="67"/>
      <c r="Z68" s="68"/>
      <c r="AA68" s="64">
        <f>+[7]OVIK!Q11</f>
        <v>15</v>
      </c>
      <c r="AB68" s="229"/>
      <c r="AC68" s="85">
        <f t="shared" si="12"/>
        <v>15</v>
      </c>
      <c r="AD68" s="67">
        <f t="shared" si="27"/>
        <v>1</v>
      </c>
      <c r="AE68" s="68"/>
      <c r="AF68" s="64">
        <f t="shared" si="25"/>
        <v>255</v>
      </c>
      <c r="AG68" s="66">
        <f t="shared" si="5"/>
        <v>0</v>
      </c>
      <c r="AH68" s="66">
        <f t="shared" si="2"/>
        <v>255</v>
      </c>
      <c r="AI68" s="67">
        <f t="shared" si="17"/>
        <v>1</v>
      </c>
    </row>
    <row r="69" spans="1:35" s="149" customFormat="1" ht="15" customHeight="1">
      <c r="A69" s="1470" t="s">
        <v>70</v>
      </c>
      <c r="B69" s="64">
        <f>+[7]OVIK!B12</f>
        <v>100</v>
      </c>
      <c r="C69" s="85">
        <f>+[3]MOVI!$F$8</f>
        <v>41</v>
      </c>
      <c r="D69" s="85">
        <f t="shared" si="6"/>
        <v>141</v>
      </c>
      <c r="E69" s="67">
        <f t="shared" si="28"/>
        <v>1.41</v>
      </c>
      <c r="F69" s="68"/>
      <c r="G69" s="64">
        <f>+[7]OVIK!E12</f>
        <v>300</v>
      </c>
      <c r="H69" s="85"/>
      <c r="I69" s="85">
        <f t="shared" si="7"/>
        <v>300</v>
      </c>
      <c r="J69" s="67">
        <f t="shared" si="26"/>
        <v>1</v>
      </c>
      <c r="K69" s="68"/>
      <c r="L69" s="1467">
        <f>+[7]OVIK!H12</f>
        <v>0</v>
      </c>
      <c r="M69" s="1472"/>
      <c r="N69" s="1472">
        <f t="shared" si="8"/>
        <v>0</v>
      </c>
      <c r="O69" s="1469"/>
      <c r="P69" s="68"/>
      <c r="Q69" s="64">
        <f>+[7]OVIK!K12</f>
        <v>0</v>
      </c>
      <c r="R69" s="85"/>
      <c r="S69" s="85">
        <f t="shared" si="9"/>
        <v>0</v>
      </c>
      <c r="T69" s="67"/>
      <c r="V69" s="64"/>
      <c r="W69" s="229"/>
      <c r="X69" s="85">
        <f t="shared" si="10"/>
        <v>0</v>
      </c>
      <c r="Y69" s="67"/>
      <c r="Z69" s="68"/>
      <c r="AA69" s="64">
        <f>+[7]OVIK!Q12</f>
        <v>0</v>
      </c>
      <c r="AB69" s="229"/>
      <c r="AC69" s="85">
        <f t="shared" si="12"/>
        <v>0</v>
      </c>
      <c r="AD69" s="67"/>
      <c r="AE69" s="68"/>
      <c r="AF69" s="64">
        <f t="shared" si="25"/>
        <v>400</v>
      </c>
      <c r="AG69" s="66">
        <f t="shared" si="5"/>
        <v>41</v>
      </c>
      <c r="AH69" s="66">
        <f t="shared" si="2"/>
        <v>441</v>
      </c>
      <c r="AI69" s="67"/>
    </row>
    <row r="70" spans="1:35" s="149" customFormat="1" ht="15" customHeight="1">
      <c r="A70" s="1470" t="s">
        <v>71</v>
      </c>
      <c r="B70" s="64">
        <f>+[7]OVIK!B13</f>
        <v>0</v>
      </c>
      <c r="C70" s="85"/>
      <c r="D70" s="85">
        <f t="shared" si="6"/>
        <v>0</v>
      </c>
      <c r="E70" s="67"/>
      <c r="F70" s="68"/>
      <c r="G70" s="84">
        <f>+[7]OVIK!E13</f>
        <v>0</v>
      </c>
      <c r="H70" s="85"/>
      <c r="I70" s="85">
        <f t="shared" si="7"/>
        <v>0</v>
      </c>
      <c r="J70" s="67"/>
      <c r="K70" s="68"/>
      <c r="L70" s="1467">
        <f>+[7]OVIK!H13</f>
        <v>0</v>
      </c>
      <c r="M70" s="1472"/>
      <c r="N70" s="1472">
        <f t="shared" si="8"/>
        <v>0</v>
      </c>
      <c r="O70" s="1469"/>
      <c r="P70" s="68"/>
      <c r="Q70" s="64">
        <f>+[7]OVIK!K13</f>
        <v>0</v>
      </c>
      <c r="R70" s="85"/>
      <c r="S70" s="85">
        <f t="shared" si="9"/>
        <v>0</v>
      </c>
      <c r="T70" s="67"/>
      <c r="V70" s="64"/>
      <c r="W70" s="229"/>
      <c r="X70" s="85">
        <f t="shared" si="10"/>
        <v>0</v>
      </c>
      <c r="Y70" s="67"/>
      <c r="Z70" s="68"/>
      <c r="AA70" s="64">
        <f>+[7]OVIK!Q13</f>
        <v>0</v>
      </c>
      <c r="AB70" s="229"/>
      <c r="AC70" s="85">
        <f t="shared" si="12"/>
        <v>0</v>
      </c>
      <c r="AD70" s="67"/>
      <c r="AE70" s="68"/>
      <c r="AF70" s="64">
        <f t="shared" si="25"/>
        <v>0</v>
      </c>
      <c r="AG70" s="66">
        <f t="shared" si="5"/>
        <v>0</v>
      </c>
      <c r="AH70" s="66">
        <f t="shared" si="2"/>
        <v>0</v>
      </c>
      <c r="AI70" s="67"/>
    </row>
    <row r="71" spans="1:35" s="387" customFormat="1" ht="15" customHeight="1">
      <c r="A71" s="1470" t="s">
        <v>72</v>
      </c>
      <c r="B71" s="64">
        <f>+[7]OVIK!B14</f>
        <v>70</v>
      </c>
      <c r="C71" s="85"/>
      <c r="D71" s="85">
        <f t="shared" si="6"/>
        <v>70</v>
      </c>
      <c r="E71" s="67">
        <f t="shared" si="28"/>
        <v>1</v>
      </c>
      <c r="F71" s="68"/>
      <c r="G71" s="64">
        <f>+[7]OVIK!E14</f>
        <v>120</v>
      </c>
      <c r="H71" s="85"/>
      <c r="I71" s="85">
        <f t="shared" si="7"/>
        <v>120</v>
      </c>
      <c r="J71" s="67">
        <f>+I71/G71</f>
        <v>1</v>
      </c>
      <c r="K71" s="386"/>
      <c r="L71" s="1467">
        <f>+[7]OVIK!H14</f>
        <v>0</v>
      </c>
      <c r="M71" s="1472"/>
      <c r="N71" s="1472">
        <f t="shared" si="8"/>
        <v>0</v>
      </c>
      <c r="O71" s="1469"/>
      <c r="P71" s="386"/>
      <c r="Q71" s="64">
        <f>+[7]OVIK!K14</f>
        <v>0</v>
      </c>
      <c r="R71" s="85"/>
      <c r="S71" s="85">
        <f t="shared" si="9"/>
        <v>0</v>
      </c>
      <c r="T71" s="67"/>
      <c r="U71" s="149"/>
      <c r="V71" s="64"/>
      <c r="W71" s="229"/>
      <c r="X71" s="85">
        <f t="shared" si="10"/>
        <v>0</v>
      </c>
      <c r="Y71" s="67"/>
      <c r="Z71" s="68"/>
      <c r="AA71" s="64">
        <f>+[7]OVIK!Q14</f>
        <v>20</v>
      </c>
      <c r="AB71" s="229"/>
      <c r="AC71" s="85">
        <f t="shared" si="12"/>
        <v>20</v>
      </c>
      <c r="AD71" s="67">
        <f t="shared" si="27"/>
        <v>1</v>
      </c>
      <c r="AE71" s="386"/>
      <c r="AF71" s="64">
        <f t="shared" si="25"/>
        <v>210</v>
      </c>
      <c r="AG71" s="66">
        <f t="shared" si="5"/>
        <v>0</v>
      </c>
      <c r="AH71" s="66">
        <f t="shared" si="2"/>
        <v>210</v>
      </c>
      <c r="AI71" s="67">
        <f t="shared" si="17"/>
        <v>1</v>
      </c>
    </row>
    <row r="72" spans="1:35" s="149" customFormat="1" ht="15" customHeight="1" thickBot="1">
      <c r="A72" s="1517" t="s">
        <v>73</v>
      </c>
      <c r="B72" s="1423">
        <f>+[7]OVIK!B15</f>
        <v>100</v>
      </c>
      <c r="C72" s="74">
        <f>+[3]MOVI!$F$7</f>
        <v>24</v>
      </c>
      <c r="D72" s="74">
        <f t="shared" si="6"/>
        <v>124</v>
      </c>
      <c r="E72" s="67">
        <f t="shared" si="28"/>
        <v>1.24</v>
      </c>
      <c r="F72" s="68"/>
      <c r="G72" s="1423">
        <v>480</v>
      </c>
      <c r="H72" s="74">
        <f>+[3]BOVI!$F$10</f>
        <v>-450</v>
      </c>
      <c r="I72" s="74">
        <f t="shared" si="7"/>
        <v>30</v>
      </c>
      <c r="J72" s="67">
        <f>+I72/G72</f>
        <v>6.25E-2</v>
      </c>
      <c r="K72" s="68"/>
      <c r="L72" s="1518">
        <f>+[7]OVIK!H15</f>
        <v>0</v>
      </c>
      <c r="M72" s="1474"/>
      <c r="N72" s="1474">
        <f t="shared" si="8"/>
        <v>0</v>
      </c>
      <c r="O72" s="1469"/>
      <c r="P72" s="68"/>
      <c r="Q72" s="1423"/>
      <c r="R72" s="74"/>
      <c r="S72" s="74">
        <f t="shared" si="9"/>
        <v>0</v>
      </c>
      <c r="T72" s="67"/>
      <c r="V72" s="1423"/>
      <c r="W72" s="1349"/>
      <c r="X72" s="74">
        <f t="shared" si="10"/>
        <v>0</v>
      </c>
      <c r="Y72" s="67"/>
      <c r="Z72" s="68"/>
      <c r="AA72" s="1423">
        <f>+[7]OVIK!Q15</f>
        <v>0</v>
      </c>
      <c r="AB72" s="1349">
        <f>+[3]KIK!$F$7</f>
        <v>40</v>
      </c>
      <c r="AC72" s="74">
        <f t="shared" si="12"/>
        <v>40</v>
      </c>
      <c r="AD72" s="67"/>
      <c r="AE72" s="68"/>
      <c r="AF72" s="1423">
        <f t="shared" si="25"/>
        <v>580</v>
      </c>
      <c r="AG72" s="1366">
        <f t="shared" ref="AG72:AG119" si="29">+C72+H72+R72+M72+W72+AB72</f>
        <v>-386</v>
      </c>
      <c r="AH72" s="1366">
        <f t="shared" ref="AH72:AH119" si="30">+D72+I72+S72+N72+X72+AC72</f>
        <v>194</v>
      </c>
      <c r="AI72" s="67"/>
    </row>
    <row r="73" spans="1:35" s="149" customFormat="1" ht="15" customHeight="1" thickBot="1">
      <c r="A73" s="1388" t="s">
        <v>74</v>
      </c>
      <c r="B73" s="1429">
        <f>SUM(B63:B72)</f>
        <v>490</v>
      </c>
      <c r="C73" s="1430">
        <f>SUM(C63:C72)</f>
        <v>73</v>
      </c>
      <c r="D73" s="1430">
        <f>SUM(D63:D72)</f>
        <v>563</v>
      </c>
      <c r="E73" s="1414">
        <f>+D73/B73</f>
        <v>1.1489795918367347</v>
      </c>
      <c r="F73" s="68"/>
      <c r="G73" s="1429">
        <f>SUM(G63:G72)</f>
        <v>1270</v>
      </c>
      <c r="H73" s="1430">
        <f>SUM(H63:H72)</f>
        <v>-430</v>
      </c>
      <c r="I73" s="1430">
        <f>SUM(I63:I72)</f>
        <v>840</v>
      </c>
      <c r="J73" s="1414">
        <f>+I73/G73</f>
        <v>0.66141732283464572</v>
      </c>
      <c r="K73" s="68"/>
      <c r="L73" s="1519">
        <f>SUM(L63:L72)</f>
        <v>0</v>
      </c>
      <c r="M73" s="1520"/>
      <c r="N73" s="1520">
        <f>SUM(N63:N72)</f>
        <v>0</v>
      </c>
      <c r="O73" s="1521"/>
      <c r="P73" s="68"/>
      <c r="Q73" s="1429">
        <f>SUM(Q63:Q72)</f>
        <v>0</v>
      </c>
      <c r="R73" s="1430">
        <f>SUM(R63:R72)</f>
        <v>0</v>
      </c>
      <c r="S73" s="1430">
        <f>SUM(S63:S72)</f>
        <v>0</v>
      </c>
      <c r="T73" s="1414"/>
      <c r="V73" s="1429">
        <f>SUM(V63:V72)</f>
        <v>0</v>
      </c>
      <c r="W73" s="1442"/>
      <c r="X73" s="1430">
        <f>SUM(X63:X72)</f>
        <v>0</v>
      </c>
      <c r="Y73" s="1414"/>
      <c r="Z73" s="68"/>
      <c r="AA73" s="1429">
        <f>SUM(AA63:AA72)</f>
        <v>165</v>
      </c>
      <c r="AB73" s="1430">
        <f>SUM(AB63:AB72)</f>
        <v>40</v>
      </c>
      <c r="AC73" s="1430">
        <f>SUM(AC63:AC72)</f>
        <v>205</v>
      </c>
      <c r="AD73" s="1414">
        <f>+AC73/AA73</f>
        <v>1.2424242424242424</v>
      </c>
      <c r="AE73" s="68"/>
      <c r="AF73" s="1429">
        <f>SUM(AF63:AF72)</f>
        <v>1925</v>
      </c>
      <c r="AG73" s="1430">
        <f t="shared" si="29"/>
        <v>-317</v>
      </c>
      <c r="AH73" s="1430">
        <f t="shared" si="30"/>
        <v>1608</v>
      </c>
      <c r="AI73" s="1414">
        <f>+AH73/AF73</f>
        <v>0.83532467532467536</v>
      </c>
    </row>
    <row r="74" spans="1:35" s="149" customFormat="1" ht="15" customHeight="1">
      <c r="A74" s="1481" t="s">
        <v>75</v>
      </c>
      <c r="B74" s="64">
        <f>+[7]OVIK!B17</f>
        <v>90</v>
      </c>
      <c r="C74" s="66">
        <f>+[3]MOVI!$G$14</f>
        <v>5</v>
      </c>
      <c r="D74" s="66">
        <f>SUM(B74:C74)</f>
        <v>95</v>
      </c>
      <c r="E74" s="67">
        <f>+D74/B74</f>
        <v>1.0555555555555556</v>
      </c>
      <c r="F74" s="68"/>
      <c r="G74" s="64">
        <f>+[7]OVIK!E17</f>
        <v>100</v>
      </c>
      <c r="H74" s="66">
        <f>+[3]BOVI!$L$8</f>
        <v>8</v>
      </c>
      <c r="I74" s="66">
        <f>SUM(G74:H74)</f>
        <v>108</v>
      </c>
      <c r="J74" s="67">
        <f>+I74/G74</f>
        <v>1.08</v>
      </c>
      <c r="K74" s="68"/>
      <c r="L74" s="1467">
        <f>+[7]OVIK!H17</f>
        <v>45</v>
      </c>
      <c r="M74" s="1468"/>
      <c r="N74" s="1468">
        <f>SUM(L74:M74)</f>
        <v>45</v>
      </c>
      <c r="O74" s="1469">
        <f>+N74/L74</f>
        <v>1</v>
      </c>
      <c r="P74" s="68"/>
      <c r="Q74" s="64">
        <f>+[7]OVIK!K17</f>
        <v>40</v>
      </c>
      <c r="R74" s="66"/>
      <c r="S74" s="66">
        <f>SUM(Q74:R74)</f>
        <v>40</v>
      </c>
      <c r="T74" s="67">
        <f>+S74/Q74</f>
        <v>1</v>
      </c>
      <c r="V74" s="64">
        <f>+[7]OVIK!N17</f>
        <v>30</v>
      </c>
      <c r="W74" s="65"/>
      <c r="X74" s="66">
        <f>SUM(V74:W74)</f>
        <v>30</v>
      </c>
      <c r="Y74" s="67">
        <f>+X74/V74</f>
        <v>1</v>
      </c>
      <c r="Z74" s="68"/>
      <c r="AA74" s="64">
        <f>+[7]OVIK!Q17</f>
        <v>100</v>
      </c>
      <c r="AB74" s="65"/>
      <c r="AC74" s="66">
        <f>SUM(AA74:AB74)</f>
        <v>100</v>
      </c>
      <c r="AD74" s="67">
        <f>+AC74/AA74</f>
        <v>1</v>
      </c>
      <c r="AE74" s="68"/>
      <c r="AF74" s="64">
        <f>+B74+G74+Q74+L74+V74+AA74</f>
        <v>405</v>
      </c>
      <c r="AG74" s="66">
        <f t="shared" si="29"/>
        <v>13</v>
      </c>
      <c r="AH74" s="66">
        <f t="shared" si="30"/>
        <v>418</v>
      </c>
      <c r="AI74" s="67">
        <f>+AH74/AF74</f>
        <v>1.0320987654320988</v>
      </c>
    </row>
    <row r="75" spans="1:35" s="149" customFormat="1" ht="15" customHeight="1">
      <c r="A75" s="1470" t="s">
        <v>76</v>
      </c>
      <c r="B75" s="64">
        <f>+[7]OVIK!B18</f>
        <v>0</v>
      </c>
      <c r="C75" s="85"/>
      <c r="D75" s="85">
        <f>SUM(B75:C75)</f>
        <v>0</v>
      </c>
      <c r="E75" s="67"/>
      <c r="F75" s="68"/>
      <c r="G75" s="64">
        <f>+[7]OVIK!E18</f>
        <v>0</v>
      </c>
      <c r="H75" s="85"/>
      <c r="I75" s="85">
        <f>SUM(G75:H75)</f>
        <v>0</v>
      </c>
      <c r="J75" s="67"/>
      <c r="K75" s="68"/>
      <c r="L75" s="1467">
        <f>+[7]OVIK!H18</f>
        <v>0</v>
      </c>
      <c r="M75" s="1472"/>
      <c r="N75" s="1472">
        <f>SUM(L75:M75)</f>
        <v>0</v>
      </c>
      <c r="O75" s="1469"/>
      <c r="P75" s="68"/>
      <c r="Q75" s="64">
        <f>+[7]OVIK!K18</f>
        <v>0</v>
      </c>
      <c r="R75" s="85"/>
      <c r="S75" s="85">
        <f>SUM(Q75:R75)</f>
        <v>0</v>
      </c>
      <c r="T75" s="67"/>
      <c r="V75" s="64">
        <f>+[7]OVIK!N18</f>
        <v>0</v>
      </c>
      <c r="W75" s="229"/>
      <c r="X75" s="85">
        <f>SUM(V75:W75)</f>
        <v>0</v>
      </c>
      <c r="Y75" s="67"/>
      <c r="Z75" s="68"/>
      <c r="AA75" s="64">
        <f>+[7]OVIK!Q18</f>
        <v>0</v>
      </c>
      <c r="AB75" s="229"/>
      <c r="AC75" s="85">
        <f>SUM(AA75:AB75)</f>
        <v>0</v>
      </c>
      <c r="AD75" s="67"/>
      <c r="AE75" s="68"/>
      <c r="AF75" s="64">
        <f>+B75+G75+Q75+L75+V75+AA75</f>
        <v>0</v>
      </c>
      <c r="AG75" s="66">
        <f t="shared" si="29"/>
        <v>0</v>
      </c>
      <c r="AH75" s="66">
        <f t="shared" si="30"/>
        <v>0</v>
      </c>
      <c r="AI75" s="67"/>
    </row>
    <row r="76" spans="1:35" s="149" customFormat="1" ht="15" customHeight="1" thickBot="1">
      <c r="A76" s="1517" t="s">
        <v>363</v>
      </c>
      <c r="B76" s="1423">
        <f>+[7]OVIK!B19</f>
        <v>0</v>
      </c>
      <c r="C76" s="74"/>
      <c r="D76" s="74">
        <f>SUM(B76:C76)</f>
        <v>0</v>
      </c>
      <c r="E76" s="67"/>
      <c r="F76" s="68"/>
      <c r="G76" s="1423">
        <f>+[7]OVIK!E19</f>
        <v>0</v>
      </c>
      <c r="H76" s="74"/>
      <c r="I76" s="74">
        <f>SUM(G76:H76)</f>
        <v>0</v>
      </c>
      <c r="J76" s="67"/>
      <c r="K76" s="68"/>
      <c r="L76" s="1518">
        <f>+[7]OVIK!H19</f>
        <v>0</v>
      </c>
      <c r="M76" s="1474"/>
      <c r="N76" s="1474">
        <f>SUM(L76:M76)</f>
        <v>0</v>
      </c>
      <c r="O76" s="1469"/>
      <c r="P76" s="68"/>
      <c r="Q76" s="1423">
        <f>+[7]OVIK!K19</f>
        <v>0</v>
      </c>
      <c r="R76" s="74"/>
      <c r="S76" s="74">
        <f>SUM(Q76:R76)</f>
        <v>0</v>
      </c>
      <c r="T76" s="67"/>
      <c r="V76" s="1423">
        <f>+[7]OVIK!N19</f>
        <v>0</v>
      </c>
      <c r="W76" s="1349"/>
      <c r="X76" s="74">
        <f>SUM(V76:W76)</f>
        <v>0</v>
      </c>
      <c r="Y76" s="67"/>
      <c r="Z76" s="68"/>
      <c r="AA76" s="1423">
        <f>+[7]OVIK!Q19</f>
        <v>0</v>
      </c>
      <c r="AB76" s="1349"/>
      <c r="AC76" s="74">
        <f>SUM(AA76:AB76)</f>
        <v>0</v>
      </c>
      <c r="AD76" s="67"/>
      <c r="AE76" s="68"/>
      <c r="AF76" s="1423">
        <f>+B76+G76+Q76+L76+V76+AA76</f>
        <v>0</v>
      </c>
      <c r="AG76" s="1366">
        <f t="shared" si="29"/>
        <v>0</v>
      </c>
      <c r="AH76" s="1366">
        <f t="shared" si="30"/>
        <v>0</v>
      </c>
      <c r="AI76" s="67"/>
    </row>
    <row r="77" spans="1:35" s="149" customFormat="1" ht="15" customHeight="1" thickBot="1">
      <c r="A77" s="1388" t="s">
        <v>78</v>
      </c>
      <c r="B77" s="1429">
        <f>SUM(B74:B76)</f>
        <v>90</v>
      </c>
      <c r="C77" s="1430">
        <f>SUM(C74:C76)</f>
        <v>5</v>
      </c>
      <c r="D77" s="1430">
        <f>SUM(B77:C77)</f>
        <v>95</v>
      </c>
      <c r="E77" s="1414">
        <f>+D77/B77</f>
        <v>1.0555555555555556</v>
      </c>
      <c r="F77" s="68"/>
      <c r="G77" s="1429">
        <f>SUM(G74:G76)</f>
        <v>100</v>
      </c>
      <c r="H77" s="1430">
        <f>SUM(H74:H76)</f>
        <v>8</v>
      </c>
      <c r="I77" s="1430">
        <f>SUM(G77:H77)</f>
        <v>108</v>
      </c>
      <c r="J77" s="1414">
        <f>+I77/G77</f>
        <v>1.08</v>
      </c>
      <c r="K77" s="68"/>
      <c r="L77" s="1519">
        <f>SUM(L74:L76)</f>
        <v>45</v>
      </c>
      <c r="M77" s="1520"/>
      <c r="N77" s="1520">
        <f>SUM(L77:M77)</f>
        <v>45</v>
      </c>
      <c r="O77" s="1521">
        <f>+N77/L77</f>
        <v>1</v>
      </c>
      <c r="P77" s="68"/>
      <c r="Q77" s="1429">
        <f>SUM(Q74:Q76)</f>
        <v>40</v>
      </c>
      <c r="R77" s="1430">
        <f>SUM(R74:R76)</f>
        <v>0</v>
      </c>
      <c r="S77" s="1430">
        <f>SUM(Q77:R77)</f>
        <v>40</v>
      </c>
      <c r="T77" s="1414">
        <f>+S77/Q77</f>
        <v>1</v>
      </c>
      <c r="V77" s="1429">
        <f>SUM(V74:V76)</f>
        <v>30</v>
      </c>
      <c r="W77" s="1442"/>
      <c r="X77" s="1430">
        <f>SUM(V77:W77)</f>
        <v>30</v>
      </c>
      <c r="Y77" s="1414">
        <f>+X77/V77</f>
        <v>1</v>
      </c>
      <c r="Z77" s="68"/>
      <c r="AA77" s="1429">
        <f>SUM(AA74:AA76)</f>
        <v>100</v>
      </c>
      <c r="AB77" s="1442"/>
      <c r="AC77" s="1430">
        <f>SUM(AA77:AB77)</f>
        <v>100</v>
      </c>
      <c r="AD77" s="1414">
        <f>+AC77/AA77</f>
        <v>1</v>
      </c>
      <c r="AE77" s="68"/>
      <c r="AF77" s="1429">
        <f>SUM(AF74:AF76)</f>
        <v>405</v>
      </c>
      <c r="AG77" s="1430">
        <f t="shared" si="29"/>
        <v>13</v>
      </c>
      <c r="AH77" s="1430">
        <f t="shared" si="30"/>
        <v>418</v>
      </c>
      <c r="AI77" s="1414">
        <f>+AH77/AF77</f>
        <v>1.0320987654320988</v>
      </c>
    </row>
    <row r="78" spans="1:35" s="149" customFormat="1" ht="15" customHeight="1">
      <c r="A78" s="1481" t="s">
        <v>79</v>
      </c>
      <c r="B78" s="64"/>
      <c r="C78" s="66"/>
      <c r="D78" s="66"/>
      <c r="E78" s="67"/>
      <c r="F78" s="68"/>
      <c r="G78" s="64">
        <f>+[7]OVIK!E21</f>
        <v>0</v>
      </c>
      <c r="H78" s="66"/>
      <c r="I78" s="66"/>
      <c r="J78" s="67"/>
      <c r="K78" s="68"/>
      <c r="L78" s="1467">
        <f>+[7]OVIK!H21</f>
        <v>0</v>
      </c>
      <c r="M78" s="1468"/>
      <c r="N78" s="1468"/>
      <c r="O78" s="1469"/>
      <c r="P78" s="68"/>
      <c r="Q78" s="64">
        <f>+[7]OVIK!K21</f>
        <v>0</v>
      </c>
      <c r="R78" s="66"/>
      <c r="S78" s="66"/>
      <c r="T78" s="67"/>
      <c r="V78" s="64">
        <f>+[7]OVIK!N21</f>
        <v>0</v>
      </c>
      <c r="W78" s="65"/>
      <c r="X78" s="66"/>
      <c r="Y78" s="67"/>
      <c r="Z78" s="68"/>
      <c r="AA78" s="64">
        <f>+[7]OVIK!Q21</f>
        <v>0</v>
      </c>
      <c r="AB78" s="65"/>
      <c r="AC78" s="66"/>
      <c r="AD78" s="67"/>
      <c r="AE78" s="68"/>
      <c r="AF78" s="64">
        <f t="shared" ref="AF78:AF89" si="31">+B78+G78+Q78+L78+V78+AA78</f>
        <v>0</v>
      </c>
      <c r="AG78" s="66">
        <f t="shared" si="29"/>
        <v>0</v>
      </c>
      <c r="AH78" s="66">
        <f t="shared" si="30"/>
        <v>0</v>
      </c>
      <c r="AI78" s="67"/>
    </row>
    <row r="79" spans="1:35" s="387" customFormat="1" ht="15" customHeight="1">
      <c r="A79" s="1470" t="s">
        <v>399</v>
      </c>
      <c r="B79" s="64">
        <f>(35*668*220)/1000</f>
        <v>5143.6000000000004</v>
      </c>
      <c r="C79" s="85">
        <f>+[3]MOVI!$F$11</f>
        <v>99</v>
      </c>
      <c r="D79" s="85">
        <f t="shared" ref="D79:D89" si="32">SUM(B79:C79)</f>
        <v>5242.6000000000004</v>
      </c>
      <c r="E79" s="67">
        <f>+D79/B79</f>
        <v>1.0192472198460223</v>
      </c>
      <c r="F79" s="68"/>
      <c r="G79" s="84">
        <f>+[7]OVIK!E22</f>
        <v>0</v>
      </c>
      <c r="H79" s="85"/>
      <c r="I79" s="85">
        <f t="shared" ref="I79:I89" si="33">SUM(G79:H79)</f>
        <v>0</v>
      </c>
      <c r="J79" s="67"/>
      <c r="K79" s="386"/>
      <c r="L79" s="1467">
        <f>+[7]OVIK!H22</f>
        <v>0</v>
      </c>
      <c r="M79" s="1472"/>
      <c r="N79" s="1472">
        <f t="shared" ref="N79:N89" si="34">SUM(L79:M79)</f>
        <v>0</v>
      </c>
      <c r="O79" s="1469"/>
      <c r="P79" s="386"/>
      <c r="Q79" s="64">
        <f>+[7]OVIK!K22</f>
        <v>0</v>
      </c>
      <c r="R79" s="85">
        <f>+[3]ROVI!$F$8</f>
        <v>20</v>
      </c>
      <c r="S79" s="85">
        <f t="shared" ref="S79:S89" si="35">SUM(Q79:R79)</f>
        <v>20</v>
      </c>
      <c r="T79" s="67"/>
      <c r="U79" s="149"/>
      <c r="V79" s="64">
        <f>+[7]OVIK!N22</f>
        <v>0</v>
      </c>
      <c r="W79" s="229"/>
      <c r="X79" s="85">
        <f t="shared" ref="X79:X89" si="36">SUM(V79:W79)</f>
        <v>0</v>
      </c>
      <c r="Y79" s="67">
        <f t="shared" ref="Y79:Y89" si="37">SUM(V79:X79)</f>
        <v>0</v>
      </c>
      <c r="Z79" s="68"/>
      <c r="AA79" s="64">
        <f>+[7]OVIK!Q22</f>
        <v>0</v>
      </c>
      <c r="AB79" s="229"/>
      <c r="AC79" s="85">
        <f t="shared" ref="AC79:AC89" si="38">SUM(AA79:AB79)</f>
        <v>0</v>
      </c>
      <c r="AD79" s="67">
        <f t="shared" ref="AD79:AD89" si="39">SUM(AA79:AC79)</f>
        <v>0</v>
      </c>
      <c r="AE79" s="386"/>
      <c r="AF79" s="64">
        <f t="shared" si="31"/>
        <v>5143.6000000000004</v>
      </c>
      <c r="AG79" s="66">
        <f t="shared" si="29"/>
        <v>119</v>
      </c>
      <c r="AH79" s="66">
        <f t="shared" si="30"/>
        <v>5262.6</v>
      </c>
      <c r="AI79" s="67"/>
    </row>
    <row r="80" spans="1:35" s="149" customFormat="1" ht="15" customHeight="1">
      <c r="A80" s="1470" t="s">
        <v>81</v>
      </c>
      <c r="B80" s="64">
        <f>+[7]OVIK!B23</f>
        <v>0</v>
      </c>
      <c r="C80" s="85">
        <f>+[3]MOVI!$H$10</f>
        <v>31</v>
      </c>
      <c r="D80" s="85">
        <f t="shared" si="32"/>
        <v>31</v>
      </c>
      <c r="E80" s="67"/>
      <c r="F80" s="68"/>
      <c r="G80" s="64">
        <f>+[7]OVIK!E23</f>
        <v>50</v>
      </c>
      <c r="H80" s="85"/>
      <c r="I80" s="85">
        <f t="shared" si="33"/>
        <v>50</v>
      </c>
      <c r="J80" s="67"/>
      <c r="K80" s="68"/>
      <c r="L80" s="1467">
        <f>+[7]OVIK!H23</f>
        <v>0</v>
      </c>
      <c r="M80" s="1472"/>
      <c r="N80" s="1472">
        <f t="shared" si="34"/>
        <v>0</v>
      </c>
      <c r="O80" s="1469">
        <f>SUM(L80:N80)</f>
        <v>0</v>
      </c>
      <c r="P80" s="68"/>
      <c r="Q80" s="64">
        <f>+[7]OVIK!K23</f>
        <v>0</v>
      </c>
      <c r="R80" s="85"/>
      <c r="S80" s="85">
        <f t="shared" si="35"/>
        <v>0</v>
      </c>
      <c r="T80" s="67"/>
      <c r="V80" s="64">
        <f>+[7]OVIK!N23</f>
        <v>0</v>
      </c>
      <c r="W80" s="229"/>
      <c r="X80" s="85">
        <f t="shared" si="36"/>
        <v>0</v>
      </c>
      <c r="Y80" s="67">
        <f t="shared" si="37"/>
        <v>0</v>
      </c>
      <c r="Z80" s="68"/>
      <c r="AA80" s="64">
        <f>+[7]OVIK!Q23</f>
        <v>0</v>
      </c>
      <c r="AB80" s="229"/>
      <c r="AC80" s="85">
        <f t="shared" si="38"/>
        <v>0</v>
      </c>
      <c r="AD80" s="67">
        <f t="shared" si="39"/>
        <v>0</v>
      </c>
      <c r="AE80" s="68"/>
      <c r="AF80" s="64">
        <f t="shared" si="31"/>
        <v>50</v>
      </c>
      <c r="AG80" s="66">
        <f t="shared" si="29"/>
        <v>31</v>
      </c>
      <c r="AH80" s="66">
        <f t="shared" si="30"/>
        <v>81</v>
      </c>
      <c r="AI80" s="67"/>
    </row>
    <row r="81" spans="1:35" s="149" customFormat="1" ht="15" customHeight="1">
      <c r="A81" s="1470" t="s">
        <v>82</v>
      </c>
      <c r="B81" s="64">
        <v>430</v>
      </c>
      <c r="C81" s="85"/>
      <c r="D81" s="85">
        <f t="shared" si="32"/>
        <v>430</v>
      </c>
      <c r="E81" s="67">
        <f t="shared" ref="E81:E86" si="40">+D81/B81</f>
        <v>1</v>
      </c>
      <c r="F81" s="68"/>
      <c r="G81" s="64">
        <f>+[7]OVIK!E24</f>
        <v>1800</v>
      </c>
      <c r="H81" s="85"/>
      <c r="I81" s="85">
        <f t="shared" si="33"/>
        <v>1800</v>
      </c>
      <c r="J81" s="67"/>
      <c r="K81" s="68"/>
      <c r="L81" s="1467">
        <f>+[7]OVIK!H24</f>
        <v>0</v>
      </c>
      <c r="M81" s="1472"/>
      <c r="N81" s="1472">
        <f t="shared" si="34"/>
        <v>0</v>
      </c>
      <c r="O81" s="1469"/>
      <c r="P81" s="68"/>
      <c r="Q81" s="64">
        <f>+[7]OVIK!K24</f>
        <v>0</v>
      </c>
      <c r="R81" s="85"/>
      <c r="S81" s="85">
        <f t="shared" si="35"/>
        <v>0</v>
      </c>
      <c r="T81" s="67"/>
      <c r="V81" s="64">
        <f>+[7]OVIK!N24</f>
        <v>0</v>
      </c>
      <c r="W81" s="229"/>
      <c r="X81" s="85">
        <f t="shared" si="36"/>
        <v>0</v>
      </c>
      <c r="Y81" s="67">
        <f t="shared" si="37"/>
        <v>0</v>
      </c>
      <c r="Z81" s="68"/>
      <c r="AA81" s="64">
        <f>+[7]OVIK!Q24</f>
        <v>0</v>
      </c>
      <c r="AB81" s="229"/>
      <c r="AC81" s="85">
        <f t="shared" si="38"/>
        <v>0</v>
      </c>
      <c r="AD81" s="67">
        <f t="shared" si="39"/>
        <v>0</v>
      </c>
      <c r="AE81" s="68"/>
      <c r="AF81" s="64">
        <f t="shared" si="31"/>
        <v>2230</v>
      </c>
      <c r="AG81" s="66">
        <f t="shared" si="29"/>
        <v>0</v>
      </c>
      <c r="AH81" s="66">
        <f t="shared" si="30"/>
        <v>2230</v>
      </c>
      <c r="AI81" s="67"/>
    </row>
    <row r="82" spans="1:35" s="149" customFormat="1" ht="15" customHeight="1">
      <c r="A82" s="1470" t="s">
        <v>83</v>
      </c>
      <c r="B82" s="64">
        <v>200</v>
      </c>
      <c r="C82" s="85"/>
      <c r="D82" s="85">
        <f t="shared" si="32"/>
        <v>200</v>
      </c>
      <c r="E82" s="67">
        <f t="shared" si="40"/>
        <v>1</v>
      </c>
      <c r="F82" s="68"/>
      <c r="G82" s="64">
        <f>+[7]OVIK!E25</f>
        <v>1000</v>
      </c>
      <c r="H82" s="85"/>
      <c r="I82" s="85">
        <f t="shared" si="33"/>
        <v>1000</v>
      </c>
      <c r="J82" s="67"/>
      <c r="K82" s="68"/>
      <c r="L82" s="1467">
        <f>+[7]OVIK!H25</f>
        <v>0</v>
      </c>
      <c r="M82" s="1472"/>
      <c r="N82" s="1472">
        <f t="shared" si="34"/>
        <v>0</v>
      </c>
      <c r="O82" s="1469"/>
      <c r="P82" s="68"/>
      <c r="Q82" s="64">
        <f>+[7]OVIK!K25</f>
        <v>0</v>
      </c>
      <c r="R82" s="85"/>
      <c r="S82" s="85">
        <f t="shared" si="35"/>
        <v>0</v>
      </c>
      <c r="T82" s="67"/>
      <c r="V82" s="64">
        <f>+[7]OVIK!N25</f>
        <v>0</v>
      </c>
      <c r="W82" s="229"/>
      <c r="X82" s="85">
        <f t="shared" si="36"/>
        <v>0</v>
      </c>
      <c r="Y82" s="67">
        <f t="shared" si="37"/>
        <v>0</v>
      </c>
      <c r="Z82" s="68"/>
      <c r="AA82" s="64">
        <f>+[7]OVIK!Q25</f>
        <v>0</v>
      </c>
      <c r="AB82" s="229"/>
      <c r="AC82" s="85">
        <f t="shared" si="38"/>
        <v>0</v>
      </c>
      <c r="AD82" s="67">
        <f t="shared" si="39"/>
        <v>0</v>
      </c>
      <c r="AE82" s="68"/>
      <c r="AF82" s="64">
        <f t="shared" si="31"/>
        <v>1200</v>
      </c>
      <c r="AG82" s="66">
        <f t="shared" si="29"/>
        <v>0</v>
      </c>
      <c r="AH82" s="66">
        <f t="shared" si="30"/>
        <v>1200</v>
      </c>
      <c r="AI82" s="67"/>
    </row>
    <row r="83" spans="1:35" s="149" customFormat="1" ht="15" customHeight="1">
      <c r="A83" s="1470" t="s">
        <v>84</v>
      </c>
      <c r="B83" s="64">
        <f>+[7]OVIK!B26</f>
        <v>60</v>
      </c>
      <c r="C83" s="85"/>
      <c r="D83" s="85">
        <f t="shared" si="32"/>
        <v>60</v>
      </c>
      <c r="E83" s="67">
        <f t="shared" si="40"/>
        <v>1</v>
      </c>
      <c r="F83" s="68"/>
      <c r="G83" s="64">
        <f>+[7]OVIK!E26</f>
        <v>400</v>
      </c>
      <c r="H83" s="85"/>
      <c r="I83" s="85">
        <f t="shared" si="33"/>
        <v>400</v>
      </c>
      <c r="J83" s="67"/>
      <c r="K83" s="68"/>
      <c r="L83" s="1467">
        <f>+[7]OVIK!H26</f>
        <v>0</v>
      </c>
      <c r="M83" s="1472"/>
      <c r="N83" s="1472">
        <f t="shared" si="34"/>
        <v>0</v>
      </c>
      <c r="O83" s="1469"/>
      <c r="P83" s="68"/>
      <c r="Q83" s="64">
        <f>+[7]OVIK!K26</f>
        <v>0</v>
      </c>
      <c r="R83" s="85"/>
      <c r="S83" s="85">
        <f t="shared" si="35"/>
        <v>0</v>
      </c>
      <c r="T83" s="67"/>
      <c r="V83" s="64">
        <f>+[7]OVIK!N26</f>
        <v>0</v>
      </c>
      <c r="W83" s="229"/>
      <c r="X83" s="85">
        <f t="shared" si="36"/>
        <v>0</v>
      </c>
      <c r="Y83" s="67">
        <f t="shared" si="37"/>
        <v>0</v>
      </c>
      <c r="Z83" s="68"/>
      <c r="AA83" s="64">
        <f>+[7]OVIK!Q26</f>
        <v>0</v>
      </c>
      <c r="AB83" s="229"/>
      <c r="AC83" s="85">
        <f t="shared" si="38"/>
        <v>0</v>
      </c>
      <c r="AD83" s="67">
        <f t="shared" si="39"/>
        <v>0</v>
      </c>
      <c r="AE83" s="68"/>
      <c r="AF83" s="64">
        <f t="shared" si="31"/>
        <v>460</v>
      </c>
      <c r="AG83" s="66">
        <f t="shared" si="29"/>
        <v>0</v>
      </c>
      <c r="AH83" s="66">
        <f t="shared" si="30"/>
        <v>460</v>
      </c>
      <c r="AI83" s="67"/>
    </row>
    <row r="84" spans="1:35" s="149" customFormat="1" ht="15" customHeight="1">
      <c r="A84" s="1470" t="s">
        <v>85</v>
      </c>
      <c r="B84" s="64">
        <f>+[7]OVIK!B27</f>
        <v>150</v>
      </c>
      <c r="C84" s="85"/>
      <c r="D84" s="85">
        <f t="shared" si="32"/>
        <v>150</v>
      </c>
      <c r="E84" s="67">
        <f t="shared" si="40"/>
        <v>1</v>
      </c>
      <c r="F84" s="68"/>
      <c r="G84" s="64">
        <v>240</v>
      </c>
      <c r="H84" s="85"/>
      <c r="I84" s="85">
        <f t="shared" si="33"/>
        <v>240</v>
      </c>
      <c r="J84" s="67"/>
      <c r="K84" s="68"/>
      <c r="L84" s="1467">
        <f>+[7]OVIK!H27</f>
        <v>0</v>
      </c>
      <c r="M84" s="1472"/>
      <c r="N84" s="1472">
        <f t="shared" si="34"/>
        <v>0</v>
      </c>
      <c r="O84" s="1469"/>
      <c r="P84" s="68"/>
      <c r="Q84" s="64">
        <f>+[7]OVIK!K27</f>
        <v>0</v>
      </c>
      <c r="R84" s="85"/>
      <c r="S84" s="85">
        <f t="shared" si="35"/>
        <v>0</v>
      </c>
      <c r="T84" s="67"/>
      <c r="V84" s="64">
        <f>+[7]OVIK!N27</f>
        <v>0</v>
      </c>
      <c r="W84" s="229"/>
      <c r="X84" s="85">
        <f t="shared" si="36"/>
        <v>0</v>
      </c>
      <c r="Y84" s="67">
        <f t="shared" si="37"/>
        <v>0</v>
      </c>
      <c r="Z84" s="68"/>
      <c r="AA84" s="84">
        <f>+[7]OVIK!Q27</f>
        <v>0</v>
      </c>
      <c r="AB84" s="85"/>
      <c r="AC84" s="85">
        <f t="shared" si="38"/>
        <v>0</v>
      </c>
      <c r="AD84" s="86">
        <f t="shared" si="39"/>
        <v>0</v>
      </c>
      <c r="AE84" s="68"/>
      <c r="AF84" s="64">
        <f t="shared" si="31"/>
        <v>390</v>
      </c>
      <c r="AG84" s="66">
        <f t="shared" si="29"/>
        <v>0</v>
      </c>
      <c r="AH84" s="66">
        <f t="shared" si="30"/>
        <v>390</v>
      </c>
      <c r="AI84" s="67"/>
    </row>
    <row r="85" spans="1:35" s="149" customFormat="1" ht="15" customHeight="1">
      <c r="A85" s="1517" t="s">
        <v>86</v>
      </c>
      <c r="B85" s="64">
        <f>+[7]OVIK!B28</f>
        <v>50</v>
      </c>
      <c r="C85" s="74">
        <f>+[3]MOVI!$H$16</f>
        <v>16</v>
      </c>
      <c r="D85" s="74">
        <f t="shared" si="32"/>
        <v>66</v>
      </c>
      <c r="E85" s="67">
        <f t="shared" si="40"/>
        <v>1.32</v>
      </c>
      <c r="F85" s="68"/>
      <c r="G85" s="64">
        <f>+[7]OVIK!E28</f>
        <v>200</v>
      </c>
      <c r="H85" s="74"/>
      <c r="I85" s="74">
        <f t="shared" si="33"/>
        <v>200</v>
      </c>
      <c r="J85" s="75"/>
      <c r="K85" s="68"/>
      <c r="L85" s="1467">
        <f>+[7]OVIK!H28</f>
        <v>0</v>
      </c>
      <c r="M85" s="1474"/>
      <c r="N85" s="1474">
        <f t="shared" si="34"/>
        <v>0</v>
      </c>
      <c r="O85" s="1522"/>
      <c r="P85" s="68"/>
      <c r="Q85" s="64">
        <f>+[7]OVIK!K28</f>
        <v>0</v>
      </c>
      <c r="R85" s="74"/>
      <c r="S85" s="74">
        <f t="shared" si="35"/>
        <v>0</v>
      </c>
      <c r="T85" s="75"/>
      <c r="V85" s="64">
        <f>+[7]OVIK!N28</f>
        <v>0</v>
      </c>
      <c r="W85" s="1349"/>
      <c r="X85" s="74">
        <f t="shared" si="36"/>
        <v>0</v>
      </c>
      <c r="Y85" s="75">
        <f t="shared" si="37"/>
        <v>0</v>
      </c>
      <c r="Z85" s="68"/>
      <c r="AA85" s="64">
        <f>+[7]OVIK!Q28</f>
        <v>0</v>
      </c>
      <c r="AB85" s="74"/>
      <c r="AC85" s="74">
        <f t="shared" si="38"/>
        <v>0</v>
      </c>
      <c r="AD85" s="75">
        <f t="shared" si="39"/>
        <v>0</v>
      </c>
      <c r="AE85" s="68"/>
      <c r="AF85" s="1423">
        <f t="shared" si="31"/>
        <v>250</v>
      </c>
      <c r="AG85" s="66">
        <f t="shared" si="29"/>
        <v>16</v>
      </c>
      <c r="AH85" s="66">
        <f t="shared" si="30"/>
        <v>266</v>
      </c>
      <c r="AI85" s="75"/>
    </row>
    <row r="86" spans="1:35" s="149" customFormat="1" ht="15" customHeight="1">
      <c r="A86" s="1470" t="s">
        <v>87</v>
      </c>
      <c r="B86" s="64">
        <f>+[7]OVIK!B29</f>
        <v>120</v>
      </c>
      <c r="C86" s="85"/>
      <c r="D86" s="85">
        <f t="shared" si="32"/>
        <v>120</v>
      </c>
      <c r="E86" s="67">
        <f t="shared" si="40"/>
        <v>1</v>
      </c>
      <c r="F86" s="68"/>
      <c r="G86" s="64">
        <f>+[7]OVIK!E29</f>
        <v>200</v>
      </c>
      <c r="H86" s="85"/>
      <c r="I86" s="85">
        <f t="shared" si="33"/>
        <v>200</v>
      </c>
      <c r="J86" s="86"/>
      <c r="K86" s="68"/>
      <c r="L86" s="1467">
        <f>+[7]OVIK!H29</f>
        <v>0</v>
      </c>
      <c r="M86" s="1891"/>
      <c r="N86" s="1890">
        <f t="shared" si="34"/>
        <v>0</v>
      </c>
      <c r="O86" s="1523"/>
      <c r="P86" s="68"/>
      <c r="Q86" s="64">
        <f>+[7]OVIK!K29</f>
        <v>0</v>
      </c>
      <c r="R86" s="85"/>
      <c r="S86" s="85">
        <f t="shared" si="35"/>
        <v>0</v>
      </c>
      <c r="T86" s="86"/>
      <c r="V86" s="64">
        <f>+[7]OVIK!N29</f>
        <v>0</v>
      </c>
      <c r="W86" s="229"/>
      <c r="X86" s="85">
        <f t="shared" si="36"/>
        <v>0</v>
      </c>
      <c r="Y86" s="86">
        <f t="shared" si="37"/>
        <v>0</v>
      </c>
      <c r="Z86" s="68"/>
      <c r="AA86" s="64">
        <f>+[7]OVIK!Q29</f>
        <v>150</v>
      </c>
      <c r="AB86" s="85">
        <f>+[3]KIK!$J$4</f>
        <v>-40</v>
      </c>
      <c r="AC86" s="85">
        <f t="shared" si="38"/>
        <v>110</v>
      </c>
      <c r="AD86" s="86"/>
      <c r="AE86" s="68"/>
      <c r="AF86" s="84">
        <f t="shared" si="31"/>
        <v>470</v>
      </c>
      <c r="AG86" s="66">
        <f t="shared" si="29"/>
        <v>-40</v>
      </c>
      <c r="AH86" s="66">
        <f t="shared" si="30"/>
        <v>430</v>
      </c>
      <c r="AI86" s="86"/>
    </row>
    <row r="87" spans="1:35" s="149" customFormat="1" ht="15" customHeight="1">
      <c r="A87" s="1470" t="s">
        <v>88</v>
      </c>
      <c r="B87" s="84">
        <f>+[7]OVIK!B30</f>
        <v>0</v>
      </c>
      <c r="C87" s="85"/>
      <c r="D87" s="85">
        <f t="shared" si="32"/>
        <v>0</v>
      </c>
      <c r="E87" s="67"/>
      <c r="F87" s="68"/>
      <c r="G87" s="84">
        <f>+[7]OVIK!E30</f>
        <v>0</v>
      </c>
      <c r="H87" s="85"/>
      <c r="I87" s="85">
        <f t="shared" si="33"/>
        <v>0</v>
      </c>
      <c r="J87" s="86"/>
      <c r="K87" s="68"/>
      <c r="L87" s="1471">
        <f>+[7]OVIK!H30</f>
        <v>0</v>
      </c>
      <c r="M87" s="1472"/>
      <c r="N87" s="1472">
        <f t="shared" si="34"/>
        <v>0</v>
      </c>
      <c r="O87" s="1523">
        <f>SUM(L87:N87)</f>
        <v>0</v>
      </c>
      <c r="P87" s="68"/>
      <c r="Q87" s="84">
        <f>+[7]OVIK!K30</f>
        <v>0</v>
      </c>
      <c r="R87" s="85"/>
      <c r="S87" s="85">
        <f t="shared" si="35"/>
        <v>0</v>
      </c>
      <c r="T87" s="86"/>
      <c r="V87" s="84">
        <f>+[7]OVIK!N30</f>
        <v>0</v>
      </c>
      <c r="W87" s="229"/>
      <c r="X87" s="85">
        <f t="shared" si="36"/>
        <v>0</v>
      </c>
      <c r="Y87" s="86">
        <f t="shared" si="37"/>
        <v>0</v>
      </c>
      <c r="Z87" s="68"/>
      <c r="AA87" s="84">
        <f>+[7]OVIK!Q30</f>
        <v>0</v>
      </c>
      <c r="AB87" s="85"/>
      <c r="AC87" s="85">
        <f t="shared" si="38"/>
        <v>0</v>
      </c>
      <c r="AD87" s="86">
        <f t="shared" si="39"/>
        <v>0</v>
      </c>
      <c r="AE87" s="68"/>
      <c r="AF87" s="84">
        <f t="shared" si="31"/>
        <v>0</v>
      </c>
      <c r="AG87" s="66">
        <f t="shared" si="29"/>
        <v>0</v>
      </c>
      <c r="AH87" s="66">
        <f t="shared" si="30"/>
        <v>0</v>
      </c>
      <c r="AI87" s="86">
        <f>SUM(AF87:AH87)</f>
        <v>0</v>
      </c>
    </row>
    <row r="88" spans="1:35" s="149" customFormat="1" ht="15" customHeight="1">
      <c r="A88" s="1470" t="s">
        <v>383</v>
      </c>
      <c r="B88" s="84">
        <f>+[7]OVIK!B31</f>
        <v>0</v>
      </c>
      <c r="C88" s="85"/>
      <c r="D88" s="85">
        <f t="shared" si="32"/>
        <v>0</v>
      </c>
      <c r="E88" s="67"/>
      <c r="F88" s="68"/>
      <c r="G88" s="84">
        <f>+[7]OVIK!E31</f>
        <v>0</v>
      </c>
      <c r="H88" s="85"/>
      <c r="I88" s="85">
        <f t="shared" si="33"/>
        <v>0</v>
      </c>
      <c r="J88" s="86"/>
      <c r="K88" s="68"/>
      <c r="L88" s="1471">
        <f>+[7]OVIK!H31</f>
        <v>0</v>
      </c>
      <c r="M88" s="1472"/>
      <c r="N88" s="1472">
        <f t="shared" si="34"/>
        <v>0</v>
      </c>
      <c r="O88" s="1523">
        <f>SUM(L88:N88)</f>
        <v>0</v>
      </c>
      <c r="P88" s="68"/>
      <c r="Q88" s="84">
        <f>+[7]OVIK!K31</f>
        <v>0</v>
      </c>
      <c r="R88" s="85"/>
      <c r="S88" s="85">
        <f t="shared" si="35"/>
        <v>0</v>
      </c>
      <c r="T88" s="86"/>
      <c r="V88" s="84">
        <f>+[7]OVIK!N31</f>
        <v>0</v>
      </c>
      <c r="W88" s="229"/>
      <c r="X88" s="85">
        <f t="shared" si="36"/>
        <v>0</v>
      </c>
      <c r="Y88" s="86">
        <f t="shared" si="37"/>
        <v>0</v>
      </c>
      <c r="Z88" s="68"/>
      <c r="AA88" s="84">
        <f>+[7]OVIK!Q31</f>
        <v>0</v>
      </c>
      <c r="AB88" s="85"/>
      <c r="AC88" s="85">
        <f t="shared" si="38"/>
        <v>0</v>
      </c>
      <c r="AD88" s="86">
        <f t="shared" si="39"/>
        <v>0</v>
      </c>
      <c r="AE88" s="68"/>
      <c r="AF88" s="84">
        <f t="shared" si="31"/>
        <v>0</v>
      </c>
      <c r="AG88" s="66">
        <f t="shared" si="29"/>
        <v>0</v>
      </c>
      <c r="AH88" s="66">
        <f t="shared" si="30"/>
        <v>0</v>
      </c>
      <c r="AI88" s="86">
        <f>SUM(AF88:AH88)</f>
        <v>0</v>
      </c>
    </row>
    <row r="89" spans="1:35" s="149" customFormat="1" ht="15" customHeight="1" thickBot="1">
      <c r="A89" s="1517" t="s">
        <v>90</v>
      </c>
      <c r="B89" s="73">
        <f>+[7]OVIK!B32</f>
        <v>0</v>
      </c>
      <c r="C89" s="74"/>
      <c r="D89" s="74">
        <f t="shared" si="32"/>
        <v>0</v>
      </c>
      <c r="E89" s="67"/>
      <c r="F89" s="68"/>
      <c r="G89" s="94">
        <f>+[7]OVIK!E32</f>
        <v>0</v>
      </c>
      <c r="H89" s="74"/>
      <c r="I89" s="74">
        <f t="shared" si="33"/>
        <v>0</v>
      </c>
      <c r="J89" s="176"/>
      <c r="K89" s="68"/>
      <c r="L89" s="1473">
        <f>+[7]OVIK!H32</f>
        <v>0</v>
      </c>
      <c r="M89" s="1474"/>
      <c r="N89" s="1474">
        <f t="shared" si="34"/>
        <v>0</v>
      </c>
      <c r="O89" s="1524">
        <f>SUM(L89:N89)</f>
        <v>0</v>
      </c>
      <c r="P89" s="68"/>
      <c r="Q89" s="73">
        <f>+[7]OVIK!K32</f>
        <v>0</v>
      </c>
      <c r="R89" s="74"/>
      <c r="S89" s="74">
        <f t="shared" si="35"/>
        <v>0</v>
      </c>
      <c r="T89" s="176"/>
      <c r="V89" s="73">
        <f>+[7]OVIK!N32</f>
        <v>0</v>
      </c>
      <c r="W89" s="1349"/>
      <c r="X89" s="74">
        <f t="shared" si="36"/>
        <v>0</v>
      </c>
      <c r="Y89" s="176">
        <f t="shared" si="37"/>
        <v>0</v>
      </c>
      <c r="Z89" s="68"/>
      <c r="AA89" s="73">
        <f>+[7]OVIK!Q32</f>
        <v>0</v>
      </c>
      <c r="AB89" s="74"/>
      <c r="AC89" s="74">
        <f t="shared" si="38"/>
        <v>0</v>
      </c>
      <c r="AD89" s="176">
        <f t="shared" si="39"/>
        <v>0</v>
      </c>
      <c r="AE89" s="68"/>
      <c r="AF89" s="73">
        <f t="shared" si="31"/>
        <v>0</v>
      </c>
      <c r="AG89" s="1366">
        <f t="shared" si="29"/>
        <v>0</v>
      </c>
      <c r="AH89" s="1366">
        <f t="shared" si="30"/>
        <v>0</v>
      </c>
      <c r="AI89" s="176">
        <f>SUM(AF89:AH89)</f>
        <v>0</v>
      </c>
    </row>
    <row r="90" spans="1:35" s="149" customFormat="1" ht="15" customHeight="1" thickBot="1">
      <c r="A90" s="1388" t="s">
        <v>91</v>
      </c>
      <c r="B90" s="1429">
        <f>SUM(B78:B89)</f>
        <v>6153.6</v>
      </c>
      <c r="C90" s="1430">
        <f>SUM(C78:C89)</f>
        <v>146</v>
      </c>
      <c r="D90" s="1430">
        <f>SUM(D78:D89)</f>
        <v>6299.6</v>
      </c>
      <c r="E90" s="1414">
        <f>+D90/B90</f>
        <v>1.0237259490379615</v>
      </c>
      <c r="F90" s="68"/>
      <c r="G90" s="1429">
        <f>SUM(G78:G89)</f>
        <v>3890</v>
      </c>
      <c r="H90" s="1430"/>
      <c r="I90" s="1430">
        <f>SUM(I78:I89)</f>
        <v>3890</v>
      </c>
      <c r="J90" s="1414">
        <f>+I90/G90</f>
        <v>1</v>
      </c>
      <c r="K90" s="68"/>
      <c r="L90" s="1519">
        <f>SUM(L78:L89)</f>
        <v>0</v>
      </c>
      <c r="M90" s="1520">
        <f>SUM(M78:M89)</f>
        <v>0</v>
      </c>
      <c r="N90" s="1520">
        <f>SUM(N78:N89)</f>
        <v>0</v>
      </c>
      <c r="O90" s="1521"/>
      <c r="P90" s="68"/>
      <c r="Q90" s="1429">
        <f>SUM(Q78:Q89)</f>
        <v>0</v>
      </c>
      <c r="R90" s="1430">
        <f>SUM(R78:R89)</f>
        <v>20</v>
      </c>
      <c r="S90" s="1430">
        <f>SUM(S78:S89)</f>
        <v>20</v>
      </c>
      <c r="T90" s="1414"/>
      <c r="V90" s="1429">
        <f>SUM(V78:V89)</f>
        <v>0</v>
      </c>
      <c r="W90" s="1442"/>
      <c r="X90" s="1430">
        <f>SUM(X78:X89)</f>
        <v>0</v>
      </c>
      <c r="Y90" s="1414"/>
      <c r="Z90" s="68"/>
      <c r="AA90" s="1429">
        <f>SUM(AA78:AA89)</f>
        <v>150</v>
      </c>
      <c r="AB90" s="1430">
        <f>SUM(AB78:AB89)</f>
        <v>-40</v>
      </c>
      <c r="AC90" s="1430">
        <f>SUM(AC78:AC89)</f>
        <v>110</v>
      </c>
      <c r="AD90" s="1414">
        <f t="shared" ref="AD90:AD95" si="41">+AC90/AA90</f>
        <v>0.73333333333333328</v>
      </c>
      <c r="AE90" s="68"/>
      <c r="AF90" s="1429">
        <f>SUM(AF78:AF89)</f>
        <v>10193.6</v>
      </c>
      <c r="AG90" s="1430">
        <f t="shared" si="29"/>
        <v>126</v>
      </c>
      <c r="AH90" s="1430">
        <f t="shared" si="30"/>
        <v>10319.6</v>
      </c>
      <c r="AI90" s="1414">
        <f t="shared" ref="AI90:AI95" si="42">+AH90/AF90</f>
        <v>1.0123606969078638</v>
      </c>
    </row>
    <row r="91" spans="1:35" s="149" customFormat="1" ht="15" customHeight="1" thickBot="1">
      <c r="A91" s="1388" t="s">
        <v>400</v>
      </c>
      <c r="B91" s="1525">
        <f>+(B73+B77+B90)*0.25</f>
        <v>1683.4</v>
      </c>
      <c r="C91" s="1526">
        <f>+[3]MOVI!$I$15</f>
        <v>30</v>
      </c>
      <c r="D91" s="1526">
        <f>SUM(B91:C91)</f>
        <v>1713.4</v>
      </c>
      <c r="E91" s="1415">
        <f>+D91/B91</f>
        <v>1.0178210763930142</v>
      </c>
      <c r="F91" s="68"/>
      <c r="G91" s="1887">
        <f>+(G73+G77+G90)*0.25</f>
        <v>1315</v>
      </c>
      <c r="H91" s="1430">
        <f>+[3]BOVI!$I$9</f>
        <v>-106</v>
      </c>
      <c r="I91" s="1526">
        <f>+(I73+I77+I90)*0.25</f>
        <v>1209.5</v>
      </c>
      <c r="J91" s="1415">
        <f>+I91/G91</f>
        <v>0.91977186311787074</v>
      </c>
      <c r="K91" s="68"/>
      <c r="L91" s="1527">
        <f>+(L73+L77+L90)*0.25</f>
        <v>11.25</v>
      </c>
      <c r="M91" s="1528">
        <f>+(M73+M77+M90)*0.25</f>
        <v>0</v>
      </c>
      <c r="N91" s="1528">
        <f>+(N73+N77+N90)*0.25</f>
        <v>11.25</v>
      </c>
      <c r="O91" s="1529">
        <f>+N91/L91</f>
        <v>1</v>
      </c>
      <c r="P91" s="68"/>
      <c r="Q91" s="1525">
        <f>+(Q73+Q77+Q90)*0.25</f>
        <v>10</v>
      </c>
      <c r="R91" s="1526"/>
      <c r="S91" s="1526">
        <f>+(S73+S77+S90)*0.25</f>
        <v>15</v>
      </c>
      <c r="T91" s="1415">
        <f>+S91/Q91</f>
        <v>1.5</v>
      </c>
      <c r="V91" s="1525">
        <f>+(V73+V77+V90)*0.25</f>
        <v>7.5</v>
      </c>
      <c r="W91" s="1442"/>
      <c r="X91" s="1526">
        <f>+(X73+X77+X90)*0.25</f>
        <v>7.5</v>
      </c>
      <c r="Y91" s="1415">
        <f>+X91/V91</f>
        <v>1</v>
      </c>
      <c r="Z91" s="68"/>
      <c r="AA91" s="1525">
        <f>+(AA73+AA77+AA90)*0.25</f>
        <v>103.75</v>
      </c>
      <c r="AB91" s="1526">
        <f>+(AB73+AB77+AB90)*0.25</f>
        <v>0</v>
      </c>
      <c r="AC91" s="1526">
        <f>+(AC73+AC77+AC90)*0.25</f>
        <v>103.75</v>
      </c>
      <c r="AD91" s="1415">
        <f t="shared" si="41"/>
        <v>1</v>
      </c>
      <c r="AE91" s="68"/>
      <c r="AF91" s="1429">
        <f t="shared" ref="AF91:AF96" si="43">+B91+G91+Q91+L91+V91+AA91</f>
        <v>3130.9</v>
      </c>
      <c r="AG91" s="1430">
        <f t="shared" si="29"/>
        <v>-76</v>
      </c>
      <c r="AH91" s="1430">
        <f t="shared" si="30"/>
        <v>3060.4</v>
      </c>
      <c r="AI91" s="1415">
        <f t="shared" si="42"/>
        <v>0.97748251301542688</v>
      </c>
    </row>
    <row r="92" spans="1:35" s="149" customFormat="1" ht="15" customHeight="1">
      <c r="A92" s="1481" t="s">
        <v>93</v>
      </c>
      <c r="B92" s="64">
        <f>+[7]OVIK!B35</f>
        <v>30</v>
      </c>
      <c r="C92" s="66"/>
      <c r="D92" s="66">
        <f>SUM(B92:C92)</f>
        <v>30</v>
      </c>
      <c r="E92" s="67">
        <f>+D92/B92</f>
        <v>1</v>
      </c>
      <c r="F92" s="68"/>
      <c r="G92" s="64">
        <f>+[7]OVIK!E35</f>
        <v>50</v>
      </c>
      <c r="H92" s="66"/>
      <c r="I92" s="66">
        <f>SUM(G92:H92)</f>
        <v>50</v>
      </c>
      <c r="J92" s="67">
        <f>+I92/G92</f>
        <v>1</v>
      </c>
      <c r="K92" s="68"/>
      <c r="L92" s="1467">
        <f>+[7]OVIK!H35</f>
        <v>0</v>
      </c>
      <c r="M92" s="1468"/>
      <c r="N92" s="1468">
        <f>SUM(L92:M92)</f>
        <v>0</v>
      </c>
      <c r="O92" s="1469"/>
      <c r="P92" s="68"/>
      <c r="Q92" s="64">
        <f>+[7]OVIK!K35</f>
        <v>0</v>
      </c>
      <c r="R92" s="66"/>
      <c r="S92" s="66">
        <f>SUM(Q92:R92)</f>
        <v>0</v>
      </c>
      <c r="T92" s="67"/>
      <c r="V92" s="64"/>
      <c r="W92" s="65"/>
      <c r="X92" s="66">
        <f>SUM(V92:W92)</f>
        <v>0</v>
      </c>
      <c r="Y92" s="67"/>
      <c r="Z92" s="68"/>
      <c r="AA92" s="64">
        <f>+[7]OVIK!Q35</f>
        <v>20</v>
      </c>
      <c r="AB92" s="66"/>
      <c r="AC92" s="66">
        <f>SUM(AA92:AB92)</f>
        <v>20</v>
      </c>
      <c r="AD92" s="67">
        <f t="shared" si="41"/>
        <v>1</v>
      </c>
      <c r="AE92" s="68"/>
      <c r="AF92" s="64">
        <f t="shared" si="43"/>
        <v>100</v>
      </c>
      <c r="AG92" s="66">
        <f t="shared" si="29"/>
        <v>0</v>
      </c>
      <c r="AH92" s="66">
        <f t="shared" si="30"/>
        <v>100</v>
      </c>
      <c r="AI92" s="67">
        <f t="shared" si="42"/>
        <v>1</v>
      </c>
    </row>
    <row r="93" spans="1:35" s="149" customFormat="1" ht="15" customHeight="1">
      <c r="A93" s="1470" t="s">
        <v>94</v>
      </c>
      <c r="B93" s="64">
        <f>+[7]OVIK!B36</f>
        <v>10</v>
      </c>
      <c r="C93" s="85"/>
      <c r="D93" s="85">
        <f>SUM(B93:C93)</f>
        <v>10</v>
      </c>
      <c r="E93" s="67">
        <f>+D93/B93</f>
        <v>1</v>
      </c>
      <c r="F93" s="68"/>
      <c r="G93" s="64">
        <f>+[7]OVIK!E36</f>
        <v>15</v>
      </c>
      <c r="H93" s="85"/>
      <c r="I93" s="85">
        <f>SUM(G93:H93)</f>
        <v>15</v>
      </c>
      <c r="J93" s="67">
        <f>+I93/G93</f>
        <v>1</v>
      </c>
      <c r="K93" s="68"/>
      <c r="L93" s="1467">
        <f>+[7]OVIK!H36</f>
        <v>0</v>
      </c>
      <c r="M93" s="1472"/>
      <c r="N93" s="1472">
        <f>SUM(L93:M93)</f>
        <v>0</v>
      </c>
      <c r="O93" s="1469"/>
      <c r="P93" s="68"/>
      <c r="Q93" s="64">
        <f>+[7]OVIK!K36</f>
        <v>0</v>
      </c>
      <c r="R93" s="85"/>
      <c r="S93" s="85">
        <f>SUM(Q93:R93)</f>
        <v>0</v>
      </c>
      <c r="T93" s="67"/>
      <c r="V93" s="64">
        <f>+[7]OVIK!N36</f>
        <v>0</v>
      </c>
      <c r="W93" s="229"/>
      <c r="X93" s="85">
        <f>SUM(V93:W93)</f>
        <v>0</v>
      </c>
      <c r="Y93" s="67"/>
      <c r="Z93" s="68"/>
      <c r="AA93" s="64">
        <f>+[7]OVIK!Q36</f>
        <v>10</v>
      </c>
      <c r="AB93" s="85"/>
      <c r="AC93" s="85">
        <f>SUM(AA93:AB93)</f>
        <v>10</v>
      </c>
      <c r="AD93" s="67">
        <f t="shared" si="41"/>
        <v>1</v>
      </c>
      <c r="AE93" s="68"/>
      <c r="AF93" s="64">
        <f t="shared" si="43"/>
        <v>35</v>
      </c>
      <c r="AG93" s="66">
        <f t="shared" si="29"/>
        <v>0</v>
      </c>
      <c r="AH93" s="66">
        <f t="shared" si="30"/>
        <v>35</v>
      </c>
      <c r="AI93" s="67">
        <f t="shared" si="42"/>
        <v>1</v>
      </c>
    </row>
    <row r="94" spans="1:35" s="149" customFormat="1" ht="15" customHeight="1" thickBot="1">
      <c r="A94" s="1517" t="s">
        <v>95</v>
      </c>
      <c r="B94" s="1423">
        <f>+[7]OVIK!B37</f>
        <v>0</v>
      </c>
      <c r="C94" s="74"/>
      <c r="D94" s="74">
        <f>SUM(B94:C94)</f>
        <v>0</v>
      </c>
      <c r="E94" s="67"/>
      <c r="F94" s="68"/>
      <c r="G94" s="1423">
        <f>+[7]OVIK!E37</f>
        <v>0</v>
      </c>
      <c r="H94" s="74"/>
      <c r="I94" s="74">
        <f>SUM(G94:H94)</f>
        <v>0</v>
      </c>
      <c r="J94" s="67"/>
      <c r="K94" s="68"/>
      <c r="L94" s="1518">
        <f>+[7]OVIK!H37</f>
        <v>0</v>
      </c>
      <c r="M94" s="1474"/>
      <c r="N94" s="1474">
        <f>SUM(L94:M94)</f>
        <v>0</v>
      </c>
      <c r="O94" s="1469"/>
      <c r="P94" s="68"/>
      <c r="Q94" s="1423">
        <f>+[7]OVIK!K37</f>
        <v>0</v>
      </c>
      <c r="R94" s="74"/>
      <c r="S94" s="74">
        <f>SUM(Q94:R94)</f>
        <v>0</v>
      </c>
      <c r="T94" s="67"/>
      <c r="V94" s="1423">
        <f>+[7]OVIK!N37</f>
        <v>0</v>
      </c>
      <c r="W94" s="1349"/>
      <c r="X94" s="74">
        <f>SUM(V94:W94)</f>
        <v>0</v>
      </c>
      <c r="Y94" s="67"/>
      <c r="Z94" s="68"/>
      <c r="AA94" s="1423">
        <f>+[7]OVIK!Q37</f>
        <v>0</v>
      </c>
      <c r="AB94" s="74"/>
      <c r="AC94" s="74">
        <f>SUM(AA94:AB94)</f>
        <v>0</v>
      </c>
      <c r="AD94" s="67"/>
      <c r="AE94" s="68"/>
      <c r="AF94" s="1423">
        <f t="shared" si="43"/>
        <v>0</v>
      </c>
      <c r="AG94" s="1366">
        <f t="shared" si="29"/>
        <v>0</v>
      </c>
      <c r="AH94" s="1366">
        <f t="shared" si="30"/>
        <v>0</v>
      </c>
      <c r="AI94" s="67"/>
    </row>
    <row r="95" spans="1:35" s="149" customFormat="1" ht="15" customHeight="1" thickBot="1">
      <c r="A95" s="1530" t="s">
        <v>96</v>
      </c>
      <c r="B95" s="1429">
        <f>SUM(B92:B94)</f>
        <v>40</v>
      </c>
      <c r="C95" s="1430">
        <f>SUM(C92:C94)</f>
        <v>0</v>
      </c>
      <c r="D95" s="1430">
        <f>SUM(D92:D94)</f>
        <v>40</v>
      </c>
      <c r="E95" s="1414">
        <f>+D95/B95</f>
        <v>1</v>
      </c>
      <c r="F95" s="68"/>
      <c r="G95" s="1429">
        <f>SUM(G92:G94)</f>
        <v>65</v>
      </c>
      <c r="H95" s="1430"/>
      <c r="I95" s="1430">
        <f>SUM(I92:I94)</f>
        <v>65</v>
      </c>
      <c r="J95" s="1414">
        <f>+I95/G95</f>
        <v>1</v>
      </c>
      <c r="K95" s="68"/>
      <c r="L95" s="1519">
        <f>SUM(L92:L94)</f>
        <v>0</v>
      </c>
      <c r="M95" s="1520">
        <f>SUM(M92:M94)</f>
        <v>0</v>
      </c>
      <c r="N95" s="1520">
        <f>SUM(N92:N94)</f>
        <v>0</v>
      </c>
      <c r="O95" s="1414"/>
      <c r="P95" s="68"/>
      <c r="Q95" s="1429">
        <f>SUM(Q92:Q94)</f>
        <v>0</v>
      </c>
      <c r="R95" s="1430">
        <f>SUM(R92:R94)</f>
        <v>0</v>
      </c>
      <c r="S95" s="1430">
        <f>SUM(S92:S94)</f>
        <v>0</v>
      </c>
      <c r="T95" s="1414"/>
      <c r="V95" s="1429">
        <f>SUM(V92:V94)</f>
        <v>0</v>
      </c>
      <c r="W95" s="1531"/>
      <c r="X95" s="1430">
        <f>SUM(X92:X94)</f>
        <v>0</v>
      </c>
      <c r="Y95" s="1414"/>
      <c r="Z95" s="68"/>
      <c r="AA95" s="1429">
        <f>SUM(AA92:AA94)</f>
        <v>30</v>
      </c>
      <c r="AB95" s="1430">
        <f>SUM(AB92:AB94)</f>
        <v>0</v>
      </c>
      <c r="AC95" s="1430">
        <f>SUM(AC92:AC94)</f>
        <v>30</v>
      </c>
      <c r="AD95" s="1414">
        <f t="shared" si="41"/>
        <v>1</v>
      </c>
      <c r="AE95" s="68"/>
      <c r="AF95" s="1429">
        <f t="shared" si="43"/>
        <v>135</v>
      </c>
      <c r="AG95" s="1430">
        <f t="shared" si="29"/>
        <v>0</v>
      </c>
      <c r="AH95" s="1430">
        <f t="shared" si="30"/>
        <v>135</v>
      </c>
      <c r="AI95" s="1414">
        <f t="shared" si="42"/>
        <v>1</v>
      </c>
    </row>
    <row r="96" spans="1:35" s="149" customFormat="1" ht="15" customHeight="1" thickBot="1">
      <c r="A96" s="1530" t="s">
        <v>368</v>
      </c>
      <c r="B96" s="1429"/>
      <c r="C96" s="1532"/>
      <c r="D96" s="1532"/>
      <c r="E96" s="75"/>
      <c r="G96" s="1429">
        <f>+[7]OVIK!E39</f>
        <v>60</v>
      </c>
      <c r="H96" s="1430">
        <f>+[7]OVIK!F39</f>
        <v>0</v>
      </c>
      <c r="I96" s="1430">
        <f>SUM(G96:H96)</f>
        <v>60</v>
      </c>
      <c r="J96" s="75">
        <f>+I96/G96</f>
        <v>1</v>
      </c>
      <c r="K96" s="68"/>
      <c r="L96" s="1519">
        <f>+[7]OVIK!H39</f>
        <v>0</v>
      </c>
      <c r="M96" s="1520">
        <f>+[7]OVIK!I39</f>
        <v>0</v>
      </c>
      <c r="N96" s="1533"/>
      <c r="O96" s="75"/>
      <c r="P96" s="68"/>
      <c r="Q96" s="1429">
        <f>+[7]OVIK!K39</f>
        <v>0</v>
      </c>
      <c r="R96" s="1532"/>
      <c r="S96" s="1532"/>
      <c r="T96" s="75"/>
      <c r="V96" s="1429">
        <f>+[7]OVIK!N39</f>
        <v>0</v>
      </c>
      <c r="W96" s="1534"/>
      <c r="X96" s="1532"/>
      <c r="Y96" s="75"/>
      <c r="AA96" s="1429">
        <f>+[7]OVIK!Q39</f>
        <v>0</v>
      </c>
      <c r="AB96" s="1430">
        <f>+[7]OVIK!R39</f>
        <v>0</v>
      </c>
      <c r="AC96" s="1532"/>
      <c r="AD96" s="75"/>
      <c r="AE96" s="68"/>
      <c r="AF96" s="1429">
        <f t="shared" si="43"/>
        <v>60</v>
      </c>
      <c r="AG96" s="1430">
        <f t="shared" si="29"/>
        <v>0</v>
      </c>
      <c r="AH96" s="1430">
        <f t="shared" si="30"/>
        <v>60</v>
      </c>
      <c r="AI96" s="75"/>
    </row>
    <row r="97" spans="1:35" s="149" customFormat="1" ht="15" customHeight="1" thickBot="1">
      <c r="A97" s="1388" t="s">
        <v>98</v>
      </c>
      <c r="B97" s="1429">
        <f>+B73+B77+B90+B91+B95+B96</f>
        <v>8457</v>
      </c>
      <c r="C97" s="1430">
        <f>+C73+C77+C90+C91+C95+C96</f>
        <v>254</v>
      </c>
      <c r="D97" s="1430">
        <f>+D73+D77+D90+D91+D95+D96</f>
        <v>8711</v>
      </c>
      <c r="E97" s="1414"/>
      <c r="F97" s="770"/>
      <c r="G97" s="1429">
        <f>+G73+G77+G90+G91+G95+G96</f>
        <v>6700</v>
      </c>
      <c r="H97" s="1430">
        <f>+H73+H77+H90+H91+H95+H96</f>
        <v>-528</v>
      </c>
      <c r="I97" s="1430">
        <f>+I73+I77+I90+I91+I95+I96</f>
        <v>6172.5</v>
      </c>
      <c r="J97" s="1414">
        <f>+I97/G97</f>
        <v>0.92126865671641789</v>
      </c>
      <c r="K97" s="68"/>
      <c r="L97" s="1519">
        <f>+L73+L77+L90+L91+L95+L96</f>
        <v>56.25</v>
      </c>
      <c r="M97" s="1520">
        <f>+M73+M77+M90+M91+M95+M96</f>
        <v>0</v>
      </c>
      <c r="N97" s="1520">
        <f>+N73+N77+N90+N91+N95+N96</f>
        <v>56.25</v>
      </c>
      <c r="O97" s="1414">
        <f>+N97/L97</f>
        <v>1</v>
      </c>
      <c r="P97" s="68"/>
      <c r="Q97" s="1429">
        <f>+Q73+Q77+Q90+Q91+Q95+Q96</f>
        <v>50</v>
      </c>
      <c r="R97" s="1430">
        <f>+R73+R77+R90+R91+R95+R96</f>
        <v>20</v>
      </c>
      <c r="S97" s="1430">
        <f>+S73+S77+S90+S91+S95+S96</f>
        <v>75</v>
      </c>
      <c r="T97" s="1414">
        <f>+S97/Q97</f>
        <v>1.5</v>
      </c>
      <c r="V97" s="1429">
        <f>+V73+V77+V90+V91+V95+V96</f>
        <v>37.5</v>
      </c>
      <c r="W97" s="1442"/>
      <c r="X97" s="1430">
        <f>+X73+X77+X90+X91+X95+X96</f>
        <v>37.5</v>
      </c>
      <c r="Y97" s="1414">
        <f>+X97/V97</f>
        <v>1</v>
      </c>
      <c r="AA97" s="1429">
        <f>+AA73+AA77+AA90+AA91+AA95+AA96</f>
        <v>548.75</v>
      </c>
      <c r="AB97" s="1430">
        <f>+AB73+AB77+AB90+AB91+AB95+AB96</f>
        <v>0</v>
      </c>
      <c r="AC97" s="1430">
        <f>+AC73+AC77+AC90+AC91+AC95+AC96</f>
        <v>548.75</v>
      </c>
      <c r="AD97" s="1414">
        <f>+AC97/AA97</f>
        <v>1</v>
      </c>
      <c r="AE97" s="68"/>
      <c r="AF97" s="1429">
        <f>+AF96+AF95+AF91+AF90+AF77+AF73</f>
        <v>15849.5</v>
      </c>
      <c r="AG97" s="1430">
        <f>+C97+H97+R97+M97+W97+AB97</f>
        <v>-254</v>
      </c>
      <c r="AH97" s="1430">
        <f t="shared" si="30"/>
        <v>15601</v>
      </c>
      <c r="AI97" s="1414">
        <f>+AH97/AF97</f>
        <v>0.98432127196441532</v>
      </c>
    </row>
    <row r="98" spans="1:35" s="13" customFormat="1" ht="15" customHeight="1">
      <c r="A98" s="1481" t="s">
        <v>99</v>
      </c>
      <c r="B98" s="64">
        <f>+[7]OVIK!B41</f>
        <v>0</v>
      </c>
      <c r="C98" s="66"/>
      <c r="D98" s="66">
        <f t="shared" ref="D98:D111" si="44">SUM(B98:C98)</f>
        <v>0</v>
      </c>
      <c r="E98" s="67"/>
      <c r="F98" s="232"/>
      <c r="G98" s="64">
        <f>+[7]OVIK!E41</f>
        <v>0</v>
      </c>
      <c r="H98" s="1535"/>
      <c r="I98" s="66">
        <f t="shared" ref="I98:I111" si="45">SUM(G98:H98)</f>
        <v>0</v>
      </c>
      <c r="J98" s="67"/>
      <c r="K98" s="149"/>
      <c r="L98" s="1467">
        <f>+[7]OVIK!H41</f>
        <v>0</v>
      </c>
      <c r="M98" s="1536"/>
      <c r="N98" s="1468">
        <f t="shared" ref="N98:N111" si="46">SUM(L98:M98)</f>
        <v>0</v>
      </c>
      <c r="O98" s="1469"/>
      <c r="P98" s="68"/>
      <c r="Q98" s="64">
        <f>+[7]OVIK!K41</f>
        <v>0</v>
      </c>
      <c r="R98" s="1535"/>
      <c r="S98" s="66">
        <f t="shared" ref="S98:S111" si="47">SUM(Q98:R98)</f>
        <v>0</v>
      </c>
      <c r="T98" s="67"/>
      <c r="U98" s="149"/>
      <c r="V98" s="64">
        <f>+[7]OVIK!N41</f>
        <v>0</v>
      </c>
      <c r="W98" s="1537"/>
      <c r="X98" s="66">
        <f t="shared" ref="X98:X111" si="48">SUM(V98:W98)</f>
        <v>0</v>
      </c>
      <c r="Y98" s="67"/>
      <c r="Z98" s="149"/>
      <c r="AA98" s="64">
        <f>+[7]OVIK!Q41</f>
        <v>0</v>
      </c>
      <c r="AB98" s="1535"/>
      <c r="AC98" s="66">
        <f t="shared" ref="AC98:AC111" si="49">SUM(AA98:AB98)</f>
        <v>0</v>
      </c>
      <c r="AD98" s="67"/>
      <c r="AE98" s="149"/>
      <c r="AF98" s="1431"/>
      <c r="AG98" s="66">
        <f t="shared" si="29"/>
        <v>0</v>
      </c>
      <c r="AH98" s="66">
        <f t="shared" si="30"/>
        <v>0</v>
      </c>
      <c r="AI98" s="67"/>
    </row>
    <row r="99" spans="1:35" s="69" customFormat="1" ht="15" customHeight="1">
      <c r="A99" s="1470" t="s">
        <v>369</v>
      </c>
      <c r="B99" s="84">
        <f>+[7]OVIK!B42</f>
        <v>0</v>
      </c>
      <c r="C99" s="85"/>
      <c r="D99" s="85">
        <f t="shared" si="44"/>
        <v>0</v>
      </c>
      <c r="E99" s="67"/>
      <c r="F99" s="771"/>
      <c r="G99" s="84">
        <f>+[7]OVIK!E42</f>
        <v>0</v>
      </c>
      <c r="H99" s="1538"/>
      <c r="I99" s="85">
        <f t="shared" si="45"/>
        <v>0</v>
      </c>
      <c r="J99" s="67"/>
      <c r="K99" s="149"/>
      <c r="L99" s="1467">
        <f>+[7]OVIK!H42</f>
        <v>0</v>
      </c>
      <c r="M99" s="1888"/>
      <c r="N99" s="1889">
        <f t="shared" si="46"/>
        <v>0</v>
      </c>
      <c r="O99" s="1469"/>
      <c r="P99" s="68"/>
      <c r="Q99" s="64">
        <f>+[7]OVIK!K42</f>
        <v>0</v>
      </c>
      <c r="R99" s="1538"/>
      <c r="S99" s="85">
        <f t="shared" si="47"/>
        <v>0</v>
      </c>
      <c r="T99" s="67"/>
      <c r="U99" s="13"/>
      <c r="V99" s="64">
        <f>+[7]OVIK!N42</f>
        <v>0</v>
      </c>
      <c r="W99" s="1540"/>
      <c r="X99" s="85">
        <f t="shared" si="48"/>
        <v>0</v>
      </c>
      <c r="Y99" s="67"/>
      <c r="Z99" s="13"/>
      <c r="AA99" s="64">
        <f>+[7]OVIK!Q42</f>
        <v>0</v>
      </c>
      <c r="AB99" s="1538"/>
      <c r="AC99" s="85">
        <f t="shared" si="49"/>
        <v>0</v>
      </c>
      <c r="AD99" s="67"/>
      <c r="AE99" s="149"/>
      <c r="AF99" s="1432"/>
      <c r="AG99" s="66">
        <f t="shared" si="29"/>
        <v>0</v>
      </c>
      <c r="AH99" s="66">
        <f t="shared" si="30"/>
        <v>0</v>
      </c>
      <c r="AI99" s="67"/>
    </row>
    <row r="100" spans="1:35" s="791" customFormat="1" ht="15" customHeight="1">
      <c r="A100" s="1541" t="s">
        <v>105</v>
      </c>
      <c r="B100" s="1542">
        <f>+(B49*0.1904)-0.16</f>
        <v>141.49760000000001</v>
      </c>
      <c r="C100" s="1377"/>
      <c r="D100" s="1377">
        <f t="shared" si="44"/>
        <v>141.49760000000001</v>
      </c>
      <c r="E100" s="67">
        <f>+D100/B100</f>
        <v>1</v>
      </c>
      <c r="F100" s="795"/>
      <c r="G100" s="1542">
        <f>+G49*0.1904</f>
        <v>332.24800000000005</v>
      </c>
      <c r="H100" s="1377"/>
      <c r="I100" s="1377">
        <f t="shared" si="45"/>
        <v>332.24800000000005</v>
      </c>
      <c r="J100" s="67">
        <f>+I100/G100</f>
        <v>1</v>
      </c>
      <c r="L100" s="1543">
        <f>+L49*0.1904</f>
        <v>131.18560000000002</v>
      </c>
      <c r="M100" s="1544"/>
      <c r="N100" s="1544">
        <f t="shared" si="46"/>
        <v>131.18560000000002</v>
      </c>
      <c r="O100" s="1469">
        <f>+N100/L100</f>
        <v>1</v>
      </c>
      <c r="Q100" s="1542">
        <f>+Q49*0.1904-0.19</f>
        <v>349.00360000000001</v>
      </c>
      <c r="R100" s="1377">
        <f>+[3]ROVI!$L$11</f>
        <v>17</v>
      </c>
      <c r="S100" s="1377">
        <f t="shared" si="47"/>
        <v>366.00360000000001</v>
      </c>
      <c r="T100" s="67">
        <f>+S100/Q100</f>
        <v>1.0487100992654517</v>
      </c>
      <c r="V100" s="1542">
        <f>+V49*0.1904</f>
        <v>196.68320000000003</v>
      </c>
      <c r="W100" s="1378"/>
      <c r="X100" s="1377">
        <f t="shared" si="48"/>
        <v>196.68320000000003</v>
      </c>
      <c r="Y100" s="67">
        <f>+X100/V100</f>
        <v>1</v>
      </c>
      <c r="AA100" s="1542">
        <f>+AA49*0.1904+1</f>
        <v>50.504000000000005</v>
      </c>
      <c r="AB100" s="1377"/>
      <c r="AC100" s="1377">
        <f t="shared" si="49"/>
        <v>50.504000000000005</v>
      </c>
      <c r="AD100" s="67">
        <f>+AC100/AA100</f>
        <v>1</v>
      </c>
      <c r="AF100" s="1433">
        <f>+B100+G100+Q100+L100+V100+AA100</f>
        <v>1201.1220000000001</v>
      </c>
      <c r="AG100" s="66">
        <f t="shared" si="29"/>
        <v>17</v>
      </c>
      <c r="AH100" s="66">
        <f t="shared" si="30"/>
        <v>1218.1220000000001</v>
      </c>
      <c r="AI100" s="67">
        <f>+AH100/AF100</f>
        <v>1.0141534332066184</v>
      </c>
    </row>
    <row r="101" spans="1:35" s="13" customFormat="1" ht="15" customHeight="1" thickBot="1">
      <c r="A101" s="1517" t="s">
        <v>386</v>
      </c>
      <c r="B101" s="73">
        <f>+[7]OVIK!B44</f>
        <v>234</v>
      </c>
      <c r="C101" s="74">
        <v>234</v>
      </c>
      <c r="D101" s="74">
        <f t="shared" si="44"/>
        <v>468</v>
      </c>
      <c r="E101" s="67">
        <f>+D101/B101</f>
        <v>2</v>
      </c>
      <c r="F101" s="772"/>
      <c r="G101" s="73">
        <f>+[7]OVIK!E44</f>
        <v>478</v>
      </c>
      <c r="H101" s="224">
        <f>+[3]BOVI!$J$7</f>
        <v>478</v>
      </c>
      <c r="I101" s="74">
        <f t="shared" si="45"/>
        <v>956</v>
      </c>
      <c r="J101" s="67">
        <f>+I101/G101</f>
        <v>2</v>
      </c>
      <c r="L101" s="1518">
        <f>+[7]OVIK!H44</f>
        <v>216</v>
      </c>
      <c r="M101" s="1545">
        <v>216</v>
      </c>
      <c r="N101" s="1474">
        <f t="shared" si="46"/>
        <v>432</v>
      </c>
      <c r="O101" s="1469">
        <f>+N101/L101</f>
        <v>2</v>
      </c>
      <c r="P101" s="68"/>
      <c r="Q101" s="1423">
        <f>+[7]OVIK!K44</f>
        <v>595</v>
      </c>
      <c r="R101" s="224">
        <f>+[3]ROVI!$J$10</f>
        <v>595</v>
      </c>
      <c r="S101" s="74">
        <f t="shared" si="47"/>
        <v>1190</v>
      </c>
      <c r="T101" s="67">
        <f>+S101/Q101</f>
        <v>2</v>
      </c>
      <c r="U101" s="149"/>
      <c r="V101" s="1423">
        <f>+[7]OVIK!N44</f>
        <v>325</v>
      </c>
      <c r="W101" s="1546">
        <v>325</v>
      </c>
      <c r="X101" s="74">
        <f t="shared" si="48"/>
        <v>650</v>
      </c>
      <c r="Y101" s="67">
        <f>+X101/V101</f>
        <v>2</v>
      </c>
      <c r="Z101" s="149"/>
      <c r="AA101" s="1423">
        <f>+[7]OVIK!Q44</f>
        <v>81</v>
      </c>
      <c r="AB101" s="224">
        <v>81</v>
      </c>
      <c r="AC101" s="74">
        <f t="shared" si="49"/>
        <v>162</v>
      </c>
      <c r="AD101" s="67">
        <f>+AC101/AA101</f>
        <v>2</v>
      </c>
      <c r="AF101" s="64">
        <f>+B101+G101+Q101+L101+V101+AA101</f>
        <v>1929</v>
      </c>
      <c r="AG101" s="1366">
        <f t="shared" si="29"/>
        <v>1929</v>
      </c>
      <c r="AH101" s="1366">
        <f t="shared" si="30"/>
        <v>3858</v>
      </c>
      <c r="AI101" s="67">
        <f>+AH101/AF101</f>
        <v>2</v>
      </c>
    </row>
    <row r="102" spans="1:35" s="13" customFormat="1" ht="15" customHeight="1" thickBot="1">
      <c r="A102" s="1388" t="s">
        <v>109</v>
      </c>
      <c r="B102" s="1297">
        <f>SUM(B97:B101)</f>
        <v>8832.4976000000006</v>
      </c>
      <c r="C102" s="1298">
        <f>SUM(C97:C101)</f>
        <v>488</v>
      </c>
      <c r="D102" s="1298">
        <f t="shared" si="44"/>
        <v>9320.4976000000006</v>
      </c>
      <c r="E102" s="1410">
        <f>+D102/B102</f>
        <v>1.0552505103426237</v>
      </c>
      <c r="G102" s="1297">
        <f>SUM(G97:G101)</f>
        <v>7510.2479999999996</v>
      </c>
      <c r="H102" s="1298">
        <f>SUM(H97:H101)</f>
        <v>-50</v>
      </c>
      <c r="I102" s="1298">
        <f t="shared" si="45"/>
        <v>7460.2479999999996</v>
      </c>
      <c r="J102" s="1410">
        <f>+I102/G102</f>
        <v>0.99334243023665791</v>
      </c>
      <c r="K102" s="12"/>
      <c r="L102" s="1484">
        <f>SUM(L97:L101)</f>
        <v>403.43560000000002</v>
      </c>
      <c r="M102" s="1485">
        <f>SUM(M97:M101)</f>
        <v>216</v>
      </c>
      <c r="N102" s="1485">
        <f t="shared" si="46"/>
        <v>619.43560000000002</v>
      </c>
      <c r="O102" s="1410">
        <f>+N102/L102</f>
        <v>1.5354014370571163</v>
      </c>
      <c r="P102" s="90"/>
      <c r="Q102" s="1297">
        <f>SUM(Q97:Q101)</f>
        <v>994.00360000000001</v>
      </c>
      <c r="R102" s="1298">
        <f>SUM(R97:R101)</f>
        <v>632</v>
      </c>
      <c r="S102" s="1298">
        <f t="shared" si="47"/>
        <v>1626.0036</v>
      </c>
      <c r="T102" s="1410">
        <f>+S102/Q102</f>
        <v>1.6358125865942539</v>
      </c>
      <c r="V102" s="1297">
        <f>SUM(V97:V101)</f>
        <v>559.18320000000006</v>
      </c>
      <c r="W102" s="1298">
        <f>SUM(W98:W101)</f>
        <v>325</v>
      </c>
      <c r="X102" s="1298">
        <f t="shared" si="48"/>
        <v>884.18320000000006</v>
      </c>
      <c r="Y102" s="1410">
        <f>+X102/V102</f>
        <v>1.5812048716771177</v>
      </c>
      <c r="Z102" s="12"/>
      <c r="AA102" s="1297">
        <f>SUM(AA97:AA101)</f>
        <v>680.25400000000002</v>
      </c>
      <c r="AB102" s="1298">
        <f>SUM(AB97:AB101)</f>
        <v>81</v>
      </c>
      <c r="AC102" s="1298">
        <f t="shared" si="49"/>
        <v>761.25400000000002</v>
      </c>
      <c r="AD102" s="1410">
        <f>+AC102/AA102</f>
        <v>1.1190731697277783</v>
      </c>
      <c r="AE102" s="12"/>
      <c r="AF102" s="1297">
        <f>SUM(AF97:AF101)</f>
        <v>18979.621999999999</v>
      </c>
      <c r="AG102" s="1298">
        <f t="shared" si="29"/>
        <v>1692</v>
      </c>
      <c r="AH102" s="1298">
        <f t="shared" si="30"/>
        <v>20671.622000000003</v>
      </c>
      <c r="AI102" s="1410">
        <f>+AH102/AF102</f>
        <v>1.0891482454181649</v>
      </c>
    </row>
    <row r="103" spans="1:35" s="149" customFormat="1" ht="15" customHeight="1">
      <c r="A103" s="1481" t="s">
        <v>110</v>
      </c>
      <c r="B103" s="64">
        <f>+[7]OVIK!B46</f>
        <v>0</v>
      </c>
      <c r="C103" s="1535"/>
      <c r="D103" s="66">
        <f t="shared" si="44"/>
        <v>0</v>
      </c>
      <c r="E103" s="67"/>
      <c r="G103" s="64">
        <f>+[7]OVIK!E46</f>
        <v>0</v>
      </c>
      <c r="H103" s="1535"/>
      <c r="I103" s="66">
        <f t="shared" si="45"/>
        <v>0</v>
      </c>
      <c r="J103" s="67"/>
      <c r="L103" s="1467">
        <f>+[7]OVIK!H46</f>
        <v>0</v>
      </c>
      <c r="M103" s="1536"/>
      <c r="N103" s="1468">
        <f t="shared" si="46"/>
        <v>0</v>
      </c>
      <c r="O103" s="1469"/>
      <c r="P103" s="68"/>
      <c r="Q103" s="64">
        <f>+[7]OVIK!K46</f>
        <v>0</v>
      </c>
      <c r="R103" s="1535"/>
      <c r="S103" s="66">
        <f t="shared" si="47"/>
        <v>0</v>
      </c>
      <c r="T103" s="67"/>
      <c r="V103" s="64">
        <f>+[7]OVIK!N46</f>
        <v>0</v>
      </c>
      <c r="W103" s="1537"/>
      <c r="X103" s="66">
        <f t="shared" si="48"/>
        <v>0</v>
      </c>
      <c r="Y103" s="67"/>
      <c r="AA103" s="64">
        <f>+[7]OVIK!Q46</f>
        <v>0</v>
      </c>
      <c r="AB103" s="1535"/>
      <c r="AC103" s="66">
        <f t="shared" si="49"/>
        <v>0</v>
      </c>
      <c r="AD103" s="67"/>
      <c r="AF103" s="1431"/>
      <c r="AG103" s="66">
        <f t="shared" si="29"/>
        <v>0</v>
      </c>
      <c r="AH103" s="66">
        <f t="shared" si="30"/>
        <v>0</v>
      </c>
      <c r="AI103" s="67"/>
    </row>
    <row r="104" spans="1:35" s="149" customFormat="1" ht="15" customHeight="1">
      <c r="A104" s="1481" t="s">
        <v>111</v>
      </c>
      <c r="B104" s="64">
        <f>+[7]OVIK!B47</f>
        <v>0</v>
      </c>
      <c r="C104" s="1535"/>
      <c r="D104" s="66">
        <f t="shared" si="44"/>
        <v>0</v>
      </c>
      <c r="E104" s="67"/>
      <c r="G104" s="64">
        <f>+[7]OVIK!E47</f>
        <v>0</v>
      </c>
      <c r="H104" s="1535"/>
      <c r="I104" s="66">
        <f t="shared" si="45"/>
        <v>0</v>
      </c>
      <c r="J104" s="67"/>
      <c r="K104" s="13"/>
      <c r="L104" s="1467">
        <f>+[7]OVIK!H47</f>
        <v>0</v>
      </c>
      <c r="M104" s="1536"/>
      <c r="N104" s="1468">
        <f t="shared" si="46"/>
        <v>0</v>
      </c>
      <c r="O104" s="1469"/>
      <c r="P104" s="90"/>
      <c r="Q104" s="64">
        <f>+[7]OVIK!K47</f>
        <v>0</v>
      </c>
      <c r="R104" s="1535"/>
      <c r="S104" s="66">
        <f t="shared" si="47"/>
        <v>0</v>
      </c>
      <c r="T104" s="67"/>
      <c r="V104" s="64">
        <f>+[7]OVIK!N47</f>
        <v>0</v>
      </c>
      <c r="W104" s="1537"/>
      <c r="X104" s="66">
        <f t="shared" si="48"/>
        <v>0</v>
      </c>
      <c r="Y104" s="67"/>
      <c r="AA104" s="64">
        <f>+[7]OVIK!Q47</f>
        <v>0</v>
      </c>
      <c r="AB104" s="1535"/>
      <c r="AC104" s="66">
        <f t="shared" si="49"/>
        <v>0</v>
      </c>
      <c r="AD104" s="67"/>
      <c r="AE104" s="13"/>
      <c r="AF104" s="1431"/>
      <c r="AG104" s="66">
        <f t="shared" si="29"/>
        <v>0</v>
      </c>
      <c r="AH104" s="66">
        <f t="shared" si="30"/>
        <v>0</v>
      </c>
      <c r="AI104" s="67"/>
    </row>
    <row r="105" spans="1:35" s="13" customFormat="1" ht="15" customHeight="1">
      <c r="A105" s="1470" t="s">
        <v>112</v>
      </c>
      <c r="B105" s="64">
        <f>+[7]OVIK!B48</f>
        <v>0</v>
      </c>
      <c r="C105" s="226"/>
      <c r="D105" s="85">
        <f t="shared" si="44"/>
        <v>0</v>
      </c>
      <c r="E105" s="67"/>
      <c r="F105" s="149"/>
      <c r="G105" s="64">
        <v>0</v>
      </c>
      <c r="H105" s="226">
        <f>+[3]BOVI!$P$4</f>
        <v>450</v>
      </c>
      <c r="I105" s="85">
        <f t="shared" si="45"/>
        <v>450</v>
      </c>
      <c r="J105" s="67"/>
      <c r="K105" s="149"/>
      <c r="L105" s="1467">
        <f>+[7]OVIK!H48</f>
        <v>0</v>
      </c>
      <c r="M105" s="1547"/>
      <c r="N105" s="1472">
        <f t="shared" si="46"/>
        <v>0</v>
      </c>
      <c r="O105" s="1469"/>
      <c r="P105" s="68"/>
      <c r="Q105" s="64">
        <f>+[7]OVIK!K48</f>
        <v>0</v>
      </c>
      <c r="R105" s="226"/>
      <c r="S105" s="85">
        <f t="shared" si="47"/>
        <v>0</v>
      </c>
      <c r="T105" s="67"/>
      <c r="U105" s="149"/>
      <c r="V105" s="64">
        <f>+[7]OVIK!N48</f>
        <v>0</v>
      </c>
      <c r="W105" s="231"/>
      <c r="X105" s="85">
        <f t="shared" si="48"/>
        <v>0</v>
      </c>
      <c r="Y105" s="67"/>
      <c r="Z105" s="149"/>
      <c r="AA105" s="64">
        <f>+[7]OVIK!Q48</f>
        <v>0</v>
      </c>
      <c r="AB105" s="226"/>
      <c r="AC105" s="85">
        <f t="shared" si="49"/>
        <v>0</v>
      </c>
      <c r="AD105" s="67"/>
      <c r="AE105" s="149"/>
      <c r="AF105" s="64">
        <f t="shared" ref="AF105:AF111" si="50">+B103+G105+Q105+L105+V105+AA105</f>
        <v>0</v>
      </c>
      <c r="AG105" s="66">
        <f t="shared" si="29"/>
        <v>450</v>
      </c>
      <c r="AH105" s="66">
        <f t="shared" si="30"/>
        <v>450</v>
      </c>
      <c r="AI105" s="67"/>
    </row>
    <row r="106" spans="1:35" s="13" customFormat="1" ht="15" customHeight="1">
      <c r="A106" s="1470" t="s">
        <v>113</v>
      </c>
      <c r="B106" s="64">
        <f>+[7]OVIK!B49</f>
        <v>0</v>
      </c>
      <c r="C106" s="226"/>
      <c r="D106" s="85">
        <f t="shared" si="44"/>
        <v>0</v>
      </c>
      <c r="E106" s="67"/>
      <c r="F106" s="149"/>
      <c r="G106" s="64">
        <f>+[7]OVIK!E49</f>
        <v>0</v>
      </c>
      <c r="H106" s="226"/>
      <c r="I106" s="85">
        <f t="shared" si="45"/>
        <v>0</v>
      </c>
      <c r="J106" s="67"/>
      <c r="K106" s="149"/>
      <c r="L106" s="1467">
        <f>+[7]OVIK!H49</f>
        <v>0</v>
      </c>
      <c r="M106" s="1547"/>
      <c r="N106" s="1472">
        <f t="shared" si="46"/>
        <v>0</v>
      </c>
      <c r="O106" s="1469"/>
      <c r="P106" s="68"/>
      <c r="Q106" s="64">
        <f>+[7]OVIK!K49</f>
        <v>0</v>
      </c>
      <c r="R106" s="226"/>
      <c r="S106" s="85">
        <f t="shared" si="47"/>
        <v>0</v>
      </c>
      <c r="T106" s="67"/>
      <c r="U106" s="149"/>
      <c r="V106" s="64">
        <f>+[7]OVIK!N49</f>
        <v>0</v>
      </c>
      <c r="W106" s="231"/>
      <c r="X106" s="85">
        <f t="shared" si="48"/>
        <v>0</v>
      </c>
      <c r="Y106" s="67"/>
      <c r="Z106" s="149"/>
      <c r="AA106" s="64">
        <f>+[7]OVIK!Q49</f>
        <v>0</v>
      </c>
      <c r="AB106" s="226"/>
      <c r="AC106" s="85">
        <f t="shared" si="49"/>
        <v>0</v>
      </c>
      <c r="AD106" s="67"/>
      <c r="AE106" s="149"/>
      <c r="AF106" s="64">
        <f t="shared" si="50"/>
        <v>0</v>
      </c>
      <c r="AG106" s="66">
        <f t="shared" si="29"/>
        <v>0</v>
      </c>
      <c r="AH106" s="66">
        <f t="shared" si="30"/>
        <v>0</v>
      </c>
      <c r="AI106" s="67"/>
    </row>
    <row r="107" spans="1:35" s="149" customFormat="1" ht="15" customHeight="1">
      <c r="A107" s="1470" t="s">
        <v>114</v>
      </c>
      <c r="B107" s="64">
        <f>+[7]OVIK!B50</f>
        <v>0</v>
      </c>
      <c r="C107" s="1538"/>
      <c r="D107" s="1374">
        <f t="shared" si="44"/>
        <v>0</v>
      </c>
      <c r="E107" s="67"/>
      <c r="F107" s="13"/>
      <c r="G107" s="64">
        <f>+[7]OVIK!E50</f>
        <v>0</v>
      </c>
      <c r="H107" s="1538"/>
      <c r="I107" s="85">
        <f t="shared" si="45"/>
        <v>0</v>
      </c>
      <c r="J107" s="67"/>
      <c r="L107" s="1467">
        <f>+[7]OVIK!H50</f>
        <v>0</v>
      </c>
      <c r="M107" s="1539"/>
      <c r="N107" s="1548">
        <f t="shared" si="46"/>
        <v>0</v>
      </c>
      <c r="O107" s="1469"/>
      <c r="P107" s="68"/>
      <c r="Q107" s="64">
        <f>+[7]OVIK!K50</f>
        <v>0</v>
      </c>
      <c r="R107" s="1538"/>
      <c r="S107" s="1374">
        <f t="shared" si="47"/>
        <v>0</v>
      </c>
      <c r="T107" s="67"/>
      <c r="U107" s="13"/>
      <c r="V107" s="64">
        <f>+[7]OVIK!N50</f>
        <v>0</v>
      </c>
      <c r="W107" s="1540"/>
      <c r="X107" s="1374">
        <f t="shared" si="48"/>
        <v>0</v>
      </c>
      <c r="Y107" s="67"/>
      <c r="Z107" s="13"/>
      <c r="AA107" s="64">
        <f>+[7]OVIK!Q50</f>
        <v>0</v>
      </c>
      <c r="AB107" s="1538"/>
      <c r="AC107" s="1374">
        <f t="shared" si="49"/>
        <v>0</v>
      </c>
      <c r="AD107" s="67"/>
      <c r="AF107" s="64">
        <f t="shared" si="50"/>
        <v>0</v>
      </c>
      <c r="AG107" s="66">
        <f t="shared" si="29"/>
        <v>0</v>
      </c>
      <c r="AH107" s="66">
        <f t="shared" si="30"/>
        <v>0</v>
      </c>
      <c r="AI107" s="67"/>
    </row>
    <row r="108" spans="1:35" s="13" customFormat="1" ht="15" customHeight="1">
      <c r="A108" s="1470" t="s">
        <v>401</v>
      </c>
      <c r="B108" s="64">
        <f>+[7]OVIK!B51</f>
        <v>0</v>
      </c>
      <c r="C108" s="226"/>
      <c r="D108" s="85">
        <f t="shared" si="44"/>
        <v>0</v>
      </c>
      <c r="E108" s="67"/>
      <c r="F108" s="149"/>
      <c r="G108" s="64">
        <f>+[7]OVIK!E51</f>
        <v>0</v>
      </c>
      <c r="H108" s="226"/>
      <c r="I108" s="85">
        <f t="shared" si="45"/>
        <v>0</v>
      </c>
      <c r="J108" s="67"/>
      <c r="K108" s="149"/>
      <c r="L108" s="1467">
        <f>+[7]OVIK!H51</f>
        <v>0</v>
      </c>
      <c r="M108" s="1547"/>
      <c r="N108" s="1472">
        <f t="shared" si="46"/>
        <v>0</v>
      </c>
      <c r="O108" s="1469"/>
      <c r="P108" s="68"/>
      <c r="Q108" s="64">
        <f>+[7]OVIK!K51</f>
        <v>0</v>
      </c>
      <c r="R108" s="226"/>
      <c r="S108" s="85">
        <f t="shared" si="47"/>
        <v>0</v>
      </c>
      <c r="T108" s="67"/>
      <c r="U108" s="149"/>
      <c r="V108" s="64">
        <f>+[7]OVIK!N51</f>
        <v>0</v>
      </c>
      <c r="W108" s="231"/>
      <c r="X108" s="85">
        <f t="shared" si="48"/>
        <v>0</v>
      </c>
      <c r="Y108" s="67"/>
      <c r="Z108" s="149"/>
      <c r="AA108" s="64">
        <f>+[7]OVIK!Q51</f>
        <v>0</v>
      </c>
      <c r="AB108" s="226"/>
      <c r="AC108" s="85">
        <f t="shared" si="49"/>
        <v>0</v>
      </c>
      <c r="AD108" s="67"/>
      <c r="AE108" s="149"/>
      <c r="AF108" s="64">
        <f t="shared" si="50"/>
        <v>0</v>
      </c>
      <c r="AG108" s="66">
        <f t="shared" si="29"/>
        <v>0</v>
      </c>
      <c r="AH108" s="66">
        <f t="shared" si="30"/>
        <v>0</v>
      </c>
      <c r="AI108" s="67"/>
    </row>
    <row r="109" spans="1:35" ht="15" customHeight="1">
      <c r="A109" s="1470" t="s">
        <v>116</v>
      </c>
      <c r="B109" s="64">
        <f>+[7]OVIK!B52</f>
        <v>0</v>
      </c>
      <c r="C109" s="1538"/>
      <c r="D109" s="1374">
        <f t="shared" si="44"/>
        <v>0</v>
      </c>
      <c r="E109" s="67"/>
      <c r="F109" s="13"/>
      <c r="G109" s="64">
        <f>+[7]OVIK!E52</f>
        <v>0</v>
      </c>
      <c r="H109" s="1538"/>
      <c r="I109" s="85">
        <f t="shared" si="45"/>
        <v>0</v>
      </c>
      <c r="J109" s="67"/>
      <c r="K109" s="13"/>
      <c r="L109" s="1467">
        <f>+[7]OVIK!H52</f>
        <v>0</v>
      </c>
      <c r="M109" s="1539"/>
      <c r="N109" s="1548">
        <f t="shared" si="46"/>
        <v>0</v>
      </c>
      <c r="O109" s="1469"/>
      <c r="P109" s="68"/>
      <c r="Q109" s="64">
        <f>+[7]OVIK!K52</f>
        <v>0</v>
      </c>
      <c r="R109" s="1538"/>
      <c r="S109" s="1374">
        <f t="shared" si="47"/>
        <v>0</v>
      </c>
      <c r="T109" s="67"/>
      <c r="U109" s="13"/>
      <c r="V109" s="64">
        <f>+[7]OVIK!N52</f>
        <v>0</v>
      </c>
      <c r="W109" s="1540"/>
      <c r="X109" s="1374">
        <f t="shared" si="48"/>
        <v>0</v>
      </c>
      <c r="Y109" s="67"/>
      <c r="Z109" s="13"/>
      <c r="AA109" s="64">
        <f>+[7]OVIK!Q52</f>
        <v>0</v>
      </c>
      <c r="AB109" s="1538"/>
      <c r="AC109" s="1374">
        <f t="shared" si="49"/>
        <v>0</v>
      </c>
      <c r="AD109" s="67"/>
      <c r="AE109" s="13"/>
      <c r="AF109" s="64">
        <f t="shared" si="50"/>
        <v>0</v>
      </c>
      <c r="AG109" s="66">
        <f t="shared" si="29"/>
        <v>0</v>
      </c>
      <c r="AH109" s="66">
        <f t="shared" si="30"/>
        <v>0</v>
      </c>
      <c r="AI109" s="67"/>
    </row>
    <row r="110" spans="1:35" ht="15" customHeight="1">
      <c r="A110" s="1549" t="s">
        <v>117</v>
      </c>
      <c r="B110" s="64">
        <f>+[7]OVIK!B53</f>
        <v>0</v>
      </c>
      <c r="C110" s="379"/>
      <c r="D110" s="24">
        <f t="shared" si="44"/>
        <v>0</v>
      </c>
      <c r="E110" s="67"/>
      <c r="F110" s="1"/>
      <c r="G110" s="64">
        <v>0</v>
      </c>
      <c r="H110" s="66">
        <f>SUM(H105:H109)</f>
        <v>450</v>
      </c>
      <c r="I110" s="24">
        <f t="shared" si="45"/>
        <v>450</v>
      </c>
      <c r="J110" s="67"/>
      <c r="K110" s="149"/>
      <c r="L110" s="1467"/>
      <c r="M110" s="1550"/>
      <c r="N110" s="1551">
        <f t="shared" si="46"/>
        <v>0</v>
      </c>
      <c r="O110" s="1469"/>
      <c r="P110" s="68"/>
      <c r="Q110" s="64"/>
      <c r="R110" s="379"/>
      <c r="S110" s="24">
        <f t="shared" si="47"/>
        <v>0</v>
      </c>
      <c r="T110" s="67"/>
      <c r="V110" s="64"/>
      <c r="W110" s="1552"/>
      <c r="X110" s="24">
        <f t="shared" si="48"/>
        <v>0</v>
      </c>
      <c r="Y110" s="67"/>
      <c r="AA110" s="64"/>
      <c r="AB110" s="379"/>
      <c r="AC110" s="24">
        <f t="shared" si="49"/>
        <v>0</v>
      </c>
      <c r="AD110" s="67"/>
      <c r="AE110" s="149"/>
      <c r="AF110" s="64">
        <f t="shared" si="50"/>
        <v>0</v>
      </c>
      <c r="AG110" s="66">
        <f t="shared" si="29"/>
        <v>450</v>
      </c>
      <c r="AH110" s="66">
        <f t="shared" si="30"/>
        <v>450</v>
      </c>
      <c r="AI110" s="67"/>
    </row>
    <row r="111" spans="1:35" ht="15" customHeight="1">
      <c r="A111" s="1553" t="s">
        <v>118</v>
      </c>
      <c r="B111" s="64">
        <f>+[7]OVIK!B54</f>
        <v>0</v>
      </c>
      <c r="C111" s="380"/>
      <c r="D111" s="19">
        <f t="shared" si="44"/>
        <v>0</v>
      </c>
      <c r="E111" s="67"/>
      <c r="F111" s="1"/>
      <c r="G111" s="64">
        <v>0</v>
      </c>
      <c r="H111" s="380">
        <f>+[3]BOVI!$P$9</f>
        <v>106</v>
      </c>
      <c r="I111" s="19">
        <f t="shared" si="45"/>
        <v>106</v>
      </c>
      <c r="J111" s="67"/>
      <c r="K111" s="13"/>
      <c r="L111" s="1518">
        <f>+[7]OVIK!H54</f>
        <v>0</v>
      </c>
      <c r="M111" s="1554"/>
      <c r="N111" s="1555">
        <f t="shared" si="46"/>
        <v>0</v>
      </c>
      <c r="O111" s="1469"/>
      <c r="P111" s="68"/>
      <c r="Q111" s="1423">
        <f>+[7]OVIK!K54</f>
        <v>0</v>
      </c>
      <c r="R111" s="380"/>
      <c r="S111" s="19">
        <f t="shared" si="47"/>
        <v>0</v>
      </c>
      <c r="T111" s="67"/>
      <c r="V111" s="1423">
        <f>+[7]OVIK!N54</f>
        <v>0</v>
      </c>
      <c r="W111" s="1556"/>
      <c r="X111" s="19">
        <f t="shared" si="48"/>
        <v>0</v>
      </c>
      <c r="Y111" s="67"/>
      <c r="AA111" s="1423">
        <f>+[7]OVIK!Q54</f>
        <v>0</v>
      </c>
      <c r="AB111" s="380"/>
      <c r="AC111" s="19">
        <f t="shared" si="49"/>
        <v>0</v>
      </c>
      <c r="AD111" s="67"/>
      <c r="AE111" s="13"/>
      <c r="AF111" s="1423">
        <f t="shared" si="50"/>
        <v>0</v>
      </c>
      <c r="AG111" s="1366">
        <f t="shared" si="29"/>
        <v>106</v>
      </c>
      <c r="AH111" s="1366">
        <f t="shared" si="30"/>
        <v>106</v>
      </c>
      <c r="AI111" s="67"/>
    </row>
    <row r="112" spans="1:35" ht="15" customHeight="1">
      <c r="A112" s="1557" t="s">
        <v>119</v>
      </c>
      <c r="B112" s="77">
        <f>SUM(B110:B111)</f>
        <v>0</v>
      </c>
      <c r="C112" s="78">
        <f>SUM(C110:C111)</f>
        <v>0</v>
      </c>
      <c r="D112" s="78">
        <f>SUM(D110:D111)</f>
        <v>0</v>
      </c>
      <c r="E112" s="79"/>
      <c r="F112" s="1"/>
      <c r="G112" s="77">
        <f>SUM(G110:G111)</f>
        <v>0</v>
      </c>
      <c r="H112" s="78">
        <f>SUM(H110:H111)</f>
        <v>556</v>
      </c>
      <c r="I112" s="78">
        <f>SUM(I110:I111)</f>
        <v>556</v>
      </c>
      <c r="J112" s="79"/>
      <c r="K112" s="1"/>
      <c r="L112" s="1500">
        <f>+[7]OVIK!H55</f>
        <v>0</v>
      </c>
      <c r="M112" s="1558"/>
      <c r="N112" s="1502">
        <f>SUM(N110:N111)</f>
        <v>0</v>
      </c>
      <c r="O112" s="1503"/>
      <c r="P112" s="68"/>
      <c r="Q112" s="77">
        <f>+[7]OVIK!K55</f>
        <v>0</v>
      </c>
      <c r="R112" s="1559"/>
      <c r="S112" s="78">
        <f>SUM(S110:S111)</f>
        <v>0</v>
      </c>
      <c r="T112" s="79"/>
      <c r="V112" s="77">
        <f>+[7]OVIK!N55</f>
        <v>0</v>
      </c>
      <c r="W112" s="1560"/>
      <c r="X112" s="78">
        <f>SUM(X110:X111)</f>
        <v>0</v>
      </c>
      <c r="Y112" s="79"/>
      <c r="AA112" s="77">
        <f>+[7]OVIK!Q55</f>
        <v>0</v>
      </c>
      <c r="AB112" s="78">
        <f>+[7]OVIK!R55</f>
        <v>0</v>
      </c>
      <c r="AC112" s="78">
        <f>+[7]OVIK!S55</f>
        <v>0</v>
      </c>
      <c r="AD112" s="79"/>
      <c r="AF112" s="374">
        <f>SUM(AF110:AF111)</f>
        <v>0</v>
      </c>
      <c r="AG112" s="78">
        <f t="shared" si="29"/>
        <v>556</v>
      </c>
      <c r="AH112" s="78">
        <f t="shared" si="30"/>
        <v>556</v>
      </c>
      <c r="AI112" s="79"/>
    </row>
    <row r="113" spans="1:37" ht="15" customHeight="1">
      <c r="A113" s="1481" t="s">
        <v>120</v>
      </c>
      <c r="B113" s="80"/>
      <c r="C113" s="81"/>
      <c r="D113" s="381"/>
      <c r="E113" s="1416"/>
      <c r="F113" s="68"/>
      <c r="G113" s="64">
        <f>+[7]OVIK!E56</f>
        <v>0</v>
      </c>
      <c r="H113" s="381"/>
      <c r="I113" s="381"/>
      <c r="J113" s="1416"/>
      <c r="K113" s="1"/>
      <c r="L113" s="1467">
        <f>+[7]OVIK!H56</f>
        <v>0</v>
      </c>
      <c r="M113" s="1561"/>
      <c r="N113" s="1561"/>
      <c r="O113" s="1562"/>
      <c r="P113" s="68"/>
      <c r="Q113" s="64">
        <f>+[7]OVIK!K56</f>
        <v>0</v>
      </c>
      <c r="R113" s="381"/>
      <c r="S113" s="381"/>
      <c r="T113" s="1416"/>
      <c r="U113" s="68"/>
      <c r="V113" s="64">
        <f>+[7]OVIK!N56</f>
        <v>0</v>
      </c>
      <c r="W113" s="1563"/>
      <c r="X113" s="381"/>
      <c r="Y113" s="1416"/>
      <c r="Z113" s="68"/>
      <c r="AA113" s="64">
        <f>+[7]OVIK!Q56</f>
        <v>0</v>
      </c>
      <c r="AB113" s="381"/>
      <c r="AC113" s="381"/>
      <c r="AD113" s="1416"/>
      <c r="AF113" s="64">
        <f>+B111+G113+Q113+L113+V113+AA113</f>
        <v>0</v>
      </c>
      <c r="AG113" s="66">
        <f t="shared" si="29"/>
        <v>0</v>
      </c>
      <c r="AH113" s="66">
        <f t="shared" si="30"/>
        <v>0</v>
      </c>
      <c r="AI113" s="1416"/>
    </row>
    <row r="114" spans="1:37" ht="15" customHeight="1">
      <c r="A114" s="1470" t="s">
        <v>121</v>
      </c>
      <c r="B114" s="64"/>
      <c r="C114" s="66"/>
      <c r="D114" s="379"/>
      <c r="E114" s="1417"/>
      <c r="F114" s="68"/>
      <c r="G114" s="64">
        <f>+[7]OVIK!E57</f>
        <v>0</v>
      </c>
      <c r="H114" s="379"/>
      <c r="I114" s="379"/>
      <c r="J114" s="1417"/>
      <c r="K114" s="1"/>
      <c r="L114" s="1467">
        <f>+[7]OVIK!H57</f>
        <v>0</v>
      </c>
      <c r="M114" s="1550"/>
      <c r="N114" s="1550"/>
      <c r="O114" s="1564"/>
      <c r="P114" s="68"/>
      <c r="Q114" s="64">
        <f>+[7]OVIK!K57</f>
        <v>0</v>
      </c>
      <c r="R114" s="379"/>
      <c r="S114" s="379"/>
      <c r="T114" s="1417"/>
      <c r="U114" s="68"/>
      <c r="V114" s="64">
        <f>+[7]OVIK!N57</f>
        <v>0</v>
      </c>
      <c r="W114" s="1552"/>
      <c r="X114" s="379"/>
      <c r="Y114" s="1417"/>
      <c r="Z114" s="68"/>
      <c r="AA114" s="64">
        <f>+[7]OVIK!Q57</f>
        <v>0</v>
      </c>
      <c r="AB114" s="379"/>
      <c r="AC114" s="379"/>
      <c r="AD114" s="1417"/>
      <c r="AF114" s="64">
        <f>+B112+G114+Q114+L114+V114+AA114</f>
        <v>0</v>
      </c>
      <c r="AG114" s="66">
        <f t="shared" si="29"/>
        <v>0</v>
      </c>
      <c r="AH114" s="66">
        <f t="shared" si="30"/>
        <v>0</v>
      </c>
      <c r="AI114" s="1417"/>
    </row>
    <row r="115" spans="1:37" s="21" customFormat="1" ht="15" customHeight="1">
      <c r="A115" s="1517" t="s">
        <v>372</v>
      </c>
      <c r="B115" s="1431"/>
      <c r="C115" s="379"/>
      <c r="D115" s="379"/>
      <c r="E115" s="86"/>
      <c r="F115" s="1"/>
      <c r="G115" s="64">
        <f>+[7]OVIK!E58</f>
        <v>0</v>
      </c>
      <c r="H115" s="379"/>
      <c r="I115" s="379"/>
      <c r="J115" s="86"/>
      <c r="K115" s="68"/>
      <c r="L115" s="1467">
        <f>+[7]OVIK!H58</f>
        <v>0</v>
      </c>
      <c r="M115" s="1550"/>
      <c r="N115" s="1550"/>
      <c r="O115" s="1523"/>
      <c r="P115" s="68"/>
      <c r="Q115" s="64">
        <f>+[7]OVIK!K58</f>
        <v>0</v>
      </c>
      <c r="R115" s="379"/>
      <c r="S115" s="379"/>
      <c r="T115" s="86"/>
      <c r="U115" s="1"/>
      <c r="V115" s="64">
        <f>+[7]OVIK!N58</f>
        <v>0</v>
      </c>
      <c r="W115" s="379"/>
      <c r="X115" s="379"/>
      <c r="Y115" s="86"/>
      <c r="Z115" s="1"/>
      <c r="AA115" s="64">
        <f>+[7]OVIK!Q58</f>
        <v>0</v>
      </c>
      <c r="AB115" s="379"/>
      <c r="AC115" s="379"/>
      <c r="AD115" s="86"/>
      <c r="AE115" s="68"/>
      <c r="AF115" s="64">
        <f>+B113+G115+Q115+L115+V115+AA115</f>
        <v>0</v>
      </c>
      <c r="AG115" s="66">
        <f t="shared" si="29"/>
        <v>0</v>
      </c>
      <c r="AH115" s="66">
        <f t="shared" si="30"/>
        <v>0</v>
      </c>
      <c r="AI115" s="86"/>
      <c r="AJ115" s="1565"/>
    </row>
    <row r="116" spans="1:37" ht="15" customHeight="1" thickBot="1">
      <c r="A116" s="1517" t="s">
        <v>402</v>
      </c>
      <c r="B116" s="1431"/>
      <c r="C116" s="1393"/>
      <c r="D116" s="1393"/>
      <c r="E116" s="96"/>
      <c r="F116" s="1"/>
      <c r="G116" s="64">
        <f>+[7]OVIK!E59</f>
        <v>0</v>
      </c>
      <c r="H116" s="1393"/>
      <c r="I116" s="1393"/>
      <c r="J116" s="96"/>
      <c r="K116" s="68"/>
      <c r="L116" s="1467"/>
      <c r="M116" s="1566"/>
      <c r="N116" s="1566"/>
      <c r="O116" s="1567"/>
      <c r="P116" s="68"/>
      <c r="Q116" s="64"/>
      <c r="R116" s="1393"/>
      <c r="S116" s="1393"/>
      <c r="T116" s="96"/>
      <c r="V116" s="64"/>
      <c r="W116" s="1393"/>
      <c r="X116" s="1393"/>
      <c r="Y116" s="96"/>
      <c r="AA116" s="64">
        <f>+[7]OVIK!Q59</f>
        <v>0</v>
      </c>
      <c r="AB116" s="1393"/>
      <c r="AC116" s="1393"/>
      <c r="AD116" s="96"/>
      <c r="AE116" s="68"/>
      <c r="AF116" s="64">
        <f>+B114+G116+Q116+L116+V116+AA116</f>
        <v>0</v>
      </c>
      <c r="AG116" s="1366">
        <f t="shared" si="29"/>
        <v>0</v>
      </c>
      <c r="AH116" s="1366">
        <f t="shared" si="30"/>
        <v>0</v>
      </c>
      <c r="AI116" s="96"/>
      <c r="AJ116" s="1565"/>
    </row>
    <row r="117" spans="1:37" s="21" customFormat="1" ht="15" customHeight="1" thickBot="1">
      <c r="A117" s="1388" t="s">
        <v>124</v>
      </c>
      <c r="B117" s="1297">
        <f>+B62+B102+B112+SUM(B113:B116)</f>
        <v>24633.8776</v>
      </c>
      <c r="C117" s="1298">
        <f>+C62+C102+C112+SUM(C113:C116)</f>
        <v>638</v>
      </c>
      <c r="D117" s="1298">
        <f>SUM(B117:C117)</f>
        <v>25271.8776</v>
      </c>
      <c r="E117" s="1410">
        <f>+D117/B117</f>
        <v>1.0258992924443207</v>
      </c>
      <c r="F117" s="90"/>
      <c r="G117" s="1297">
        <f>+G62+G102+G112+SUM(G113:G116)</f>
        <v>40725.567999999999</v>
      </c>
      <c r="H117" s="1298">
        <f>+H62+H102+H112+SUM(H113:H116)</f>
        <v>506</v>
      </c>
      <c r="I117" s="1298">
        <f>SUM(G117:H117)</f>
        <v>41231.567999999999</v>
      </c>
      <c r="J117" s="1410">
        <f>+I117/G117</f>
        <v>1.0124246272022528</v>
      </c>
      <c r="L117" s="1484">
        <f>+L62+L102+L112+SUM(L113:L116)-L116</f>
        <v>16121.5856</v>
      </c>
      <c r="M117" s="1485">
        <f>+M62+M102+M112+SUM(M113:M116)-M116</f>
        <v>216</v>
      </c>
      <c r="N117" s="1485">
        <f>SUM(L117:M117)</f>
        <v>16337.5856</v>
      </c>
      <c r="O117" s="1486">
        <f>+N117/L117</f>
        <v>1.0133981858459382</v>
      </c>
      <c r="P117" s="90"/>
      <c r="Q117" s="1297">
        <f>+Q62+Q102+Q112+SUM(Q113:Q116)</f>
        <v>39269.353600000002</v>
      </c>
      <c r="R117" s="1298">
        <f>+R62+R102+R112+SUM(R113:R116)</f>
        <v>2264</v>
      </c>
      <c r="S117" s="1298">
        <f>SUM(Q117:R117)</f>
        <v>41533.353600000002</v>
      </c>
      <c r="T117" s="1410">
        <f>+S117/Q117</f>
        <v>1.0576531007630336</v>
      </c>
      <c r="U117" s="13"/>
      <c r="V117" s="1297">
        <f>+V62+V102+V112+SUM(V113:V116)</f>
        <v>21519.6132</v>
      </c>
      <c r="W117" s="1298">
        <f>+W62+W102+W112+SUM(W113:W116)</f>
        <v>325</v>
      </c>
      <c r="X117" s="1298">
        <f>SUM(V117:W117)</f>
        <v>21844.6132</v>
      </c>
      <c r="Y117" s="1410">
        <f>+X117/V117</f>
        <v>1.0151025019353044</v>
      </c>
      <c r="Z117" s="13"/>
      <c r="AA117" s="1297">
        <f>+AA62+AA102+AA112+SUM(AA113:AA116)</f>
        <v>7552.5240000000003</v>
      </c>
      <c r="AB117" s="1298">
        <f>+AB62+AB102+AB112+SUM(AB113:AB116)</f>
        <v>81</v>
      </c>
      <c r="AC117" s="1298">
        <f>+AC62+AC102+AC112+SUM(AC113:AC116)</f>
        <v>7633.5240000000003</v>
      </c>
      <c r="AD117" s="1410">
        <f>+AC117/AA117</f>
        <v>1.0107248914402656</v>
      </c>
      <c r="AF117" s="1297">
        <f>+AF62+AF102+AF112+SUM(AF113:AF116)</f>
        <v>149822.52199999997</v>
      </c>
      <c r="AG117" s="1298">
        <f t="shared" si="29"/>
        <v>4030</v>
      </c>
      <c r="AH117" s="1298">
        <f t="shared" si="30"/>
        <v>153852.52200000003</v>
      </c>
      <c r="AI117" s="1410">
        <f>+AH117/AF117</f>
        <v>1.0268984926044702</v>
      </c>
      <c r="AK117" s="22">
        <f>154710-AH117</f>
        <v>857.47799999997369</v>
      </c>
    </row>
    <row r="118" spans="1:37" ht="17.45" customHeight="1" thickBot="1">
      <c r="A118" s="1394"/>
      <c r="B118" s="121"/>
      <c r="C118" s="16"/>
      <c r="D118" s="16"/>
      <c r="E118" s="1414"/>
      <c r="G118" s="121"/>
      <c r="H118" s="16"/>
      <c r="I118" s="16"/>
      <c r="J118" s="1414"/>
      <c r="K118" s="1"/>
      <c r="L118" s="1568"/>
      <c r="M118" s="1569"/>
      <c r="N118" s="1569"/>
      <c r="O118" s="1521"/>
      <c r="P118" s="68"/>
      <c r="Q118" s="121"/>
      <c r="R118" s="16"/>
      <c r="S118" s="16"/>
      <c r="T118" s="1414"/>
      <c r="V118" s="121"/>
      <c r="W118" s="16"/>
      <c r="X118" s="16"/>
      <c r="Y118" s="1414"/>
      <c r="AA118" s="121"/>
      <c r="AB118" s="16"/>
      <c r="AC118" s="16"/>
      <c r="AD118" s="1414"/>
      <c r="AF118" s="1434"/>
      <c r="AG118" s="1366">
        <f t="shared" si="29"/>
        <v>0</v>
      </c>
      <c r="AH118" s="1366">
        <f t="shared" si="30"/>
        <v>0</v>
      </c>
      <c r="AI118" s="1414"/>
    </row>
    <row r="119" spans="1:37" s="1574" customFormat="1" ht="28.15" customHeight="1" thickBot="1">
      <c r="A119" s="1570" t="s">
        <v>403</v>
      </c>
      <c r="B119" s="1435">
        <f>+B24-B117</f>
        <v>-0.37759999999980209</v>
      </c>
      <c r="C119" s="1451">
        <f>+C24-C117</f>
        <v>0</v>
      </c>
      <c r="D119" s="1451">
        <f>+D24-D117</f>
        <v>-0.37759999999980209</v>
      </c>
      <c r="E119" s="1453">
        <f>+D119/B119</f>
        <v>1</v>
      </c>
      <c r="F119" s="794"/>
      <c r="G119" s="1435">
        <f>+G24-G117</f>
        <v>0.43200000000069849</v>
      </c>
      <c r="H119" s="1451">
        <f>+H24-H117</f>
        <v>0</v>
      </c>
      <c r="I119" s="1451">
        <f>+I24-I117</f>
        <v>0.43200000000069849</v>
      </c>
      <c r="J119" s="1453"/>
      <c r="K119" s="794"/>
      <c r="L119" s="1435">
        <f>+L24-L117</f>
        <v>475.41439999999966</v>
      </c>
      <c r="M119" s="1571">
        <f>+M24-M117</f>
        <v>0</v>
      </c>
      <c r="N119" s="1572">
        <f>+N24-N117</f>
        <v>475.41439999999966</v>
      </c>
      <c r="O119" s="1573">
        <f>+N119/L119</f>
        <v>1</v>
      </c>
      <c r="P119" s="794"/>
      <c r="Q119" s="1435">
        <f>+Q24-Q117</f>
        <v>3089.6463999999978</v>
      </c>
      <c r="R119" s="1451">
        <f>+R24-R117</f>
        <v>0</v>
      </c>
      <c r="S119" s="1451">
        <f>+S24-S117</f>
        <v>3089.6463999999978</v>
      </c>
      <c r="T119" s="1453">
        <f>+S119/Q119</f>
        <v>1</v>
      </c>
      <c r="U119" s="794"/>
      <c r="V119" s="1435">
        <f>+V24-V117</f>
        <v>4058.3868000000002</v>
      </c>
      <c r="W119" s="1451">
        <f>+W24-W117</f>
        <v>0</v>
      </c>
      <c r="X119" s="1451">
        <f>+X24-X117</f>
        <v>4058.3868000000002</v>
      </c>
      <c r="Y119" s="1453">
        <f>+X119/V119</f>
        <v>1</v>
      </c>
      <c r="Z119" s="794"/>
      <c r="AA119" s="1435">
        <f>+AA24-AA117</f>
        <v>-0.91400000001431181</v>
      </c>
      <c r="AB119" s="1451">
        <f>+AB24-AB117</f>
        <v>0</v>
      </c>
      <c r="AC119" s="1451">
        <f>+AC24-AC117</f>
        <v>-0.91400000001431181</v>
      </c>
      <c r="AD119" s="1453">
        <f>+AC119/AA119</f>
        <v>1</v>
      </c>
      <c r="AE119" s="794"/>
      <c r="AF119" s="1435">
        <f>+AF24-AF117</f>
        <v>7622.5880000000179</v>
      </c>
      <c r="AG119" s="1298">
        <f t="shared" si="29"/>
        <v>0</v>
      </c>
      <c r="AH119" s="1298">
        <f t="shared" si="30"/>
        <v>7622.5879999999843</v>
      </c>
      <c r="AI119" s="1453">
        <f>+AH119/AF119</f>
        <v>0.99999999999999556</v>
      </c>
    </row>
    <row r="120" spans="1:37" ht="15" customHeight="1">
      <c r="P120" s="68"/>
    </row>
    <row r="121" spans="1:37" ht="31.9" customHeight="1">
      <c r="A121" s="1575" t="s">
        <v>404</v>
      </c>
      <c r="B121" s="1576"/>
      <c r="C121" s="1576"/>
      <c r="D121" s="1576"/>
      <c r="E121" s="1576"/>
      <c r="F121" s="388"/>
      <c r="G121" s="1576"/>
      <c r="H121" s="1577">
        <v>0.28999999999999998</v>
      </c>
      <c r="I121" s="1576"/>
      <c r="J121" s="1576"/>
      <c r="L121" s="1575"/>
      <c r="M121" s="1575"/>
      <c r="N121" s="1578">
        <v>0.14000000000000001</v>
      </c>
      <c r="O121" s="1579"/>
      <c r="P121" s="68"/>
      <c r="Q121" s="1579"/>
      <c r="R121" s="1579"/>
      <c r="S121" s="1578">
        <v>0.36</v>
      </c>
      <c r="T121" s="1579"/>
      <c r="U121" s="389"/>
      <c r="V121" s="1575"/>
      <c r="W121" s="1575"/>
      <c r="X121" s="1578">
        <v>0.21</v>
      </c>
      <c r="Y121" s="1575"/>
      <c r="Z121" s="389"/>
      <c r="AA121" s="1575"/>
      <c r="AB121" s="1575"/>
      <c r="AC121" s="1575"/>
      <c r="AD121" s="1575"/>
      <c r="AF121" s="1575"/>
      <c r="AG121" s="1575"/>
      <c r="AH121" s="1575"/>
      <c r="AI121" s="1575"/>
    </row>
    <row r="122" spans="1:37" ht="23.45" customHeight="1">
      <c r="A122" s="1095"/>
      <c r="E122" s="393"/>
      <c r="F122" s="2"/>
      <c r="G122" s="2"/>
      <c r="J122" s="1099"/>
      <c r="L122" s="2"/>
      <c r="M122" s="393"/>
      <c r="N122" s="393"/>
      <c r="O122" s="1099"/>
      <c r="Q122" s="2"/>
      <c r="R122" s="1099"/>
      <c r="S122" s="393"/>
      <c r="T122" s="1099"/>
      <c r="U122" s="2"/>
      <c r="V122" s="2"/>
      <c r="W122" s="393"/>
      <c r="X122" s="393">
        <f>+X121*$B$125</f>
        <v>0</v>
      </c>
      <c r="Y122" s="393"/>
      <c r="Z122" s="2"/>
      <c r="AC122" s="1099"/>
      <c r="AD122" s="393"/>
      <c r="AF122" s="2"/>
      <c r="AG122" s="393"/>
      <c r="AH122" s="393"/>
      <c r="AI122" s="393"/>
    </row>
    <row r="123" spans="1:37" s="1581" customFormat="1" ht="15.75">
      <c r="A123" s="1455" t="s">
        <v>405</v>
      </c>
      <c r="B123" s="393">
        <f>+B16</f>
        <v>7317</v>
      </c>
      <c r="C123" s="393"/>
      <c r="D123" s="393"/>
      <c r="E123" s="1028"/>
      <c r="F123" s="98"/>
      <c r="G123" s="393">
        <f>+B123*H121</f>
        <v>2121.9299999999998</v>
      </c>
      <c r="H123" s="393"/>
      <c r="I123" s="393"/>
      <c r="J123" s="1456"/>
      <c r="K123" s="388"/>
      <c r="L123" s="393">
        <f>+B123*N121</f>
        <v>1024.3800000000001</v>
      </c>
      <c r="M123" s="1100"/>
      <c r="N123" s="1100"/>
      <c r="O123" s="1580"/>
      <c r="P123" s="390"/>
      <c r="Q123" s="1099">
        <f>+B123*S121</f>
        <v>2634.12</v>
      </c>
      <c r="R123" s="1580"/>
      <c r="S123" s="1580"/>
      <c r="T123" s="1580"/>
      <c r="U123" s="377"/>
      <c r="V123" s="393">
        <f>+B123*X121</f>
        <v>1536.57</v>
      </c>
      <c r="W123" s="1100"/>
      <c r="X123" s="1100"/>
      <c r="Y123" s="1100"/>
      <c r="Z123" s="1"/>
      <c r="AA123" s="393"/>
      <c r="AB123" s="393"/>
      <c r="AC123" s="1101"/>
      <c r="AD123" s="1028"/>
      <c r="AE123" s="389"/>
      <c r="AF123" s="393">
        <f>+SUM(G125:AA125)</f>
        <v>0</v>
      </c>
      <c r="AG123" s="1028"/>
      <c r="AH123" s="1031"/>
      <c r="AI123" s="1031"/>
    </row>
    <row r="124" spans="1:37" s="2" customFormat="1">
      <c r="A124" s="1455" t="s">
        <v>406</v>
      </c>
      <c r="B124" s="393">
        <f>+AA16</f>
        <v>5771</v>
      </c>
      <c r="C124" s="393"/>
      <c r="D124" s="393"/>
      <c r="E124" s="1028"/>
      <c r="F124" s="98"/>
      <c r="G124" s="393">
        <f>+B124*H121</f>
        <v>1673.59</v>
      </c>
      <c r="H124" s="393"/>
      <c r="I124" s="393"/>
      <c r="J124" s="1456"/>
      <c r="L124" s="1100">
        <f>+B124*N121</f>
        <v>807.94</v>
      </c>
      <c r="M124" s="1100"/>
      <c r="N124" s="1100"/>
      <c r="O124" s="1580"/>
      <c r="P124" s="391"/>
      <c r="Q124" s="1580">
        <f>+B124*S121</f>
        <v>2077.56</v>
      </c>
      <c r="R124" s="1580"/>
      <c r="S124" s="1580"/>
      <c r="T124" s="1580"/>
      <c r="U124" s="377"/>
      <c r="V124" s="1100">
        <f>+B124*X121</f>
        <v>1211.9099999999999</v>
      </c>
      <c r="W124" s="1100"/>
      <c r="X124" s="1100"/>
      <c r="Y124" s="1100"/>
      <c r="Z124" s="1"/>
      <c r="AA124" s="393"/>
      <c r="AB124" s="393"/>
      <c r="AC124" s="1101"/>
      <c r="AD124" s="1028"/>
      <c r="AF124" s="393">
        <f>+SUM(G126:AA126)</f>
        <v>0</v>
      </c>
      <c r="AG124" s="1028"/>
      <c r="AH124" s="1031"/>
      <c r="AI124" s="1031"/>
    </row>
    <row r="125" spans="1:37">
      <c r="K125" s="377"/>
      <c r="L125" s="1100"/>
      <c r="M125" s="1100"/>
      <c r="N125" s="1100"/>
      <c r="O125" s="1580"/>
      <c r="P125" s="392"/>
      <c r="Q125" s="1580"/>
      <c r="R125" s="1580"/>
      <c r="S125" s="1580"/>
      <c r="T125" s="1580"/>
      <c r="U125" s="377"/>
      <c r="V125" s="1100"/>
      <c r="W125" s="1100"/>
      <c r="X125" s="1100"/>
      <c r="Y125" s="1100"/>
    </row>
    <row r="126" spans="1:37">
      <c r="K126" s="377"/>
      <c r="L126" s="1100"/>
      <c r="M126" s="1100"/>
      <c r="N126" s="1100"/>
      <c r="O126" s="1580"/>
      <c r="P126" s="392"/>
      <c r="Q126" s="1580"/>
      <c r="R126" s="1580"/>
      <c r="S126" s="1580"/>
      <c r="T126" s="1580"/>
      <c r="U126" s="377"/>
      <c r="V126" s="1100"/>
      <c r="W126" s="1100"/>
      <c r="X126" s="1100"/>
      <c r="Y126" s="1100"/>
    </row>
    <row r="127" spans="1:37">
      <c r="A127" s="1455" t="s">
        <v>407</v>
      </c>
      <c r="B127" s="393">
        <f>405*35*220</f>
        <v>3118500</v>
      </c>
      <c r="K127" s="377"/>
      <c r="L127" s="1100"/>
      <c r="M127" s="1100"/>
      <c r="N127" s="1100"/>
      <c r="O127" s="1580"/>
      <c r="P127" s="392"/>
      <c r="Q127" s="1580"/>
      <c r="R127" s="1580"/>
      <c r="S127" s="1580"/>
      <c r="T127" s="1580"/>
      <c r="U127" s="377"/>
      <c r="V127" s="1100"/>
      <c r="W127" s="1100"/>
      <c r="X127" s="1100"/>
      <c r="Y127" s="1100"/>
    </row>
    <row r="128" spans="1:37">
      <c r="K128" s="377"/>
      <c r="L128" s="1100"/>
      <c r="M128" s="1100"/>
      <c r="N128" s="1100"/>
      <c r="O128" s="1580"/>
      <c r="P128" s="392"/>
      <c r="Q128" s="1580"/>
      <c r="R128" s="1580"/>
      <c r="S128" s="1580"/>
      <c r="T128" s="1580"/>
      <c r="U128" s="377"/>
      <c r="V128" s="1100"/>
      <c r="W128" s="1100"/>
      <c r="X128" s="1100"/>
      <c r="Y128" s="1100"/>
    </row>
    <row r="129" spans="11:25">
      <c r="K129" s="377"/>
      <c r="L129" s="1100"/>
      <c r="M129" s="1100"/>
      <c r="N129" s="1100"/>
      <c r="O129" s="1580"/>
      <c r="P129" s="392"/>
      <c r="Q129" s="1580"/>
      <c r="R129" s="1580"/>
      <c r="S129" s="1580"/>
      <c r="T129" s="1580"/>
      <c r="U129" s="377"/>
      <c r="V129" s="1100"/>
      <c r="W129" s="1100"/>
      <c r="X129" s="1100"/>
      <c r="Y129" s="1100"/>
    </row>
    <row r="130" spans="11:25">
      <c r="K130" s="377"/>
      <c r="L130" s="1100"/>
      <c r="M130" s="1100"/>
      <c r="N130" s="1100"/>
      <c r="O130" s="1580"/>
      <c r="P130" s="392"/>
      <c r="Q130" s="1580"/>
      <c r="R130" s="1580"/>
      <c r="S130" s="1580"/>
      <c r="T130" s="1580"/>
      <c r="U130" s="377"/>
      <c r="V130" s="1100"/>
      <c r="W130" s="1100"/>
      <c r="X130" s="1100"/>
      <c r="Y130" s="1100"/>
    </row>
    <row r="131" spans="11:25">
      <c r="K131" s="377"/>
      <c r="L131" s="1100"/>
      <c r="M131" s="1100"/>
      <c r="N131" s="1100"/>
      <c r="O131" s="1580"/>
      <c r="P131" s="392"/>
      <c r="Q131" s="1580"/>
      <c r="R131" s="1580"/>
      <c r="S131" s="1580"/>
      <c r="T131" s="1580"/>
      <c r="U131" s="377"/>
      <c r="V131" s="1100"/>
      <c r="W131" s="1100"/>
      <c r="X131" s="1100"/>
      <c r="Y131" s="1100"/>
    </row>
    <row r="132" spans="11:25">
      <c r="K132" s="377"/>
      <c r="L132" s="1100"/>
      <c r="M132" s="1100"/>
      <c r="N132" s="1100"/>
      <c r="O132" s="1580"/>
      <c r="P132" s="392"/>
      <c r="Q132" s="1580"/>
      <c r="R132" s="1580"/>
      <c r="S132" s="1580"/>
      <c r="T132" s="1580"/>
      <c r="U132" s="377"/>
      <c r="V132" s="1100"/>
      <c r="W132" s="1100"/>
      <c r="X132" s="1100"/>
      <c r="Y132" s="1100"/>
    </row>
    <row r="133" spans="11:25">
      <c r="K133" s="377"/>
      <c r="L133" s="1100"/>
      <c r="M133" s="1100"/>
      <c r="N133" s="1100"/>
      <c r="O133" s="1580"/>
      <c r="P133" s="392"/>
      <c r="Q133" s="1580"/>
      <c r="R133" s="1580"/>
      <c r="S133" s="1580"/>
      <c r="T133" s="1580"/>
      <c r="U133" s="377"/>
      <c r="V133" s="1100"/>
      <c r="W133" s="1100"/>
      <c r="X133" s="1100"/>
      <c r="Y133" s="1100"/>
    </row>
    <row r="134" spans="11:25">
      <c r="K134" s="377"/>
      <c r="L134" s="1100"/>
      <c r="M134" s="1100"/>
      <c r="N134" s="1100"/>
      <c r="O134" s="1580"/>
      <c r="P134" s="392"/>
      <c r="Q134" s="1580"/>
      <c r="R134" s="1580"/>
      <c r="S134" s="1580"/>
      <c r="T134" s="1580"/>
      <c r="U134" s="377"/>
      <c r="V134" s="1100"/>
      <c r="W134" s="1100"/>
      <c r="X134" s="1100"/>
      <c r="Y134" s="1100"/>
    </row>
    <row r="135" spans="11:25">
      <c r="K135" s="377"/>
      <c r="P135" s="392"/>
    </row>
    <row r="136" spans="11:25">
      <c r="K136" s="377"/>
      <c r="P136" s="392"/>
    </row>
  </sheetData>
  <mergeCells count="22">
    <mergeCell ref="AH1:AI1"/>
    <mergeCell ref="G2:J2"/>
    <mergeCell ref="L3:O3"/>
    <mergeCell ref="Q2:T2"/>
    <mergeCell ref="AF3:AI3"/>
    <mergeCell ref="AF2:AI2"/>
    <mergeCell ref="V2:Y2"/>
    <mergeCell ref="AA3:AD3"/>
    <mergeCell ref="AA2:AD2"/>
    <mergeCell ref="G3:J3"/>
    <mergeCell ref="AG4:AG5"/>
    <mergeCell ref="B2:E2"/>
    <mergeCell ref="L2:O2"/>
    <mergeCell ref="Q3:T3"/>
    <mergeCell ref="V3:Y3"/>
    <mergeCell ref="B3:E3"/>
    <mergeCell ref="C4:C5"/>
    <mergeCell ref="H4:H5"/>
    <mergeCell ref="M4:M5"/>
    <mergeCell ref="R4:R5"/>
    <mergeCell ref="W4:W5"/>
    <mergeCell ref="AB4:AB5"/>
  </mergeCells>
  <phoneticPr fontId="25" type="noConversion"/>
  <printOptions horizontalCentered="1"/>
  <pageMargins left="0.27559055118110237" right="0.15748031496062992" top="0.86614173228346458" bottom="0.4" header="0.39370078740157483" footer="0.15748031496062992"/>
  <pageSetup paperSize="8" scale="51" orientation="landscape" r:id="rId1"/>
  <headerFooter alignWithMargins="0">
    <oddHeader xml:space="preserve">&amp;L&amp;"Times New Roman,Normál"&amp;12Szent László Völgye
Kistérségi Szolgáltató Iroda&amp;C&amp;"Times New Roman,Félkövér"&amp;14 2011. ÉVI KÖLTSÉGVETÉS 
1. SZ. MÓDOSÍTÁSA&amp;R&amp;"Times New Roman,Normál"&amp;12 5. sz. melléklet
&amp;"Times New Roman,Félkövér"
 &amp;A
</oddHeader>
    <oddFooter>&amp;L&amp;F&amp;C&amp;D</oddFooter>
  </headerFooter>
  <rowBreaks count="1" manualBreakCount="1">
    <brk id="102" max="3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C132"/>
  <sheetViews>
    <sheetView zoomScale="85" zoomScaleNormal="85" zoomScaleSheetLayoutView="75" workbookViewId="0">
      <pane xSplit="1" ySplit="6" topLeftCell="O7" activePane="bottomRight" state="frozen"/>
      <selection pane="topRight" activeCell="B1" sqref="B1"/>
      <selection pane="bottomLeft" activeCell="A7" sqref="A7"/>
      <selection pane="bottomRight" activeCell="E16" sqref="E16"/>
    </sheetView>
  </sheetViews>
  <sheetFormatPr defaultColWidth="8.85546875" defaultRowHeight="15" customHeight="1"/>
  <cols>
    <col min="1" max="1" width="50.5703125" style="1031" customWidth="1"/>
    <col min="2" max="4" width="7.7109375" style="393" customWidth="1"/>
    <col min="5" max="5" width="7.5703125" style="1028" customWidth="1"/>
    <col min="6" max="6" width="2" style="98" customWidth="1"/>
    <col min="7" max="9" width="7.7109375" style="393" customWidth="1"/>
    <col min="10" max="10" width="7.42578125" style="1028" customWidth="1"/>
    <col min="11" max="11" width="2" style="2" customWidth="1"/>
    <col min="12" max="12" width="9.28515625" style="393" customWidth="1"/>
    <col min="13" max="14" width="7.7109375" style="393" customWidth="1"/>
    <col min="15" max="15" width="7.42578125" style="1028" customWidth="1"/>
    <col min="16" max="16" width="2" style="1" customWidth="1"/>
    <col min="17" max="17" width="9.28515625" style="393" customWidth="1"/>
    <col min="18" max="19" width="7.7109375" style="393" customWidth="1"/>
    <col min="20" max="20" width="7.42578125" style="1028" customWidth="1"/>
    <col min="21" max="21" width="2" style="98" customWidth="1"/>
    <col min="22" max="22" width="8.85546875" style="393" customWidth="1"/>
    <col min="23" max="24" width="7.7109375" style="393" customWidth="1"/>
    <col min="25" max="25" width="7.42578125" style="1028" customWidth="1"/>
    <col min="26" max="26" width="3.7109375" style="1" customWidth="1"/>
    <col min="27" max="27" width="10.7109375" style="1" customWidth="1"/>
    <col min="28" max="16384" width="8.85546875" style="1"/>
  </cols>
  <sheetData>
    <row r="1" spans="1:29" ht="15" customHeight="1" thickBot="1">
      <c r="X1" s="2461" t="s">
        <v>374</v>
      </c>
      <c r="Y1" s="2461"/>
    </row>
    <row r="2" spans="1:29" ht="15" customHeight="1">
      <c r="A2" s="1087"/>
      <c r="B2" s="2426" t="s">
        <v>291</v>
      </c>
      <c r="C2" s="2431"/>
      <c r="D2" s="2467"/>
      <c r="E2" s="2466"/>
      <c r="F2" s="1265"/>
      <c r="G2" s="2426" t="s">
        <v>291</v>
      </c>
      <c r="H2" s="2431"/>
      <c r="I2" s="2467"/>
      <c r="J2" s="2466"/>
      <c r="K2" s="395"/>
      <c r="L2" s="2426" t="s">
        <v>291</v>
      </c>
      <c r="M2" s="2431"/>
      <c r="N2" s="2467"/>
      <c r="O2" s="2466"/>
      <c r="P2" s="396"/>
      <c r="Q2" s="2336" t="s">
        <v>292</v>
      </c>
      <c r="R2" s="2337"/>
      <c r="S2" s="2337"/>
      <c r="T2" s="2338"/>
      <c r="U2" s="394"/>
      <c r="V2" s="2426" t="s">
        <v>408</v>
      </c>
      <c r="W2" s="2431"/>
      <c r="X2" s="2431"/>
      <c r="Y2" s="2466"/>
    </row>
    <row r="3" spans="1:29" ht="15" customHeight="1">
      <c r="A3" s="1087"/>
      <c r="B3" s="2462" t="s">
        <v>293</v>
      </c>
      <c r="C3" s="2463"/>
      <c r="D3" s="2464"/>
      <c r="E3" s="2465"/>
      <c r="F3" s="181"/>
      <c r="G3" s="2462" t="s">
        <v>294</v>
      </c>
      <c r="H3" s="2463"/>
      <c r="I3" s="2464"/>
      <c r="J3" s="2465"/>
      <c r="K3" s="103"/>
      <c r="L3" s="2462" t="s">
        <v>295</v>
      </c>
      <c r="M3" s="2463"/>
      <c r="N3" s="2464"/>
      <c r="O3" s="2465"/>
      <c r="Q3" s="2393"/>
      <c r="R3" s="2394"/>
      <c r="S3" s="2394"/>
      <c r="T3" s="2395"/>
      <c r="U3" s="181"/>
      <c r="V3" s="2462" t="s">
        <v>296</v>
      </c>
      <c r="W3" s="2463"/>
      <c r="X3" s="2463"/>
      <c r="Y3" s="2465"/>
      <c r="AA3" s="57"/>
    </row>
    <row r="4" spans="1:29" s="57" customFormat="1" ht="15" customHeight="1">
      <c r="A4" s="1087"/>
      <c r="B4" s="2420">
        <v>852011</v>
      </c>
      <c r="C4" s="2421"/>
      <c r="D4" s="2468"/>
      <c r="E4" s="2422"/>
      <c r="G4" s="2420">
        <v>852021</v>
      </c>
      <c r="H4" s="2421"/>
      <c r="I4" s="2468"/>
      <c r="J4" s="2422"/>
      <c r="K4" s="104"/>
      <c r="L4" s="2420">
        <v>855911</v>
      </c>
      <c r="M4" s="2421"/>
      <c r="N4" s="2468"/>
      <c r="O4" s="2422"/>
      <c r="Q4" s="2351">
        <v>479901</v>
      </c>
      <c r="R4" s="2345"/>
      <c r="S4" s="2345"/>
      <c r="T4" s="2364"/>
      <c r="V4" s="2420"/>
      <c r="W4" s="2421"/>
      <c r="X4" s="2421"/>
      <c r="Y4" s="2422"/>
      <c r="AA4" s="356"/>
    </row>
    <row r="5" spans="1:29" s="397" customFormat="1" ht="15" customHeight="1">
      <c r="B5" s="1266" t="s">
        <v>244</v>
      </c>
      <c r="C5" s="1267" t="s">
        <v>688</v>
      </c>
      <c r="D5" s="1267" t="s">
        <v>689</v>
      </c>
      <c r="E5" s="1268" t="s">
        <v>127</v>
      </c>
      <c r="G5" s="1266" t="s">
        <v>244</v>
      </c>
      <c r="H5" s="1267" t="s">
        <v>688</v>
      </c>
      <c r="I5" s="1267" t="s">
        <v>689</v>
      </c>
      <c r="J5" s="1268" t="s">
        <v>127</v>
      </c>
      <c r="K5" s="398"/>
      <c r="L5" s="1266" t="s">
        <v>244</v>
      </c>
      <c r="M5" s="1267" t="s">
        <v>688</v>
      </c>
      <c r="N5" s="1267" t="s">
        <v>689</v>
      </c>
      <c r="O5" s="1268" t="s">
        <v>127</v>
      </c>
      <c r="Q5" s="1266" t="s">
        <v>244</v>
      </c>
      <c r="R5" s="1267" t="s">
        <v>688</v>
      </c>
      <c r="S5" s="1267" t="s">
        <v>689</v>
      </c>
      <c r="T5" s="1268" t="s">
        <v>127</v>
      </c>
      <c r="V5" s="1266" t="s">
        <v>244</v>
      </c>
      <c r="W5" s="1267" t="s">
        <v>688</v>
      </c>
      <c r="X5" s="1269" t="s">
        <v>689</v>
      </c>
      <c r="Y5" s="1268" t="s">
        <v>127</v>
      </c>
      <c r="AA5" s="1270"/>
    </row>
    <row r="6" spans="1:29" s="5" customFormat="1" ht="13.9" customHeight="1" thickBot="1">
      <c r="A6" s="1271"/>
      <c r="B6" s="2469" t="s">
        <v>128</v>
      </c>
      <c r="C6" s="2470"/>
      <c r="D6" s="1272"/>
      <c r="E6" s="1273"/>
      <c r="F6" s="399"/>
      <c r="G6" s="2469" t="s">
        <v>128</v>
      </c>
      <c r="H6" s="2470"/>
      <c r="I6" s="1272"/>
      <c r="J6" s="1273"/>
      <c r="K6" s="400"/>
      <c r="L6" s="2469" t="s">
        <v>128</v>
      </c>
      <c r="M6" s="2470"/>
      <c r="N6" s="1272"/>
      <c r="O6" s="1273"/>
      <c r="Q6" s="2471" t="s">
        <v>128</v>
      </c>
      <c r="R6" s="2472"/>
      <c r="S6" s="1274"/>
      <c r="T6" s="1273"/>
      <c r="V6" s="2469" t="s">
        <v>128</v>
      </c>
      <c r="W6" s="2470"/>
      <c r="X6" s="1262"/>
      <c r="Y6" s="1273"/>
      <c r="AA6" s="351"/>
    </row>
    <row r="7" spans="1:29" s="356" customFormat="1" ht="15" customHeight="1">
      <c r="A7" s="1067" t="s">
        <v>11</v>
      </c>
      <c r="B7" s="1275"/>
      <c r="C7" s="1276"/>
      <c r="D7" s="1277"/>
      <c r="E7" s="1278"/>
      <c r="F7" s="355"/>
      <c r="G7" s="1275"/>
      <c r="H7" s="1279"/>
      <c r="I7" s="1280"/>
      <c r="J7" s="1278"/>
      <c r="L7" s="1275"/>
      <c r="M7" s="1279"/>
      <c r="N7" s="1280"/>
      <c r="O7" s="1278"/>
      <c r="Q7" s="1281"/>
      <c r="R7" s="1282"/>
      <c r="S7" s="1283"/>
      <c r="T7" s="1278"/>
      <c r="U7" s="355"/>
      <c r="V7" s="1275"/>
      <c r="W7" s="1279"/>
      <c r="X7" s="1279"/>
      <c r="Y7" s="1278"/>
      <c r="AA7" s="1284"/>
    </row>
    <row r="8" spans="1:29" ht="15" customHeight="1">
      <c r="A8" s="1071" t="s">
        <v>361</v>
      </c>
      <c r="B8" s="1285">
        <f>20000-0.5</f>
        <v>19999.5</v>
      </c>
      <c r="C8" s="1286"/>
      <c r="D8" s="1287">
        <f>SUM(B8:C8)</f>
        <v>19999.5</v>
      </c>
      <c r="E8" s="1288">
        <f>+D8/B8</f>
        <v>1</v>
      </c>
      <c r="F8" s="1264"/>
      <c r="G8" s="1285">
        <f>26694-0.5</f>
        <v>26693.5</v>
      </c>
      <c r="H8" s="1287"/>
      <c r="I8" s="1289">
        <f>SUM(G8:H8)</f>
        <v>26693.5</v>
      </c>
      <c r="J8" s="1288">
        <f>+I8/G8</f>
        <v>1</v>
      </c>
      <c r="K8" s="1264"/>
      <c r="L8" s="1285">
        <f>+ISKOLANORMATÍVA!D35</f>
        <v>1645</v>
      </c>
      <c r="M8" s="1287"/>
      <c r="N8" s="1289">
        <f>SUM(L8:M8)</f>
        <v>1645</v>
      </c>
      <c r="O8" s="1288">
        <f>+N8/L8</f>
        <v>1</v>
      </c>
      <c r="P8" s="1264"/>
      <c r="Q8" s="1285">
        <f>+ISKOLANORMATÍVA!D43</f>
        <v>1248</v>
      </c>
      <c r="R8" s="1287"/>
      <c r="S8" s="1289">
        <f>SUM(Q8:R8)</f>
        <v>1248</v>
      </c>
      <c r="T8" s="1288">
        <f>+S8/Q8</f>
        <v>1</v>
      </c>
      <c r="U8" s="362"/>
      <c r="V8" s="360">
        <f>+ISKOLANORMATÍVA!D71</f>
        <v>49586.2</v>
      </c>
      <c r="W8" s="361"/>
      <c r="X8" s="361">
        <f>+D8+I8+N8+S8</f>
        <v>49586</v>
      </c>
      <c r="Y8" s="1288">
        <f>+X8/V8</f>
        <v>0.9999959666197451</v>
      </c>
      <c r="AA8" s="1290"/>
    </row>
    <row r="9" spans="1:29" ht="15" customHeight="1">
      <c r="A9" s="1071" t="s">
        <v>362</v>
      </c>
      <c r="B9" s="1285"/>
      <c r="C9" s="1286"/>
      <c r="D9" s="1408"/>
      <c r="E9" s="1407"/>
      <c r="F9" s="362"/>
      <c r="G9" s="1285"/>
      <c r="H9" s="1286"/>
      <c r="I9" s="1291"/>
      <c r="J9" s="1288"/>
      <c r="K9" s="362"/>
      <c r="L9" s="1285"/>
      <c r="M9" s="1286"/>
      <c r="N9" s="1291"/>
      <c r="O9" s="1288"/>
      <c r="P9" s="362"/>
      <c r="Q9" s="1285"/>
      <c r="R9" s="1286"/>
      <c r="S9" s="1291"/>
      <c r="T9" s="1288"/>
      <c r="U9" s="362"/>
      <c r="V9" s="360"/>
      <c r="W9" s="361"/>
      <c r="X9" s="361"/>
      <c r="Y9" s="1288"/>
      <c r="AA9" s="1284"/>
    </row>
    <row r="10" spans="1:29" ht="15" customHeight="1">
      <c r="A10" s="27" t="s">
        <v>251</v>
      </c>
      <c r="B10" s="118"/>
      <c r="C10" s="24"/>
      <c r="D10" s="1409"/>
      <c r="E10" s="1407"/>
      <c r="G10" s="118"/>
      <c r="H10" s="24"/>
      <c r="I10" s="112"/>
      <c r="J10" s="1288"/>
      <c r="L10" s="118"/>
      <c r="M10" s="24"/>
      <c r="N10" s="112"/>
      <c r="O10" s="1288"/>
      <c r="Q10" s="118"/>
      <c r="R10" s="24"/>
      <c r="S10" s="112"/>
      <c r="T10" s="1288"/>
      <c r="V10" s="118"/>
      <c r="W10" s="361">
        <f>+C10+H10+M10+R10</f>
        <v>0</v>
      </c>
      <c r="X10" s="361">
        <f>SUM(V10:W10)</f>
        <v>0</v>
      </c>
      <c r="Y10" s="1288"/>
      <c r="AA10" s="2"/>
    </row>
    <row r="11" spans="1:29" ht="15" customHeight="1">
      <c r="A11" s="27" t="s">
        <v>15</v>
      </c>
      <c r="B11" s="118"/>
      <c r="C11" s="24"/>
      <c r="D11" s="1409"/>
      <c r="E11" s="1407"/>
      <c r="G11" s="118"/>
      <c r="H11" s="24"/>
      <c r="I11" s="134"/>
      <c r="J11" s="1288"/>
      <c r="L11" s="118"/>
      <c r="M11" s="24"/>
      <c r="N11" s="134"/>
      <c r="O11" s="1288"/>
      <c r="Q11" s="118"/>
      <c r="R11" s="24"/>
      <c r="S11" s="134"/>
      <c r="T11" s="1288"/>
      <c r="V11" s="118"/>
      <c r="W11" s="361"/>
      <c r="X11" s="361"/>
      <c r="Y11" s="1288"/>
    </row>
    <row r="12" spans="1:29" ht="15" customHeight="1">
      <c r="A12" s="27" t="s">
        <v>16</v>
      </c>
      <c r="B12" s="118"/>
      <c r="C12" s="24"/>
      <c r="D12" s="1409"/>
      <c r="E12" s="1407"/>
      <c r="G12" s="118"/>
      <c r="H12" s="24"/>
      <c r="I12" s="134"/>
      <c r="J12" s="1288"/>
      <c r="L12" s="118"/>
      <c r="M12" s="24"/>
      <c r="N12" s="134"/>
      <c r="O12" s="1288"/>
      <c r="Q12" s="118"/>
      <c r="R12" s="24"/>
      <c r="S12" s="134"/>
      <c r="T12" s="1288"/>
      <c r="V12" s="118"/>
      <c r="W12" s="361"/>
      <c r="X12" s="361"/>
      <c r="Y12" s="1288"/>
    </row>
    <row r="13" spans="1:29" ht="15" customHeight="1">
      <c r="A13" s="27" t="s">
        <v>17</v>
      </c>
      <c r="B13" s="118"/>
      <c r="C13" s="24"/>
      <c r="D13" s="1409"/>
      <c r="E13" s="1407"/>
      <c r="G13" s="118"/>
      <c r="H13" s="24"/>
      <c r="I13" s="134"/>
      <c r="J13" s="1288"/>
      <c r="L13" s="118"/>
      <c r="M13" s="24"/>
      <c r="N13" s="134"/>
      <c r="O13" s="1288"/>
      <c r="Q13" s="118"/>
      <c r="R13" s="24"/>
      <c r="S13" s="134"/>
      <c r="T13" s="1288"/>
      <c r="V13" s="118"/>
      <c r="W13" s="361"/>
      <c r="X13" s="361"/>
      <c r="Y13" s="1288"/>
    </row>
    <row r="14" spans="1:29" ht="15" customHeight="1">
      <c r="A14" s="135" t="s">
        <v>18</v>
      </c>
      <c r="B14" s="118"/>
      <c r="C14" s="24"/>
      <c r="D14" s="1409"/>
      <c r="E14" s="1407"/>
      <c r="G14" s="118"/>
      <c r="H14" s="24"/>
      <c r="I14" s="134"/>
      <c r="J14" s="1288"/>
      <c r="L14" s="118"/>
      <c r="M14" s="24"/>
      <c r="N14" s="134"/>
      <c r="O14" s="1288"/>
      <c r="Q14" s="118"/>
      <c r="R14" s="24"/>
      <c r="S14" s="134"/>
      <c r="T14" s="1288"/>
      <c r="V14" s="118"/>
      <c r="W14" s="361"/>
      <c r="X14" s="361"/>
      <c r="Y14" s="1288"/>
    </row>
    <row r="15" spans="1:29" ht="15" customHeight="1">
      <c r="A15" s="27" t="s">
        <v>264</v>
      </c>
      <c r="B15" s="118"/>
      <c r="C15" s="24"/>
      <c r="D15" s="1409"/>
      <c r="E15" s="1407"/>
      <c r="G15" s="118"/>
      <c r="H15" s="24"/>
      <c r="I15" s="134"/>
      <c r="J15" s="1288"/>
      <c r="L15" s="118"/>
      <c r="M15" s="24"/>
      <c r="N15" s="134"/>
      <c r="O15" s="1288"/>
      <c r="Q15" s="118"/>
      <c r="R15" s="24"/>
      <c r="S15" s="134"/>
      <c r="T15" s="1288"/>
      <c r="V15" s="118"/>
      <c r="W15" s="361"/>
      <c r="X15" s="361"/>
      <c r="Y15" s="1288"/>
      <c r="AA15" s="3"/>
    </row>
    <row r="16" spans="1:29" ht="15" customHeight="1">
      <c r="A16" s="27" t="s">
        <v>20</v>
      </c>
      <c r="B16" s="118"/>
      <c r="C16" s="24"/>
      <c r="D16" s="1409"/>
      <c r="E16" s="1407"/>
      <c r="G16" s="118"/>
      <c r="H16" s="24"/>
      <c r="I16" s="24"/>
      <c r="J16" s="1288"/>
      <c r="L16" s="118"/>
      <c r="M16" s="24"/>
      <c r="N16" s="24"/>
      <c r="O16" s="1288"/>
      <c r="Q16" s="118"/>
      <c r="R16" s="24"/>
      <c r="S16" s="134"/>
      <c r="T16" s="1288"/>
      <c r="V16" s="118"/>
      <c r="W16" s="361"/>
      <c r="X16" s="361"/>
      <c r="Y16" s="1288"/>
      <c r="AC16" s="2"/>
    </row>
    <row r="17" spans="1:29" ht="15" customHeight="1">
      <c r="A17" s="27" t="s">
        <v>21</v>
      </c>
      <c r="B17" s="118">
        <f>6431-476</f>
        <v>5955</v>
      </c>
      <c r="C17" s="24"/>
      <c r="D17" s="24">
        <f>SUM(B17:C17)</f>
        <v>5955</v>
      </c>
      <c r="E17" s="1288">
        <f t="shared" ref="E17:E63" si="0">+D17/B17</f>
        <v>1</v>
      </c>
      <c r="G17" s="118">
        <v>12902</v>
      </c>
      <c r="H17" s="24"/>
      <c r="I17" s="24">
        <f>SUM(G17:H17)</f>
        <v>12902</v>
      </c>
      <c r="J17" s="1288">
        <f t="shared" ref="J17:J63" si="1">+I17/G17</f>
        <v>1</v>
      </c>
      <c r="L17" s="118">
        <f>8206-299</f>
        <v>7907</v>
      </c>
      <c r="M17" s="24"/>
      <c r="N17" s="24">
        <f>SUM(L17:M17)</f>
        <v>7907</v>
      </c>
      <c r="O17" s="1288">
        <f t="shared" ref="O17:O62" si="2">+N17/L17</f>
        <v>1</v>
      </c>
      <c r="Q17" s="118"/>
      <c r="R17" s="24"/>
      <c r="S17" s="24"/>
      <c r="T17" s="1288"/>
      <c r="V17" s="118">
        <f>+B17+G17+L17+Q17</f>
        <v>26764</v>
      </c>
      <c r="W17" s="361"/>
      <c r="X17" s="361">
        <f t="shared" ref="W17:X72" si="3">+D17+I17+N17+S17</f>
        <v>26764</v>
      </c>
      <c r="Y17" s="1288">
        <f t="shared" ref="Y17:Y63" si="4">+X17/V17</f>
        <v>1</v>
      </c>
      <c r="AA17" s="2"/>
      <c r="AC17" s="2">
        <f>16717+28756</f>
        <v>45473</v>
      </c>
    </row>
    <row r="18" spans="1:29" s="13" customFormat="1" ht="15" customHeight="1">
      <c r="A18" s="9" t="s">
        <v>22</v>
      </c>
      <c r="B18" s="118"/>
      <c r="C18" s="24"/>
      <c r="D18" s="24"/>
      <c r="E18" s="1288"/>
      <c r="F18" s="98"/>
      <c r="G18" s="118"/>
      <c r="H18" s="24"/>
      <c r="I18" s="24">
        <f>SUM(G18:H18)</f>
        <v>0</v>
      </c>
      <c r="J18" s="1288"/>
      <c r="K18" s="2"/>
      <c r="L18" s="118"/>
      <c r="M18" s="24"/>
      <c r="N18" s="24"/>
      <c r="O18" s="1288"/>
      <c r="P18" s="1"/>
      <c r="Q18" s="118"/>
      <c r="R18" s="24"/>
      <c r="S18" s="24"/>
      <c r="T18" s="1288"/>
      <c r="U18" s="98"/>
      <c r="V18" s="118">
        <f>+B18+G18+L18+Q18</f>
        <v>0</v>
      </c>
      <c r="W18" s="361"/>
      <c r="X18" s="361">
        <f t="shared" si="3"/>
        <v>0</v>
      </c>
      <c r="Y18" s="1288"/>
      <c r="AA18" s="1"/>
      <c r="AB18" s="12"/>
    </row>
    <row r="19" spans="1:29" s="13" customFormat="1" ht="15" customHeight="1">
      <c r="A19" s="135" t="s">
        <v>23</v>
      </c>
      <c r="B19" s="118"/>
      <c r="C19" s="24"/>
      <c r="D19" s="24"/>
      <c r="E19" s="1288"/>
      <c r="F19" s="98"/>
      <c r="G19" s="118"/>
      <c r="H19" s="24">
        <f>+[3]KF!$AB$4+[3]KF!$AB$14</f>
        <v>9651</v>
      </c>
      <c r="I19" s="24">
        <f>SUM(G19:H19)</f>
        <v>9651</v>
      </c>
      <c r="J19" s="1288"/>
      <c r="K19" s="2"/>
      <c r="L19" s="118"/>
      <c r="M19" s="24"/>
      <c r="N19" s="24"/>
      <c r="O19" s="1288"/>
      <c r="P19" s="1"/>
      <c r="Q19" s="118"/>
      <c r="R19" s="24"/>
      <c r="S19" s="24"/>
      <c r="T19" s="1288"/>
      <c r="U19" s="98"/>
      <c r="V19" s="118">
        <f>+B19+G19+L19+Q19</f>
        <v>0</v>
      </c>
      <c r="W19" s="361">
        <f t="shared" si="3"/>
        <v>9651</v>
      </c>
      <c r="X19" s="361">
        <f t="shared" si="3"/>
        <v>9651</v>
      </c>
      <c r="Y19" s="1288"/>
      <c r="AA19" s="1292"/>
    </row>
    <row r="20" spans="1:29" ht="15" customHeight="1" thickBot="1">
      <c r="A20" s="222" t="s">
        <v>24</v>
      </c>
      <c r="B20" s="1293"/>
      <c r="C20" s="1294">
        <f>+[3]KF!$AC$20/2</f>
        <v>991</v>
      </c>
      <c r="D20" s="1294">
        <f>SUM(B20:C20)</f>
        <v>991</v>
      </c>
      <c r="E20" s="1295"/>
      <c r="G20" s="1293"/>
      <c r="H20" s="1294">
        <f>+[3]KF!$AC$20/2+[3]KF!$AC$4</f>
        <v>993</v>
      </c>
      <c r="I20" s="1294">
        <f>SUM(G20:H20)</f>
        <v>993</v>
      </c>
      <c r="J20" s="1295"/>
      <c r="L20" s="1293"/>
      <c r="M20" s="1294"/>
      <c r="N20" s="1294"/>
      <c r="O20" s="1295"/>
      <c r="Q20" s="1293"/>
      <c r="R20" s="1294">
        <f>+R98</f>
        <v>0</v>
      </c>
      <c r="S20" s="1294">
        <f>SUM(Q20:R20)</f>
        <v>0</v>
      </c>
      <c r="T20" s="1295"/>
      <c r="V20" s="118"/>
      <c r="W20" s="1296">
        <f t="shared" si="3"/>
        <v>1984</v>
      </c>
      <c r="X20" s="1296">
        <f t="shared" si="3"/>
        <v>1984</v>
      </c>
      <c r="Y20" s="1295"/>
      <c r="AA20" s="1292"/>
    </row>
    <row r="21" spans="1:29" s="21" customFormat="1" ht="15" customHeight="1" thickBot="1">
      <c r="A21" s="1454" t="s">
        <v>25</v>
      </c>
      <c r="B21" s="216">
        <f>SUM(B8:B20)</f>
        <v>25954.5</v>
      </c>
      <c r="C21" s="20">
        <f>SUM(C8:C20)</f>
        <v>991</v>
      </c>
      <c r="D21" s="20">
        <f>SUM(D8:D20)</f>
        <v>26945.5</v>
      </c>
      <c r="E21" s="1441">
        <f t="shared" si="0"/>
        <v>1.0381822034714596</v>
      </c>
      <c r="F21" s="131"/>
      <c r="G21" s="216">
        <f>SUM(G8:G20)</f>
        <v>39595.5</v>
      </c>
      <c r="H21" s="20">
        <f>SUM(H8:H20)</f>
        <v>10644</v>
      </c>
      <c r="I21" s="20">
        <f>SUM(I8:I20)</f>
        <v>50239.5</v>
      </c>
      <c r="J21" s="1441">
        <f t="shared" si="1"/>
        <v>1.268818426336326</v>
      </c>
      <c r="K21" s="22"/>
      <c r="L21" s="216">
        <f>SUM(L8:L20)</f>
        <v>9552</v>
      </c>
      <c r="M21" s="218">
        <f>SUM(M20)</f>
        <v>0</v>
      </c>
      <c r="N21" s="218">
        <f>SUM(L21:M21)</f>
        <v>9552</v>
      </c>
      <c r="O21" s="1441">
        <f t="shared" si="2"/>
        <v>1</v>
      </c>
      <c r="Q21" s="216">
        <f>SUM(Q8:Q20)</f>
        <v>1248</v>
      </c>
      <c r="R21" s="218"/>
      <c r="S21" s="218">
        <f>SUM(Q21:R21)</f>
        <v>1248</v>
      </c>
      <c r="T21" s="1441">
        <f>+S21/Q21</f>
        <v>1</v>
      </c>
      <c r="U21" s="131"/>
      <c r="V21" s="216">
        <f>SUM(V8:V20)</f>
        <v>76350.2</v>
      </c>
      <c r="W21" s="1403">
        <f t="shared" si="3"/>
        <v>11635</v>
      </c>
      <c r="X21" s="1403">
        <f t="shared" si="3"/>
        <v>87985</v>
      </c>
      <c r="Y21" s="1441">
        <f t="shared" si="4"/>
        <v>1.1523872890968196</v>
      </c>
    </row>
    <row r="22" spans="1:29" ht="15" customHeight="1">
      <c r="A22" s="1300" t="s">
        <v>26</v>
      </c>
      <c r="B22" s="1301"/>
      <c r="C22" s="1302"/>
      <c r="D22" s="1303"/>
      <c r="E22" s="1288"/>
      <c r="F22" s="90"/>
      <c r="G22" s="1301"/>
      <c r="H22" s="1302"/>
      <c r="I22" s="1303"/>
      <c r="J22" s="1288"/>
      <c r="K22" s="12"/>
      <c r="L22" s="1301"/>
      <c r="M22" s="1302"/>
      <c r="N22" s="1303"/>
      <c r="O22" s="1288"/>
      <c r="P22" s="13"/>
      <c r="Q22" s="1301"/>
      <c r="R22" s="1302"/>
      <c r="S22" s="1303"/>
      <c r="T22" s="1288"/>
      <c r="U22" s="90"/>
      <c r="V22" s="1304"/>
      <c r="W22" s="1305"/>
      <c r="X22" s="1306">
        <f t="shared" si="3"/>
        <v>0</v>
      </c>
      <c r="Y22" s="1288"/>
    </row>
    <row r="23" spans="1:29" ht="15" customHeight="1">
      <c r="A23" s="135" t="str">
        <f>+'[11]Ovik összesen'!$A24</f>
        <v>Garantált illetmény</v>
      </c>
      <c r="B23" s="118">
        <f>+'[5]bér KF'!B24</f>
        <v>13136</v>
      </c>
      <c r="C23" s="229"/>
      <c r="D23" s="134">
        <f t="shared" ref="D23:D28" si="5">SUM(B23:C23)</f>
        <v>13136</v>
      </c>
      <c r="E23" s="1288">
        <f t="shared" si="0"/>
        <v>1</v>
      </c>
      <c r="G23" s="118">
        <f>+'[5]bér KF'!C24</f>
        <v>22921</v>
      </c>
      <c r="H23" s="229"/>
      <c r="I23" s="134">
        <f t="shared" ref="I23:I28" si="6">SUM(G23:H23)</f>
        <v>22921</v>
      </c>
      <c r="J23" s="1288">
        <f t="shared" si="1"/>
        <v>1</v>
      </c>
      <c r="L23" s="118">
        <f>+'[5]bér KF'!D24</f>
        <v>4270</v>
      </c>
      <c r="M23" s="229"/>
      <c r="N23" s="134">
        <f t="shared" ref="N23:N28" si="7">SUM(L23:M23)</f>
        <v>4270</v>
      </c>
      <c r="O23" s="1288">
        <f t="shared" si="2"/>
        <v>1</v>
      </c>
      <c r="Q23" s="118"/>
      <c r="R23" s="229"/>
      <c r="S23" s="134"/>
      <c r="T23" s="1288"/>
      <c r="V23" s="111">
        <f>+'[13]KF összesen'!E24</f>
        <v>40327</v>
      </c>
      <c r="W23" s="1306">
        <f t="shared" si="3"/>
        <v>0</v>
      </c>
      <c r="X23" s="1306">
        <f t="shared" si="3"/>
        <v>40327</v>
      </c>
      <c r="Y23" s="1288">
        <f t="shared" si="4"/>
        <v>1</v>
      </c>
      <c r="AA23" s="1292"/>
    </row>
    <row r="24" spans="1:29" s="368" customFormat="1" ht="15" customHeight="1">
      <c r="A24" s="135" t="str">
        <f>+'[11]Ovik összesen'!$A25</f>
        <v>Egyéb kötelező illetménypótlékok</v>
      </c>
      <c r="B24" s="118">
        <f>+'[5]bér KF'!B25</f>
        <v>1275</v>
      </c>
      <c r="C24" s="229"/>
      <c r="D24" s="134">
        <f t="shared" si="5"/>
        <v>1275</v>
      </c>
      <c r="E24" s="1288">
        <f t="shared" si="0"/>
        <v>1</v>
      </c>
      <c r="F24" s="98"/>
      <c r="G24" s="118">
        <f>+'[5]bér KF'!C25</f>
        <v>672</v>
      </c>
      <c r="H24" s="229"/>
      <c r="I24" s="134">
        <f t="shared" si="6"/>
        <v>672</v>
      </c>
      <c r="J24" s="1288">
        <f t="shared" si="1"/>
        <v>1</v>
      </c>
      <c r="K24" s="2"/>
      <c r="L24" s="118">
        <f>+'[5]bér KF'!D25</f>
        <v>0</v>
      </c>
      <c r="M24" s="229"/>
      <c r="N24" s="134">
        <f t="shared" si="7"/>
        <v>0</v>
      </c>
      <c r="O24" s="1288"/>
      <c r="P24" s="2"/>
      <c r="Q24" s="118"/>
      <c r="R24" s="229"/>
      <c r="S24" s="134"/>
      <c r="T24" s="1288"/>
      <c r="U24" s="98"/>
      <c r="V24" s="118">
        <f>+'[13]KF összesen'!E25</f>
        <v>1947</v>
      </c>
      <c r="W24" s="361">
        <f t="shared" si="3"/>
        <v>0</v>
      </c>
      <c r="X24" s="361">
        <f t="shared" si="3"/>
        <v>1947</v>
      </c>
      <c r="Y24" s="1288">
        <f t="shared" si="4"/>
        <v>1</v>
      </c>
      <c r="AA24" s="1292"/>
    </row>
    <row r="25" spans="1:29" s="368" customFormat="1" ht="15" customHeight="1">
      <c r="A25" s="135" t="str">
        <f>+'[11]Ovik összesen'!$A26</f>
        <v xml:space="preserve">Címpótlék </v>
      </c>
      <c r="B25" s="118">
        <f>+'[5]bér KF'!B26</f>
        <v>0</v>
      </c>
      <c r="C25" s="229"/>
      <c r="D25" s="134">
        <f t="shared" si="5"/>
        <v>0</v>
      </c>
      <c r="E25" s="1288"/>
      <c r="F25" s="98"/>
      <c r="G25" s="118">
        <f>+'[5]bér KF'!C26</f>
        <v>120</v>
      </c>
      <c r="H25" s="229"/>
      <c r="I25" s="134">
        <f t="shared" si="6"/>
        <v>120</v>
      </c>
      <c r="J25" s="1288">
        <f t="shared" si="1"/>
        <v>1</v>
      </c>
      <c r="K25" s="2"/>
      <c r="L25" s="118">
        <f>+'[5]bér KF'!D26</f>
        <v>0</v>
      </c>
      <c r="M25" s="229"/>
      <c r="N25" s="134">
        <f t="shared" si="7"/>
        <v>0</v>
      </c>
      <c r="O25" s="1288"/>
      <c r="P25" s="2"/>
      <c r="Q25" s="118"/>
      <c r="R25" s="229"/>
      <c r="S25" s="134"/>
      <c r="T25" s="1288"/>
      <c r="U25" s="98"/>
      <c r="V25" s="118">
        <f>+'[13]KF összesen'!E26</f>
        <v>120</v>
      </c>
      <c r="W25" s="361">
        <f t="shared" si="3"/>
        <v>0</v>
      </c>
      <c r="X25" s="361">
        <f t="shared" si="3"/>
        <v>120</v>
      </c>
      <c r="Y25" s="1288">
        <f t="shared" si="4"/>
        <v>1</v>
      </c>
      <c r="AA25" s="1292"/>
    </row>
    <row r="26" spans="1:29" ht="15" customHeight="1">
      <c r="A26" s="135" t="str">
        <f>+'[11]Ovik összesen'!$A27</f>
        <v>Egyéb feltételtől függő pótlék, juttatás</v>
      </c>
      <c r="B26" s="118">
        <f>+'[5]bér KF'!B27</f>
        <v>0</v>
      </c>
      <c r="C26" s="229"/>
      <c r="D26" s="134">
        <f t="shared" si="5"/>
        <v>0</v>
      </c>
      <c r="E26" s="1288"/>
      <c r="G26" s="118">
        <f>+'[5]bér KF'!C27</f>
        <v>0</v>
      </c>
      <c r="H26" s="229"/>
      <c r="I26" s="134">
        <f t="shared" si="6"/>
        <v>0</v>
      </c>
      <c r="J26" s="1288"/>
      <c r="L26" s="118">
        <f>+'[5]bér KF'!D27</f>
        <v>0</v>
      </c>
      <c r="M26" s="229"/>
      <c r="N26" s="134">
        <f t="shared" si="7"/>
        <v>0</v>
      </c>
      <c r="O26" s="1288"/>
      <c r="P26" s="2"/>
      <c r="Q26" s="118"/>
      <c r="R26" s="229"/>
      <c r="S26" s="134"/>
      <c r="T26" s="1288"/>
      <c r="V26" s="118">
        <f>+'[13]KF összesen'!E27</f>
        <v>0</v>
      </c>
      <c r="W26" s="361">
        <f t="shared" si="3"/>
        <v>0</v>
      </c>
      <c r="X26" s="361">
        <f t="shared" si="3"/>
        <v>0</v>
      </c>
      <c r="Y26" s="1288"/>
      <c r="AA26" s="1292"/>
    </row>
    <row r="27" spans="1:29" s="368" customFormat="1" ht="15" customHeight="1">
      <c r="A27" s="1073" t="str">
        <f>+'[11]Ovik összesen'!$A28</f>
        <v>Teljes munkaidőben foglalkoztatottak rendszeres juttatásai</v>
      </c>
      <c r="B27" s="365">
        <f>+'[5]bér KF'!B28</f>
        <v>14411</v>
      </c>
      <c r="C27" s="1307"/>
      <c r="D27" s="1308">
        <f t="shared" si="5"/>
        <v>14411</v>
      </c>
      <c r="E27" s="1668">
        <f t="shared" si="0"/>
        <v>1</v>
      </c>
      <c r="F27" s="366"/>
      <c r="G27" s="365">
        <f>+'[5]bér KF'!C28</f>
        <v>19303</v>
      </c>
      <c r="H27" s="1307"/>
      <c r="I27" s="1308">
        <f t="shared" si="6"/>
        <v>19303</v>
      </c>
      <c r="J27" s="1668">
        <f t="shared" si="1"/>
        <v>1</v>
      </c>
      <c r="K27" s="367"/>
      <c r="L27" s="365">
        <f>+'[5]bér KF'!D28</f>
        <v>2379</v>
      </c>
      <c r="M27" s="1307"/>
      <c r="N27" s="1308">
        <f t="shared" si="7"/>
        <v>2379</v>
      </c>
      <c r="O27" s="1668">
        <f t="shared" si="2"/>
        <v>1</v>
      </c>
      <c r="P27" s="367"/>
      <c r="Q27" s="365"/>
      <c r="R27" s="1307"/>
      <c r="S27" s="1308"/>
      <c r="T27" s="1668"/>
      <c r="U27" s="366"/>
      <c r="V27" s="365">
        <f>+'[13]KF összesen'!E28</f>
        <v>36093</v>
      </c>
      <c r="W27" s="1665">
        <f t="shared" si="3"/>
        <v>0</v>
      </c>
      <c r="X27" s="1665">
        <f t="shared" si="3"/>
        <v>36093</v>
      </c>
      <c r="Y27" s="1668">
        <f t="shared" si="4"/>
        <v>1</v>
      </c>
      <c r="AA27" s="1309"/>
    </row>
    <row r="28" spans="1:29" s="368" customFormat="1" ht="15" customHeight="1">
      <c r="A28" s="1075" t="str">
        <f>+'[11]Ovik összesen'!$A29</f>
        <v>Részmunkaidősök rendszeres személyi juttatása</v>
      </c>
      <c r="B28" s="365">
        <f>+'[5]bér KF'!B29</f>
        <v>0</v>
      </c>
      <c r="C28" s="1310"/>
      <c r="D28" s="1311">
        <f t="shared" si="5"/>
        <v>0</v>
      </c>
      <c r="E28" s="1669"/>
      <c r="F28" s="366"/>
      <c r="G28" s="365">
        <f>+'[5]bér KF'!C29</f>
        <v>4410</v>
      </c>
      <c r="H28" s="1310"/>
      <c r="I28" s="1311">
        <f t="shared" si="6"/>
        <v>4410</v>
      </c>
      <c r="J28" s="1669">
        <f t="shared" si="1"/>
        <v>1</v>
      </c>
      <c r="K28" s="367"/>
      <c r="L28" s="365">
        <f>+'[5]bér KF'!D29</f>
        <v>1891</v>
      </c>
      <c r="M28" s="1310"/>
      <c r="N28" s="1311">
        <f t="shared" si="7"/>
        <v>1891</v>
      </c>
      <c r="O28" s="1669">
        <f t="shared" si="2"/>
        <v>1</v>
      </c>
      <c r="P28" s="367"/>
      <c r="Q28" s="372"/>
      <c r="R28" s="1310"/>
      <c r="S28" s="1311"/>
      <c r="T28" s="1669"/>
      <c r="U28" s="366"/>
      <c r="V28" s="372">
        <f>+'[13]KF összesen'!E29</f>
        <v>6301</v>
      </c>
      <c r="W28" s="1667">
        <f t="shared" si="3"/>
        <v>0</v>
      </c>
      <c r="X28" s="1667">
        <f t="shared" si="3"/>
        <v>6301</v>
      </c>
      <c r="Y28" s="1669">
        <f t="shared" si="4"/>
        <v>1</v>
      </c>
      <c r="AA28" s="1309"/>
    </row>
    <row r="29" spans="1:29" ht="15" customHeight="1">
      <c r="A29" s="1312" t="str">
        <f>+'[11]Ovik összesen'!$A30</f>
        <v>RENDSZERES SZEMÉLYI JUTTATÁSOK ÖSSZESEN</v>
      </c>
      <c r="B29" s="374">
        <f>SUM(B27:B28)</f>
        <v>14411</v>
      </c>
      <c r="C29" s="1313"/>
      <c r="D29" s="18">
        <f>SUM(D27:D28)</f>
        <v>14411</v>
      </c>
      <c r="E29" s="1314">
        <f t="shared" si="0"/>
        <v>1</v>
      </c>
      <c r="G29" s="374">
        <f>SUM(G27:G28)</f>
        <v>23713</v>
      </c>
      <c r="H29" s="1313"/>
      <c r="I29" s="18">
        <f>SUM(I27:I28)</f>
        <v>23713</v>
      </c>
      <c r="J29" s="1314">
        <f t="shared" si="1"/>
        <v>1</v>
      </c>
      <c r="L29" s="374">
        <f>SUM(L27:L28)</f>
        <v>4270</v>
      </c>
      <c r="M29" s="1313"/>
      <c r="N29" s="18">
        <f>SUM(N27:N28)</f>
        <v>4270</v>
      </c>
      <c r="O29" s="1314">
        <f t="shared" si="2"/>
        <v>1</v>
      </c>
      <c r="P29" s="2"/>
      <c r="Q29" s="374"/>
      <c r="R29" s="1313"/>
      <c r="S29" s="1315"/>
      <c r="T29" s="1314"/>
      <c r="V29" s="374">
        <f>SUM(V27:V28)</f>
        <v>42394</v>
      </c>
      <c r="W29" s="1241">
        <f t="shared" si="3"/>
        <v>0</v>
      </c>
      <c r="X29" s="1241">
        <f t="shared" si="3"/>
        <v>42394</v>
      </c>
      <c r="Y29" s="1314">
        <f t="shared" si="4"/>
        <v>1</v>
      </c>
      <c r="AA29" s="1292"/>
    </row>
    <row r="30" spans="1:29" ht="15" customHeight="1">
      <c r="A30" s="1327" t="str">
        <f>+'[11]Ovik összesen'!$A31</f>
        <v>Jutalom, teljesitményhez kötött</v>
      </c>
      <c r="B30" s="111">
        <v>0</v>
      </c>
      <c r="C30" s="65"/>
      <c r="D30" s="112">
        <f t="shared" ref="D30:D61" si="8">SUM(B30:C30)</f>
        <v>0</v>
      </c>
      <c r="E30" s="1288"/>
      <c r="G30" s="111">
        <f>+'[5]bér KF'!C31</f>
        <v>0</v>
      </c>
      <c r="H30" s="65"/>
      <c r="I30" s="112">
        <f t="shared" ref="I30:I61" si="9">SUM(G30:H30)</f>
        <v>0</v>
      </c>
      <c r="J30" s="1288"/>
      <c r="L30" s="111">
        <f>+'[5]bér KF'!D31</f>
        <v>0</v>
      </c>
      <c r="M30" s="65"/>
      <c r="N30" s="112">
        <f t="shared" ref="N30:N61" si="10">SUM(L30:M30)</f>
        <v>0</v>
      </c>
      <c r="O30" s="1288"/>
      <c r="P30" s="2"/>
      <c r="Q30" s="111"/>
      <c r="R30" s="65"/>
      <c r="S30" s="112"/>
      <c r="T30" s="1288"/>
      <c r="V30" s="111">
        <f>+'[13]KF összesen'!E31</f>
        <v>0</v>
      </c>
      <c r="W30" s="1306">
        <f t="shared" si="3"/>
        <v>0</v>
      </c>
      <c r="X30" s="1306">
        <f t="shared" si="3"/>
        <v>0</v>
      </c>
      <c r="Y30" s="1288"/>
      <c r="AA30" s="1292"/>
    </row>
    <row r="31" spans="1:29" ht="15" customHeight="1">
      <c r="A31" s="222" t="str">
        <f>+'[11]Ovik összesen'!$A32</f>
        <v>Jutalom normatív</v>
      </c>
      <c r="B31" s="111">
        <f>+'[5]bér KF'!B32</f>
        <v>0</v>
      </c>
      <c r="C31" s="229"/>
      <c r="D31" s="134">
        <f t="shared" si="8"/>
        <v>0</v>
      </c>
      <c r="E31" s="1288"/>
      <c r="G31" s="111">
        <f>+'[5]bér KF'!C32</f>
        <v>0</v>
      </c>
      <c r="H31" s="229"/>
      <c r="I31" s="134">
        <f t="shared" si="9"/>
        <v>0</v>
      </c>
      <c r="J31" s="1288"/>
      <c r="L31" s="111">
        <f>+'[5]bér KF'!D32</f>
        <v>0</v>
      </c>
      <c r="M31" s="229"/>
      <c r="N31" s="134">
        <f t="shared" si="10"/>
        <v>0</v>
      </c>
      <c r="O31" s="1288"/>
      <c r="P31" s="2"/>
      <c r="Q31" s="137"/>
      <c r="R31" s="229"/>
      <c r="S31" s="138"/>
      <c r="T31" s="1288"/>
      <c r="V31" s="118">
        <f>+'[13]KF összesen'!E32</f>
        <v>0</v>
      </c>
      <c r="W31" s="361">
        <f t="shared" si="3"/>
        <v>0</v>
      </c>
      <c r="X31" s="361">
        <f t="shared" si="3"/>
        <v>0</v>
      </c>
      <c r="Y31" s="1288"/>
      <c r="AA31" s="1292"/>
    </row>
    <row r="32" spans="1:29" s="368" customFormat="1" ht="15" customHeight="1">
      <c r="A32" s="222" t="str">
        <f>+'[11]Ovik összesen'!$A33</f>
        <v>Helyettesítés</v>
      </c>
      <c r="B32" s="111">
        <v>300</v>
      </c>
      <c r="C32" s="229"/>
      <c r="D32" s="134">
        <f t="shared" si="8"/>
        <v>300</v>
      </c>
      <c r="E32" s="1288">
        <f t="shared" si="0"/>
        <v>1</v>
      </c>
      <c r="F32" s="98"/>
      <c r="G32" s="111">
        <v>400</v>
      </c>
      <c r="H32" s="229"/>
      <c r="I32" s="134">
        <f t="shared" si="9"/>
        <v>400</v>
      </c>
      <c r="J32" s="1288">
        <f t="shared" si="1"/>
        <v>1</v>
      </c>
      <c r="K32" s="2"/>
      <c r="L32" s="111">
        <v>100</v>
      </c>
      <c r="M32" s="229"/>
      <c r="N32" s="134">
        <f t="shared" si="10"/>
        <v>100</v>
      </c>
      <c r="O32" s="1288">
        <f t="shared" si="2"/>
        <v>1</v>
      </c>
      <c r="P32" s="2"/>
      <c r="Q32" s="118"/>
      <c r="R32" s="229"/>
      <c r="S32" s="134"/>
      <c r="T32" s="1288"/>
      <c r="U32" s="98"/>
      <c r="V32" s="118">
        <f>+L32+G32+B32</f>
        <v>800</v>
      </c>
      <c r="W32" s="361">
        <f t="shared" si="3"/>
        <v>0</v>
      </c>
      <c r="X32" s="361">
        <f t="shared" si="3"/>
        <v>800</v>
      </c>
      <c r="Y32" s="1288">
        <f t="shared" si="4"/>
        <v>1</v>
      </c>
      <c r="AA32" s="1292"/>
    </row>
    <row r="33" spans="1:27" s="368" customFormat="1" ht="15" customHeight="1">
      <c r="A33" s="222" t="str">
        <f>+'[11]Ovik összesen'!$A34</f>
        <v>Túlóra</v>
      </c>
      <c r="B33" s="111">
        <f>+'[5]bér KF'!B34</f>
        <v>1250</v>
      </c>
      <c r="C33" s="229"/>
      <c r="D33" s="134">
        <f t="shared" si="8"/>
        <v>1250</v>
      </c>
      <c r="E33" s="1288">
        <f t="shared" si="0"/>
        <v>1</v>
      </c>
      <c r="F33" s="98"/>
      <c r="G33" s="111">
        <f>+'[5]bér KF'!C34</f>
        <v>937</v>
      </c>
      <c r="H33" s="229"/>
      <c r="I33" s="134">
        <f t="shared" si="9"/>
        <v>937</v>
      </c>
      <c r="J33" s="1288">
        <f t="shared" si="1"/>
        <v>1</v>
      </c>
      <c r="K33" s="2"/>
      <c r="L33" s="111">
        <f>+'[5]bér KF'!D34</f>
        <v>314</v>
      </c>
      <c r="M33" s="229"/>
      <c r="N33" s="134">
        <f t="shared" si="10"/>
        <v>314</v>
      </c>
      <c r="O33" s="1288">
        <f t="shared" si="2"/>
        <v>1</v>
      </c>
      <c r="P33" s="2"/>
      <c r="Q33" s="118"/>
      <c r="R33" s="229"/>
      <c r="S33" s="134"/>
      <c r="T33" s="1288"/>
      <c r="U33" s="98"/>
      <c r="V33" s="118">
        <f>+L33+G33+B33</f>
        <v>2501</v>
      </c>
      <c r="W33" s="361">
        <f t="shared" si="3"/>
        <v>0</v>
      </c>
      <c r="X33" s="361">
        <f t="shared" si="3"/>
        <v>2501</v>
      </c>
      <c r="Y33" s="1288">
        <f t="shared" si="4"/>
        <v>1</v>
      </c>
      <c r="AA33" s="1292"/>
    </row>
    <row r="34" spans="1:27" ht="15" customHeight="1">
      <c r="A34" s="222" t="str">
        <f>+'[11]Ovik összesen'!$A35</f>
        <v>Egyéb munkavégzéshez kapcsolódó juttatások</v>
      </c>
      <c r="B34" s="118">
        <f>+'[5]bér KF'!B35</f>
        <v>265</v>
      </c>
      <c r="C34" s="85"/>
      <c r="D34" s="24">
        <f t="shared" si="8"/>
        <v>265</v>
      </c>
      <c r="E34" s="1288">
        <f t="shared" si="0"/>
        <v>1</v>
      </c>
      <c r="G34" s="111">
        <f>+'[5]bér KF'!C35</f>
        <v>583</v>
      </c>
      <c r="H34" s="229"/>
      <c r="I34" s="134">
        <f t="shared" si="9"/>
        <v>583</v>
      </c>
      <c r="J34" s="1288">
        <f t="shared" si="1"/>
        <v>1</v>
      </c>
      <c r="L34" s="111">
        <f>+'[5]bér KF'!D35</f>
        <v>159</v>
      </c>
      <c r="M34" s="229"/>
      <c r="N34" s="134">
        <f t="shared" si="10"/>
        <v>159</v>
      </c>
      <c r="O34" s="1288">
        <f t="shared" si="2"/>
        <v>1</v>
      </c>
      <c r="P34" s="2"/>
      <c r="Q34" s="118"/>
      <c r="R34" s="229"/>
      <c r="S34" s="134"/>
      <c r="T34" s="1288"/>
      <c r="V34" s="118">
        <f>+L34+G34+B34</f>
        <v>1007</v>
      </c>
      <c r="W34" s="361">
        <f t="shared" si="3"/>
        <v>0</v>
      </c>
      <c r="X34" s="361">
        <f t="shared" si="3"/>
        <v>1007</v>
      </c>
      <c r="Y34" s="1288">
        <f t="shared" si="4"/>
        <v>1</v>
      </c>
      <c r="AA34" s="1292"/>
    </row>
    <row r="35" spans="1:27" s="368" customFormat="1" ht="15" customHeight="1">
      <c r="A35" s="1316" t="str">
        <f>+'[11]Ovik összesen'!$A36</f>
        <v>Teljes munkaidőben foglalkoztatottak munkavégzéshez kapcsolódó juttatásai</v>
      </c>
      <c r="B35" s="915">
        <f>SUM(B30:B34)</f>
        <v>1815</v>
      </c>
      <c r="C35" s="1317"/>
      <c r="D35" s="353">
        <f t="shared" si="8"/>
        <v>1815</v>
      </c>
      <c r="E35" s="1668">
        <f t="shared" si="0"/>
        <v>1</v>
      </c>
      <c r="F35" s="366"/>
      <c r="G35" s="915">
        <f>+'[5]bér KF'!C36-584</f>
        <v>1350</v>
      </c>
      <c r="H35" s="1307"/>
      <c r="I35" s="1308">
        <f t="shared" si="9"/>
        <v>1350</v>
      </c>
      <c r="J35" s="1668">
        <f t="shared" si="1"/>
        <v>1</v>
      </c>
      <c r="K35" s="367"/>
      <c r="L35" s="915">
        <f>+'[5]bér KF'!D36</f>
        <v>285</v>
      </c>
      <c r="M35" s="1307"/>
      <c r="N35" s="1308">
        <f t="shared" si="10"/>
        <v>285</v>
      </c>
      <c r="O35" s="1668">
        <f t="shared" si="2"/>
        <v>1</v>
      </c>
      <c r="P35" s="367"/>
      <c r="Q35" s="365"/>
      <c r="R35" s="1307"/>
      <c r="S35" s="1308"/>
      <c r="T35" s="1668"/>
      <c r="U35" s="366"/>
      <c r="V35" s="365">
        <f>+L35+G35+B35</f>
        <v>3450</v>
      </c>
      <c r="W35" s="1665">
        <f t="shared" si="3"/>
        <v>0</v>
      </c>
      <c r="X35" s="1665">
        <f t="shared" si="3"/>
        <v>3450</v>
      </c>
      <c r="Y35" s="1668">
        <f t="shared" si="4"/>
        <v>1</v>
      </c>
      <c r="AA35" s="1309"/>
    </row>
    <row r="36" spans="1:27" s="368" customFormat="1" ht="15" customHeight="1">
      <c r="A36" s="1318" t="str">
        <f>+'[11]Ovik összesen'!$A37</f>
        <v>Részmunkaidőben foglalkoztatottak munkavégzéshez kapcsolódó juttatásai</v>
      </c>
      <c r="B36" s="915">
        <f>+'[5]bér KF'!B37</f>
        <v>0</v>
      </c>
      <c r="C36" s="1319"/>
      <c r="D36" s="371">
        <f t="shared" si="8"/>
        <v>0</v>
      </c>
      <c r="E36" s="1669"/>
      <c r="F36" s="366"/>
      <c r="G36" s="365">
        <f>+'[5]bér KF'!C37</f>
        <v>570</v>
      </c>
      <c r="H36" s="1319"/>
      <c r="I36" s="371">
        <f t="shared" si="9"/>
        <v>570</v>
      </c>
      <c r="J36" s="1669">
        <f t="shared" si="1"/>
        <v>1</v>
      </c>
      <c r="K36" s="367"/>
      <c r="L36" s="915">
        <f>+'[5]bér KF'!D37-168</f>
        <v>288</v>
      </c>
      <c r="M36" s="1310"/>
      <c r="N36" s="1311">
        <f t="shared" si="10"/>
        <v>288</v>
      </c>
      <c r="O36" s="1669">
        <f t="shared" si="2"/>
        <v>1</v>
      </c>
      <c r="P36" s="367"/>
      <c r="Q36" s="372"/>
      <c r="R36" s="1310"/>
      <c r="S36" s="1311"/>
      <c r="T36" s="1669"/>
      <c r="U36" s="366"/>
      <c r="V36" s="365">
        <f>+L36+G36+B36</f>
        <v>858</v>
      </c>
      <c r="W36" s="1667">
        <f t="shared" si="3"/>
        <v>0</v>
      </c>
      <c r="X36" s="1667">
        <f t="shared" si="3"/>
        <v>858</v>
      </c>
      <c r="Y36" s="1669">
        <f t="shared" si="4"/>
        <v>1</v>
      </c>
      <c r="AA36" s="1309"/>
    </row>
    <row r="37" spans="1:27" ht="15" customHeight="1">
      <c r="A37" s="1320" t="str">
        <f>+'[11]Ovik összesen'!$A38</f>
        <v>Munkavégzéshez kapcsolódó juttatások összesen</v>
      </c>
      <c r="B37" s="374">
        <f>SUM(B35:B36)</f>
        <v>1815</v>
      </c>
      <c r="C37" s="78"/>
      <c r="D37" s="18">
        <f t="shared" si="8"/>
        <v>1815</v>
      </c>
      <c r="E37" s="1314">
        <f t="shared" si="0"/>
        <v>1</v>
      </c>
      <c r="G37" s="374">
        <f>SUM(G35:G36)</f>
        <v>1920</v>
      </c>
      <c r="H37" s="78"/>
      <c r="I37" s="18">
        <f t="shared" si="9"/>
        <v>1920</v>
      </c>
      <c r="J37" s="1314">
        <f t="shared" si="1"/>
        <v>1</v>
      </c>
      <c r="L37" s="374">
        <f>SUM(L35:L36)</f>
        <v>573</v>
      </c>
      <c r="M37" s="1313"/>
      <c r="N37" s="18">
        <f t="shared" si="10"/>
        <v>573</v>
      </c>
      <c r="O37" s="1314">
        <f t="shared" si="2"/>
        <v>1</v>
      </c>
      <c r="P37" s="2"/>
      <c r="Q37" s="374"/>
      <c r="R37" s="1313"/>
      <c r="S37" s="1315"/>
      <c r="T37" s="1314"/>
      <c r="V37" s="374">
        <f>SUM(V35:V36)</f>
        <v>4308</v>
      </c>
      <c r="W37" s="1241">
        <f t="shared" si="3"/>
        <v>0</v>
      </c>
      <c r="X37" s="1241">
        <f t="shared" si="3"/>
        <v>4308</v>
      </c>
      <c r="Y37" s="1314">
        <f t="shared" si="4"/>
        <v>1</v>
      </c>
      <c r="AA37" s="1292"/>
    </row>
    <row r="38" spans="1:27" ht="15" customHeight="1">
      <c r="A38" s="1321" t="str">
        <f>+'[11]Ovik összesen'!$A39</f>
        <v>Ker. kiegészítés fedezete</v>
      </c>
      <c r="B38" s="111">
        <v>0</v>
      </c>
      <c r="C38" s="66"/>
      <c r="D38" s="15">
        <f t="shared" si="8"/>
        <v>0</v>
      </c>
      <c r="E38" s="1288"/>
      <c r="G38" s="111">
        <v>0</v>
      </c>
      <c r="H38" s="66"/>
      <c r="I38" s="15">
        <f t="shared" si="9"/>
        <v>0</v>
      </c>
      <c r="J38" s="1288"/>
      <c r="L38" s="111">
        <v>0</v>
      </c>
      <c r="M38" s="65"/>
      <c r="N38" s="112">
        <f t="shared" si="10"/>
        <v>0</v>
      </c>
      <c r="O38" s="1288"/>
      <c r="P38" s="2"/>
      <c r="Q38" s="111"/>
      <c r="R38" s="65"/>
      <c r="S38" s="112"/>
      <c r="T38" s="1288"/>
      <c r="V38" s="111">
        <f>+'[13]KF összesen'!E39</f>
        <v>0</v>
      </c>
      <c r="W38" s="1306">
        <f t="shared" si="3"/>
        <v>0</v>
      </c>
      <c r="X38" s="1306">
        <f t="shared" si="3"/>
        <v>0</v>
      </c>
      <c r="Y38" s="1288"/>
      <c r="AA38" s="1292"/>
    </row>
    <row r="39" spans="1:27" s="368" customFormat="1" ht="15" customHeight="1">
      <c r="A39" s="222" t="str">
        <f>+'[11]Ovik összesen'!$A40</f>
        <v>Jubileumi jutalom</v>
      </c>
      <c r="B39" s="111">
        <f>+'[5]bér KF'!B40</f>
        <v>0</v>
      </c>
      <c r="C39" s="85"/>
      <c r="D39" s="24">
        <f t="shared" si="8"/>
        <v>0</v>
      </c>
      <c r="E39" s="1288"/>
      <c r="F39" s="98"/>
      <c r="G39" s="111">
        <f>+'[5]bér KF'!C40</f>
        <v>0</v>
      </c>
      <c r="H39" s="85"/>
      <c r="I39" s="24">
        <f t="shared" si="9"/>
        <v>0</v>
      </c>
      <c r="J39" s="1288"/>
      <c r="K39" s="401"/>
      <c r="L39" s="111">
        <f>+'[5]bér KF'!D40</f>
        <v>1133</v>
      </c>
      <c r="M39" s="229"/>
      <c r="N39" s="134">
        <f t="shared" si="10"/>
        <v>1133</v>
      </c>
      <c r="O39" s="1288">
        <f t="shared" si="2"/>
        <v>1</v>
      </c>
      <c r="P39" s="2"/>
      <c r="Q39" s="118"/>
      <c r="R39" s="229"/>
      <c r="S39" s="134"/>
      <c r="T39" s="1288"/>
      <c r="U39" s="98"/>
      <c r="V39" s="118">
        <f>+'[13]KF összesen'!E40</f>
        <v>1133</v>
      </c>
      <c r="W39" s="361">
        <f t="shared" si="3"/>
        <v>0</v>
      </c>
      <c r="X39" s="361">
        <f t="shared" si="3"/>
        <v>1133</v>
      </c>
      <c r="Y39" s="1288">
        <f>+X39/V39</f>
        <v>1</v>
      </c>
      <c r="AA39" s="1292"/>
    </row>
    <row r="40" spans="1:27" s="368" customFormat="1" ht="15" customHeight="1">
      <c r="A40" s="222" t="str">
        <f>+'[11]Ovik összesen'!$A41</f>
        <v>Napidíj</v>
      </c>
      <c r="B40" s="111">
        <f>+'[5]bér KF'!B41</f>
        <v>0</v>
      </c>
      <c r="C40" s="85"/>
      <c r="D40" s="24">
        <f t="shared" si="8"/>
        <v>0</v>
      </c>
      <c r="E40" s="1288"/>
      <c r="F40" s="98"/>
      <c r="G40" s="111">
        <f>+'[5]bér KF'!C41</f>
        <v>0</v>
      </c>
      <c r="H40" s="85"/>
      <c r="I40" s="24">
        <f t="shared" si="9"/>
        <v>0</v>
      </c>
      <c r="J40" s="1288"/>
      <c r="K40" s="2"/>
      <c r="L40" s="111">
        <f>+'[5]bér KF'!D41</f>
        <v>0</v>
      </c>
      <c r="M40" s="229"/>
      <c r="N40" s="134">
        <f t="shared" si="10"/>
        <v>0</v>
      </c>
      <c r="O40" s="1288"/>
      <c r="P40" s="2"/>
      <c r="Q40" s="118"/>
      <c r="R40" s="229"/>
      <c r="S40" s="134"/>
      <c r="T40" s="1288"/>
      <c r="U40" s="98"/>
      <c r="V40" s="118">
        <f>+'[13]KF összesen'!E41</f>
        <v>0</v>
      </c>
      <c r="W40" s="361">
        <f t="shared" si="3"/>
        <v>0</v>
      </c>
      <c r="X40" s="361">
        <f t="shared" si="3"/>
        <v>0</v>
      </c>
      <c r="Y40" s="1288"/>
      <c r="AA40" s="1292"/>
    </row>
    <row r="41" spans="1:27" ht="15" customHeight="1">
      <c r="A41" s="222" t="str">
        <f>+'[11]Ovik összesen'!$A42</f>
        <v>Egyéb sajátos juttatások</v>
      </c>
      <c r="B41" s="111">
        <f>+'[5]bér KF'!B42</f>
        <v>44</v>
      </c>
      <c r="C41" s="85"/>
      <c r="D41" s="24">
        <f t="shared" si="8"/>
        <v>44</v>
      </c>
      <c r="E41" s="1288">
        <f t="shared" si="0"/>
        <v>1</v>
      </c>
      <c r="G41" s="111">
        <f>+'[5]bér KF'!C42</f>
        <v>97</v>
      </c>
      <c r="H41" s="85"/>
      <c r="I41" s="24">
        <f t="shared" si="9"/>
        <v>97</v>
      </c>
      <c r="J41" s="1288">
        <f t="shared" si="1"/>
        <v>1</v>
      </c>
      <c r="L41" s="111">
        <f>+'[5]bér KF'!D42</f>
        <v>27</v>
      </c>
      <c r="M41" s="229"/>
      <c r="N41" s="134">
        <f t="shared" si="10"/>
        <v>27</v>
      </c>
      <c r="O41" s="1288">
        <f t="shared" si="2"/>
        <v>1</v>
      </c>
      <c r="P41" s="2"/>
      <c r="Q41" s="118"/>
      <c r="R41" s="229"/>
      <c r="S41" s="134"/>
      <c r="T41" s="1288"/>
      <c r="V41" s="118">
        <f>+'[13]KF összesen'!E42</f>
        <v>168</v>
      </c>
      <c r="W41" s="361">
        <f t="shared" si="3"/>
        <v>0</v>
      </c>
      <c r="X41" s="361">
        <f t="shared" si="3"/>
        <v>168</v>
      </c>
      <c r="Y41" s="1288">
        <f t="shared" si="4"/>
        <v>1</v>
      </c>
      <c r="AA41" s="1292"/>
    </row>
    <row r="42" spans="1:27" s="368" customFormat="1" ht="15" customHeight="1">
      <c r="A42" s="1316" t="str">
        <f>+'[11]Ovik összesen'!$A43</f>
        <v>Teljes munkaidőben foglalkoztatottak sajátos juttatásai összesen</v>
      </c>
      <c r="B42" s="915">
        <f>SUM(B38:B41)</f>
        <v>44</v>
      </c>
      <c r="C42" s="1317"/>
      <c r="D42" s="353">
        <f t="shared" si="8"/>
        <v>44</v>
      </c>
      <c r="E42" s="1668">
        <f t="shared" si="0"/>
        <v>1</v>
      </c>
      <c r="F42" s="366"/>
      <c r="G42" s="915">
        <f>SUM(G38:G41)</f>
        <v>97</v>
      </c>
      <c r="H42" s="1317"/>
      <c r="I42" s="353">
        <f t="shared" si="9"/>
        <v>97</v>
      </c>
      <c r="J42" s="1668">
        <f t="shared" si="1"/>
        <v>1</v>
      </c>
      <c r="K42" s="367"/>
      <c r="L42" s="915">
        <f>SUM(L38:L41)</f>
        <v>1160</v>
      </c>
      <c r="M42" s="1307"/>
      <c r="N42" s="1311">
        <f t="shared" si="10"/>
        <v>1160</v>
      </c>
      <c r="O42" s="1669">
        <f t="shared" si="2"/>
        <v>1</v>
      </c>
      <c r="P42" s="367"/>
      <c r="Q42" s="365"/>
      <c r="R42" s="1307"/>
      <c r="S42" s="1308"/>
      <c r="T42" s="1668"/>
      <c r="U42" s="366"/>
      <c r="V42" s="365">
        <f>+B42+G42+L42+Q42</f>
        <v>1301</v>
      </c>
      <c r="W42" s="1667">
        <f t="shared" si="3"/>
        <v>0</v>
      </c>
      <c r="X42" s="1667">
        <f t="shared" si="3"/>
        <v>1301</v>
      </c>
      <c r="Y42" s="1669">
        <f t="shared" si="4"/>
        <v>1</v>
      </c>
      <c r="AA42" s="1309"/>
    </row>
    <row r="43" spans="1:27" s="368" customFormat="1" ht="15" customHeight="1">
      <c r="A43" s="1318" t="str">
        <f>+'[11]Ovik összesen'!$A44</f>
        <v>Részmunkaidőben foglalkoztatottak sajátos juttatásai</v>
      </c>
      <c r="B43" s="915">
        <f>+'[5]bér KF'!B44</f>
        <v>0</v>
      </c>
      <c r="C43" s="1319"/>
      <c r="D43" s="371">
        <f t="shared" si="8"/>
        <v>0</v>
      </c>
      <c r="E43" s="1669"/>
      <c r="F43" s="366"/>
      <c r="G43" s="915">
        <v>0</v>
      </c>
      <c r="H43" s="1319"/>
      <c r="I43" s="371">
        <f t="shared" si="9"/>
        <v>0</v>
      </c>
      <c r="J43" s="1669"/>
      <c r="K43" s="367"/>
      <c r="L43" s="915">
        <v>0</v>
      </c>
      <c r="M43" s="1310"/>
      <c r="N43" s="1322">
        <f t="shared" si="10"/>
        <v>0</v>
      </c>
      <c r="O43" s="1670"/>
      <c r="P43" s="367"/>
      <c r="Q43" s="372"/>
      <c r="R43" s="1310"/>
      <c r="S43" s="1311"/>
      <c r="T43" s="1669"/>
      <c r="U43" s="366"/>
      <c r="V43" s="365">
        <f>+B43+G43+L43+Q43</f>
        <v>0</v>
      </c>
      <c r="W43" s="1671">
        <f t="shared" si="3"/>
        <v>0</v>
      </c>
      <c r="X43" s="1671">
        <f t="shared" si="3"/>
        <v>0</v>
      </c>
      <c r="Y43" s="1670"/>
      <c r="AA43" s="1309"/>
    </row>
    <row r="44" spans="1:27" ht="15" customHeight="1">
      <c r="A44" s="1320" t="str">
        <f>+'[11]Ovik összesen'!$A45</f>
        <v>Foglalkoztatottak sajátos juttatásai</v>
      </c>
      <c r="B44" s="374">
        <f>SUM(B42:B43)</f>
        <v>44</v>
      </c>
      <c r="C44" s="78"/>
      <c r="D44" s="18">
        <f t="shared" si="8"/>
        <v>44</v>
      </c>
      <c r="E44" s="1314">
        <f t="shared" si="0"/>
        <v>1</v>
      </c>
      <c r="F44" s="131"/>
      <c r="G44" s="374">
        <f>SUM(G42:G43)</f>
        <v>97</v>
      </c>
      <c r="H44" s="78"/>
      <c r="I44" s="18">
        <f t="shared" si="9"/>
        <v>97</v>
      </c>
      <c r="J44" s="1314">
        <f t="shared" si="1"/>
        <v>1</v>
      </c>
      <c r="L44" s="374">
        <f>SUM(L42:L43)</f>
        <v>1160</v>
      </c>
      <c r="M44" s="1313"/>
      <c r="N44" s="18">
        <f t="shared" si="10"/>
        <v>1160</v>
      </c>
      <c r="O44" s="1314">
        <f t="shared" si="2"/>
        <v>1</v>
      </c>
      <c r="P44" s="2"/>
      <c r="Q44" s="374"/>
      <c r="R44" s="1313"/>
      <c r="S44" s="1315"/>
      <c r="T44" s="1314"/>
      <c r="U44" s="131"/>
      <c r="V44" s="374">
        <f>SUM(V42:V43)</f>
        <v>1301</v>
      </c>
      <c r="W44" s="1452">
        <f t="shared" si="3"/>
        <v>0</v>
      </c>
      <c r="X44" s="1452">
        <f t="shared" si="3"/>
        <v>1301</v>
      </c>
      <c r="Y44" s="1323">
        <f t="shared" si="4"/>
        <v>1</v>
      </c>
      <c r="AA44" s="1292"/>
    </row>
    <row r="45" spans="1:27" ht="15" customHeight="1">
      <c r="A45" s="1321" t="str">
        <f>+'[11]Ovik összesen'!$A46</f>
        <v>Közlekedési költségtérítés</v>
      </c>
      <c r="B45" s="111">
        <f>+'[5]bér KF'!B46</f>
        <v>13</v>
      </c>
      <c r="C45" s="66"/>
      <c r="D45" s="15">
        <f t="shared" si="8"/>
        <v>13</v>
      </c>
      <c r="E45" s="1288">
        <f t="shared" si="0"/>
        <v>1</v>
      </c>
      <c r="F45" s="131"/>
      <c r="G45" s="111">
        <f>+'[5]bér KF'!C46</f>
        <v>640</v>
      </c>
      <c r="H45" s="66"/>
      <c r="I45" s="15">
        <f t="shared" si="9"/>
        <v>640</v>
      </c>
      <c r="J45" s="1288">
        <f t="shared" si="1"/>
        <v>1</v>
      </c>
      <c r="L45" s="111">
        <f>+'[5]bér KF'!D46</f>
        <v>324</v>
      </c>
      <c r="M45" s="65"/>
      <c r="N45" s="112">
        <f t="shared" si="10"/>
        <v>324</v>
      </c>
      <c r="O45" s="1288">
        <f t="shared" si="2"/>
        <v>1</v>
      </c>
      <c r="Q45" s="117"/>
      <c r="R45" s="65"/>
      <c r="S45" s="1324"/>
      <c r="T45" s="1288"/>
      <c r="U45" s="131"/>
      <c r="V45" s="111">
        <f>+'[13]KF összesen'!E46</f>
        <v>977</v>
      </c>
      <c r="W45" s="1306">
        <f t="shared" si="3"/>
        <v>0</v>
      </c>
      <c r="X45" s="1306">
        <f t="shared" si="3"/>
        <v>977</v>
      </c>
      <c r="Y45" s="1288">
        <f t="shared" si="4"/>
        <v>1</v>
      </c>
      <c r="AA45" s="1292"/>
    </row>
    <row r="46" spans="1:27" s="368" customFormat="1" ht="15" customHeight="1">
      <c r="A46" s="222" t="str">
        <f>+'[11]Ovik összesen'!$A47</f>
        <v>Étkezési hozzájárulás</v>
      </c>
      <c r="B46" s="111">
        <f>+'[5]bér KF'!B47</f>
        <v>1152</v>
      </c>
      <c r="C46" s="85"/>
      <c r="D46" s="24">
        <f t="shared" si="8"/>
        <v>1152</v>
      </c>
      <c r="E46" s="1288">
        <f t="shared" si="0"/>
        <v>1</v>
      </c>
      <c r="F46" s="131"/>
      <c r="G46" s="111">
        <f>+'[5]bér KF'!C47</f>
        <v>1570</v>
      </c>
      <c r="H46" s="85"/>
      <c r="I46" s="24">
        <f t="shared" si="9"/>
        <v>1570</v>
      </c>
      <c r="J46" s="1288">
        <f t="shared" si="1"/>
        <v>1</v>
      </c>
      <c r="K46" s="2"/>
      <c r="L46" s="111">
        <f>+'[5]bér KF'!D47</f>
        <v>273</v>
      </c>
      <c r="M46" s="229"/>
      <c r="N46" s="134">
        <f t="shared" si="10"/>
        <v>273</v>
      </c>
      <c r="O46" s="1288">
        <f t="shared" si="2"/>
        <v>1</v>
      </c>
      <c r="P46" s="1"/>
      <c r="Q46" s="1325"/>
      <c r="R46" s="229"/>
      <c r="S46" s="1326"/>
      <c r="T46" s="1288"/>
      <c r="U46" s="131"/>
      <c r="V46" s="118">
        <f>+'[13]KF összesen'!E47</f>
        <v>2995</v>
      </c>
      <c r="W46" s="361">
        <f t="shared" si="3"/>
        <v>0</v>
      </c>
      <c r="X46" s="361">
        <f t="shared" si="3"/>
        <v>2995</v>
      </c>
      <c r="Y46" s="1288">
        <f t="shared" si="4"/>
        <v>1</v>
      </c>
      <c r="AA46" s="1292"/>
    </row>
    <row r="47" spans="1:27" s="368" customFormat="1" ht="15" customHeight="1">
      <c r="A47" s="222" t="str">
        <f>+'[11]Ovik összesen'!$A48</f>
        <v>Üdülési hozzájárulás</v>
      </c>
      <c r="B47" s="111">
        <f>+'[5]bér KF'!B48</f>
        <v>0</v>
      </c>
      <c r="C47" s="85"/>
      <c r="D47" s="24">
        <f t="shared" si="8"/>
        <v>0</v>
      </c>
      <c r="E47" s="1288"/>
      <c r="F47" s="131"/>
      <c r="G47" s="111">
        <f>+'[5]bér KF'!C48</f>
        <v>0</v>
      </c>
      <c r="H47" s="85"/>
      <c r="I47" s="24">
        <f t="shared" si="9"/>
        <v>0</v>
      </c>
      <c r="J47" s="1288"/>
      <c r="K47" s="2"/>
      <c r="L47" s="111">
        <f>+'[5]bér KF'!D48</f>
        <v>0</v>
      </c>
      <c r="M47" s="229"/>
      <c r="N47" s="134">
        <f t="shared" si="10"/>
        <v>0</v>
      </c>
      <c r="O47" s="1288"/>
      <c r="P47" s="1"/>
      <c r="Q47" s="1325"/>
      <c r="R47" s="229"/>
      <c r="S47" s="1326"/>
      <c r="T47" s="1288"/>
      <c r="U47" s="131"/>
      <c r="V47" s="118">
        <f>+'[13]KF összesen'!E48</f>
        <v>0</v>
      </c>
      <c r="W47" s="361">
        <f t="shared" si="3"/>
        <v>0</v>
      </c>
      <c r="X47" s="361">
        <f t="shared" si="3"/>
        <v>0</v>
      </c>
      <c r="Y47" s="1288"/>
      <c r="AA47" s="1292"/>
    </row>
    <row r="48" spans="1:27" ht="15" customHeight="1">
      <c r="A48" s="222" t="str">
        <f>+'[11]Ovik összesen'!$A49</f>
        <v>Egyéb költségtérítés, hozzájárulás</v>
      </c>
      <c r="B48" s="111">
        <f>+'[5]bér KF'!B49</f>
        <v>0</v>
      </c>
      <c r="C48" s="85"/>
      <c r="D48" s="24">
        <f t="shared" si="8"/>
        <v>0</v>
      </c>
      <c r="E48" s="1288"/>
      <c r="G48" s="111">
        <f>+'[5]bér KF'!C49</f>
        <v>0</v>
      </c>
      <c r="H48" s="85"/>
      <c r="I48" s="24">
        <f t="shared" si="9"/>
        <v>0</v>
      </c>
      <c r="J48" s="1288"/>
      <c r="L48" s="111">
        <f>+'[5]bér KF'!D49</f>
        <v>0</v>
      </c>
      <c r="M48" s="229"/>
      <c r="N48" s="134">
        <f t="shared" si="10"/>
        <v>0</v>
      </c>
      <c r="O48" s="1288"/>
      <c r="Q48" s="118"/>
      <c r="R48" s="229"/>
      <c r="S48" s="134"/>
      <c r="T48" s="1288"/>
      <c r="V48" s="118">
        <f>+'[13]KF összesen'!E49</f>
        <v>0</v>
      </c>
      <c r="W48" s="361">
        <f t="shared" si="3"/>
        <v>0</v>
      </c>
      <c r="X48" s="361">
        <f t="shared" si="3"/>
        <v>0</v>
      </c>
      <c r="Y48" s="1288"/>
      <c r="AA48" s="1292"/>
    </row>
    <row r="49" spans="1:27" s="368" customFormat="1" ht="15" customHeight="1">
      <c r="A49" s="1316" t="str">
        <f>+'[11]Ovik összesen'!$A50</f>
        <v>Teljes munkaidőben foglalkoztatottak személyhez kapcsolódó költségtérítések és hozzájárulások</v>
      </c>
      <c r="B49" s="915">
        <f>+'[5]bér KF'!B50</f>
        <v>1165</v>
      </c>
      <c r="C49" s="1317"/>
      <c r="D49" s="353">
        <f t="shared" si="8"/>
        <v>1165</v>
      </c>
      <c r="E49" s="1668">
        <f t="shared" si="0"/>
        <v>1</v>
      </c>
      <c r="F49" s="366"/>
      <c r="G49" s="915">
        <f>+'[5]bér KF'!C50</f>
        <v>1796</v>
      </c>
      <c r="H49" s="1317"/>
      <c r="I49" s="353">
        <f t="shared" si="9"/>
        <v>1796</v>
      </c>
      <c r="J49" s="1668">
        <f t="shared" si="1"/>
        <v>1</v>
      </c>
      <c r="K49" s="367"/>
      <c r="L49" s="915">
        <f>+'[5]bér KF'!D50</f>
        <v>164</v>
      </c>
      <c r="M49" s="1307"/>
      <c r="N49" s="1308">
        <f t="shared" si="10"/>
        <v>164</v>
      </c>
      <c r="O49" s="1668">
        <f t="shared" si="2"/>
        <v>1</v>
      </c>
      <c r="Q49" s="365"/>
      <c r="R49" s="1307"/>
      <c r="S49" s="1308"/>
      <c r="T49" s="1668"/>
      <c r="U49" s="366"/>
      <c r="V49" s="365">
        <f>+'[13]KF összesen'!E50</f>
        <v>3125</v>
      </c>
      <c r="W49" s="1665">
        <f t="shared" si="3"/>
        <v>0</v>
      </c>
      <c r="X49" s="1665">
        <f t="shared" si="3"/>
        <v>3125</v>
      </c>
      <c r="Y49" s="1668">
        <f t="shared" si="4"/>
        <v>1</v>
      </c>
      <c r="AA49" s="1309"/>
    </row>
    <row r="50" spans="1:27" s="368" customFormat="1" ht="15" customHeight="1">
      <c r="A50" s="1318" t="str">
        <f>+'[11]Ovik összesen'!$A51</f>
        <v>Részmunkaidős költségtérítés</v>
      </c>
      <c r="B50" s="915">
        <f>+'[5]bér KF'!B51</f>
        <v>0</v>
      </c>
      <c r="C50" s="1319"/>
      <c r="D50" s="371">
        <f t="shared" si="8"/>
        <v>0</v>
      </c>
      <c r="E50" s="1669"/>
      <c r="F50" s="366"/>
      <c r="G50" s="915">
        <f>+'[5]bér KF'!C51</f>
        <v>414</v>
      </c>
      <c r="H50" s="1319"/>
      <c r="I50" s="371">
        <f t="shared" si="9"/>
        <v>414</v>
      </c>
      <c r="J50" s="1669">
        <f t="shared" si="1"/>
        <v>1</v>
      </c>
      <c r="K50" s="367"/>
      <c r="L50" s="915">
        <f>+'[5]bér KF'!D51</f>
        <v>433</v>
      </c>
      <c r="M50" s="1310"/>
      <c r="N50" s="1311">
        <f t="shared" si="10"/>
        <v>433</v>
      </c>
      <c r="O50" s="1669">
        <f t="shared" si="2"/>
        <v>1</v>
      </c>
      <c r="Q50" s="372"/>
      <c r="R50" s="1310"/>
      <c r="S50" s="1311"/>
      <c r="T50" s="1669"/>
      <c r="U50" s="366"/>
      <c r="V50" s="372">
        <f>+'[13]KF összesen'!E51</f>
        <v>847</v>
      </c>
      <c r="W50" s="1667">
        <f t="shared" si="3"/>
        <v>0</v>
      </c>
      <c r="X50" s="1667">
        <f t="shared" si="3"/>
        <v>847</v>
      </c>
      <c r="Y50" s="1669">
        <f t="shared" si="4"/>
        <v>1</v>
      </c>
      <c r="AA50" s="1309"/>
    </row>
    <row r="51" spans="1:27" s="368" customFormat="1" ht="15" customHeight="1">
      <c r="A51" s="1320" t="str">
        <f>+'[11]Ovik összesen'!$A52</f>
        <v>Személyhez kapcsolódó költségtérítések és hozzájárulások összesen</v>
      </c>
      <c r="B51" s="374">
        <f>SUM(B49:B50)</f>
        <v>1165</v>
      </c>
      <c r="C51" s="78"/>
      <c r="D51" s="18">
        <f t="shared" si="8"/>
        <v>1165</v>
      </c>
      <c r="E51" s="1314">
        <f t="shared" si="0"/>
        <v>1</v>
      </c>
      <c r="F51" s="98"/>
      <c r="G51" s="374">
        <f>SUM(G49:G50)</f>
        <v>2210</v>
      </c>
      <c r="H51" s="78"/>
      <c r="I51" s="18">
        <f t="shared" si="9"/>
        <v>2210</v>
      </c>
      <c r="J51" s="1314">
        <f t="shared" si="1"/>
        <v>1</v>
      </c>
      <c r="K51" s="2"/>
      <c r="L51" s="374">
        <f>SUM(L49:L50)</f>
        <v>597</v>
      </c>
      <c r="M51" s="1313"/>
      <c r="N51" s="18">
        <f t="shared" si="10"/>
        <v>597</v>
      </c>
      <c r="O51" s="1314">
        <f t="shared" si="2"/>
        <v>1</v>
      </c>
      <c r="P51" s="1"/>
      <c r="Q51" s="374"/>
      <c r="R51" s="1313"/>
      <c r="S51" s="1315"/>
      <c r="T51" s="1314"/>
      <c r="U51" s="98"/>
      <c r="V51" s="374">
        <f>+'[13]KF összesen'!E52</f>
        <v>3972</v>
      </c>
      <c r="W51" s="1241">
        <f t="shared" si="3"/>
        <v>0</v>
      </c>
      <c r="X51" s="1241">
        <f t="shared" si="3"/>
        <v>3972</v>
      </c>
      <c r="Y51" s="1314">
        <f t="shared" si="4"/>
        <v>1</v>
      </c>
      <c r="AA51" s="1292"/>
    </row>
    <row r="52" spans="1:27" ht="15" customHeight="1">
      <c r="A52" s="1327" t="str">
        <f>+'[11]Ovik összesen'!$A53</f>
        <v>Teljes munkaidőben foglalkoztatottak szoc. jellegű juttatásai</v>
      </c>
      <c r="B52" s="1587">
        <f>+'[5]bér KF'!B53</f>
        <v>0</v>
      </c>
      <c r="C52" s="81"/>
      <c r="D52" s="15">
        <f t="shared" si="8"/>
        <v>0</v>
      </c>
      <c r="E52" s="1288"/>
      <c r="G52" s="403">
        <f>+'[5]bér KF'!C53</f>
        <v>0</v>
      </c>
      <c r="H52" s="81"/>
      <c r="I52" s="15">
        <f t="shared" si="9"/>
        <v>0</v>
      </c>
      <c r="J52" s="1288"/>
      <c r="L52" s="403">
        <f>+'[5]bér KF'!D53</f>
        <v>0</v>
      </c>
      <c r="M52" s="1328"/>
      <c r="N52" s="1329">
        <f t="shared" si="10"/>
        <v>0</v>
      </c>
      <c r="O52" s="1288"/>
      <c r="Q52" s="403"/>
      <c r="R52" s="1328"/>
      <c r="S52" s="1329"/>
      <c r="T52" s="1288"/>
      <c r="V52" s="111">
        <f>+'[13]KF összesen'!E53</f>
        <v>0</v>
      </c>
      <c r="W52" s="1306">
        <f t="shared" si="3"/>
        <v>0</v>
      </c>
      <c r="X52" s="1306">
        <f t="shared" si="3"/>
        <v>0</v>
      </c>
      <c r="Y52" s="1288"/>
      <c r="AA52" s="1292"/>
    </row>
    <row r="53" spans="1:27" s="368" customFormat="1" ht="15" customHeight="1">
      <c r="A53" s="1330" t="str">
        <f>+'[11]Ovik összesen'!$A54</f>
        <v>Teljes munkaidőben foglalkoztatottak nem rendszeres juttatásai</v>
      </c>
      <c r="B53" s="365">
        <f>+B35+B42+B49</f>
        <v>3024</v>
      </c>
      <c r="C53" s="1317"/>
      <c r="D53" s="353">
        <f t="shared" si="8"/>
        <v>3024</v>
      </c>
      <c r="E53" s="1668">
        <f t="shared" si="0"/>
        <v>1</v>
      </c>
      <c r="F53" s="366"/>
      <c r="G53" s="365">
        <f>+G35+G42+G49</f>
        <v>3243</v>
      </c>
      <c r="H53" s="1317"/>
      <c r="I53" s="353">
        <f t="shared" si="9"/>
        <v>3243</v>
      </c>
      <c r="J53" s="1668">
        <f t="shared" si="1"/>
        <v>1</v>
      </c>
      <c r="K53" s="367"/>
      <c r="L53" s="365">
        <f>+L35+L42+L49</f>
        <v>1609</v>
      </c>
      <c r="M53" s="1307"/>
      <c r="N53" s="1308">
        <f t="shared" si="10"/>
        <v>1609</v>
      </c>
      <c r="O53" s="1668">
        <f t="shared" si="2"/>
        <v>1</v>
      </c>
      <c r="Q53" s="365"/>
      <c r="R53" s="1307"/>
      <c r="S53" s="1308"/>
      <c r="T53" s="1668"/>
      <c r="U53" s="366"/>
      <c r="V53" s="365">
        <f>+V35+V42+V49</f>
        <v>7876</v>
      </c>
      <c r="W53" s="1665">
        <f t="shared" si="3"/>
        <v>0</v>
      </c>
      <c r="X53" s="1665">
        <f t="shared" si="3"/>
        <v>7876</v>
      </c>
      <c r="Y53" s="1668">
        <f t="shared" si="4"/>
        <v>1</v>
      </c>
      <c r="AA53" s="1309"/>
    </row>
    <row r="54" spans="1:27" s="368" customFormat="1" ht="15" customHeight="1">
      <c r="A54" s="1318" t="str">
        <f>+'[11]Ovik összesen'!$A55</f>
        <v>Részmunkaidőben foglalkoztatottak nem rendszeres személyi juttatásai</v>
      </c>
      <c r="B54" s="915">
        <f>+B36+B43+B50</f>
        <v>0</v>
      </c>
      <c r="C54" s="1332"/>
      <c r="D54" s="371">
        <f t="shared" si="8"/>
        <v>0</v>
      </c>
      <c r="E54" s="1669"/>
      <c r="F54" s="366"/>
      <c r="G54" s="915">
        <f>+G36+G43+G50</f>
        <v>984</v>
      </c>
      <c r="H54" s="1332"/>
      <c r="I54" s="371">
        <f t="shared" si="9"/>
        <v>984</v>
      </c>
      <c r="J54" s="1669">
        <f t="shared" si="1"/>
        <v>1</v>
      </c>
      <c r="K54" s="367"/>
      <c r="L54" s="1333">
        <f>+L36+L43+L50</f>
        <v>721</v>
      </c>
      <c r="M54" s="1334"/>
      <c r="N54" s="1335">
        <f t="shared" si="10"/>
        <v>721</v>
      </c>
      <c r="O54" s="1669">
        <f t="shared" si="2"/>
        <v>1</v>
      </c>
      <c r="Q54" s="1333"/>
      <c r="R54" s="1334"/>
      <c r="S54" s="1335"/>
      <c r="T54" s="1669"/>
      <c r="U54" s="366"/>
      <c r="V54" s="372">
        <f>+V36+V43+V50</f>
        <v>1705</v>
      </c>
      <c r="W54" s="1667">
        <f t="shared" si="3"/>
        <v>0</v>
      </c>
      <c r="X54" s="1667">
        <f t="shared" si="3"/>
        <v>1705</v>
      </c>
      <c r="Y54" s="1669">
        <f t="shared" si="4"/>
        <v>1</v>
      </c>
      <c r="Z54" s="367"/>
      <c r="AA54" s="1309"/>
    </row>
    <row r="55" spans="1:27" ht="15" customHeight="1">
      <c r="A55" s="1320" t="str">
        <f>+'[11]Ovik összesen'!$A56</f>
        <v>NEM RENDSZERES SZEMÉLYI JUTTATÁSOK</v>
      </c>
      <c r="B55" s="374">
        <f>SUM(B53:B54)</f>
        <v>3024</v>
      </c>
      <c r="C55" s="78"/>
      <c r="D55" s="18">
        <f t="shared" si="8"/>
        <v>3024</v>
      </c>
      <c r="E55" s="1314">
        <f t="shared" si="0"/>
        <v>1</v>
      </c>
      <c r="G55" s="374">
        <f>SUM(G53:G54)</f>
        <v>4227</v>
      </c>
      <c r="H55" s="78"/>
      <c r="I55" s="18">
        <f t="shared" si="9"/>
        <v>4227</v>
      </c>
      <c r="J55" s="1314">
        <f t="shared" si="1"/>
        <v>1</v>
      </c>
      <c r="L55" s="374">
        <f>SUM(L53:L54)</f>
        <v>2330</v>
      </c>
      <c r="M55" s="1313"/>
      <c r="N55" s="18">
        <f t="shared" si="10"/>
        <v>2330</v>
      </c>
      <c r="O55" s="1314">
        <f t="shared" si="2"/>
        <v>1</v>
      </c>
      <c r="Q55" s="374">
        <f>SUM(Q53:Q54)</f>
        <v>0</v>
      </c>
      <c r="R55" s="1313"/>
      <c r="S55" s="1315"/>
      <c r="T55" s="1314"/>
      <c r="V55" s="374">
        <f>SUM(V52:V54)</f>
        <v>9581</v>
      </c>
      <c r="W55" s="1241">
        <f t="shared" si="3"/>
        <v>0</v>
      </c>
      <c r="X55" s="1241">
        <f t="shared" si="3"/>
        <v>9581</v>
      </c>
      <c r="Y55" s="1314">
        <f t="shared" si="4"/>
        <v>1</v>
      </c>
      <c r="Z55" s="2"/>
      <c r="AA55" s="1292"/>
    </row>
    <row r="56" spans="1:27" s="21" customFormat="1" ht="15" customHeight="1" thickBot="1">
      <c r="A56" s="1336" t="str">
        <f>+'[11]Ovik összesen'!$A57</f>
        <v>ÁLLOMÁNYBA NEM TARTOZÓK JUTTATÁSAI</v>
      </c>
      <c r="B56" s="1339">
        <f>+'[5]bér KF'!B57</f>
        <v>0</v>
      </c>
      <c r="C56" s="1337"/>
      <c r="D56" s="1338">
        <f t="shared" si="8"/>
        <v>0</v>
      </c>
      <c r="E56" s="1295"/>
      <c r="F56" s="98"/>
      <c r="G56" s="1339">
        <f>+'[5]bér KF'!C57</f>
        <v>250</v>
      </c>
      <c r="H56" s="1337">
        <v>382</v>
      </c>
      <c r="I56" s="1338">
        <f t="shared" si="9"/>
        <v>632</v>
      </c>
      <c r="J56" s="1295">
        <f t="shared" si="1"/>
        <v>2.528</v>
      </c>
      <c r="K56" s="2"/>
      <c r="L56" s="1339">
        <f>+'[5]bér KF'!D57</f>
        <v>0</v>
      </c>
      <c r="M56" s="1340"/>
      <c r="N56" s="1338">
        <f t="shared" si="10"/>
        <v>0</v>
      </c>
      <c r="O56" s="1295"/>
      <c r="P56" s="1"/>
      <c r="Q56" s="1339"/>
      <c r="R56" s="1340"/>
      <c r="S56" s="1341"/>
      <c r="T56" s="1295"/>
      <c r="U56" s="98"/>
      <c r="V56" s="121">
        <f>+'[13]KF összesen'!E57</f>
        <v>250</v>
      </c>
      <c r="W56" s="1342">
        <f t="shared" si="3"/>
        <v>382</v>
      </c>
      <c r="X56" s="1342">
        <f t="shared" si="3"/>
        <v>632</v>
      </c>
      <c r="Y56" s="1295">
        <f t="shared" si="4"/>
        <v>2.528</v>
      </c>
      <c r="Z56" s="22"/>
      <c r="AA56" s="1292"/>
    </row>
    <row r="57" spans="1:27" s="21" customFormat="1" ht="15" customHeight="1" thickBot="1">
      <c r="A57" s="1344" t="str">
        <f>+'[11]Ovik összesen'!$A58</f>
        <v>SZEMÉLYI JUTTATÁSOK ÖSSZESEN</v>
      </c>
      <c r="B57" s="216">
        <f>+B29+B55+B56</f>
        <v>17435</v>
      </c>
      <c r="C57" s="20"/>
      <c r="D57" s="20">
        <f t="shared" si="8"/>
        <v>17435</v>
      </c>
      <c r="E57" s="1441">
        <f t="shared" si="0"/>
        <v>1</v>
      </c>
      <c r="F57" s="1586"/>
      <c r="G57" s="216">
        <f>+G29+G55+G56</f>
        <v>28190</v>
      </c>
      <c r="H57" s="20">
        <f>+H29+H55+H56</f>
        <v>382</v>
      </c>
      <c r="I57" s="20">
        <f t="shared" si="9"/>
        <v>28572</v>
      </c>
      <c r="J57" s="1441">
        <f t="shared" si="1"/>
        <v>1.0135509045760909</v>
      </c>
      <c r="K57" s="22"/>
      <c r="L57" s="216">
        <f>+L29+L55+L56</f>
        <v>6600</v>
      </c>
      <c r="M57" s="1345"/>
      <c r="N57" s="20">
        <f t="shared" si="10"/>
        <v>6600</v>
      </c>
      <c r="O57" s="1441">
        <f t="shared" si="2"/>
        <v>1</v>
      </c>
      <c r="Q57" s="216">
        <f>+Q29+Q55+Q56</f>
        <v>0</v>
      </c>
      <c r="R57" s="1345"/>
      <c r="S57" s="218"/>
      <c r="T57" s="1441"/>
      <c r="U57" s="131"/>
      <c r="V57" s="216">
        <f>+V29+V55+V56</f>
        <v>52225</v>
      </c>
      <c r="W57" s="1403">
        <f t="shared" si="3"/>
        <v>382</v>
      </c>
      <c r="X57" s="1403">
        <f t="shared" si="3"/>
        <v>52607</v>
      </c>
      <c r="Y57" s="1441">
        <f t="shared" si="4"/>
        <v>1.0073145045476304</v>
      </c>
      <c r="Z57" s="22"/>
      <c r="AA57" s="1346"/>
    </row>
    <row r="58" spans="1:27" s="21" customFormat="1" ht="15" customHeight="1" thickBot="1">
      <c r="A58" s="1344" t="str">
        <f>+'[11]Ovik összesen'!$A59</f>
        <v>Járulékok (TB, termbeni.+pénzbeni ebj, MEP)</v>
      </c>
      <c r="B58" s="216">
        <f>+(B57-(B41+B51))*0.27</f>
        <v>4381.0200000000004</v>
      </c>
      <c r="C58" s="20"/>
      <c r="D58" s="1234">
        <f t="shared" si="8"/>
        <v>4381.0200000000004</v>
      </c>
      <c r="E58" s="1441">
        <f t="shared" si="0"/>
        <v>1</v>
      </c>
      <c r="F58" s="131"/>
      <c r="G58" s="216">
        <f>+(G57-(G41+G51))*0.27</f>
        <v>6988.4100000000008</v>
      </c>
      <c r="H58" s="20">
        <f>+[3]KF!$E$6</f>
        <v>100</v>
      </c>
      <c r="I58" s="1234">
        <f>SUM(G58:H58)-0.2</f>
        <v>7088.2100000000009</v>
      </c>
      <c r="J58" s="1441">
        <f t="shared" si="1"/>
        <v>1.0142807877614508</v>
      </c>
      <c r="K58" s="22"/>
      <c r="L58" s="216">
        <f>+(L57-(L41+L51))*0.27</f>
        <v>1613.5200000000002</v>
      </c>
      <c r="M58" s="1345"/>
      <c r="N58" s="1396">
        <f t="shared" si="10"/>
        <v>1613.5200000000002</v>
      </c>
      <c r="O58" s="1441">
        <f t="shared" si="2"/>
        <v>1</v>
      </c>
      <c r="Q58" s="216">
        <f>+'[5]bér KF'!I59</f>
        <v>0</v>
      </c>
      <c r="R58" s="1345"/>
      <c r="S58" s="218"/>
      <c r="T58" s="1441"/>
      <c r="U58" s="131"/>
      <c r="V58" s="216">
        <f>+(V57-(V51+V41))*0.27-0.55</f>
        <v>12982.400000000001</v>
      </c>
      <c r="W58" s="1403">
        <f t="shared" si="3"/>
        <v>100</v>
      </c>
      <c r="X58" s="1403">
        <f t="shared" si="3"/>
        <v>13082.750000000002</v>
      </c>
      <c r="Y58" s="1441">
        <f t="shared" si="4"/>
        <v>1.0077296955878727</v>
      </c>
      <c r="Z58" s="22"/>
      <c r="AA58" s="1346"/>
    </row>
    <row r="59" spans="1:27" s="21" customFormat="1" ht="15" customHeight="1" thickBot="1">
      <c r="A59" s="1344" t="s">
        <v>63</v>
      </c>
      <c r="B59" s="216">
        <f>+B57+B58</f>
        <v>21816.02</v>
      </c>
      <c r="C59" s="20"/>
      <c r="D59" s="20">
        <f t="shared" si="8"/>
        <v>21816.02</v>
      </c>
      <c r="E59" s="1441">
        <f t="shared" si="0"/>
        <v>1</v>
      </c>
      <c r="F59" s="131"/>
      <c r="G59" s="216">
        <f>SUM(G57:G58)</f>
        <v>35178.410000000003</v>
      </c>
      <c r="H59" s="20">
        <f>SUM(H57:H58)</f>
        <v>482</v>
      </c>
      <c r="I59" s="20">
        <f t="shared" si="9"/>
        <v>35660.410000000003</v>
      </c>
      <c r="J59" s="1441">
        <f t="shared" si="1"/>
        <v>1.0137015857169211</v>
      </c>
      <c r="K59" s="22"/>
      <c r="L59" s="216">
        <f>SUM(L57:L58)</f>
        <v>8213.52</v>
      </c>
      <c r="M59" s="1345"/>
      <c r="N59" s="20">
        <f t="shared" si="10"/>
        <v>8213.52</v>
      </c>
      <c r="O59" s="1441">
        <f t="shared" si="2"/>
        <v>1</v>
      </c>
      <c r="Q59" s="216">
        <f>SUM(Q57:Q58)</f>
        <v>0</v>
      </c>
      <c r="R59" s="1345"/>
      <c r="S59" s="218"/>
      <c r="T59" s="1441"/>
      <c r="U59" s="131"/>
      <c r="V59" s="216">
        <f>SUM(V57:V58)</f>
        <v>65207.4</v>
      </c>
      <c r="W59" s="1403">
        <f t="shared" si="3"/>
        <v>482</v>
      </c>
      <c r="X59" s="1403">
        <f t="shared" si="3"/>
        <v>65689.950000000012</v>
      </c>
      <c r="Y59" s="1441">
        <f t="shared" si="4"/>
        <v>1.0074002337158054</v>
      </c>
      <c r="Z59" s="22"/>
      <c r="AA59" s="1346"/>
    </row>
    <row r="60" spans="1:27" ht="15" customHeight="1">
      <c r="A60" s="1347" t="s">
        <v>64</v>
      </c>
      <c r="B60" s="111">
        <f>+[7]KF!B6</f>
        <v>200</v>
      </c>
      <c r="C60" s="66"/>
      <c r="D60" s="15">
        <f t="shared" si="8"/>
        <v>200</v>
      </c>
      <c r="E60" s="1288">
        <f t="shared" si="0"/>
        <v>1</v>
      </c>
      <c r="F60" s="131"/>
      <c r="G60" s="111">
        <f>+[7]KF!F6</f>
        <v>200</v>
      </c>
      <c r="H60" s="66">
        <f>+[3]KF!$F$14</f>
        <v>130</v>
      </c>
      <c r="I60" s="15">
        <f t="shared" si="9"/>
        <v>330</v>
      </c>
      <c r="J60" s="1288">
        <f t="shared" si="1"/>
        <v>1.65</v>
      </c>
      <c r="L60" s="111">
        <f>+[7]KF!J6</f>
        <v>50</v>
      </c>
      <c r="M60" s="65"/>
      <c r="N60" s="112">
        <f t="shared" si="10"/>
        <v>50</v>
      </c>
      <c r="O60" s="1288">
        <f t="shared" si="2"/>
        <v>1</v>
      </c>
      <c r="P60" s="21"/>
      <c r="Q60" s="111">
        <f>+[7]KF!N6</f>
        <v>0</v>
      </c>
      <c r="R60" s="65"/>
      <c r="S60" s="1324"/>
      <c r="T60" s="1288"/>
      <c r="U60" s="131"/>
      <c r="V60" s="111">
        <f t="shared" ref="V60:V69" si="11">+B60+G60+L60+Q60</f>
        <v>450</v>
      </c>
      <c r="W60" s="1306">
        <f t="shared" si="3"/>
        <v>130</v>
      </c>
      <c r="X60" s="1306">
        <f t="shared" si="3"/>
        <v>580</v>
      </c>
      <c r="Y60" s="1288">
        <f t="shared" si="4"/>
        <v>1.288888888888889</v>
      </c>
      <c r="Z60" s="2"/>
    </row>
    <row r="61" spans="1:27" ht="15" customHeight="1">
      <c r="A61" s="83" t="s">
        <v>65</v>
      </c>
      <c r="B61" s="111">
        <f>+[7]KF!B7</f>
        <v>35</v>
      </c>
      <c r="C61" s="85"/>
      <c r="D61" s="24">
        <f t="shared" si="8"/>
        <v>35</v>
      </c>
      <c r="E61" s="1288">
        <f t="shared" si="0"/>
        <v>1</v>
      </c>
      <c r="F61" s="131"/>
      <c r="G61" s="111">
        <f>+[7]KF!F7</f>
        <v>35</v>
      </c>
      <c r="H61" s="85">
        <f>+[3]KF!$F$13</f>
        <v>1</v>
      </c>
      <c r="I61" s="24">
        <f t="shared" si="9"/>
        <v>36</v>
      </c>
      <c r="J61" s="1288">
        <f t="shared" si="1"/>
        <v>1.0285714285714285</v>
      </c>
      <c r="L61" s="111">
        <f>+[7]KF!J7</f>
        <v>10</v>
      </c>
      <c r="M61" s="229"/>
      <c r="N61" s="134">
        <f t="shared" si="10"/>
        <v>10</v>
      </c>
      <c r="O61" s="1288">
        <f t="shared" si="2"/>
        <v>1</v>
      </c>
      <c r="P61" s="21"/>
      <c r="Q61" s="111">
        <v>1189</v>
      </c>
      <c r="R61" s="229"/>
      <c r="S61" s="134">
        <f t="shared" ref="S61:S88" si="12">SUM(Q61:R61)</f>
        <v>1189</v>
      </c>
      <c r="T61" s="1288">
        <f>+S61/Q61</f>
        <v>1</v>
      </c>
      <c r="U61" s="131"/>
      <c r="V61" s="111">
        <f t="shared" si="11"/>
        <v>1269</v>
      </c>
      <c r="W61" s="1306">
        <f t="shared" si="3"/>
        <v>1</v>
      </c>
      <c r="X61" s="361">
        <f t="shared" si="3"/>
        <v>1270</v>
      </c>
      <c r="Y61" s="1288">
        <f t="shared" si="4"/>
        <v>1.0007880220646177</v>
      </c>
      <c r="Z61" s="2"/>
    </row>
    <row r="62" spans="1:27" ht="15" customHeight="1">
      <c r="A62" s="83" t="s">
        <v>66</v>
      </c>
      <c r="B62" s="111">
        <f>+[7]KF!B8</f>
        <v>5</v>
      </c>
      <c r="C62" s="85"/>
      <c r="D62" s="24">
        <f t="shared" ref="D62:D93" si="13">SUM(B62:C62)</f>
        <v>5</v>
      </c>
      <c r="E62" s="1288">
        <f t="shared" si="0"/>
        <v>1</v>
      </c>
      <c r="F62" s="131"/>
      <c r="G62" s="111">
        <f>+[7]KF!F8</f>
        <v>5</v>
      </c>
      <c r="H62" s="85"/>
      <c r="I62" s="24">
        <f t="shared" ref="I62:I93" si="14">SUM(G62:H62)</f>
        <v>5</v>
      </c>
      <c r="J62" s="1288">
        <f t="shared" si="1"/>
        <v>1</v>
      </c>
      <c r="L62" s="111">
        <f>+[7]KF!J8</f>
        <v>5</v>
      </c>
      <c r="M62" s="229"/>
      <c r="N62" s="134">
        <f t="shared" ref="N62:N88" si="15">SUM(L62:M62)</f>
        <v>5</v>
      </c>
      <c r="O62" s="1288">
        <f t="shared" si="2"/>
        <v>1</v>
      </c>
      <c r="P62" s="21"/>
      <c r="Q62" s="111">
        <f>+[7]KF!N8</f>
        <v>0</v>
      </c>
      <c r="R62" s="229"/>
      <c r="S62" s="134">
        <f t="shared" si="12"/>
        <v>0</v>
      </c>
      <c r="T62" s="1288"/>
      <c r="U62" s="131"/>
      <c r="V62" s="111">
        <f t="shared" si="11"/>
        <v>15</v>
      </c>
      <c r="W62" s="1306">
        <f t="shared" si="3"/>
        <v>0</v>
      </c>
      <c r="X62" s="361">
        <f t="shared" si="3"/>
        <v>15</v>
      </c>
      <c r="Y62" s="1288">
        <f t="shared" si="4"/>
        <v>1</v>
      </c>
      <c r="Z62" s="2"/>
    </row>
    <row r="63" spans="1:27" ht="15" customHeight="1">
      <c r="A63" s="83" t="s">
        <v>67</v>
      </c>
      <c r="B63" s="111">
        <f>+[7]KF!B9</f>
        <v>5</v>
      </c>
      <c r="C63" s="85"/>
      <c r="D63" s="24">
        <f t="shared" si="13"/>
        <v>5</v>
      </c>
      <c r="E63" s="1288">
        <f t="shared" si="0"/>
        <v>1</v>
      </c>
      <c r="F63" s="131"/>
      <c r="G63" s="111">
        <f>+[7]KF!F9</f>
        <v>5</v>
      </c>
      <c r="H63" s="85"/>
      <c r="I63" s="24">
        <f t="shared" si="14"/>
        <v>5</v>
      </c>
      <c r="J63" s="1288">
        <f t="shared" si="1"/>
        <v>1</v>
      </c>
      <c r="L63" s="111">
        <f>+[7]KF!J9</f>
        <v>0</v>
      </c>
      <c r="M63" s="229"/>
      <c r="N63" s="134">
        <f t="shared" si="15"/>
        <v>0</v>
      </c>
      <c r="O63" s="1288"/>
      <c r="P63" s="21"/>
      <c r="Q63" s="111">
        <f>+[7]KF!N9</f>
        <v>0</v>
      </c>
      <c r="R63" s="229"/>
      <c r="S63" s="134">
        <f t="shared" si="12"/>
        <v>0</v>
      </c>
      <c r="T63" s="1288"/>
      <c r="U63" s="131"/>
      <c r="V63" s="111">
        <f t="shared" si="11"/>
        <v>10</v>
      </c>
      <c r="W63" s="1306">
        <f t="shared" si="3"/>
        <v>0</v>
      </c>
      <c r="X63" s="361">
        <f t="shared" si="3"/>
        <v>10</v>
      </c>
      <c r="Y63" s="1288">
        <f t="shared" si="4"/>
        <v>1</v>
      </c>
      <c r="Z63" s="2"/>
    </row>
    <row r="64" spans="1:27" ht="15" customHeight="1">
      <c r="A64" s="83" t="s">
        <v>68</v>
      </c>
      <c r="B64" s="111">
        <f>+[7]KF!B10</f>
        <v>5</v>
      </c>
      <c r="C64" s="85"/>
      <c r="D64" s="24">
        <f t="shared" si="13"/>
        <v>5</v>
      </c>
      <c r="E64" s="113">
        <f>+D64/B64</f>
        <v>1</v>
      </c>
      <c r="F64" s="131"/>
      <c r="G64" s="111">
        <f>+[7]KF!F10</f>
        <v>5</v>
      </c>
      <c r="H64" s="85"/>
      <c r="I64" s="24">
        <f t="shared" si="14"/>
        <v>5</v>
      </c>
      <c r="J64" s="113">
        <f>+I64/G64</f>
        <v>1</v>
      </c>
      <c r="L64" s="111">
        <f>+[7]KF!J10</f>
        <v>0</v>
      </c>
      <c r="M64" s="229"/>
      <c r="N64" s="134">
        <f t="shared" si="15"/>
        <v>0</v>
      </c>
      <c r="O64" s="113"/>
      <c r="P64" s="21"/>
      <c r="Q64" s="111">
        <f>+[7]KF!N10</f>
        <v>0</v>
      </c>
      <c r="R64" s="229"/>
      <c r="S64" s="134">
        <f t="shared" si="12"/>
        <v>0</v>
      </c>
      <c r="T64" s="113"/>
      <c r="U64" s="131"/>
      <c r="V64" s="111">
        <f t="shared" si="11"/>
        <v>10</v>
      </c>
      <c r="W64" s="1306">
        <f t="shared" si="3"/>
        <v>0</v>
      </c>
      <c r="X64" s="361">
        <f t="shared" si="3"/>
        <v>10</v>
      </c>
      <c r="Y64" s="113">
        <f>+X64/V64</f>
        <v>1</v>
      </c>
      <c r="Z64" s="2"/>
    </row>
    <row r="65" spans="1:26" ht="15" customHeight="1">
      <c r="A65" s="83" t="s">
        <v>69</v>
      </c>
      <c r="B65" s="111">
        <f>+[7]KF!B11</f>
        <v>50</v>
      </c>
      <c r="C65" s="85"/>
      <c r="D65" s="24">
        <f t="shared" si="13"/>
        <v>50</v>
      </c>
      <c r="E65" s="113">
        <f t="shared" ref="E65:E114" si="16">+D65/B65</f>
        <v>1</v>
      </c>
      <c r="F65" s="131"/>
      <c r="G65" s="111">
        <f>+[7]KF!F11</f>
        <v>50</v>
      </c>
      <c r="H65" s="85"/>
      <c r="I65" s="24">
        <f t="shared" si="14"/>
        <v>50</v>
      </c>
      <c r="J65" s="113">
        <f>+I65/G65</f>
        <v>1</v>
      </c>
      <c r="L65" s="111">
        <f>+[7]KF!J11</f>
        <v>0</v>
      </c>
      <c r="M65" s="229"/>
      <c r="N65" s="134">
        <f t="shared" si="15"/>
        <v>0</v>
      </c>
      <c r="O65" s="113"/>
      <c r="P65" s="21"/>
      <c r="Q65" s="111">
        <f>+[7]KF!N11</f>
        <v>0</v>
      </c>
      <c r="R65" s="229"/>
      <c r="S65" s="134">
        <f t="shared" si="12"/>
        <v>0</v>
      </c>
      <c r="T65" s="113"/>
      <c r="U65" s="131"/>
      <c r="V65" s="111">
        <f t="shared" si="11"/>
        <v>100</v>
      </c>
      <c r="W65" s="1306">
        <f t="shared" si="3"/>
        <v>0</v>
      </c>
      <c r="X65" s="361">
        <f t="shared" si="3"/>
        <v>100</v>
      </c>
      <c r="Y65" s="113">
        <f t="shared" ref="Y65:Y114" si="17">+X65/V65</f>
        <v>1</v>
      </c>
      <c r="Z65" s="2"/>
    </row>
    <row r="66" spans="1:26" ht="15" customHeight="1">
      <c r="A66" s="83" t="s">
        <v>70</v>
      </c>
      <c r="B66" s="111">
        <f>+[7]KF!B12</f>
        <v>50</v>
      </c>
      <c r="C66" s="85"/>
      <c r="D66" s="24">
        <f t="shared" si="13"/>
        <v>50</v>
      </c>
      <c r="E66" s="113">
        <f t="shared" si="16"/>
        <v>1</v>
      </c>
      <c r="F66" s="131"/>
      <c r="G66" s="111">
        <f>+[7]KF!F12</f>
        <v>50</v>
      </c>
      <c r="H66" s="85"/>
      <c r="I66" s="24">
        <f t="shared" si="14"/>
        <v>50</v>
      </c>
      <c r="J66" s="113">
        <f>+I66/G66</f>
        <v>1</v>
      </c>
      <c r="L66" s="111">
        <f>+[7]KF!J12</f>
        <v>0</v>
      </c>
      <c r="M66" s="229"/>
      <c r="N66" s="134">
        <f t="shared" si="15"/>
        <v>0</v>
      </c>
      <c r="O66" s="113"/>
      <c r="P66" s="21"/>
      <c r="Q66" s="111">
        <f>+[7]KF!N12</f>
        <v>0</v>
      </c>
      <c r="R66" s="229"/>
      <c r="S66" s="134">
        <f t="shared" si="12"/>
        <v>0</v>
      </c>
      <c r="T66" s="113"/>
      <c r="U66" s="131"/>
      <c r="V66" s="111">
        <f t="shared" si="11"/>
        <v>100</v>
      </c>
      <c r="W66" s="1306">
        <f t="shared" si="3"/>
        <v>0</v>
      </c>
      <c r="X66" s="361">
        <f t="shared" si="3"/>
        <v>100</v>
      </c>
      <c r="Y66" s="113">
        <f t="shared" si="17"/>
        <v>1</v>
      </c>
      <c r="Z66" s="2"/>
    </row>
    <row r="67" spans="1:26" ht="15" customHeight="1">
      <c r="A67" s="83" t="s">
        <v>71</v>
      </c>
      <c r="B67" s="111">
        <f>+[7]KF!B13</f>
        <v>0</v>
      </c>
      <c r="C67" s="85"/>
      <c r="D67" s="24">
        <f t="shared" si="13"/>
        <v>0</v>
      </c>
      <c r="E67" s="113"/>
      <c r="F67" s="131"/>
      <c r="G67" s="111">
        <f>+[7]KF!F13</f>
        <v>0</v>
      </c>
      <c r="H67" s="85"/>
      <c r="I67" s="24">
        <f t="shared" si="14"/>
        <v>0</v>
      </c>
      <c r="J67" s="113"/>
      <c r="L67" s="111">
        <f>+[7]KF!J13</f>
        <v>0</v>
      </c>
      <c r="M67" s="229"/>
      <c r="N67" s="134">
        <f t="shared" si="15"/>
        <v>0</v>
      </c>
      <c r="O67" s="113"/>
      <c r="P67" s="21"/>
      <c r="Q67" s="111">
        <f>+[7]KF!N13</f>
        <v>0</v>
      </c>
      <c r="R67" s="229"/>
      <c r="S67" s="134">
        <f t="shared" si="12"/>
        <v>0</v>
      </c>
      <c r="T67" s="113"/>
      <c r="U67" s="131"/>
      <c r="V67" s="111">
        <f t="shared" si="11"/>
        <v>0</v>
      </c>
      <c r="W67" s="1306">
        <f t="shared" si="3"/>
        <v>0</v>
      </c>
      <c r="X67" s="361">
        <f t="shared" si="3"/>
        <v>0</v>
      </c>
      <c r="Y67" s="113"/>
      <c r="Z67" s="2"/>
    </row>
    <row r="68" spans="1:26" ht="15" customHeight="1">
      <c r="A68" s="83" t="s">
        <v>72</v>
      </c>
      <c r="B68" s="111">
        <f>+[7]KF!B14</f>
        <v>40</v>
      </c>
      <c r="C68" s="85"/>
      <c r="D68" s="24">
        <f t="shared" si="13"/>
        <v>40</v>
      </c>
      <c r="E68" s="113">
        <f t="shared" si="16"/>
        <v>1</v>
      </c>
      <c r="F68" s="131"/>
      <c r="G68" s="111">
        <f>+[7]KF!F14</f>
        <v>40</v>
      </c>
      <c r="H68" s="85"/>
      <c r="I68" s="24">
        <f t="shared" si="14"/>
        <v>40</v>
      </c>
      <c r="J68" s="113">
        <f>+I68/G68</f>
        <v>1</v>
      </c>
      <c r="L68" s="111">
        <f>+[7]KF!J14</f>
        <v>0</v>
      </c>
      <c r="M68" s="229"/>
      <c r="N68" s="134">
        <f t="shared" si="15"/>
        <v>0</v>
      </c>
      <c r="O68" s="113"/>
      <c r="P68" s="21"/>
      <c r="Q68" s="111">
        <f>+[7]KF!N14</f>
        <v>0</v>
      </c>
      <c r="R68" s="229"/>
      <c r="S68" s="134">
        <f t="shared" si="12"/>
        <v>0</v>
      </c>
      <c r="T68" s="113"/>
      <c r="U68" s="131"/>
      <c r="V68" s="111">
        <f t="shared" si="11"/>
        <v>80</v>
      </c>
      <c r="W68" s="1306">
        <f t="shared" si="3"/>
        <v>0</v>
      </c>
      <c r="X68" s="361">
        <f t="shared" si="3"/>
        <v>80</v>
      </c>
      <c r="Y68" s="113">
        <f t="shared" si="17"/>
        <v>1</v>
      </c>
      <c r="Z68" s="2"/>
    </row>
    <row r="69" spans="1:26" ht="15" customHeight="1">
      <c r="A69" s="1348" t="s">
        <v>73</v>
      </c>
      <c r="B69" s="121">
        <f>+[7]KF!B15</f>
        <v>40</v>
      </c>
      <c r="C69" s="74"/>
      <c r="D69" s="19">
        <f t="shared" si="13"/>
        <v>40</v>
      </c>
      <c r="E69" s="122">
        <f t="shared" si="16"/>
        <v>1</v>
      </c>
      <c r="F69" s="131"/>
      <c r="G69" s="121">
        <f>+[7]KF!F15</f>
        <v>40</v>
      </c>
      <c r="H69" s="74"/>
      <c r="I69" s="19">
        <f t="shared" si="14"/>
        <v>40</v>
      </c>
      <c r="J69" s="122">
        <f>+I69/G69</f>
        <v>1</v>
      </c>
      <c r="L69" s="111">
        <f>+[7]KF!J15</f>
        <v>20</v>
      </c>
      <c r="M69" s="1349"/>
      <c r="N69" s="138">
        <f t="shared" si="15"/>
        <v>20</v>
      </c>
      <c r="O69" s="122">
        <f>+N69/L69</f>
        <v>1</v>
      </c>
      <c r="P69" s="21"/>
      <c r="Q69" s="111">
        <f>+[7]KF!N15</f>
        <v>0</v>
      </c>
      <c r="R69" s="1349"/>
      <c r="S69" s="134">
        <f t="shared" si="12"/>
        <v>0</v>
      </c>
      <c r="T69" s="122"/>
      <c r="U69" s="131"/>
      <c r="V69" s="111">
        <f t="shared" si="11"/>
        <v>100</v>
      </c>
      <c r="W69" s="1342">
        <f t="shared" si="3"/>
        <v>0</v>
      </c>
      <c r="X69" s="1296">
        <f t="shared" si="3"/>
        <v>100</v>
      </c>
      <c r="Y69" s="122">
        <f t="shared" si="17"/>
        <v>1</v>
      </c>
      <c r="Z69" s="2"/>
    </row>
    <row r="70" spans="1:26" ht="15" customHeight="1">
      <c r="A70" s="76" t="s">
        <v>74</v>
      </c>
      <c r="B70" s="374">
        <f>SUM(B60:B69)</f>
        <v>430</v>
      </c>
      <c r="C70" s="78"/>
      <c r="D70" s="18">
        <f t="shared" si="13"/>
        <v>430</v>
      </c>
      <c r="E70" s="1350">
        <f t="shared" si="16"/>
        <v>1</v>
      </c>
      <c r="F70" s="131"/>
      <c r="G70" s="374">
        <f>SUM(G60:G69)</f>
        <v>430</v>
      </c>
      <c r="H70" s="78">
        <f>SUM(H60:H69)</f>
        <v>131</v>
      </c>
      <c r="I70" s="18">
        <f t="shared" si="14"/>
        <v>561</v>
      </c>
      <c r="J70" s="1350">
        <f>+I70/G70</f>
        <v>1.3046511627906976</v>
      </c>
      <c r="L70" s="374">
        <f>SUM(L60:L69)</f>
        <v>85</v>
      </c>
      <c r="M70" s="1313"/>
      <c r="N70" s="18">
        <f t="shared" si="15"/>
        <v>85</v>
      </c>
      <c r="O70" s="1350">
        <f>+N70/L70</f>
        <v>1</v>
      </c>
      <c r="P70" s="21"/>
      <c r="Q70" s="374">
        <f>SUM(Q60:Q69)</f>
        <v>1189</v>
      </c>
      <c r="R70" s="1313"/>
      <c r="S70" s="18">
        <f t="shared" si="12"/>
        <v>1189</v>
      </c>
      <c r="T70" s="1618">
        <f>+S70/Q70</f>
        <v>1</v>
      </c>
      <c r="U70" s="131"/>
      <c r="V70" s="374">
        <f>SUM(V60:V69)</f>
        <v>2134</v>
      </c>
      <c r="W70" s="1241">
        <f t="shared" si="3"/>
        <v>131</v>
      </c>
      <c r="X70" s="1241">
        <f t="shared" si="3"/>
        <v>2265</v>
      </c>
      <c r="Y70" s="1350">
        <f t="shared" si="17"/>
        <v>1.0613870665417058</v>
      </c>
    </row>
    <row r="71" spans="1:26" ht="15" customHeight="1">
      <c r="A71" s="1347" t="s">
        <v>75</v>
      </c>
      <c r="B71" s="111">
        <f>+[7]KF!B17</f>
        <v>90</v>
      </c>
      <c r="C71" s="66">
        <f>+[3]KF!$G$15</f>
        <v>8</v>
      </c>
      <c r="D71" s="15">
        <f t="shared" si="13"/>
        <v>98</v>
      </c>
      <c r="E71" s="113">
        <f t="shared" si="16"/>
        <v>1.0888888888888888</v>
      </c>
      <c r="F71" s="131"/>
      <c r="G71" s="111">
        <f>+[7]KF!F21</f>
        <v>90</v>
      </c>
      <c r="H71" s="66">
        <f>+[3]KF!$G$16</f>
        <v>8</v>
      </c>
      <c r="I71" s="15">
        <f t="shared" si="14"/>
        <v>98</v>
      </c>
      <c r="J71" s="113">
        <f>+I71/G71</f>
        <v>1.0888888888888888</v>
      </c>
      <c r="L71" s="111">
        <f>+[7]KF!J17</f>
        <v>20</v>
      </c>
      <c r="M71" s="65"/>
      <c r="N71" s="112">
        <f t="shared" si="15"/>
        <v>20</v>
      </c>
      <c r="O71" s="113">
        <f>+N71/L71</f>
        <v>1</v>
      </c>
      <c r="P71" s="21"/>
      <c r="Q71" s="111">
        <f>+[7]KF!N17</f>
        <v>0</v>
      </c>
      <c r="R71" s="65"/>
      <c r="S71" s="112">
        <f t="shared" si="12"/>
        <v>0</v>
      </c>
      <c r="T71" s="113"/>
      <c r="U71" s="131"/>
      <c r="V71" s="111">
        <f>+B71+G71+L71+Q71</f>
        <v>200</v>
      </c>
      <c r="W71" s="1306">
        <f t="shared" si="3"/>
        <v>16</v>
      </c>
      <c r="X71" s="1306">
        <f t="shared" si="3"/>
        <v>216</v>
      </c>
      <c r="Y71" s="113">
        <f t="shared" si="17"/>
        <v>1.08</v>
      </c>
    </row>
    <row r="72" spans="1:26" ht="15" customHeight="1">
      <c r="A72" s="83" t="s">
        <v>76</v>
      </c>
      <c r="B72" s="111">
        <f>+[7]KF!B18</f>
        <v>0</v>
      </c>
      <c r="C72" s="85"/>
      <c r="D72" s="24">
        <f t="shared" si="13"/>
        <v>0</v>
      </c>
      <c r="E72" s="113"/>
      <c r="F72" s="131"/>
      <c r="G72" s="111">
        <f>+[7]KF!F22</f>
        <v>0</v>
      </c>
      <c r="H72" s="85"/>
      <c r="I72" s="24">
        <f t="shared" si="14"/>
        <v>0</v>
      </c>
      <c r="J72" s="113"/>
      <c r="L72" s="111">
        <f>+[7]KF!J18</f>
        <v>0</v>
      </c>
      <c r="M72" s="229"/>
      <c r="N72" s="134">
        <f t="shared" si="15"/>
        <v>0</v>
      </c>
      <c r="O72" s="113"/>
      <c r="P72" s="21"/>
      <c r="Q72" s="111">
        <f>+[7]KF!N18</f>
        <v>0</v>
      </c>
      <c r="R72" s="229"/>
      <c r="S72" s="112">
        <f t="shared" si="12"/>
        <v>0</v>
      </c>
      <c r="T72" s="122"/>
      <c r="U72" s="131"/>
      <c r="V72" s="111">
        <f>+B72+G72+L72+Q72</f>
        <v>0</v>
      </c>
      <c r="W72" s="361">
        <f t="shared" si="3"/>
        <v>0</v>
      </c>
      <c r="X72" s="361">
        <f t="shared" si="3"/>
        <v>0</v>
      </c>
      <c r="Y72" s="113"/>
    </row>
    <row r="73" spans="1:26" ht="15" customHeight="1">
      <c r="A73" s="25" t="s">
        <v>363</v>
      </c>
      <c r="B73" s="111">
        <f>+[7]KF!B19</f>
        <v>0</v>
      </c>
      <c r="C73" s="74"/>
      <c r="D73" s="19">
        <f t="shared" si="13"/>
        <v>0</v>
      </c>
      <c r="E73" s="122"/>
      <c r="G73" s="111">
        <f>+[7]KF!F23</f>
        <v>0</v>
      </c>
      <c r="H73" s="74"/>
      <c r="I73" s="19">
        <f t="shared" si="14"/>
        <v>0</v>
      </c>
      <c r="J73" s="122"/>
      <c r="L73" s="111">
        <f>+[7]KF!J19</f>
        <v>0</v>
      </c>
      <c r="M73" s="1349"/>
      <c r="N73" s="138">
        <f t="shared" si="15"/>
        <v>0</v>
      </c>
      <c r="O73" s="122"/>
      <c r="Q73" s="111">
        <f>+[7]KF!N19</f>
        <v>0</v>
      </c>
      <c r="R73" s="1349"/>
      <c r="S73" s="138">
        <f t="shared" si="12"/>
        <v>0</v>
      </c>
      <c r="T73" s="203"/>
      <c r="V73" s="111">
        <f>+B73+G73+L73+Q73</f>
        <v>0</v>
      </c>
      <c r="W73" s="1296">
        <f t="shared" ref="W73:X115" si="18">+C73+H73+M73+R73</f>
        <v>0</v>
      </c>
      <c r="X73" s="1296">
        <f t="shared" si="18"/>
        <v>0</v>
      </c>
      <c r="Y73" s="122"/>
    </row>
    <row r="74" spans="1:26" ht="15" customHeight="1">
      <c r="A74" s="825" t="s">
        <v>78</v>
      </c>
      <c r="B74" s="374">
        <f>SUM(B71:B73)</f>
        <v>90</v>
      </c>
      <c r="C74" s="78">
        <f>SUM(C71:C73)</f>
        <v>8</v>
      </c>
      <c r="D74" s="18">
        <f t="shared" si="13"/>
        <v>98</v>
      </c>
      <c r="E74" s="1350">
        <f t="shared" si="16"/>
        <v>1.0888888888888888</v>
      </c>
      <c r="G74" s="374">
        <f>SUM(G71:G73)</f>
        <v>90</v>
      </c>
      <c r="H74" s="78">
        <f>SUM(H71:H73)</f>
        <v>8</v>
      </c>
      <c r="I74" s="18">
        <f t="shared" si="14"/>
        <v>98</v>
      </c>
      <c r="J74" s="1350">
        <f>+I74/G74</f>
        <v>1.0888888888888888</v>
      </c>
      <c r="L74" s="374">
        <f>SUM(L71:L73)</f>
        <v>20</v>
      </c>
      <c r="M74" s="1313"/>
      <c r="N74" s="1315">
        <f t="shared" si="15"/>
        <v>20</v>
      </c>
      <c r="O74" s="1350">
        <f>+N74/L74</f>
        <v>1</v>
      </c>
      <c r="Q74" s="374">
        <f>SUM(Q71:Q73)</f>
        <v>0</v>
      </c>
      <c r="R74" s="1313"/>
      <c r="S74" s="1315">
        <f t="shared" si="12"/>
        <v>0</v>
      </c>
      <c r="T74" s="1350"/>
      <c r="V74" s="374">
        <f>SUM(V71:V73)</f>
        <v>200</v>
      </c>
      <c r="W74" s="18">
        <f>SUM(W71:W73)</f>
        <v>16</v>
      </c>
      <c r="X74" s="1241">
        <f t="shared" si="18"/>
        <v>216</v>
      </c>
      <c r="Y74" s="1350">
        <f t="shared" si="17"/>
        <v>1.08</v>
      </c>
    </row>
    <row r="75" spans="1:26" ht="15" customHeight="1">
      <c r="A75" s="23" t="s">
        <v>79</v>
      </c>
      <c r="B75" s="111">
        <f>+[7]KF!B21</f>
        <v>90</v>
      </c>
      <c r="C75" s="66"/>
      <c r="D75" s="15">
        <f t="shared" si="13"/>
        <v>90</v>
      </c>
      <c r="E75" s="113">
        <f t="shared" si="16"/>
        <v>1</v>
      </c>
      <c r="G75" s="111">
        <f>+[7]KF!F21</f>
        <v>90</v>
      </c>
      <c r="H75" s="66"/>
      <c r="I75" s="15">
        <f t="shared" si="14"/>
        <v>90</v>
      </c>
      <c r="J75" s="113">
        <f>+I75/G75</f>
        <v>1</v>
      </c>
      <c r="L75" s="111">
        <f>+[7]KF!J21</f>
        <v>20</v>
      </c>
      <c r="M75" s="65"/>
      <c r="N75" s="112">
        <f t="shared" si="15"/>
        <v>20</v>
      </c>
      <c r="O75" s="113">
        <f>+N75/L75</f>
        <v>1</v>
      </c>
      <c r="Q75" s="111">
        <f>+[7]KF!N21</f>
        <v>0</v>
      </c>
      <c r="R75" s="65"/>
      <c r="S75" s="112">
        <f t="shared" si="12"/>
        <v>0</v>
      </c>
      <c r="T75" s="113"/>
      <c r="V75" s="111">
        <f t="shared" ref="V75:V86" si="19">+B75+G75+L75+Q75</f>
        <v>200</v>
      </c>
      <c r="W75" s="1306">
        <f t="shared" si="18"/>
        <v>0</v>
      </c>
      <c r="X75" s="1306">
        <f t="shared" si="18"/>
        <v>200</v>
      </c>
      <c r="Y75" s="113">
        <f t="shared" si="17"/>
        <v>1</v>
      </c>
    </row>
    <row r="76" spans="1:26" ht="15" customHeight="1">
      <c r="A76" s="23" t="s">
        <v>80</v>
      </c>
      <c r="B76" s="111">
        <f>+[7]KF!B22</f>
        <v>0</v>
      </c>
      <c r="C76" s="85"/>
      <c r="D76" s="15">
        <f t="shared" si="13"/>
        <v>0</v>
      </c>
      <c r="E76" s="113"/>
      <c r="G76" s="111">
        <f>+[7]KF!F22</f>
        <v>0</v>
      </c>
      <c r="H76" s="85"/>
      <c r="I76" s="15">
        <f t="shared" si="14"/>
        <v>0</v>
      </c>
      <c r="J76" s="113"/>
      <c r="L76" s="111">
        <f>+[7]KF!J22</f>
        <v>0</v>
      </c>
      <c r="M76" s="229"/>
      <c r="N76" s="112">
        <f t="shared" si="15"/>
        <v>0</v>
      </c>
      <c r="O76" s="113"/>
      <c r="Q76" s="111">
        <f>+[7]KF!N22</f>
        <v>0</v>
      </c>
      <c r="R76" s="229"/>
      <c r="S76" s="112">
        <f t="shared" si="12"/>
        <v>0</v>
      </c>
      <c r="T76" s="113"/>
      <c r="V76" s="111">
        <f t="shared" si="19"/>
        <v>0</v>
      </c>
      <c r="W76" s="361">
        <f t="shared" si="18"/>
        <v>0</v>
      </c>
      <c r="X76" s="361">
        <f t="shared" si="18"/>
        <v>0</v>
      </c>
      <c r="Y76" s="113"/>
    </row>
    <row r="77" spans="1:26" ht="15" customHeight="1">
      <c r="A77" s="23" t="s">
        <v>81</v>
      </c>
      <c r="B77" s="111">
        <f>+[7]KF!B23</f>
        <v>0</v>
      </c>
      <c r="C77" s="85"/>
      <c r="D77" s="15">
        <f t="shared" si="13"/>
        <v>0</v>
      </c>
      <c r="E77" s="113"/>
      <c r="G77" s="111">
        <f>+[7]KF!F23</f>
        <v>0</v>
      </c>
      <c r="H77" s="85"/>
      <c r="I77" s="15">
        <f t="shared" si="14"/>
        <v>0</v>
      </c>
      <c r="J77" s="113"/>
      <c r="L77" s="111">
        <f>+[7]KF!J23</f>
        <v>0</v>
      </c>
      <c r="M77" s="229"/>
      <c r="N77" s="112">
        <f t="shared" si="15"/>
        <v>0</v>
      </c>
      <c r="O77" s="113"/>
      <c r="Q77" s="111">
        <f>+[7]KF!N23</f>
        <v>0</v>
      </c>
      <c r="R77" s="229"/>
      <c r="S77" s="112">
        <f t="shared" si="12"/>
        <v>0</v>
      </c>
      <c r="T77" s="113"/>
      <c r="V77" s="111">
        <f t="shared" si="19"/>
        <v>0</v>
      </c>
      <c r="W77" s="361">
        <f t="shared" si="18"/>
        <v>0</v>
      </c>
      <c r="X77" s="361">
        <f t="shared" si="18"/>
        <v>0</v>
      </c>
      <c r="Y77" s="113"/>
    </row>
    <row r="78" spans="1:26" ht="15" customHeight="1">
      <c r="A78" s="23" t="s">
        <v>82</v>
      </c>
      <c r="B78" s="111">
        <f>+[7]KF!B24</f>
        <v>900</v>
      </c>
      <c r="C78" s="85"/>
      <c r="D78" s="15">
        <f t="shared" si="13"/>
        <v>900</v>
      </c>
      <c r="E78" s="113">
        <f t="shared" si="16"/>
        <v>1</v>
      </c>
      <c r="G78" s="111">
        <f>+[7]KF!F24</f>
        <v>900</v>
      </c>
      <c r="H78" s="85"/>
      <c r="I78" s="15">
        <f t="shared" si="14"/>
        <v>900</v>
      </c>
      <c r="J78" s="113">
        <f t="shared" ref="J78:J83" si="20">+I78/G78</f>
        <v>1</v>
      </c>
      <c r="L78" s="111">
        <f>+[7]KF!J24</f>
        <v>358</v>
      </c>
      <c r="M78" s="229"/>
      <c r="N78" s="112">
        <f t="shared" si="15"/>
        <v>358</v>
      </c>
      <c r="O78" s="113">
        <f>+N78/L78</f>
        <v>1</v>
      </c>
      <c r="Q78" s="111">
        <f>+[7]KF!N24</f>
        <v>0</v>
      </c>
      <c r="R78" s="229"/>
      <c r="S78" s="112">
        <f t="shared" si="12"/>
        <v>0</v>
      </c>
      <c r="T78" s="113"/>
      <c r="V78" s="111">
        <f t="shared" si="19"/>
        <v>2158</v>
      </c>
      <c r="W78" s="361">
        <f t="shared" si="18"/>
        <v>0</v>
      </c>
      <c r="X78" s="361">
        <f t="shared" si="18"/>
        <v>2158</v>
      </c>
      <c r="Y78" s="113">
        <f t="shared" si="17"/>
        <v>1</v>
      </c>
    </row>
    <row r="79" spans="1:26" ht="15" customHeight="1">
      <c r="A79" s="23" t="s">
        <v>83</v>
      </c>
      <c r="B79" s="111">
        <f>+[7]KF!B25</f>
        <v>250</v>
      </c>
      <c r="C79" s="85"/>
      <c r="D79" s="15">
        <f t="shared" si="13"/>
        <v>250</v>
      </c>
      <c r="E79" s="113">
        <f t="shared" si="16"/>
        <v>1</v>
      </c>
      <c r="G79" s="111">
        <f>+[7]KF!F25</f>
        <v>250</v>
      </c>
      <c r="H79" s="85"/>
      <c r="I79" s="15">
        <f t="shared" si="14"/>
        <v>250</v>
      </c>
      <c r="J79" s="113">
        <f t="shared" si="20"/>
        <v>1</v>
      </c>
      <c r="L79" s="111">
        <f>+[7]KF!J25</f>
        <v>100</v>
      </c>
      <c r="M79" s="229"/>
      <c r="N79" s="112">
        <f t="shared" si="15"/>
        <v>100</v>
      </c>
      <c r="O79" s="113">
        <f>+N79/L79</f>
        <v>1</v>
      </c>
      <c r="Q79" s="111">
        <f>+[7]KF!N25</f>
        <v>0</v>
      </c>
      <c r="R79" s="229"/>
      <c r="S79" s="112">
        <f t="shared" si="12"/>
        <v>0</v>
      </c>
      <c r="T79" s="113"/>
      <c r="V79" s="111">
        <f t="shared" si="19"/>
        <v>600</v>
      </c>
      <c r="W79" s="361">
        <f t="shared" si="18"/>
        <v>0</v>
      </c>
      <c r="X79" s="361">
        <f t="shared" si="18"/>
        <v>600</v>
      </c>
      <c r="Y79" s="113">
        <f t="shared" si="17"/>
        <v>1</v>
      </c>
    </row>
    <row r="80" spans="1:26" ht="15" customHeight="1">
      <c r="A80" s="23" t="s">
        <v>84</v>
      </c>
      <c r="B80" s="111">
        <f>+[7]KF!B26</f>
        <v>100</v>
      </c>
      <c r="C80" s="85"/>
      <c r="D80" s="15">
        <f t="shared" si="13"/>
        <v>100</v>
      </c>
      <c r="E80" s="113">
        <f t="shared" si="16"/>
        <v>1</v>
      </c>
      <c r="G80" s="111">
        <f>+[7]KF!F26</f>
        <v>100</v>
      </c>
      <c r="H80" s="85"/>
      <c r="I80" s="15">
        <f t="shared" si="14"/>
        <v>100</v>
      </c>
      <c r="J80" s="113">
        <f t="shared" si="20"/>
        <v>1</v>
      </c>
      <c r="L80" s="111">
        <f>+[7]KF!J26</f>
        <v>0</v>
      </c>
      <c r="M80" s="229"/>
      <c r="N80" s="112">
        <f t="shared" si="15"/>
        <v>0</v>
      </c>
      <c r="O80" s="113"/>
      <c r="Q80" s="111">
        <f>+[7]KF!N26</f>
        <v>0</v>
      </c>
      <c r="R80" s="229"/>
      <c r="S80" s="112">
        <f t="shared" si="12"/>
        <v>0</v>
      </c>
      <c r="T80" s="113"/>
      <c r="V80" s="111">
        <f t="shared" si="19"/>
        <v>200</v>
      </c>
      <c r="W80" s="361">
        <f t="shared" si="18"/>
        <v>0</v>
      </c>
      <c r="X80" s="361">
        <f t="shared" si="18"/>
        <v>200</v>
      </c>
      <c r="Y80" s="113">
        <f t="shared" si="17"/>
        <v>1</v>
      </c>
    </row>
    <row r="81" spans="1:28" ht="15" customHeight="1">
      <c r="A81" s="23" t="s">
        <v>85</v>
      </c>
      <c r="B81" s="111">
        <v>70</v>
      </c>
      <c r="C81" s="85"/>
      <c r="D81" s="15">
        <f t="shared" si="13"/>
        <v>70</v>
      </c>
      <c r="E81" s="113">
        <f t="shared" si="16"/>
        <v>1</v>
      </c>
      <c r="G81" s="111">
        <f>+[7]KF!F27</f>
        <v>70</v>
      </c>
      <c r="H81" s="85"/>
      <c r="I81" s="15">
        <f t="shared" si="14"/>
        <v>70</v>
      </c>
      <c r="J81" s="113">
        <f t="shared" si="20"/>
        <v>1</v>
      </c>
      <c r="L81" s="111">
        <f>+[7]KF!J27</f>
        <v>10</v>
      </c>
      <c r="M81" s="229"/>
      <c r="N81" s="112">
        <f t="shared" si="15"/>
        <v>10</v>
      </c>
      <c r="O81" s="113">
        <f>+N81/L81</f>
        <v>1</v>
      </c>
      <c r="Q81" s="111">
        <f>+[7]KF!N27</f>
        <v>0</v>
      </c>
      <c r="R81" s="229"/>
      <c r="S81" s="112">
        <f t="shared" si="12"/>
        <v>0</v>
      </c>
      <c r="T81" s="113"/>
      <c r="V81" s="111">
        <f t="shared" si="19"/>
        <v>150</v>
      </c>
      <c r="W81" s="361">
        <f t="shared" si="18"/>
        <v>0</v>
      </c>
      <c r="X81" s="361">
        <f t="shared" si="18"/>
        <v>150</v>
      </c>
      <c r="Y81" s="113">
        <f t="shared" si="17"/>
        <v>1</v>
      </c>
    </row>
    <row r="82" spans="1:28" ht="15" customHeight="1">
      <c r="A82" s="9" t="s">
        <v>86</v>
      </c>
      <c r="B82" s="111">
        <f>+[7]KF!B28</f>
        <v>200</v>
      </c>
      <c r="C82" s="85"/>
      <c r="D82" s="15">
        <f t="shared" si="13"/>
        <v>200</v>
      </c>
      <c r="E82" s="113">
        <f t="shared" si="16"/>
        <v>1</v>
      </c>
      <c r="G82" s="111">
        <f>+[7]KF!F28</f>
        <v>200</v>
      </c>
      <c r="H82" s="85">
        <f>+[3]KF!$H$8</f>
        <v>348</v>
      </c>
      <c r="I82" s="15">
        <f t="shared" si="14"/>
        <v>548</v>
      </c>
      <c r="J82" s="113">
        <f t="shared" si="20"/>
        <v>2.74</v>
      </c>
      <c r="L82" s="111">
        <f>+[7]KF!J28</f>
        <v>100</v>
      </c>
      <c r="M82" s="229"/>
      <c r="N82" s="112">
        <f t="shared" si="15"/>
        <v>100</v>
      </c>
      <c r="O82" s="113">
        <f>+N82/L82</f>
        <v>1</v>
      </c>
      <c r="Q82" s="111">
        <f>+[7]KF!N28</f>
        <v>0</v>
      </c>
      <c r="R82" s="229"/>
      <c r="S82" s="112">
        <f t="shared" si="12"/>
        <v>0</v>
      </c>
      <c r="T82" s="113"/>
      <c r="V82" s="111">
        <f t="shared" si="19"/>
        <v>500</v>
      </c>
      <c r="W82" s="361">
        <f t="shared" si="18"/>
        <v>348</v>
      </c>
      <c r="X82" s="361">
        <f t="shared" si="18"/>
        <v>848</v>
      </c>
      <c r="Y82" s="113">
        <f t="shared" si="17"/>
        <v>1.696</v>
      </c>
    </row>
    <row r="83" spans="1:28" ht="15" customHeight="1">
      <c r="A83" s="25" t="s">
        <v>87</v>
      </c>
      <c r="B83" s="111">
        <f>+[7]KF!B29</f>
        <v>700</v>
      </c>
      <c r="C83" s="74"/>
      <c r="D83" s="16">
        <f t="shared" si="13"/>
        <v>700</v>
      </c>
      <c r="E83" s="113">
        <f t="shared" si="16"/>
        <v>1</v>
      </c>
      <c r="G83" s="111">
        <f>+[7]KF!F29</f>
        <v>700</v>
      </c>
      <c r="H83" s="74">
        <f>+[3]KF!$J$7</f>
        <v>40</v>
      </c>
      <c r="I83" s="16">
        <f t="shared" si="14"/>
        <v>740</v>
      </c>
      <c r="J83" s="113">
        <f t="shared" si="20"/>
        <v>1.0571428571428572</v>
      </c>
      <c r="L83" s="111">
        <f>+[7]KF!J29</f>
        <v>240</v>
      </c>
      <c r="M83" s="1349"/>
      <c r="N83" s="123">
        <f t="shared" si="15"/>
        <v>240</v>
      </c>
      <c r="O83" s="113">
        <f>+N83/L83</f>
        <v>1</v>
      </c>
      <c r="Q83" s="111">
        <f>+[7]KF!N29</f>
        <v>0</v>
      </c>
      <c r="R83" s="1349"/>
      <c r="S83" s="123">
        <f t="shared" si="12"/>
        <v>0</v>
      </c>
      <c r="T83" s="113"/>
      <c r="V83" s="111">
        <f t="shared" si="19"/>
        <v>1640</v>
      </c>
      <c r="W83" s="361">
        <f t="shared" si="18"/>
        <v>40</v>
      </c>
      <c r="X83" s="361">
        <f t="shared" si="18"/>
        <v>1680</v>
      </c>
      <c r="Y83" s="113">
        <f t="shared" si="17"/>
        <v>1.024390243902439</v>
      </c>
    </row>
    <row r="84" spans="1:28" ht="15" customHeight="1">
      <c r="A84" s="9" t="s">
        <v>366</v>
      </c>
      <c r="B84" s="111">
        <f>+[7]KF!B30</f>
        <v>0</v>
      </c>
      <c r="C84" s="74"/>
      <c r="D84" s="24">
        <f t="shared" si="13"/>
        <v>0</v>
      </c>
      <c r="E84" s="113"/>
      <c r="G84" s="111">
        <f>+[7]KF!F30</f>
        <v>0</v>
      </c>
      <c r="H84" s="74"/>
      <c r="I84" s="24">
        <f t="shared" si="14"/>
        <v>0</v>
      </c>
      <c r="J84" s="113"/>
      <c r="L84" s="111">
        <f>+[7]KF!J30</f>
        <v>0</v>
      </c>
      <c r="M84" s="1349"/>
      <c r="N84" s="134">
        <f t="shared" si="15"/>
        <v>0</v>
      </c>
      <c r="O84" s="113"/>
      <c r="Q84" s="111">
        <f>+[7]KF!N30</f>
        <v>0</v>
      </c>
      <c r="R84" s="1349"/>
      <c r="S84" s="134">
        <f t="shared" si="12"/>
        <v>0</v>
      </c>
      <c r="T84" s="113"/>
      <c r="V84" s="111">
        <f t="shared" si="19"/>
        <v>0</v>
      </c>
      <c r="W84" s="361">
        <f t="shared" si="18"/>
        <v>0</v>
      </c>
      <c r="X84" s="361">
        <f t="shared" si="18"/>
        <v>0</v>
      </c>
      <c r="Y84" s="113"/>
    </row>
    <row r="85" spans="1:28" ht="15" customHeight="1">
      <c r="A85" s="9" t="s">
        <v>409</v>
      </c>
      <c r="B85" s="111">
        <f>+[7]KF!B31</f>
        <v>0</v>
      </c>
      <c r="C85" s="74"/>
      <c r="D85" s="19">
        <f t="shared" si="13"/>
        <v>0</v>
      </c>
      <c r="E85" s="113"/>
      <c r="G85" s="111">
        <f>+[7]KF!F31</f>
        <v>0</v>
      </c>
      <c r="H85" s="74"/>
      <c r="I85" s="19">
        <f t="shared" si="14"/>
        <v>0</v>
      </c>
      <c r="J85" s="113"/>
      <c r="L85" s="111">
        <f>+[7]KF!J31</f>
        <v>0</v>
      </c>
      <c r="M85" s="1349"/>
      <c r="N85" s="138">
        <f t="shared" si="15"/>
        <v>0</v>
      </c>
      <c r="O85" s="113"/>
      <c r="Q85" s="111">
        <f>+[7]KF!N31</f>
        <v>0</v>
      </c>
      <c r="R85" s="1349"/>
      <c r="S85" s="138">
        <f t="shared" si="12"/>
        <v>0</v>
      </c>
      <c r="T85" s="113"/>
      <c r="V85" s="111">
        <f t="shared" si="19"/>
        <v>0</v>
      </c>
      <c r="W85" s="361">
        <f t="shared" si="18"/>
        <v>0</v>
      </c>
      <c r="X85" s="361">
        <f t="shared" si="18"/>
        <v>0</v>
      </c>
      <c r="Y85" s="113"/>
    </row>
    <row r="86" spans="1:28" ht="15" customHeight="1">
      <c r="A86" s="25" t="s">
        <v>90</v>
      </c>
      <c r="B86" s="111">
        <f>+[7]KF!B32</f>
        <v>0</v>
      </c>
      <c r="C86" s="74"/>
      <c r="D86" s="19">
        <f t="shared" si="13"/>
        <v>0</v>
      </c>
      <c r="E86" s="122"/>
      <c r="G86" s="111">
        <f>+[7]KF!F32</f>
        <v>0</v>
      </c>
      <c r="H86" s="74"/>
      <c r="I86" s="19">
        <f t="shared" si="14"/>
        <v>0</v>
      </c>
      <c r="J86" s="122"/>
      <c r="L86" s="111">
        <f>+[7]KF!J32</f>
        <v>0</v>
      </c>
      <c r="M86" s="1349"/>
      <c r="N86" s="138">
        <f t="shared" si="15"/>
        <v>0</v>
      </c>
      <c r="O86" s="122"/>
      <c r="Q86" s="111">
        <f>+[7]KF!N32</f>
        <v>0</v>
      </c>
      <c r="R86" s="1349"/>
      <c r="S86" s="138">
        <f t="shared" si="12"/>
        <v>0</v>
      </c>
      <c r="T86" s="122"/>
      <c r="V86" s="111">
        <f t="shared" si="19"/>
        <v>0</v>
      </c>
      <c r="W86" s="1296">
        <f t="shared" si="18"/>
        <v>0</v>
      </c>
      <c r="X86" s="1296">
        <f t="shared" si="18"/>
        <v>0</v>
      </c>
      <c r="Y86" s="122"/>
      <c r="AB86" s="2"/>
    </row>
    <row r="87" spans="1:28" ht="15" customHeight="1">
      <c r="A87" s="825" t="s">
        <v>91</v>
      </c>
      <c r="B87" s="374">
        <f>SUM(B75:B86)</f>
        <v>2310</v>
      </c>
      <c r="C87" s="78"/>
      <c r="D87" s="78">
        <f t="shared" si="13"/>
        <v>2310</v>
      </c>
      <c r="E87" s="1350">
        <f t="shared" si="16"/>
        <v>1</v>
      </c>
      <c r="F87" s="2"/>
      <c r="G87" s="374">
        <f>SUM(G75:G86)</f>
        <v>2310</v>
      </c>
      <c r="H87" s="78">
        <f>SUM(H75:H86)</f>
        <v>388</v>
      </c>
      <c r="I87" s="78">
        <f t="shared" si="14"/>
        <v>2698</v>
      </c>
      <c r="J87" s="1350">
        <f t="shared" ref="J87:J92" si="21">+I87/G87</f>
        <v>1.1679653679653679</v>
      </c>
      <c r="L87" s="374">
        <f>SUM(L75:L86)</f>
        <v>828</v>
      </c>
      <c r="M87" s="1313"/>
      <c r="N87" s="1313">
        <f t="shared" si="15"/>
        <v>828</v>
      </c>
      <c r="O87" s="1350">
        <f>+N87/L87</f>
        <v>1</v>
      </c>
      <c r="P87" s="2"/>
      <c r="Q87" s="374">
        <f>SUM(Q75:Q86)</f>
        <v>0</v>
      </c>
      <c r="R87" s="1313"/>
      <c r="S87" s="1315">
        <f t="shared" si="12"/>
        <v>0</v>
      </c>
      <c r="T87" s="1350"/>
      <c r="U87" s="2"/>
      <c r="V87" s="374">
        <f>SUM(V75:V86)</f>
        <v>5448</v>
      </c>
      <c r="W87" s="1241">
        <f t="shared" si="18"/>
        <v>388</v>
      </c>
      <c r="X87" s="1241">
        <f t="shared" si="18"/>
        <v>5836</v>
      </c>
      <c r="Y87" s="1350">
        <f t="shared" si="17"/>
        <v>1.0712187958883994</v>
      </c>
    </row>
    <row r="88" spans="1:28" s="1357" customFormat="1" ht="15" customHeight="1">
      <c r="A88" s="1351" t="s">
        <v>92</v>
      </c>
      <c r="B88" s="1353">
        <f>(B87+B70+B74)*0.25</f>
        <v>707.5</v>
      </c>
      <c r="C88" s="1352"/>
      <c r="D88" s="1077">
        <f t="shared" si="13"/>
        <v>707.5</v>
      </c>
      <c r="E88" s="1350">
        <f t="shared" si="16"/>
        <v>1</v>
      </c>
      <c r="F88" s="1264"/>
      <c r="G88" s="1353">
        <f>((G87+G70+G74)*0.25)</f>
        <v>707.5</v>
      </c>
      <c r="H88" s="1077"/>
      <c r="I88" s="1077">
        <f t="shared" si="14"/>
        <v>707.5</v>
      </c>
      <c r="J88" s="1350">
        <f t="shared" si="21"/>
        <v>1</v>
      </c>
      <c r="K88" s="1264"/>
      <c r="L88" s="1353">
        <f>((L87+L70+L74)*0.25)</f>
        <v>233.25</v>
      </c>
      <c r="M88" s="1354"/>
      <c r="N88" s="1355">
        <f t="shared" si="15"/>
        <v>233.25</v>
      </c>
      <c r="O88" s="1350">
        <f>+N88/L88</f>
        <v>1</v>
      </c>
      <c r="P88" s="1264"/>
      <c r="Q88" s="1353">
        <v>59</v>
      </c>
      <c r="R88" s="1354"/>
      <c r="S88" s="1355">
        <f t="shared" si="12"/>
        <v>59</v>
      </c>
      <c r="T88" s="1350">
        <f>+S88/Q88</f>
        <v>1</v>
      </c>
      <c r="U88" s="1264"/>
      <c r="V88" s="1353">
        <f>+((V70+V74+V87-Q61)*0.25+Q88)</f>
        <v>1707.25</v>
      </c>
      <c r="W88" s="1241">
        <f t="shared" si="18"/>
        <v>0</v>
      </c>
      <c r="X88" s="1241">
        <f t="shared" si="18"/>
        <v>1707.25</v>
      </c>
      <c r="Y88" s="1350">
        <f t="shared" si="17"/>
        <v>1</v>
      </c>
    </row>
    <row r="89" spans="1:28" s="1357" customFormat="1" ht="15" customHeight="1">
      <c r="A89" s="1358" t="s">
        <v>93</v>
      </c>
      <c r="B89" s="111">
        <f>+[7]KF!B35</f>
        <v>40</v>
      </c>
      <c r="C89" s="81"/>
      <c r="D89" s="15">
        <f t="shared" si="13"/>
        <v>40</v>
      </c>
      <c r="E89" s="113">
        <f t="shared" si="16"/>
        <v>1</v>
      </c>
      <c r="F89" s="2"/>
      <c r="G89" s="111">
        <f>+[7]KF!F35</f>
        <v>40</v>
      </c>
      <c r="H89" s="81"/>
      <c r="I89" s="15">
        <f t="shared" si="14"/>
        <v>40</v>
      </c>
      <c r="J89" s="113">
        <f t="shared" si="21"/>
        <v>1</v>
      </c>
      <c r="K89" s="2"/>
      <c r="L89" s="403"/>
      <c r="M89" s="81"/>
      <c r="N89" s="26"/>
      <c r="O89" s="113"/>
      <c r="P89" s="2"/>
      <c r="Q89" s="111"/>
      <c r="R89" s="81"/>
      <c r="S89" s="112"/>
      <c r="T89" s="113"/>
      <c r="U89" s="2"/>
      <c r="V89" s="111">
        <f>+B89+G89+L89+Q89</f>
        <v>80</v>
      </c>
      <c r="W89" s="1359"/>
      <c r="X89" s="1306">
        <f t="shared" si="18"/>
        <v>80</v>
      </c>
      <c r="Y89" s="113">
        <f t="shared" si="17"/>
        <v>1</v>
      </c>
    </row>
    <row r="90" spans="1:28" s="1357" customFormat="1" ht="15" customHeight="1">
      <c r="A90" s="1360" t="s">
        <v>94</v>
      </c>
      <c r="B90" s="111">
        <f>+[7]KF!B36</f>
        <v>15</v>
      </c>
      <c r="C90" s="85"/>
      <c r="D90" s="24">
        <f t="shared" si="13"/>
        <v>15</v>
      </c>
      <c r="E90" s="113">
        <f t="shared" si="16"/>
        <v>1</v>
      </c>
      <c r="F90" s="2"/>
      <c r="G90" s="111">
        <f>+[7]KF!F36</f>
        <v>15</v>
      </c>
      <c r="H90" s="85"/>
      <c r="I90" s="24">
        <f t="shared" si="14"/>
        <v>15</v>
      </c>
      <c r="J90" s="113">
        <f t="shared" si="21"/>
        <v>1</v>
      </c>
      <c r="K90" s="2"/>
      <c r="L90" s="118"/>
      <c r="M90" s="85"/>
      <c r="N90" s="24"/>
      <c r="O90" s="113"/>
      <c r="P90" s="2"/>
      <c r="Q90" s="118"/>
      <c r="R90" s="85"/>
      <c r="S90" s="134"/>
      <c r="T90" s="113"/>
      <c r="U90" s="2"/>
      <c r="V90" s="111">
        <f>+B90+G90+L90+Q90</f>
        <v>30</v>
      </c>
      <c r="W90" s="1361"/>
      <c r="X90" s="361">
        <f t="shared" si="18"/>
        <v>30</v>
      </c>
      <c r="Y90" s="113">
        <f t="shared" si="17"/>
        <v>1</v>
      </c>
    </row>
    <row r="91" spans="1:28" s="1364" customFormat="1" ht="15" customHeight="1">
      <c r="A91" s="1362" t="s">
        <v>95</v>
      </c>
      <c r="B91" s="111">
        <v>5</v>
      </c>
      <c r="C91" s="74"/>
      <c r="D91" s="19">
        <f t="shared" si="13"/>
        <v>5</v>
      </c>
      <c r="E91" s="122">
        <f t="shared" si="16"/>
        <v>1</v>
      </c>
      <c r="F91" s="2"/>
      <c r="G91" s="111">
        <f>+[7]KF!F37</f>
        <v>5</v>
      </c>
      <c r="H91" s="74"/>
      <c r="I91" s="19">
        <f t="shared" si="14"/>
        <v>5</v>
      </c>
      <c r="J91" s="122">
        <f t="shared" si="21"/>
        <v>1</v>
      </c>
      <c r="K91" s="2"/>
      <c r="L91" s="202"/>
      <c r="M91" s="167"/>
      <c r="N91" s="17"/>
      <c r="O91" s="122"/>
      <c r="P91" s="2"/>
      <c r="Q91" s="137"/>
      <c r="R91" s="1349"/>
      <c r="S91" s="138"/>
      <c r="T91" s="122"/>
      <c r="U91" s="2"/>
      <c r="V91" s="111">
        <f>+B91+G91+L91+Q91</f>
        <v>10</v>
      </c>
      <c r="W91" s="1363"/>
      <c r="X91" s="1296">
        <f t="shared" si="18"/>
        <v>10</v>
      </c>
      <c r="Y91" s="122">
        <f t="shared" si="17"/>
        <v>1</v>
      </c>
    </row>
    <row r="92" spans="1:28" s="1357" customFormat="1" ht="15" customHeight="1">
      <c r="A92" s="1351" t="s">
        <v>96</v>
      </c>
      <c r="B92" s="374">
        <f>SUM(B89:B91)</f>
        <v>60</v>
      </c>
      <c r="C92" s="78"/>
      <c r="D92" s="18">
        <f t="shared" si="13"/>
        <v>60</v>
      </c>
      <c r="E92" s="1350">
        <f t="shared" si="16"/>
        <v>1</v>
      </c>
      <c r="F92" s="2"/>
      <c r="G92" s="374">
        <f>SUM(G89:G91)</f>
        <v>60</v>
      </c>
      <c r="H92" s="78"/>
      <c r="I92" s="18">
        <f t="shared" si="14"/>
        <v>60</v>
      </c>
      <c r="J92" s="1350">
        <f t="shared" si="21"/>
        <v>1</v>
      </c>
      <c r="K92" s="2"/>
      <c r="L92" s="374">
        <f>SUM(L91)</f>
        <v>0</v>
      </c>
      <c r="M92" s="1313"/>
      <c r="N92" s="1315">
        <f>SUM(L92:M92)</f>
        <v>0</v>
      </c>
      <c r="O92" s="1350"/>
      <c r="P92" s="2"/>
      <c r="Q92" s="374"/>
      <c r="R92" s="1313"/>
      <c r="S92" s="1315"/>
      <c r="T92" s="1350"/>
      <c r="U92" s="2"/>
      <c r="V92" s="374">
        <f>SUM(V89:V91)</f>
        <v>120</v>
      </c>
      <c r="W92" s="1356"/>
      <c r="X92" s="1241">
        <f t="shared" si="18"/>
        <v>120</v>
      </c>
      <c r="Y92" s="1350">
        <f t="shared" si="17"/>
        <v>1</v>
      </c>
    </row>
    <row r="93" spans="1:28" s="1357" customFormat="1" ht="15" customHeight="1" thickBot="1">
      <c r="A93" s="1365" t="s">
        <v>368</v>
      </c>
      <c r="B93" s="121">
        <v>0</v>
      </c>
      <c r="C93" s="1366"/>
      <c r="D93" s="16">
        <f t="shared" si="13"/>
        <v>0</v>
      </c>
      <c r="E93" s="122"/>
      <c r="F93" s="2"/>
      <c r="G93" s="121">
        <v>0</v>
      </c>
      <c r="H93" s="1366"/>
      <c r="I93" s="16">
        <f t="shared" si="14"/>
        <v>0</v>
      </c>
      <c r="J93" s="122"/>
      <c r="K93" s="2"/>
      <c r="L93" s="121">
        <v>0</v>
      </c>
      <c r="M93" s="1367"/>
      <c r="N93" s="123">
        <f>SUM(L93:M93)</f>
        <v>0</v>
      </c>
      <c r="O93" s="122"/>
      <c r="P93" s="2"/>
      <c r="Q93" s="121"/>
      <c r="R93" s="1367"/>
      <c r="S93" s="123"/>
      <c r="T93" s="122"/>
      <c r="U93" s="2"/>
      <c r="V93" s="111">
        <f>+[7]KF!B39</f>
        <v>0</v>
      </c>
      <c r="W93" s="1368"/>
      <c r="X93" s="1342">
        <f t="shared" si="18"/>
        <v>0</v>
      </c>
      <c r="Y93" s="122"/>
    </row>
    <row r="94" spans="1:28" s="1444" customFormat="1" ht="15" customHeight="1" thickBot="1">
      <c r="A94" s="1443" t="s">
        <v>410</v>
      </c>
      <c r="B94" s="1449">
        <f>+B70+B74+B87+B88+B92+B93</f>
        <v>3597.5</v>
      </c>
      <c r="C94" s="1446">
        <f>+C70+C74+C87+C88+C92+C93</f>
        <v>8</v>
      </c>
      <c r="D94" s="1446">
        <f>SUM(B94:C94)</f>
        <v>3605.5</v>
      </c>
      <c r="E94" s="1447">
        <f t="shared" si="16"/>
        <v>1.0022237665045171</v>
      </c>
      <c r="F94" s="1448"/>
      <c r="G94" s="1449">
        <f>+G70+G74+G87+G88+G92+G93</f>
        <v>3597.5</v>
      </c>
      <c r="H94" s="1446">
        <f>+H70+H74+H87+H88+H92+H93</f>
        <v>527</v>
      </c>
      <c r="I94" s="1446">
        <f>SUM(G94:H94)</f>
        <v>4124.5</v>
      </c>
      <c r="J94" s="1447">
        <f>+I94/G94</f>
        <v>1.1464906184850592</v>
      </c>
      <c r="K94" s="1448"/>
      <c r="L94" s="1449">
        <f>+L70+L74+L87+L88+L92+L93</f>
        <v>1166.25</v>
      </c>
      <c r="M94" s="1445"/>
      <c r="N94" s="1445">
        <f>SUM(L94:M94)</f>
        <v>1166.25</v>
      </c>
      <c r="O94" s="1447">
        <f>+N94/L94</f>
        <v>1</v>
      </c>
      <c r="P94" s="1448"/>
      <c r="Q94" s="1449">
        <f>+Q70+Q74+Q87+Q88+Q92</f>
        <v>1248</v>
      </c>
      <c r="R94" s="1445"/>
      <c r="S94" s="1445">
        <f>SUM(Q94:R94)</f>
        <v>1248</v>
      </c>
      <c r="T94" s="1447">
        <f>+S94/Q94</f>
        <v>1</v>
      </c>
      <c r="U94" s="1448"/>
      <c r="V94" s="1449">
        <v>9609</v>
      </c>
      <c r="W94" s="1450">
        <f>+C94+H94+M94+R94</f>
        <v>535</v>
      </c>
      <c r="X94" s="1450">
        <f>+D94+I94+N94+S94</f>
        <v>10144.25</v>
      </c>
      <c r="Y94" s="1447">
        <f t="shared" si="17"/>
        <v>1.0557029867832242</v>
      </c>
    </row>
    <row r="95" spans="1:28" s="1357" customFormat="1" ht="15" customHeight="1">
      <c r="A95" s="1372" t="s">
        <v>99</v>
      </c>
      <c r="B95" s="111"/>
      <c r="C95" s="66"/>
      <c r="D95" s="15"/>
      <c r="E95" s="113"/>
      <c r="F95" s="2"/>
      <c r="G95" s="111"/>
      <c r="H95" s="66"/>
      <c r="I95" s="15"/>
      <c r="J95" s="113"/>
      <c r="K95" s="2"/>
      <c r="L95" s="111"/>
      <c r="M95" s="65"/>
      <c r="N95" s="112"/>
      <c r="O95" s="113"/>
      <c r="P95" s="2"/>
      <c r="Q95" s="111"/>
      <c r="R95" s="65"/>
      <c r="S95" s="112"/>
      <c r="T95" s="113"/>
      <c r="U95" s="2"/>
      <c r="V95" s="111">
        <f>+[7]KF!R41</f>
        <v>0</v>
      </c>
      <c r="W95" s="1359"/>
      <c r="X95" s="1306">
        <f t="shared" si="18"/>
        <v>0</v>
      </c>
      <c r="Y95" s="113"/>
    </row>
    <row r="96" spans="1:28" s="1364" customFormat="1" ht="15" customHeight="1">
      <c r="A96" s="1373" t="s">
        <v>369</v>
      </c>
      <c r="B96" s="118"/>
      <c r="C96" s="1374"/>
      <c r="D96" s="24"/>
      <c r="E96" s="113"/>
      <c r="F96" s="2"/>
      <c r="G96" s="118"/>
      <c r="H96" s="1374"/>
      <c r="I96" s="24"/>
      <c r="J96" s="113"/>
      <c r="K96" s="2"/>
      <c r="L96" s="118"/>
      <c r="M96" s="1375"/>
      <c r="N96" s="134"/>
      <c r="O96" s="113"/>
      <c r="P96" s="2"/>
      <c r="Q96" s="118"/>
      <c r="R96" s="1375"/>
      <c r="S96" s="134"/>
      <c r="T96" s="113"/>
      <c r="U96" s="2"/>
      <c r="V96" s="111">
        <f>+[7]KF!R42</f>
        <v>0</v>
      </c>
      <c r="W96" s="1361"/>
      <c r="X96" s="361">
        <f t="shared" si="18"/>
        <v>0</v>
      </c>
      <c r="Y96" s="113"/>
    </row>
    <row r="97" spans="1:25" s="359" customFormat="1" ht="15" customHeight="1">
      <c r="A97" s="1376" t="s">
        <v>105</v>
      </c>
      <c r="B97" s="792">
        <f>+(B46*0.1904)</f>
        <v>219.3408</v>
      </c>
      <c r="C97" s="1377"/>
      <c r="D97" s="361">
        <f>SUM(B97:C97)</f>
        <v>219.3408</v>
      </c>
      <c r="E97" s="113">
        <f t="shared" si="16"/>
        <v>1</v>
      </c>
      <c r="F97" s="793"/>
      <c r="G97" s="792">
        <f>+(G46*0.1904)-0.4</f>
        <v>298.52800000000002</v>
      </c>
      <c r="H97" s="1377"/>
      <c r="I97" s="361">
        <f>SUM(G97:H97)</f>
        <v>298.52800000000002</v>
      </c>
      <c r="J97" s="113">
        <f>+I97/G97</f>
        <v>1</v>
      </c>
      <c r="L97" s="792">
        <f>+(L46*0.1904)-1</f>
        <v>50.979200000000006</v>
      </c>
      <c r="M97" s="1378"/>
      <c r="N97" s="1379">
        <f>SUM(L97:M97)</f>
        <v>50.979200000000006</v>
      </c>
      <c r="O97" s="113">
        <f>+N97/L97</f>
        <v>1</v>
      </c>
      <c r="Q97" s="792">
        <f>+Q46*0.1904</f>
        <v>0</v>
      </c>
      <c r="R97" s="1378"/>
      <c r="S97" s="1379"/>
      <c r="T97" s="113"/>
      <c r="V97" s="1380">
        <f>+Q97+L97+G97+B97</f>
        <v>568.84799999999996</v>
      </c>
      <c r="W97" s="361"/>
      <c r="X97" s="361">
        <f t="shared" si="18"/>
        <v>568.84799999999996</v>
      </c>
      <c r="Y97" s="113">
        <f t="shared" si="17"/>
        <v>1</v>
      </c>
    </row>
    <row r="98" spans="1:25" s="1357" customFormat="1" ht="15" customHeight="1" thickBot="1">
      <c r="A98" s="1381" t="s">
        <v>386</v>
      </c>
      <c r="B98" s="372">
        <f>+B124</f>
        <v>322</v>
      </c>
      <c r="C98" s="74">
        <f>+[3]KF!$J$17</f>
        <v>322</v>
      </c>
      <c r="D98" s="19">
        <f>SUM(B98:C98)</f>
        <v>644</v>
      </c>
      <c r="E98" s="122">
        <f t="shared" si="16"/>
        <v>2</v>
      </c>
      <c r="F98" s="766"/>
      <c r="G98" s="137">
        <f>+G124</f>
        <v>522</v>
      </c>
      <c r="H98" s="74">
        <f>+[3]KF!$J$18</f>
        <v>522</v>
      </c>
      <c r="I98" s="19">
        <f>SUM(G98:H98)</f>
        <v>1044</v>
      </c>
      <c r="J98" s="122">
        <f>+I98/G98</f>
        <v>2</v>
      </c>
      <c r="K98" s="2"/>
      <c r="L98" s="137">
        <f>+L124</f>
        <v>121</v>
      </c>
      <c r="M98" s="1349">
        <f>+[3]KF!$J$19</f>
        <v>121</v>
      </c>
      <c r="N98" s="138">
        <f>SUM(L98:M98)</f>
        <v>242</v>
      </c>
      <c r="O98" s="122">
        <f>+N98/L98</f>
        <v>2</v>
      </c>
      <c r="P98" s="2"/>
      <c r="Q98" s="137"/>
      <c r="R98" s="1349"/>
      <c r="S98" s="138"/>
      <c r="T98" s="122"/>
      <c r="U98" s="2"/>
      <c r="V98" s="137">
        <f>+Q98+L98+G98+B98</f>
        <v>965</v>
      </c>
      <c r="W98" s="1296">
        <f t="shared" si="18"/>
        <v>965</v>
      </c>
      <c r="X98" s="1296">
        <f t="shared" si="18"/>
        <v>1930</v>
      </c>
      <c r="Y98" s="122">
        <f t="shared" si="17"/>
        <v>2</v>
      </c>
    </row>
    <row r="99" spans="1:25" s="1364" customFormat="1" ht="24" customHeight="1" thickBot="1">
      <c r="A99" s="1369" t="s">
        <v>109</v>
      </c>
      <c r="B99" s="1297">
        <f>SUM(B94:B98)</f>
        <v>4138.8407999999999</v>
      </c>
      <c r="C99" s="1298">
        <f>SUM(C94:C98)</f>
        <v>330</v>
      </c>
      <c r="D99" s="1298">
        <f>SUM(B99:C99)</f>
        <v>4468.8407999999999</v>
      </c>
      <c r="E99" s="1410">
        <f t="shared" si="16"/>
        <v>1.0797324700191415</v>
      </c>
      <c r="F99" s="769"/>
      <c r="G99" s="1297">
        <f>SUM(G94:G98)</f>
        <v>4418.0280000000002</v>
      </c>
      <c r="H99" s="1298">
        <f>SUM(H94:H98)</f>
        <v>1049</v>
      </c>
      <c r="I99" s="1298">
        <f>SUM(G99:H99)</f>
        <v>5467.0280000000002</v>
      </c>
      <c r="J99" s="1410">
        <f>+I99/G99</f>
        <v>1.237436249838163</v>
      </c>
      <c r="K99" s="12"/>
      <c r="L99" s="1297">
        <f>SUM(L94:L98)</f>
        <v>1338.2292</v>
      </c>
      <c r="M99" s="1370">
        <f>SUM(M98)</f>
        <v>121</v>
      </c>
      <c r="N99" s="1370">
        <f>SUM(L99:M99)</f>
        <v>1459.2292</v>
      </c>
      <c r="O99" s="1410">
        <f>+N99/L99</f>
        <v>1.0904179941672174</v>
      </c>
      <c r="P99" s="12"/>
      <c r="Q99" s="1297">
        <f>SUM(Q94:Q98)</f>
        <v>1248</v>
      </c>
      <c r="R99" s="1370"/>
      <c r="S99" s="1298">
        <f>SUM(Q99:R99)</f>
        <v>1248</v>
      </c>
      <c r="T99" s="1410">
        <f>+S99/Q99</f>
        <v>1</v>
      </c>
      <c r="U99" s="12"/>
      <c r="V99" s="1297">
        <f>SUM(V94:V98)</f>
        <v>11142.848</v>
      </c>
      <c r="W99" s="1583">
        <f>SUM(W94:W98)</f>
        <v>1500</v>
      </c>
      <c r="X99" s="1451">
        <f>+D99+I99+N99+S99</f>
        <v>12643.098</v>
      </c>
      <c r="Y99" s="1410">
        <f t="shared" si="17"/>
        <v>1.134637930984969</v>
      </c>
    </row>
    <row r="100" spans="1:25" ht="15" customHeight="1">
      <c r="A100" s="1382" t="s">
        <v>110</v>
      </c>
      <c r="B100" s="111"/>
      <c r="C100" s="66"/>
      <c r="D100" s="15"/>
      <c r="E100" s="113"/>
      <c r="F100" s="766"/>
      <c r="G100" s="111"/>
      <c r="H100" s="66"/>
      <c r="I100" s="15"/>
      <c r="J100" s="113"/>
      <c r="L100" s="111"/>
      <c r="M100" s="65"/>
      <c r="N100" s="112"/>
      <c r="O100" s="113"/>
      <c r="P100" s="2"/>
      <c r="Q100" s="111"/>
      <c r="R100" s="65"/>
      <c r="S100" s="112"/>
      <c r="T100" s="113"/>
      <c r="U100" s="2"/>
      <c r="V100" s="111">
        <f>+[7]KF!R46</f>
        <v>0</v>
      </c>
      <c r="W100" s="15">
        <f>+R100+M100+H100+C100</f>
        <v>0</v>
      </c>
      <c r="X100" s="1306">
        <f t="shared" si="18"/>
        <v>0</v>
      </c>
      <c r="Y100" s="113"/>
    </row>
    <row r="101" spans="1:25" ht="15" customHeight="1">
      <c r="A101" s="1383" t="s">
        <v>111</v>
      </c>
      <c r="B101" s="118"/>
      <c r="C101" s="85"/>
      <c r="D101" s="24"/>
      <c r="E101" s="113"/>
      <c r="F101" s="768"/>
      <c r="G101" s="118"/>
      <c r="H101" s="85"/>
      <c r="I101" s="24"/>
      <c r="J101" s="113"/>
      <c r="L101" s="111"/>
      <c r="M101" s="65"/>
      <c r="N101" s="112"/>
      <c r="O101" s="113"/>
      <c r="P101" s="2"/>
      <c r="Q101" s="111"/>
      <c r="R101" s="65"/>
      <c r="S101" s="112"/>
      <c r="T101" s="113"/>
      <c r="U101" s="2"/>
      <c r="V101" s="111">
        <f>+[7]KF!R47</f>
        <v>0</v>
      </c>
      <c r="W101" s="15">
        <f t="shared" ref="W101:W108" si="22">+R101+M101+H101+C101</f>
        <v>0</v>
      </c>
      <c r="X101" s="361">
        <f t="shared" si="18"/>
        <v>0</v>
      </c>
      <c r="Y101" s="113"/>
    </row>
    <row r="102" spans="1:25" ht="15" customHeight="1">
      <c r="A102" s="1383" t="s">
        <v>112</v>
      </c>
      <c r="B102" s="118"/>
      <c r="C102" s="85"/>
      <c r="D102" s="24"/>
      <c r="E102" s="113"/>
      <c r="F102" s="2"/>
      <c r="G102" s="118"/>
      <c r="H102" s="85"/>
      <c r="I102" s="24"/>
      <c r="J102" s="113"/>
      <c r="L102" s="118"/>
      <c r="M102" s="229"/>
      <c r="N102" s="134"/>
      <c r="O102" s="113"/>
      <c r="P102" s="2"/>
      <c r="Q102" s="118"/>
      <c r="R102" s="229"/>
      <c r="S102" s="134"/>
      <c r="T102" s="113"/>
      <c r="U102" s="2"/>
      <c r="V102" s="111">
        <f>+[7]KF!R48</f>
        <v>0</v>
      </c>
      <c r="W102" s="15">
        <f t="shared" si="22"/>
        <v>0</v>
      </c>
      <c r="X102" s="361">
        <f t="shared" si="18"/>
        <v>0</v>
      </c>
      <c r="Y102" s="113"/>
    </row>
    <row r="103" spans="1:25" ht="15" customHeight="1">
      <c r="A103" s="1383" t="s">
        <v>113</v>
      </c>
      <c r="B103" s="118"/>
      <c r="C103" s="85"/>
      <c r="D103" s="24"/>
      <c r="E103" s="113"/>
      <c r="F103" s="2"/>
      <c r="G103" s="118"/>
      <c r="H103" s="85">
        <f>+[3]KF!$P$10+[3]KF!$P$12</f>
        <v>9398</v>
      </c>
      <c r="I103" s="24">
        <f>SUM(G103:H103)</f>
        <v>9398</v>
      </c>
      <c r="J103" s="113"/>
      <c r="L103" s="118"/>
      <c r="M103" s="229"/>
      <c r="N103" s="134"/>
      <c r="O103" s="113"/>
      <c r="P103" s="2"/>
      <c r="Q103" s="118"/>
      <c r="R103" s="229"/>
      <c r="S103" s="134"/>
      <c r="T103" s="113"/>
      <c r="U103" s="2"/>
      <c r="V103" s="111">
        <f>+[7]KF!R49</f>
        <v>0</v>
      </c>
      <c r="W103" s="15">
        <f t="shared" si="22"/>
        <v>9398</v>
      </c>
      <c r="X103" s="361">
        <f t="shared" si="18"/>
        <v>9398</v>
      </c>
      <c r="Y103" s="113"/>
    </row>
    <row r="104" spans="1:25" ht="15" customHeight="1">
      <c r="A104" s="1383" t="s">
        <v>114</v>
      </c>
      <c r="B104" s="118"/>
      <c r="C104" s="1374"/>
      <c r="D104" s="24"/>
      <c r="E104" s="113"/>
      <c r="F104" s="2"/>
      <c r="G104" s="118"/>
      <c r="H104" s="85">
        <f>+[3]KF!$P$9</f>
        <v>55</v>
      </c>
      <c r="I104" s="85">
        <f>SUM(G104:H104)</f>
        <v>55</v>
      </c>
      <c r="J104" s="113"/>
      <c r="L104" s="118"/>
      <c r="M104" s="1375"/>
      <c r="N104" s="134"/>
      <c r="O104" s="113"/>
      <c r="P104" s="2"/>
      <c r="Q104" s="118"/>
      <c r="R104" s="1375"/>
      <c r="S104" s="134"/>
      <c r="T104" s="113"/>
      <c r="U104" s="2"/>
      <c r="V104" s="111">
        <f>+[7]KF!R50</f>
        <v>0</v>
      </c>
      <c r="W104" s="15">
        <f t="shared" si="22"/>
        <v>55</v>
      </c>
      <c r="X104" s="361">
        <f t="shared" si="18"/>
        <v>55</v>
      </c>
      <c r="Y104" s="113"/>
    </row>
    <row r="105" spans="1:25" ht="15" customHeight="1">
      <c r="A105" s="1383" t="s">
        <v>115</v>
      </c>
      <c r="B105" s="118"/>
      <c r="C105" s="85"/>
      <c r="D105" s="24"/>
      <c r="E105" s="113"/>
      <c r="F105" s="2"/>
      <c r="G105" s="118"/>
      <c r="H105" s="85"/>
      <c r="I105" s="85"/>
      <c r="J105" s="113"/>
      <c r="L105" s="118"/>
      <c r="M105" s="229"/>
      <c r="N105" s="134"/>
      <c r="O105" s="113"/>
      <c r="P105" s="2"/>
      <c r="Q105" s="118"/>
      <c r="R105" s="229"/>
      <c r="S105" s="134"/>
      <c r="T105" s="113"/>
      <c r="U105" s="2"/>
      <c r="V105" s="111">
        <f>+[7]KF!R51</f>
        <v>0</v>
      </c>
      <c r="W105" s="15">
        <f t="shared" si="22"/>
        <v>0</v>
      </c>
      <c r="X105" s="361">
        <f t="shared" si="18"/>
        <v>0</v>
      </c>
      <c r="Y105" s="113"/>
    </row>
    <row r="106" spans="1:25" s="21" customFormat="1" ht="15" customHeight="1">
      <c r="A106" s="1383" t="s">
        <v>116</v>
      </c>
      <c r="B106" s="118"/>
      <c r="C106" s="1374"/>
      <c r="D106" s="24"/>
      <c r="E106" s="113"/>
      <c r="F106" s="2"/>
      <c r="G106" s="118"/>
      <c r="H106" s="1374"/>
      <c r="I106" s="1374"/>
      <c r="J106" s="113"/>
      <c r="K106" s="2"/>
      <c r="L106" s="118"/>
      <c r="M106" s="1375"/>
      <c r="N106" s="134"/>
      <c r="O106" s="113"/>
      <c r="P106" s="2"/>
      <c r="Q106" s="118"/>
      <c r="R106" s="1375"/>
      <c r="S106" s="134"/>
      <c r="T106" s="113"/>
      <c r="U106" s="2"/>
      <c r="V106" s="111">
        <f>+[7]KF!R52</f>
        <v>0</v>
      </c>
      <c r="W106" s="15">
        <f t="shared" si="22"/>
        <v>0</v>
      </c>
      <c r="X106" s="361">
        <f t="shared" si="18"/>
        <v>0</v>
      </c>
      <c r="Y106" s="113"/>
    </row>
    <row r="107" spans="1:25" s="368" customFormat="1" ht="15" customHeight="1">
      <c r="A107" s="1384" t="s">
        <v>117</v>
      </c>
      <c r="B107" s="365"/>
      <c r="C107" s="353"/>
      <c r="D107" s="353"/>
      <c r="E107" s="1663"/>
      <c r="F107" s="367"/>
      <c r="G107" s="365"/>
      <c r="H107" s="353">
        <f>SUM(H103:H106)</f>
        <v>9453</v>
      </c>
      <c r="I107" s="353">
        <f>SUM(I103:I106)</f>
        <v>9453</v>
      </c>
      <c r="J107" s="1663"/>
      <c r="K107" s="367"/>
      <c r="L107" s="365"/>
      <c r="M107" s="1331"/>
      <c r="N107" s="1308"/>
      <c r="O107" s="1664"/>
      <c r="P107" s="367"/>
      <c r="Q107" s="365"/>
      <c r="R107" s="1331"/>
      <c r="S107" s="1308"/>
      <c r="T107" s="1663"/>
      <c r="U107" s="367"/>
      <c r="V107" s="915">
        <f>+[7]KF!R53</f>
        <v>0</v>
      </c>
      <c r="W107" s="370">
        <f t="shared" si="22"/>
        <v>9453</v>
      </c>
      <c r="X107" s="1665">
        <f t="shared" si="18"/>
        <v>9453</v>
      </c>
      <c r="Y107" s="1663"/>
    </row>
    <row r="108" spans="1:25" s="368" customFormat="1" ht="15" customHeight="1" thickBot="1">
      <c r="A108" s="1385" t="s">
        <v>118</v>
      </c>
      <c r="B108" s="372"/>
      <c r="C108" s="1386"/>
      <c r="D108" s="371"/>
      <c r="E108" s="1664"/>
      <c r="F108" s="366"/>
      <c r="G108" s="372"/>
      <c r="H108" s="371">
        <f>+[3]KF!$P$11</f>
        <v>200</v>
      </c>
      <c r="I108" s="371">
        <f>+[3]KF!$P$11</f>
        <v>200</v>
      </c>
      <c r="J108" s="1664"/>
      <c r="K108" s="367"/>
      <c r="L108" s="372"/>
      <c r="M108" s="1387"/>
      <c r="N108" s="1311"/>
      <c r="O108" s="1666"/>
      <c r="Q108" s="372"/>
      <c r="R108" s="1387"/>
      <c r="S108" s="1311"/>
      <c r="T108" s="1664"/>
      <c r="U108" s="366"/>
      <c r="V108" s="915">
        <f>+[7]KF!R54</f>
        <v>0</v>
      </c>
      <c r="W108" s="370">
        <f t="shared" si="22"/>
        <v>200</v>
      </c>
      <c r="X108" s="1667">
        <f t="shared" si="18"/>
        <v>200</v>
      </c>
      <c r="Y108" s="1664"/>
    </row>
    <row r="109" spans="1:25" ht="15" customHeight="1" thickBot="1">
      <c r="A109" s="1402" t="s">
        <v>119</v>
      </c>
      <c r="B109" s="378"/>
      <c r="C109" s="1584"/>
      <c r="D109" s="1230"/>
      <c r="E109" s="1371"/>
      <c r="G109" s="378"/>
      <c r="H109" s="1230">
        <f>SUM(H107:H108)</f>
        <v>9653</v>
      </c>
      <c r="I109" s="1230">
        <f>SUM(G109:H109)</f>
        <v>9653</v>
      </c>
      <c r="J109" s="1371"/>
      <c r="L109" s="378"/>
      <c r="M109" s="1585"/>
      <c r="N109" s="1343"/>
      <c r="O109" s="1371"/>
      <c r="Q109" s="378"/>
      <c r="R109" s="1585"/>
      <c r="S109" s="1343"/>
      <c r="T109" s="1371"/>
      <c r="V109" s="378">
        <f>SUM(V100:V108)</f>
        <v>0</v>
      </c>
      <c r="W109" s="1230">
        <f>SUM(W107:W108)</f>
        <v>9653</v>
      </c>
      <c r="X109" s="1299">
        <f>+D109+I109+N109+S109</f>
        <v>9653</v>
      </c>
      <c r="Y109" s="1371"/>
    </row>
    <row r="110" spans="1:25" s="21" customFormat="1" ht="15" customHeight="1">
      <c r="A110" s="1347" t="s">
        <v>411</v>
      </c>
      <c r="B110" s="1391"/>
      <c r="C110" s="1389"/>
      <c r="D110" s="1390"/>
      <c r="E110" s="113"/>
      <c r="F110" s="131"/>
      <c r="G110" s="1391"/>
      <c r="H110" s="1390"/>
      <c r="I110" s="1390"/>
      <c r="J110" s="113"/>
      <c r="K110" s="22"/>
      <c r="L110" s="1391"/>
      <c r="M110" s="1389"/>
      <c r="N110" s="1390"/>
      <c r="O110" s="113"/>
      <c r="Q110" s="1391"/>
      <c r="R110" s="1389"/>
      <c r="S110" s="1392"/>
      <c r="T110" s="113"/>
      <c r="U110" s="131"/>
      <c r="V110" s="111">
        <f>+[7]KF!R56</f>
        <v>0</v>
      </c>
      <c r="W110" s="15"/>
      <c r="X110" s="1306">
        <f t="shared" si="18"/>
        <v>0</v>
      </c>
      <c r="Y110" s="113"/>
    </row>
    <row r="111" spans="1:25" s="21" customFormat="1" ht="15" customHeight="1">
      <c r="A111" s="83" t="s">
        <v>121</v>
      </c>
      <c r="B111" s="118"/>
      <c r="C111" s="379"/>
      <c r="D111" s="24"/>
      <c r="E111" s="113"/>
      <c r="F111" s="98"/>
      <c r="G111" s="118"/>
      <c r="H111" s="24"/>
      <c r="I111" s="24"/>
      <c r="J111" s="113"/>
      <c r="K111" s="2"/>
      <c r="L111" s="118"/>
      <c r="M111" s="379"/>
      <c r="N111" s="24"/>
      <c r="O111" s="113"/>
      <c r="P111" s="1"/>
      <c r="Q111" s="118"/>
      <c r="R111" s="379"/>
      <c r="S111" s="24"/>
      <c r="T111" s="113"/>
      <c r="U111" s="98"/>
      <c r="V111" s="111">
        <f>+[7]KF!R57</f>
        <v>0</v>
      </c>
      <c r="W111" s="24"/>
      <c r="X111" s="361">
        <f t="shared" si="18"/>
        <v>0</v>
      </c>
      <c r="Y111" s="113"/>
    </row>
    <row r="112" spans="1:25" s="21" customFormat="1" ht="15" customHeight="1">
      <c r="A112" s="1348" t="s">
        <v>372</v>
      </c>
      <c r="B112" s="118"/>
      <c r="C112" s="379"/>
      <c r="D112" s="24"/>
      <c r="E112" s="113"/>
      <c r="F112" s="98"/>
      <c r="G112" s="118"/>
      <c r="H112" s="24"/>
      <c r="I112" s="24"/>
      <c r="J112" s="113"/>
      <c r="K112" s="2"/>
      <c r="L112" s="118"/>
      <c r="M112" s="379"/>
      <c r="N112" s="24"/>
      <c r="O112" s="113"/>
      <c r="P112" s="1"/>
      <c r="Q112" s="118"/>
      <c r="R112" s="379"/>
      <c r="S112" s="24"/>
      <c r="T112" s="113"/>
      <c r="U112" s="98"/>
      <c r="V112" s="111">
        <f>+[7]KF!R58</f>
        <v>0</v>
      </c>
      <c r="W112" s="24"/>
      <c r="X112" s="361">
        <f t="shared" si="18"/>
        <v>0</v>
      </c>
      <c r="Y112" s="113"/>
    </row>
    <row r="113" spans="1:25" ht="15" customHeight="1" thickBot="1">
      <c r="A113" s="1348" t="s">
        <v>123</v>
      </c>
      <c r="B113" s="1293"/>
      <c r="C113" s="1393"/>
      <c r="D113" s="1294"/>
      <c r="E113" s="122"/>
      <c r="G113" s="1293"/>
      <c r="H113" s="1294"/>
      <c r="I113" s="1294"/>
      <c r="J113" s="122"/>
      <c r="L113" s="1293"/>
      <c r="M113" s="1393"/>
      <c r="N113" s="1294"/>
      <c r="O113" s="122"/>
      <c r="Q113" s="1293"/>
      <c r="R113" s="1393"/>
      <c r="S113" s="1294"/>
      <c r="T113" s="122"/>
      <c r="V113" s="111">
        <f>+[7]KF!R59</f>
        <v>0</v>
      </c>
      <c r="W113" s="19"/>
      <c r="X113" s="1296">
        <f t="shared" si="18"/>
        <v>0</v>
      </c>
      <c r="Y113" s="122"/>
    </row>
    <row r="114" spans="1:25" s="21" customFormat="1" ht="15" customHeight="1" thickBot="1">
      <c r="A114" s="1388" t="s">
        <v>124</v>
      </c>
      <c r="B114" s="216">
        <f>+B59+B99+B109+SUM(B110:B113)</f>
        <v>25954.860800000002</v>
      </c>
      <c r="C114" s="20">
        <f>+C59+C99+C109+SUM(C110:C113)</f>
        <v>330</v>
      </c>
      <c r="D114" s="20">
        <f>SUM(B114:C114)</f>
        <v>26284.860800000002</v>
      </c>
      <c r="E114" s="217">
        <f t="shared" si="16"/>
        <v>1.0127143814233055</v>
      </c>
      <c r="F114" s="131"/>
      <c r="G114" s="216">
        <f>+G59+G99+G109+SUM(G110:G113)</f>
        <v>39596.438000000002</v>
      </c>
      <c r="H114" s="20">
        <f>+H59+H99+H109+SUM(H110:H113)</f>
        <v>11184</v>
      </c>
      <c r="I114" s="20">
        <f>+I59+I99+I109+SUM(I110:I113)</f>
        <v>50780.438000000002</v>
      </c>
      <c r="J114" s="217">
        <f>+I114/G114</f>
        <v>1.282449648627485</v>
      </c>
      <c r="K114" s="22"/>
      <c r="L114" s="216">
        <f>+L59+L99+L109+SUM(L110:L113)</f>
        <v>9551.7492000000002</v>
      </c>
      <c r="M114" s="20">
        <f>+M59+M99+M109+SUM(M110:M113)</f>
        <v>121</v>
      </c>
      <c r="N114" s="20">
        <f>SUM(L114:M114)</f>
        <v>9672.7492000000002</v>
      </c>
      <c r="O114" s="217">
        <f>+N114/L114</f>
        <v>1.0126678367978925</v>
      </c>
      <c r="Q114" s="216">
        <f>+Q59+Q99+Q109+SUM(Q110:Q113)</f>
        <v>1248</v>
      </c>
      <c r="R114" s="20">
        <f>+R59+R99+R109+SUM(R110:R113)</f>
        <v>0</v>
      </c>
      <c r="S114" s="20">
        <f>SUM(Q114:R114)</f>
        <v>1248</v>
      </c>
      <c r="T114" s="217">
        <f>+S114/Q114</f>
        <v>1</v>
      </c>
      <c r="U114" s="131"/>
      <c r="V114" s="216">
        <f>+V59+V99+V109+SUM(V110:V113)</f>
        <v>76350.248000000007</v>
      </c>
      <c r="W114" s="20">
        <f>+W59+W99+W109+SUM(W110:W113)</f>
        <v>11635</v>
      </c>
      <c r="X114" s="1403">
        <f t="shared" si="18"/>
        <v>87986.04800000001</v>
      </c>
      <c r="Y114" s="217">
        <f t="shared" si="17"/>
        <v>1.1524002908281319</v>
      </c>
    </row>
    <row r="115" spans="1:25" s="21" customFormat="1" ht="15" customHeight="1" thickBot="1">
      <c r="A115" s="1394"/>
      <c r="B115" s="124"/>
      <c r="C115" s="1234"/>
      <c r="D115" s="1234"/>
      <c r="E115" s="217"/>
      <c r="F115" s="131"/>
      <c r="G115" s="124"/>
      <c r="H115" s="1234"/>
      <c r="I115" s="1234"/>
      <c r="J115" s="1793"/>
      <c r="K115" s="22"/>
      <c r="L115" s="124"/>
      <c r="M115" s="1395"/>
      <c r="N115" s="1395"/>
      <c r="O115" s="217"/>
      <c r="Q115" s="124"/>
      <c r="R115" s="1396"/>
      <c r="S115" s="1396"/>
      <c r="T115" s="1405"/>
      <c r="U115" s="131"/>
      <c r="V115" s="124"/>
      <c r="W115" s="1234"/>
      <c r="X115" s="1406">
        <f t="shared" si="18"/>
        <v>0</v>
      </c>
      <c r="Y115" s="1404"/>
    </row>
    <row r="116" spans="1:25" s="22" customFormat="1" ht="15" customHeight="1" thickBot="1">
      <c r="A116" s="1397" t="s">
        <v>125</v>
      </c>
      <c r="B116" s="216">
        <f>+B21-B114</f>
        <v>-0.36080000000220025</v>
      </c>
      <c r="C116" s="20">
        <f>+C21-C114</f>
        <v>661</v>
      </c>
      <c r="D116" s="20">
        <f>SUM(B116:C116)</f>
        <v>660.6391999999978</v>
      </c>
      <c r="E116" s="217"/>
      <c r="G116" s="1794">
        <f>+G21-G114</f>
        <v>-0.93800000000192085</v>
      </c>
      <c r="H116" s="1795">
        <f>+H21-H114</f>
        <v>-540</v>
      </c>
      <c r="I116" s="1795">
        <f>+I21-I114</f>
        <v>-540.93800000000192</v>
      </c>
      <c r="J116" s="1796"/>
      <c r="K116" s="1400"/>
      <c r="L116" s="1398">
        <f>+L21-L114</f>
        <v>0.25079999999979918</v>
      </c>
      <c r="M116" s="1399">
        <f>+M21-M114</f>
        <v>-121</v>
      </c>
      <c r="N116" s="1399">
        <f>+N21-N114</f>
        <v>-120.7492000000002</v>
      </c>
      <c r="O116" s="217"/>
      <c r="Q116" s="216">
        <f>+Q21-Q114</f>
        <v>0</v>
      </c>
      <c r="R116" s="1345">
        <f>SUM(P116:Q116)</f>
        <v>0</v>
      </c>
      <c r="S116" s="1345">
        <f>SUM(Q116:R116)</f>
        <v>0</v>
      </c>
      <c r="T116" s="217"/>
      <c r="V116" s="216">
        <f>+V21-V114</f>
        <v>-4.8000000009778887E-2</v>
      </c>
      <c r="W116" s="20">
        <f>+W21-W114</f>
        <v>0</v>
      </c>
      <c r="X116" s="20">
        <f>+X21-X114</f>
        <v>-1.0480000000097789</v>
      </c>
      <c r="Y116" s="1401"/>
    </row>
    <row r="118" spans="1:25" ht="15" customHeight="1">
      <c r="C118" s="393">
        <v>4</v>
      </c>
      <c r="H118" s="393">
        <v>8</v>
      </c>
      <c r="M118" s="393">
        <v>1</v>
      </c>
    </row>
    <row r="120" spans="1:25" ht="15" customHeight="1">
      <c r="A120" s="416" t="s">
        <v>679</v>
      </c>
      <c r="B120" s="415">
        <v>964500</v>
      </c>
      <c r="C120" s="416"/>
      <c r="D120" s="416"/>
      <c r="E120" s="416"/>
      <c r="F120" s="416"/>
      <c r="G120" s="415"/>
      <c r="H120" s="416"/>
    </row>
    <row r="121" spans="1:25" ht="15" customHeight="1">
      <c r="A121" s="416" t="s">
        <v>265</v>
      </c>
      <c r="B121" s="415">
        <v>8</v>
      </c>
      <c r="C121" s="416"/>
      <c r="D121" s="416"/>
      <c r="E121" s="416"/>
      <c r="F121" s="416"/>
      <c r="G121" s="415">
        <v>13</v>
      </c>
      <c r="H121" s="416"/>
      <c r="L121" s="393">
        <v>3</v>
      </c>
      <c r="V121" s="393">
        <f>SUM(B121:U121)</f>
        <v>24</v>
      </c>
    </row>
    <row r="122" spans="1:25" ht="15" customHeight="1">
      <c r="A122" s="416" t="s">
        <v>390</v>
      </c>
      <c r="B122" s="415">
        <f>+B121/V121</f>
        <v>0.33333333333333331</v>
      </c>
      <c r="C122" s="416"/>
      <c r="D122" s="416"/>
      <c r="E122" s="416"/>
      <c r="F122" s="416"/>
      <c r="G122" s="415">
        <f>+G121/V121</f>
        <v>0.54166666666666663</v>
      </c>
      <c r="H122" s="416"/>
      <c r="L122" s="393">
        <f>+L121/V121</f>
        <v>0.125</v>
      </c>
    </row>
    <row r="123" spans="1:25" ht="15" customHeight="1">
      <c r="A123" s="416" t="s">
        <v>412</v>
      </c>
      <c r="B123" s="415">
        <f>+B122*B120</f>
        <v>321500</v>
      </c>
      <c r="C123" s="415"/>
      <c r="D123" s="415"/>
      <c r="E123" s="415"/>
      <c r="F123" s="415"/>
      <c r="G123" s="415">
        <f>+G122*B120</f>
        <v>522437.49999999994</v>
      </c>
      <c r="H123" s="415"/>
      <c r="J123" s="393"/>
      <c r="L123" s="393">
        <f>+L122*B120</f>
        <v>120562.5</v>
      </c>
      <c r="O123" s="393"/>
      <c r="P123" s="2"/>
      <c r="T123" s="393"/>
      <c r="U123" s="2"/>
      <c r="V123" s="393">
        <f>SUM(B123:U123)</f>
        <v>964500</v>
      </c>
    </row>
    <row r="124" spans="1:25" ht="15" customHeight="1">
      <c r="A124" s="416" t="s">
        <v>321</v>
      </c>
      <c r="B124" s="415">
        <v>322</v>
      </c>
      <c r="C124" s="416"/>
      <c r="D124" s="416"/>
      <c r="E124" s="416"/>
      <c r="F124" s="416"/>
      <c r="G124" s="415">
        <v>522</v>
      </c>
      <c r="H124" s="416"/>
      <c r="L124" s="393">
        <v>121</v>
      </c>
      <c r="V124" s="393">
        <f>SUM(B124:U124)</f>
        <v>965</v>
      </c>
    </row>
    <row r="132" spans="2:2" ht="15" customHeight="1">
      <c r="B132" s="393">
        <f>81002+13548</f>
        <v>94550</v>
      </c>
    </row>
  </sheetData>
  <mergeCells count="21">
    <mergeCell ref="V4:Y4"/>
    <mergeCell ref="V6:W6"/>
    <mergeCell ref="B6:C6"/>
    <mergeCell ref="G6:H6"/>
    <mergeCell ref="L6:M6"/>
    <mergeCell ref="Q6:R6"/>
    <mergeCell ref="Q4:T4"/>
    <mergeCell ref="B2:E2"/>
    <mergeCell ref="G4:J4"/>
    <mergeCell ref="B3:E3"/>
    <mergeCell ref="Q3:T3"/>
    <mergeCell ref="L4:O4"/>
    <mergeCell ref="G2:J2"/>
    <mergeCell ref="L3:O3"/>
    <mergeCell ref="B4:E4"/>
    <mergeCell ref="X1:Y1"/>
    <mergeCell ref="G3:J3"/>
    <mergeCell ref="V2:Y2"/>
    <mergeCell ref="V3:Y3"/>
    <mergeCell ref="L2:O2"/>
    <mergeCell ref="Q2:T2"/>
  </mergeCells>
  <phoneticPr fontId="25" type="noConversion"/>
  <printOptions horizontalCentered="1"/>
  <pageMargins left="0.15748031496062992" right="0.15748031496062992" top="0.76" bottom="0.31496062992125984" header="0.28000000000000003" footer="0.15748031496062992"/>
  <pageSetup paperSize="8" scale="65" orientation="portrait" r:id="rId1"/>
  <headerFooter alignWithMargins="0">
    <oddHeader xml:space="preserve">&amp;L&amp;"Times New Roman,Normál"&amp;12Szent László Völgye
Kistérségi Szolgáltató Iroda&amp;C&amp;"Times New Roman,Félkövér"&amp;14 2011. ÉVI KÖLTSÉGVETÉS
1. SZ. MÓDOSÍTÁSA &amp;R&amp;"Times New Roman,Normál"&amp;12 6. melléklet&amp;"Times New Roman,Félkövér"
 &amp;A
</oddHeader>
    <oddFooter>&amp;L&amp;F&amp;C&amp;D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O101"/>
  <sheetViews>
    <sheetView topLeftCell="A37" workbookViewId="0">
      <selection activeCell="A12" sqref="A12"/>
    </sheetView>
  </sheetViews>
  <sheetFormatPr defaultColWidth="9.140625" defaultRowHeight="15"/>
  <cols>
    <col min="1" max="1" width="40.7109375" style="720" customWidth="1"/>
    <col min="2" max="2" width="18.28515625" style="720" customWidth="1"/>
    <col min="3" max="3" width="12.85546875" style="720" hidden="1" customWidth="1"/>
    <col min="4" max="4" width="18.28515625" style="720" customWidth="1"/>
    <col min="5" max="5" width="12.5703125" style="720" hidden="1" customWidth="1"/>
    <col min="6" max="6" width="18.28515625" style="720" customWidth="1"/>
    <col min="7" max="7" width="17.28515625" style="720" customWidth="1"/>
    <col min="8" max="8" width="18.28515625" style="720" customWidth="1"/>
    <col min="9" max="16384" width="9.140625" style="720"/>
  </cols>
  <sheetData>
    <row r="1" spans="1:8" ht="15.75" thickBot="1">
      <c r="H1" s="720" t="s">
        <v>413</v>
      </c>
    </row>
    <row r="2" spans="1:8" s="1895" customFormat="1" ht="45" customHeight="1">
      <c r="A2" s="1892" t="s">
        <v>414</v>
      </c>
      <c r="B2" s="2473" t="s">
        <v>415</v>
      </c>
      <c r="C2" s="2474"/>
      <c r="D2" s="2475" t="s">
        <v>416</v>
      </c>
      <c r="E2" s="2475"/>
      <c r="F2" s="1893" t="s">
        <v>417</v>
      </c>
      <c r="G2" s="1893" t="s">
        <v>418</v>
      </c>
      <c r="H2" s="1894" t="s">
        <v>419</v>
      </c>
    </row>
    <row r="3" spans="1:8" s="1895" customFormat="1" ht="21.6" customHeight="1">
      <c r="A3" s="1896" t="s">
        <v>420</v>
      </c>
      <c r="B3" s="1897"/>
      <c r="C3" s="1897"/>
      <c r="D3" s="1897"/>
      <c r="E3" s="1897"/>
      <c r="F3" s="1898"/>
      <c r="G3" s="1898"/>
      <c r="H3" s="1899"/>
    </row>
    <row r="4" spans="1:8" s="1895" customFormat="1" ht="16.5" customHeight="1">
      <c r="A4" s="1900" t="s">
        <v>101</v>
      </c>
      <c r="B4" s="1901"/>
      <c r="C4" s="1901"/>
      <c r="D4" s="1901"/>
      <c r="E4" s="1901"/>
      <c r="F4" s="1901"/>
      <c r="G4" s="1901"/>
      <c r="H4" s="1902"/>
    </row>
    <row r="5" spans="1:8" s="1895" customFormat="1" ht="16.5" customHeight="1">
      <c r="A5" s="1938" t="s">
        <v>421</v>
      </c>
      <c r="B5" s="1939"/>
      <c r="C5" s="1939"/>
      <c r="D5" s="1940"/>
      <c r="E5" s="1940"/>
      <c r="F5" s="1940"/>
      <c r="G5" s="1940"/>
      <c r="H5" s="1942">
        <f t="shared" ref="H5:H11" si="0">SUM(B5:G5)</f>
        <v>0</v>
      </c>
    </row>
    <row r="6" spans="1:8" s="1895" customFormat="1" ht="16.5" customHeight="1">
      <c r="A6" s="1943" t="s">
        <v>422</v>
      </c>
      <c r="B6" s="1944"/>
      <c r="C6" s="1944"/>
      <c r="D6" s="1945"/>
      <c r="E6" s="1945"/>
      <c r="F6" s="1945"/>
      <c r="G6" s="1945"/>
      <c r="H6" s="1947">
        <f t="shared" si="0"/>
        <v>0</v>
      </c>
    </row>
    <row r="7" spans="1:8" s="1895" customFormat="1" ht="16.5" customHeight="1">
      <c r="A7" s="1953" t="s">
        <v>423</v>
      </c>
      <c r="B7" s="1954"/>
      <c r="C7" s="1954"/>
      <c r="D7" s="1955"/>
      <c r="E7" s="1955"/>
      <c r="F7" s="1955"/>
      <c r="G7" s="1955"/>
      <c r="H7" s="1947">
        <f t="shared" si="0"/>
        <v>0</v>
      </c>
    </row>
    <row r="8" spans="1:8" s="1895" customFormat="1" ht="16.5" customHeight="1">
      <c r="A8" s="1943" t="s">
        <v>424</v>
      </c>
      <c r="B8" s="1944"/>
      <c r="C8" s="1944"/>
      <c r="D8" s="1945"/>
      <c r="E8" s="1945"/>
      <c r="F8" s="1945"/>
      <c r="G8" s="1945"/>
      <c r="H8" s="1947">
        <f t="shared" si="0"/>
        <v>0</v>
      </c>
    </row>
    <row r="9" spans="1:8" s="1895" customFormat="1" ht="16.5" customHeight="1">
      <c r="A9" s="1943" t="s">
        <v>425</v>
      </c>
      <c r="B9" s="1944"/>
      <c r="C9" s="1944"/>
      <c r="D9" s="1945"/>
      <c r="E9" s="1945"/>
      <c r="F9" s="1946"/>
      <c r="G9" s="1946"/>
      <c r="H9" s="1947">
        <f t="shared" si="0"/>
        <v>0</v>
      </c>
    </row>
    <row r="10" spans="1:8" s="1895" customFormat="1" ht="16.5" customHeight="1">
      <c r="A10" s="1948" t="s">
        <v>426</v>
      </c>
      <c r="B10" s="1949"/>
      <c r="C10" s="1949"/>
      <c r="D10" s="1950"/>
      <c r="E10" s="1950"/>
      <c r="F10" s="1951"/>
      <c r="G10" s="1951"/>
      <c r="H10" s="1952">
        <f t="shared" si="0"/>
        <v>0</v>
      </c>
    </row>
    <row r="11" spans="1:8" s="1895" customFormat="1" ht="16.5" customHeight="1">
      <c r="A11" s="1904" t="s">
        <v>427</v>
      </c>
      <c r="B11" s="1917"/>
      <c r="C11" s="1917"/>
      <c r="D11" s="1918"/>
      <c r="E11" s="1918"/>
      <c r="F11" s="1919"/>
      <c r="G11" s="1919"/>
      <c r="H11" s="1920">
        <f t="shared" si="0"/>
        <v>0</v>
      </c>
    </row>
    <row r="12" spans="1:8" s="1895" customFormat="1" ht="16.5" customHeight="1">
      <c r="A12" s="1912" t="s">
        <v>428</v>
      </c>
      <c r="B12" s="1903"/>
      <c r="C12" s="1903"/>
      <c r="D12" s="1897"/>
      <c r="E12" s="1897"/>
      <c r="F12" s="1898"/>
      <c r="G12" s="1898"/>
      <c r="H12" s="1902"/>
    </row>
    <row r="13" spans="1:8" s="1895" customFormat="1" ht="16.5" customHeight="1">
      <c r="A13" s="1938" t="s">
        <v>429</v>
      </c>
      <c r="B13" s="1939"/>
      <c r="C13" s="1939"/>
      <c r="D13" s="1939">
        <v>1</v>
      </c>
      <c r="E13" s="1940"/>
      <c r="F13" s="1941"/>
      <c r="G13" s="1941"/>
      <c r="H13" s="1942">
        <f t="shared" ref="H13:H25" si="1">SUM(B13:G13)</f>
        <v>1</v>
      </c>
    </row>
    <row r="14" spans="1:8" s="1895" customFormat="1" ht="16.5" customHeight="1">
      <c r="A14" s="1943" t="s">
        <v>430</v>
      </c>
      <c r="B14" s="1944"/>
      <c r="C14" s="1944"/>
      <c r="D14" s="1944">
        <v>1</v>
      </c>
      <c r="E14" s="1945"/>
      <c r="F14" s="1946"/>
      <c r="G14" s="1946"/>
      <c r="H14" s="1947">
        <f t="shared" si="1"/>
        <v>1</v>
      </c>
    </row>
    <row r="15" spans="1:8" s="1895" customFormat="1" ht="16.5" customHeight="1">
      <c r="A15" s="1943" t="s">
        <v>431</v>
      </c>
      <c r="B15" s="1944"/>
      <c r="C15" s="1944"/>
      <c r="D15" s="1944">
        <v>1</v>
      </c>
      <c r="E15" s="1945"/>
      <c r="F15" s="1946"/>
      <c r="G15" s="1946"/>
      <c r="H15" s="1947">
        <f t="shared" si="1"/>
        <v>1</v>
      </c>
    </row>
    <row r="16" spans="1:8" s="1895" customFormat="1" ht="16.5" customHeight="1">
      <c r="A16" s="1943" t="s">
        <v>432</v>
      </c>
      <c r="B16" s="1944"/>
      <c r="C16" s="1944"/>
      <c r="D16" s="1944">
        <v>1</v>
      </c>
      <c r="E16" s="1945"/>
      <c r="F16" s="1946"/>
      <c r="G16" s="1946"/>
      <c r="H16" s="1947">
        <f t="shared" si="1"/>
        <v>1</v>
      </c>
    </row>
    <row r="17" spans="1:15" s="1895" customFormat="1" ht="16.5" customHeight="1">
      <c r="A17" s="1943" t="s">
        <v>433</v>
      </c>
      <c r="B17" s="1944"/>
      <c r="C17" s="1944"/>
      <c r="D17" s="1944">
        <v>1</v>
      </c>
      <c r="E17" s="1945"/>
      <c r="F17" s="1946"/>
      <c r="G17" s="1946"/>
      <c r="H17" s="1947">
        <f t="shared" si="1"/>
        <v>1</v>
      </c>
    </row>
    <row r="18" spans="1:15" s="1895" customFormat="1" ht="16.5" customHeight="1">
      <c r="A18" s="1943" t="s">
        <v>434</v>
      </c>
      <c r="B18" s="1944"/>
      <c r="C18" s="1944"/>
      <c r="D18" s="1944">
        <v>1</v>
      </c>
      <c r="E18" s="1945"/>
      <c r="F18" s="1946"/>
      <c r="G18" s="1946"/>
      <c r="H18" s="1947">
        <f t="shared" si="1"/>
        <v>1</v>
      </c>
    </row>
    <row r="19" spans="1:15" s="1895" customFormat="1" ht="16.5" customHeight="1">
      <c r="A19" s="1943" t="s">
        <v>435</v>
      </c>
      <c r="B19" s="1944"/>
      <c r="C19" s="1944"/>
      <c r="D19" s="1944">
        <v>2</v>
      </c>
      <c r="E19" s="1945"/>
      <c r="F19" s="1946"/>
      <c r="G19" s="1946"/>
      <c r="H19" s="1947">
        <f t="shared" si="1"/>
        <v>2</v>
      </c>
    </row>
    <row r="20" spans="1:15" s="1895" customFormat="1" ht="16.5" customHeight="1">
      <c r="A20" s="1943" t="s">
        <v>436</v>
      </c>
      <c r="B20" s="1944"/>
      <c r="C20" s="1944"/>
      <c r="D20" s="1944">
        <v>5</v>
      </c>
      <c r="E20" s="1945"/>
      <c r="F20" s="1946"/>
      <c r="G20" s="1946"/>
      <c r="H20" s="1947">
        <f t="shared" si="1"/>
        <v>5</v>
      </c>
    </row>
    <row r="21" spans="1:15" s="1895" customFormat="1" ht="16.5" customHeight="1">
      <c r="A21" s="1943" t="s">
        <v>437</v>
      </c>
      <c r="B21" s="1944"/>
      <c r="C21" s="1944"/>
      <c r="D21" s="1944">
        <v>16</v>
      </c>
      <c r="E21" s="1945"/>
      <c r="F21" s="1946"/>
      <c r="G21" s="1946"/>
      <c r="H21" s="1947">
        <f t="shared" si="1"/>
        <v>16</v>
      </c>
    </row>
    <row r="22" spans="1:15" s="1895" customFormat="1" ht="16.5" customHeight="1">
      <c r="A22" s="1943" t="s">
        <v>438</v>
      </c>
      <c r="B22" s="1944"/>
      <c r="C22" s="1944"/>
      <c r="D22" s="1944">
        <v>2</v>
      </c>
      <c r="E22" s="1945"/>
      <c r="F22" s="1946"/>
      <c r="G22" s="1946"/>
      <c r="H22" s="1947">
        <f t="shared" si="1"/>
        <v>2</v>
      </c>
    </row>
    <row r="23" spans="1:15" s="1895" customFormat="1" ht="16.5" customHeight="1">
      <c r="A23" s="1943" t="s">
        <v>439</v>
      </c>
      <c r="B23" s="1944"/>
      <c r="C23" s="1944"/>
      <c r="D23" s="1944">
        <v>1</v>
      </c>
      <c r="E23" s="1945"/>
      <c r="F23" s="1946"/>
      <c r="G23" s="1946"/>
      <c r="H23" s="1947">
        <f t="shared" si="1"/>
        <v>1</v>
      </c>
    </row>
    <row r="24" spans="1:15" s="1895" customFormat="1" ht="16.5" customHeight="1">
      <c r="A24" s="1948" t="s">
        <v>440</v>
      </c>
      <c r="B24" s="1949"/>
      <c r="C24" s="1949"/>
      <c r="D24" s="1949">
        <v>1.5</v>
      </c>
      <c r="E24" s="1950"/>
      <c r="F24" s="1951"/>
      <c r="G24" s="1951"/>
      <c r="H24" s="1952">
        <f t="shared" si="1"/>
        <v>1.5</v>
      </c>
    </row>
    <row r="25" spans="1:15" s="1895" customFormat="1" ht="16.5" customHeight="1">
      <c r="A25" s="1904" t="s">
        <v>441</v>
      </c>
      <c r="B25" s="1917"/>
      <c r="C25" s="1917"/>
      <c r="D25" s="1917">
        <f>SUM(D13:D24)</f>
        <v>33.5</v>
      </c>
      <c r="E25" s="1918"/>
      <c r="F25" s="1919"/>
      <c r="G25" s="1919"/>
      <c r="H25" s="1920">
        <f t="shared" si="1"/>
        <v>33.5</v>
      </c>
    </row>
    <row r="26" spans="1:15" s="1895" customFormat="1" ht="16.5" customHeight="1">
      <c r="A26" s="1912" t="s">
        <v>103</v>
      </c>
      <c r="B26" s="1897"/>
      <c r="C26" s="1897"/>
      <c r="D26" s="1897"/>
      <c r="E26" s="1897"/>
      <c r="F26" s="1898"/>
      <c r="G26" s="1898"/>
      <c r="H26" s="1902"/>
    </row>
    <row r="27" spans="1:15" ht="16.5" customHeight="1">
      <c r="A27" s="1937" t="s">
        <v>442</v>
      </c>
      <c r="B27" s="1926"/>
      <c r="C27" s="1926"/>
      <c r="D27" s="1926"/>
      <c r="E27" s="1926"/>
      <c r="F27" s="1927">
        <v>1</v>
      </c>
      <c r="G27" s="1927"/>
      <c r="H27" s="1928">
        <f>SUM(B27:G27)</f>
        <v>1</v>
      </c>
    </row>
    <row r="28" spans="1:15" ht="16.5" customHeight="1">
      <c r="A28" s="1929" t="s">
        <v>443</v>
      </c>
      <c r="B28" s="1930"/>
      <c r="C28" s="1930" t="e">
        <f>O28*0.12</f>
        <v>#REF!</v>
      </c>
      <c r="D28" s="1930"/>
      <c r="E28" s="1930"/>
      <c r="F28" s="1931">
        <v>5</v>
      </c>
      <c r="G28" s="1931"/>
      <c r="H28" s="1932">
        <f>SUM(B28+D28+F28+G28)</f>
        <v>5</v>
      </c>
      <c r="O28" s="720" t="e">
        <f>#REF!/1000</f>
        <v>#REF!</v>
      </c>
    </row>
    <row r="29" spans="1:15" ht="16.5" customHeight="1">
      <c r="A29" s="1929" t="s">
        <v>444</v>
      </c>
      <c r="B29" s="1930"/>
      <c r="C29" s="1930"/>
      <c r="D29" s="1930"/>
      <c r="E29" s="1930"/>
      <c r="F29" s="1931">
        <v>29</v>
      </c>
      <c r="G29" s="1931"/>
      <c r="H29" s="1932">
        <f>SUM(B29:G29)</f>
        <v>29</v>
      </c>
    </row>
    <row r="30" spans="1:15" ht="16.5" customHeight="1">
      <c r="A30" s="1929" t="s">
        <v>445</v>
      </c>
      <c r="B30" s="1930"/>
      <c r="C30" s="1930"/>
      <c r="D30" s="1930"/>
      <c r="E30" s="1930"/>
      <c r="F30" s="1931">
        <v>17</v>
      </c>
      <c r="G30" s="1931"/>
      <c r="H30" s="1932">
        <f>SUM(B30:G30)</f>
        <v>17</v>
      </c>
    </row>
    <row r="31" spans="1:15" ht="16.5" customHeight="1">
      <c r="A31" s="1929" t="s">
        <v>446</v>
      </c>
      <c r="B31" s="1930"/>
      <c r="C31" s="1930"/>
      <c r="D31" s="1930"/>
      <c r="E31" s="1930"/>
      <c r="F31" s="1931">
        <v>0.5</v>
      </c>
      <c r="G31" s="1931"/>
      <c r="H31" s="1931">
        <v>0.5</v>
      </c>
    </row>
    <row r="32" spans="1:15" ht="16.5" customHeight="1">
      <c r="A32" s="1929" t="s">
        <v>447</v>
      </c>
      <c r="B32" s="1930"/>
      <c r="C32" s="1930"/>
      <c r="D32" s="1930"/>
      <c r="E32" s="1930"/>
      <c r="F32" s="1931">
        <v>1.5</v>
      </c>
      <c r="G32" s="1931"/>
      <c r="H32" s="1931">
        <v>1.5</v>
      </c>
    </row>
    <row r="33" spans="1:8" ht="16.5" customHeight="1">
      <c r="A33" s="1929" t="s">
        <v>448</v>
      </c>
      <c r="B33" s="1930"/>
      <c r="C33" s="1930"/>
      <c r="D33" s="1930"/>
      <c r="E33" s="1930"/>
      <c r="F33" s="1931">
        <v>0.5</v>
      </c>
      <c r="G33" s="1931"/>
      <c r="H33" s="1931">
        <v>0.5</v>
      </c>
    </row>
    <row r="34" spans="1:8" ht="16.5" customHeight="1">
      <c r="A34" s="1929" t="s">
        <v>449</v>
      </c>
      <c r="B34" s="1930"/>
      <c r="C34" s="1930"/>
      <c r="D34" s="1930"/>
      <c r="E34" s="1930"/>
      <c r="F34" s="1931">
        <v>1</v>
      </c>
      <c r="G34" s="1931"/>
      <c r="H34" s="1931">
        <v>1</v>
      </c>
    </row>
    <row r="35" spans="1:8" ht="16.5" customHeight="1">
      <c r="A35" s="1933" t="s">
        <v>450</v>
      </c>
      <c r="B35" s="1934"/>
      <c r="C35" s="1934"/>
      <c r="D35" s="1934"/>
      <c r="E35" s="1934"/>
      <c r="F35" s="1935">
        <v>1</v>
      </c>
      <c r="G35" s="1935"/>
      <c r="H35" s="1936">
        <f>SUM(B35:G35)</f>
        <v>1</v>
      </c>
    </row>
    <row r="36" spans="1:8" ht="16.5" customHeight="1">
      <c r="A36" s="1921" t="s">
        <v>451</v>
      </c>
      <c r="B36" s="1922"/>
      <c r="C36" s="1922"/>
      <c r="D36" s="1922"/>
      <c r="E36" s="1922"/>
      <c r="F36" s="1923">
        <f>SUM(F27:F35)</f>
        <v>56.5</v>
      </c>
      <c r="G36" s="1923"/>
      <c r="H36" s="1924">
        <f>SUM(B36:G36)</f>
        <v>56.5</v>
      </c>
    </row>
    <row r="37" spans="1:8">
      <c r="A37" s="1925" t="s">
        <v>452</v>
      </c>
      <c r="B37" s="1926"/>
      <c r="C37" s="1926"/>
      <c r="D37" s="1926"/>
      <c r="E37" s="1926"/>
      <c r="F37" s="1927"/>
      <c r="G37" s="1927"/>
      <c r="H37" s="1928"/>
    </row>
    <row r="38" spans="1:8">
      <c r="A38" s="1929" t="s">
        <v>429</v>
      </c>
      <c r="B38" s="1930"/>
      <c r="C38" s="1930"/>
      <c r="D38" s="1930"/>
      <c r="E38" s="1930"/>
      <c r="F38" s="1931"/>
      <c r="G38" s="1931">
        <v>1</v>
      </c>
      <c r="H38" s="1932">
        <f t="shared" ref="H38:H44" si="2">SUM(B38:G38)</f>
        <v>1</v>
      </c>
    </row>
    <row r="39" spans="1:8">
      <c r="A39" s="1929" t="s">
        <v>444</v>
      </c>
      <c r="B39" s="1930"/>
      <c r="C39" s="1930"/>
      <c r="D39" s="1930"/>
      <c r="E39" s="1930"/>
      <c r="F39" s="1931"/>
      <c r="G39" s="1931">
        <v>15</v>
      </c>
      <c r="H39" s="1932">
        <f t="shared" si="2"/>
        <v>15</v>
      </c>
    </row>
    <row r="40" spans="1:8">
      <c r="A40" s="1929" t="s">
        <v>453</v>
      </c>
      <c r="B40" s="1930"/>
      <c r="C40" s="1930"/>
      <c r="D40" s="1930"/>
      <c r="E40" s="1930"/>
      <c r="F40" s="1931"/>
      <c r="G40" s="1931">
        <v>1</v>
      </c>
      <c r="H40" s="1932">
        <f t="shared" si="2"/>
        <v>1</v>
      </c>
    </row>
    <row r="41" spans="1:8">
      <c r="A41" s="1929" t="s">
        <v>454</v>
      </c>
      <c r="B41" s="1930"/>
      <c r="C41" s="1930"/>
      <c r="D41" s="1930"/>
      <c r="E41" s="1930"/>
      <c r="F41" s="1931"/>
      <c r="G41" s="1931">
        <v>3</v>
      </c>
      <c r="H41" s="1932">
        <f t="shared" si="2"/>
        <v>3</v>
      </c>
    </row>
    <row r="42" spans="1:8">
      <c r="A42" s="1929" t="s">
        <v>455</v>
      </c>
      <c r="B42" s="1930"/>
      <c r="C42" s="1930"/>
      <c r="D42" s="1930"/>
      <c r="E42" s="1930"/>
      <c r="F42" s="1931"/>
      <c r="G42" s="1931">
        <v>1</v>
      </c>
      <c r="H42" s="1932">
        <f t="shared" si="2"/>
        <v>1</v>
      </c>
    </row>
    <row r="43" spans="1:8">
      <c r="A43" s="1929" t="s">
        <v>447</v>
      </c>
      <c r="B43" s="1930"/>
      <c r="C43" s="1930"/>
      <c r="D43" s="1930"/>
      <c r="E43" s="1930"/>
      <c r="F43" s="1931"/>
      <c r="G43" s="1931">
        <v>1.5</v>
      </c>
      <c r="H43" s="1932">
        <f t="shared" si="2"/>
        <v>1.5</v>
      </c>
    </row>
    <row r="44" spans="1:8">
      <c r="A44" s="1933" t="s">
        <v>448</v>
      </c>
      <c r="B44" s="1934"/>
      <c r="C44" s="1934"/>
      <c r="D44" s="1934"/>
      <c r="E44" s="1934"/>
      <c r="F44" s="1935"/>
      <c r="G44" s="1935">
        <v>0.5</v>
      </c>
      <c r="H44" s="1936">
        <f t="shared" si="2"/>
        <v>0.5</v>
      </c>
    </row>
    <row r="45" spans="1:8">
      <c r="A45" s="1921" t="s">
        <v>456</v>
      </c>
      <c r="B45" s="1922"/>
      <c r="C45" s="1922"/>
      <c r="D45" s="1922"/>
      <c r="E45" s="1922"/>
      <c r="F45" s="1923"/>
      <c r="G45" s="1923">
        <f>SUM(G38:G44)</f>
        <v>23</v>
      </c>
      <c r="H45" s="1924">
        <f>SUM(H38:H44)</f>
        <v>23</v>
      </c>
    </row>
    <row r="46" spans="1:8" ht="15.75" thickBot="1">
      <c r="A46" s="1913" t="s">
        <v>457</v>
      </c>
      <c r="B46" s="1914">
        <f>SUM(B11+B25+B36+B45)</f>
        <v>0</v>
      </c>
      <c r="C46" s="1915"/>
      <c r="D46" s="1914">
        <f>SUM(D11+D25+D36+D45)</f>
        <v>33.5</v>
      </c>
      <c r="E46" s="1914">
        <f>SUM(E11+E25+E36+E45)</f>
        <v>0</v>
      </c>
      <c r="F46" s="1914">
        <f>SUM(F11+F25+F36+F45)</f>
        <v>56.5</v>
      </c>
      <c r="G46" s="1914">
        <f>SUM(G11+G25+G36+G45)</f>
        <v>23</v>
      </c>
      <c r="H46" s="1916">
        <f>SUM(H11+H25+H36+H45)</f>
        <v>113</v>
      </c>
    </row>
    <row r="47" spans="1:8">
      <c r="A47" s="1905"/>
      <c r="B47" s="1906"/>
      <c r="C47" s="1907"/>
      <c r="D47" s="1906"/>
      <c r="E47" s="1906"/>
      <c r="F47" s="1906"/>
      <c r="G47" s="1906"/>
      <c r="H47" s="1908"/>
    </row>
    <row r="97" spans="1:9">
      <c r="A97" s="1909"/>
      <c r="B97" s="1909"/>
      <c r="C97" s="1909"/>
      <c r="D97" s="1909"/>
      <c r="E97" s="1909"/>
      <c r="F97" s="1909"/>
      <c r="G97" s="1909"/>
      <c r="H97" s="1909"/>
      <c r="I97" s="1909"/>
    </row>
    <row r="98" spans="1:9">
      <c r="A98" s="1910"/>
      <c r="B98" s="1910"/>
      <c r="C98" s="1910"/>
      <c r="D98" s="1910"/>
      <c r="E98" s="1910"/>
      <c r="F98" s="1910"/>
      <c r="G98" s="1910"/>
      <c r="H98" s="1910"/>
      <c r="I98" s="1910"/>
    </row>
    <row r="99" spans="1:9">
      <c r="A99" s="1910"/>
      <c r="B99" s="1910"/>
      <c r="C99" s="1910"/>
      <c r="D99" s="1910"/>
      <c r="E99" s="1910"/>
      <c r="F99" s="1910"/>
      <c r="G99" s="1910"/>
      <c r="H99" s="1910"/>
      <c r="I99" s="1910"/>
    </row>
    <row r="100" spans="1:9">
      <c r="A100" s="1910"/>
      <c r="B100" s="1910"/>
      <c r="C100" s="1910"/>
      <c r="D100" s="1910"/>
      <c r="E100" s="1910"/>
      <c r="F100" s="1910"/>
      <c r="G100" s="1910"/>
      <c r="H100" s="1910"/>
      <c r="I100" s="1910"/>
    </row>
    <row r="101" spans="1:9">
      <c r="A101" s="1911"/>
      <c r="B101" s="1911"/>
      <c r="C101" s="1911"/>
      <c r="D101" s="1911"/>
      <c r="E101" s="1911"/>
      <c r="F101" s="1911"/>
      <c r="G101" s="1911"/>
      <c r="H101" s="1911"/>
      <c r="I101" s="1911"/>
    </row>
  </sheetData>
  <mergeCells count="2">
    <mergeCell ref="B2:C2"/>
    <mergeCell ref="D2:E2"/>
  </mergeCells>
  <phoneticPr fontId="25" type="noConversion"/>
  <printOptions horizontalCentered="1"/>
  <pageMargins left="0.27559055118110237" right="0.15748031496062992" top="1.3779527559055118" bottom="0.31496062992125984" header="0.35433070866141736" footer="0.15748031496062992"/>
  <pageSetup paperSize="9" scale="70" orientation="portrait" r:id="rId1"/>
  <headerFooter alignWithMargins="0">
    <oddHeader xml:space="preserve">&amp;C&amp;"Times New Roman,Félkövér"&amp;14 2011. ÉVI KÖLTSÉGVETÉS
1. SZ. MÓDOSÍTÁSA&amp;R&amp;"Times New Roman,Félkövér"&amp;12 7&amp;"Times New Roman,Normál". sz. melléklet&amp;"Times New Roman,Félkövér"
 &amp;A
</oddHeader>
    <oddFooter>&amp;L&amp;F&amp;C&amp;D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2"/>
  </sheetPr>
  <dimension ref="A1:AG122"/>
  <sheetViews>
    <sheetView zoomScale="85" zoomScaleNormal="85" zoomScaleSheetLayoutView="100" workbookViewId="0">
      <pane xSplit="1" ySplit="4" topLeftCell="K53" activePane="bottomRight" state="frozen"/>
      <selection pane="topRight" activeCell="B1" sqref="B1"/>
      <selection pane="bottomLeft" activeCell="A5" sqref="A5"/>
      <selection pane="bottomRight" activeCell="Q7" sqref="Q7"/>
    </sheetView>
  </sheetViews>
  <sheetFormatPr defaultColWidth="8.85546875" defaultRowHeight="12.75"/>
  <cols>
    <col min="1" max="1" width="52" style="1031" customWidth="1"/>
    <col min="2" max="6" width="8.7109375" style="1031" customWidth="1"/>
    <col min="7" max="9" width="8.7109375" style="1054" customWidth="1"/>
    <col min="10" max="12" width="8.7109375" style="1031" customWidth="1"/>
    <col min="13" max="15" width="8.7109375" style="1055" customWidth="1"/>
    <col min="16" max="16" width="9.7109375" style="393" customWidth="1"/>
    <col min="17" max="18" width="8.7109375" style="393" customWidth="1"/>
    <col min="19" max="19" width="8.7109375" style="1031" customWidth="1"/>
    <col min="20" max="21" width="8.85546875" style="1" customWidth="1"/>
    <col min="22" max="22" width="10.85546875" style="2" bestFit="1" customWidth="1"/>
    <col min="23" max="16384" width="8.85546875" style="1"/>
  </cols>
  <sheetData>
    <row r="1" spans="1:22" ht="13.15" customHeight="1">
      <c r="A1" s="1"/>
      <c r="B1" s="2290" t="s">
        <v>0</v>
      </c>
      <c r="C1" s="2291"/>
      <c r="D1" s="2292"/>
      <c r="E1" s="2479" t="s">
        <v>1</v>
      </c>
      <c r="F1" s="2480"/>
      <c r="G1" s="2481"/>
      <c r="H1" s="2282" t="s">
        <v>2</v>
      </c>
      <c r="I1" s="2283"/>
      <c r="J1" s="2284"/>
      <c r="K1" s="2277" t="s">
        <v>3</v>
      </c>
      <c r="L1" s="2278"/>
      <c r="M1" s="2279"/>
      <c r="N1" s="2286" t="s">
        <v>4</v>
      </c>
      <c r="O1" s="2278"/>
      <c r="P1" s="2279"/>
      <c r="Q1" s="2271" t="s">
        <v>10</v>
      </c>
      <c r="R1" s="2272"/>
      <c r="S1" s="2273"/>
    </row>
    <row r="2" spans="1:22" s="3" customFormat="1" ht="27" customHeight="1">
      <c r="A2" s="1988"/>
      <c r="B2" s="2293" t="s">
        <v>5</v>
      </c>
      <c r="C2" s="2294"/>
      <c r="D2" s="2295"/>
      <c r="E2" s="2476" t="s">
        <v>6</v>
      </c>
      <c r="F2" s="2477"/>
      <c r="G2" s="2478"/>
      <c r="H2" s="2285" t="s">
        <v>7</v>
      </c>
      <c r="I2" s="2275"/>
      <c r="J2" s="2281"/>
      <c r="K2" s="2280" t="s">
        <v>8</v>
      </c>
      <c r="L2" s="2275"/>
      <c r="M2" s="2281"/>
      <c r="N2" s="2287" t="s">
        <v>9</v>
      </c>
      <c r="O2" s="2288"/>
      <c r="P2" s="2289"/>
      <c r="Q2" s="1991"/>
      <c r="R2" s="1643"/>
      <c r="S2" s="1772"/>
      <c r="V2" s="4"/>
    </row>
    <row r="3" spans="1:22" s="1773" customFormat="1" ht="13.15" customHeight="1">
      <c r="A3" s="1988"/>
      <c r="B3" s="2125" t="s">
        <v>244</v>
      </c>
      <c r="C3" s="2274" t="s">
        <v>690</v>
      </c>
      <c r="D3" s="2115" t="s">
        <v>689</v>
      </c>
      <c r="E3" s="2114" t="s">
        <v>244</v>
      </c>
      <c r="F3" s="2274" t="s">
        <v>690</v>
      </c>
      <c r="G3" s="2115" t="s">
        <v>689</v>
      </c>
      <c r="H3" s="2007" t="s">
        <v>244</v>
      </c>
      <c r="I3" s="2274" t="s">
        <v>690</v>
      </c>
      <c r="J3" s="2008" t="s">
        <v>689</v>
      </c>
      <c r="K3" s="2007" t="s">
        <v>244</v>
      </c>
      <c r="L3" s="2274" t="s">
        <v>690</v>
      </c>
      <c r="M3" s="2008" t="s">
        <v>689</v>
      </c>
      <c r="N3" s="2007" t="s">
        <v>244</v>
      </c>
      <c r="O3" s="2274" t="s">
        <v>690</v>
      </c>
      <c r="P3" s="2008" t="s">
        <v>689</v>
      </c>
      <c r="Q3" s="1590" t="s">
        <v>244</v>
      </c>
      <c r="R3" s="2274" t="s">
        <v>690</v>
      </c>
      <c r="S3" s="1771" t="s">
        <v>689</v>
      </c>
      <c r="V3" s="1774"/>
    </row>
    <row r="4" spans="1:22" s="5" customFormat="1" ht="13.15" customHeight="1" thickBot="1">
      <c r="A4" s="1989"/>
      <c r="B4" s="2126" t="s">
        <v>128</v>
      </c>
      <c r="C4" s="2275"/>
      <c r="D4" s="2115" t="s">
        <v>128</v>
      </c>
      <c r="E4" s="2116" t="s">
        <v>128</v>
      </c>
      <c r="F4" s="2275"/>
      <c r="G4" s="2115" t="s">
        <v>128</v>
      </c>
      <c r="H4" s="2007" t="s">
        <v>128</v>
      </c>
      <c r="I4" s="2275"/>
      <c r="J4" s="2008" t="s">
        <v>128</v>
      </c>
      <c r="K4" s="2007" t="s">
        <v>128</v>
      </c>
      <c r="L4" s="2275"/>
      <c r="M4" s="2008" t="s">
        <v>128</v>
      </c>
      <c r="N4" s="2009" t="s">
        <v>128</v>
      </c>
      <c r="O4" s="2276"/>
      <c r="P4" s="2010" t="s">
        <v>128</v>
      </c>
      <c r="Q4" s="1590" t="s">
        <v>128</v>
      </c>
      <c r="R4" s="2275"/>
      <c r="S4" s="1771" t="s">
        <v>128</v>
      </c>
      <c r="V4" s="6"/>
    </row>
    <row r="5" spans="1:22" ht="15.75" customHeight="1">
      <c r="A5" s="1647" t="s">
        <v>11</v>
      </c>
      <c r="B5" s="2057"/>
      <c r="C5" s="1777"/>
      <c r="D5" s="2058"/>
      <c r="E5" s="2057"/>
      <c r="F5" s="1777"/>
      <c r="G5" s="2058"/>
      <c r="H5" s="2057"/>
      <c r="I5" s="1777"/>
      <c r="J5" s="2058"/>
      <c r="K5" s="2057"/>
      <c r="L5" s="1777"/>
      <c r="M5" s="2058"/>
      <c r="N5" s="2007"/>
      <c r="O5" s="1775"/>
      <c r="P5" s="2008"/>
      <c r="Q5" s="1992"/>
      <c r="R5" s="1777"/>
      <c r="S5" s="1778"/>
    </row>
    <row r="6" spans="1:22" ht="15.75" customHeight="1">
      <c r="A6" s="1071" t="s">
        <v>12</v>
      </c>
      <c r="B6" s="2065">
        <f>+'SZOLGÁLTATÓ IRODA'!B5</f>
        <v>21855</v>
      </c>
      <c r="C6" s="407">
        <f>+'SZOLGÁLTATÓ IRODA'!C5</f>
        <v>0</v>
      </c>
      <c r="D6" s="2108">
        <f>+'SZOLGÁLTATÓ IRODA'!D5</f>
        <v>21855</v>
      </c>
      <c r="E6" s="1863">
        <f>+'SEGÍTŐ SZOLGÁLAT'!AK7</f>
        <v>57271</v>
      </c>
      <c r="F6" s="1776">
        <f>+'SEGÍTŐ SZOLGÁLAT'!AL7</f>
        <v>0</v>
      </c>
      <c r="G6" s="2012">
        <f>+'SEGÍTŐ SZOLGÁLAT'!AM7</f>
        <v>57271</v>
      </c>
      <c r="H6" s="1863">
        <f>+ÓVODA!AF7</f>
        <v>135670.60999999999</v>
      </c>
      <c r="I6" s="1776">
        <f>+ÓVODA!AG7</f>
        <v>0</v>
      </c>
      <c r="J6" s="2012">
        <f>+ÓVODA!AH7</f>
        <v>135670.60999999999</v>
      </c>
      <c r="K6" s="1863">
        <f>+'KOZMA FERENC ÁLT. ISK.'!V8</f>
        <v>49586.2</v>
      </c>
      <c r="L6" s="1776">
        <f>+'KOZMA FERENC ÁLT. ISK.'!W8</f>
        <v>0</v>
      </c>
      <c r="M6" s="2012">
        <f>+'KOZMA FERENC ÁLT. ISK.'!X8</f>
        <v>49586</v>
      </c>
      <c r="N6" s="2011">
        <v>31448</v>
      </c>
      <c r="O6" s="1781"/>
      <c r="P6" s="2012">
        <v>31448</v>
      </c>
      <c r="Q6" s="1993">
        <f>+B6+E6+H6+K6+N6</f>
        <v>295830.81</v>
      </c>
      <c r="R6" s="1776">
        <f>+C6+F6+I6+L6+O6</f>
        <v>0</v>
      </c>
      <c r="S6" s="1641">
        <f>SUM(Q6:R6)</f>
        <v>295830.81</v>
      </c>
    </row>
    <row r="7" spans="1:22">
      <c r="A7" s="1071" t="s">
        <v>13</v>
      </c>
      <c r="B7" s="2065"/>
      <c r="C7" s="407"/>
      <c r="D7" s="2012"/>
      <c r="E7" s="1863">
        <f>+'SEGÍTŐ SZOLGÁLAT'!AK8</f>
        <v>0</v>
      </c>
      <c r="F7" s="1776">
        <f>+'SEGÍTŐ SZOLGÁLAT'!AL8</f>
        <v>0</v>
      </c>
      <c r="G7" s="2012">
        <f>+'SEGÍTŐ SZOLGÁLAT'!AM8</f>
        <v>0</v>
      </c>
      <c r="H7" s="1863">
        <f>+ÓVODA!AF8</f>
        <v>2448</v>
      </c>
      <c r="I7" s="1776">
        <f>+ÓVODA!AG8</f>
        <v>0</v>
      </c>
      <c r="J7" s="2012">
        <f>+ÓVODA!AH8</f>
        <v>2448</v>
      </c>
      <c r="K7" s="1863"/>
      <c r="L7" s="1776"/>
      <c r="M7" s="2012"/>
      <c r="N7" s="2013"/>
      <c r="O7" s="1033"/>
      <c r="P7" s="2014"/>
      <c r="Q7" s="1993">
        <f t="shared" ref="Q7:R70" si="0">+B7+E7+H7+K7+N7</f>
        <v>2448</v>
      </c>
      <c r="R7" s="1776">
        <f t="shared" si="0"/>
        <v>0</v>
      </c>
      <c r="S7" s="1641">
        <f t="shared" ref="S7:S70" si="1">SUM(Q7:R7)</f>
        <v>2448</v>
      </c>
    </row>
    <row r="8" spans="1:22">
      <c r="A8" s="9" t="s">
        <v>14</v>
      </c>
      <c r="B8" s="2065"/>
      <c r="C8" s="407"/>
      <c r="D8" s="2012"/>
      <c r="E8" s="1863">
        <f>+'SEGÍTŐ SZOLGÁLAT'!AK9</f>
        <v>2536</v>
      </c>
      <c r="F8" s="1776">
        <f>+'SEGÍTŐ SZOLGÁLAT'!AL9</f>
        <v>565</v>
      </c>
      <c r="G8" s="2012">
        <f>+'SEGÍTŐ SZOLGÁLAT'!AM9</f>
        <v>3101</v>
      </c>
      <c r="H8" s="1863">
        <f>+ÓVODA!AF9</f>
        <v>3118.5</v>
      </c>
      <c r="I8" s="1776">
        <f>+ÓVODA!AG9</f>
        <v>0</v>
      </c>
      <c r="J8" s="2012">
        <f>+ÓVODA!AH9</f>
        <v>3118.5</v>
      </c>
      <c r="K8" s="1863"/>
      <c r="L8" s="1776"/>
      <c r="M8" s="2012"/>
      <c r="N8" s="2013"/>
      <c r="O8" s="1033"/>
      <c r="P8" s="2015"/>
      <c r="Q8" s="1993">
        <f t="shared" si="0"/>
        <v>5654.5</v>
      </c>
      <c r="R8" s="1776">
        <f t="shared" si="0"/>
        <v>565</v>
      </c>
      <c r="S8" s="1641">
        <f t="shared" si="1"/>
        <v>6219.5</v>
      </c>
    </row>
    <row r="9" spans="1:22">
      <c r="A9" s="9" t="s">
        <v>15</v>
      </c>
      <c r="B9" s="2065"/>
      <c r="C9" s="407"/>
      <c r="D9" s="2012"/>
      <c r="E9" s="1863"/>
      <c r="F9" s="1776"/>
      <c r="G9" s="2012"/>
      <c r="H9" s="1863"/>
      <c r="I9" s="1776"/>
      <c r="J9" s="2012"/>
      <c r="K9" s="1863"/>
      <c r="L9" s="1776"/>
      <c r="M9" s="2012"/>
      <c r="N9" s="2013"/>
      <c r="O9" s="1033"/>
      <c r="P9" s="2015"/>
      <c r="Q9" s="1993">
        <f t="shared" si="0"/>
        <v>0</v>
      </c>
      <c r="R9" s="1776">
        <f t="shared" si="0"/>
        <v>0</v>
      </c>
      <c r="S9" s="1641">
        <f t="shared" si="1"/>
        <v>0</v>
      </c>
    </row>
    <row r="10" spans="1:22" ht="12" customHeight="1">
      <c r="A10" s="9" t="s">
        <v>16</v>
      </c>
      <c r="B10" s="2065"/>
      <c r="C10" s="407"/>
      <c r="D10" s="2012"/>
      <c r="E10" s="1863"/>
      <c r="F10" s="1776"/>
      <c r="G10" s="2012"/>
      <c r="H10" s="1863"/>
      <c r="I10" s="1776"/>
      <c r="J10" s="2012"/>
      <c r="K10" s="1863"/>
      <c r="L10" s="1776"/>
      <c r="M10" s="2012"/>
      <c r="N10" s="2013"/>
      <c r="O10" s="1033"/>
      <c r="P10" s="2015"/>
      <c r="Q10" s="1993">
        <f t="shared" si="0"/>
        <v>0</v>
      </c>
      <c r="R10" s="1776">
        <f t="shared" si="0"/>
        <v>0</v>
      </c>
      <c r="S10" s="1641">
        <f t="shared" si="1"/>
        <v>0</v>
      </c>
    </row>
    <row r="11" spans="1:22" ht="12" customHeight="1">
      <c r="A11" s="9" t="s">
        <v>17</v>
      </c>
      <c r="B11" s="2065">
        <f>+'SZOLGÁLTATÓ IRODA'!B10</f>
        <v>1000</v>
      </c>
      <c r="C11" s="407">
        <f>+'SZOLGÁLTATÓ IRODA'!C10</f>
        <v>1000</v>
      </c>
      <c r="D11" s="2108">
        <f>+'SZOLGÁLTATÓ IRODA'!D10</f>
        <v>2000</v>
      </c>
      <c r="E11" s="1863">
        <f>+'SEGÍTŐ SZOLGÁLAT'!AK12</f>
        <v>16460</v>
      </c>
      <c r="F11" s="1776">
        <f>+'SEGÍTŐ SZOLGÁLAT'!AL12</f>
        <v>180</v>
      </c>
      <c r="G11" s="2012">
        <f>+'SEGÍTŐ SZOLGÁLAT'!AM12</f>
        <v>16640</v>
      </c>
      <c r="H11" s="1863">
        <f>+ÓVODA!AF12</f>
        <v>120</v>
      </c>
      <c r="I11" s="1776">
        <f>+ÓVODA!AG12</f>
        <v>0</v>
      </c>
      <c r="J11" s="2012">
        <f>+ÓVODA!AH12</f>
        <v>120</v>
      </c>
      <c r="K11" s="1863"/>
      <c r="L11" s="1776"/>
      <c r="M11" s="2012"/>
      <c r="N11" s="2013"/>
      <c r="O11" s="1033">
        <v>226</v>
      </c>
      <c r="P11" s="2015">
        <f>+[3]Társulás!$Z$12</f>
        <v>226</v>
      </c>
      <c r="Q11" s="1993">
        <f t="shared" si="0"/>
        <v>17580</v>
      </c>
      <c r="R11" s="1776">
        <f t="shared" si="0"/>
        <v>1406</v>
      </c>
      <c r="S11" s="1641">
        <f t="shared" si="1"/>
        <v>18986</v>
      </c>
    </row>
    <row r="12" spans="1:22" ht="12" customHeight="1">
      <c r="A12" s="9" t="s">
        <v>18</v>
      </c>
      <c r="B12" s="2065"/>
      <c r="C12" s="407"/>
      <c r="D12" s="2012"/>
      <c r="E12" s="1863"/>
      <c r="F12" s="1776"/>
      <c r="G12" s="2012"/>
      <c r="H12" s="1863">
        <f>+ÓVODA!AF13</f>
        <v>0</v>
      </c>
      <c r="I12" s="1776">
        <f>+ÓVODA!AG13</f>
        <v>0</v>
      </c>
      <c r="J12" s="2012">
        <f>+ÓVODA!AH13</f>
        <v>0</v>
      </c>
      <c r="K12" s="1863"/>
      <c r="L12" s="1776"/>
      <c r="M12" s="2012"/>
      <c r="N12" s="2013">
        <v>27960</v>
      </c>
      <c r="O12" s="1033"/>
      <c r="P12" s="2015">
        <v>27960</v>
      </c>
      <c r="Q12" s="1993">
        <f t="shared" si="0"/>
        <v>27960</v>
      </c>
      <c r="R12" s="1776">
        <f t="shared" si="0"/>
        <v>0</v>
      </c>
      <c r="S12" s="1641">
        <f t="shared" si="1"/>
        <v>27960</v>
      </c>
    </row>
    <row r="13" spans="1:22" ht="12" customHeight="1">
      <c r="A13" s="1648" t="s">
        <v>19</v>
      </c>
      <c r="B13" s="2065"/>
      <c r="C13" s="407"/>
      <c r="D13" s="2012"/>
      <c r="E13" s="1863"/>
      <c r="F13" s="1776"/>
      <c r="G13" s="2012"/>
      <c r="H13" s="1863"/>
      <c r="I13" s="1776"/>
      <c r="J13" s="2012"/>
      <c r="K13" s="1863"/>
      <c r="L13" s="1776"/>
      <c r="M13" s="2012"/>
      <c r="N13" s="2013"/>
      <c r="O13" s="1033"/>
      <c r="P13" s="2016"/>
      <c r="Q13" s="1993">
        <f t="shared" si="0"/>
        <v>0</v>
      </c>
      <c r="R13" s="1776">
        <f t="shared" si="0"/>
        <v>0</v>
      </c>
      <c r="S13" s="1641">
        <f t="shared" si="1"/>
        <v>0</v>
      </c>
      <c r="T13" s="2"/>
      <c r="U13" s="2">
        <f>17182-S14</f>
        <v>6564</v>
      </c>
    </row>
    <row r="14" spans="1:22">
      <c r="A14" s="9" t="s">
        <v>693</v>
      </c>
      <c r="B14" s="2065">
        <f>+'SZOLGÁLTATÓ IRODA'!B17</f>
        <v>0</v>
      </c>
      <c r="C14" s="407">
        <f>+'SZOLGÁLTATÓ IRODA'!C17</f>
        <v>568</v>
      </c>
      <c r="D14" s="2108">
        <f>+'SZOLGÁLTATÓ IRODA'!D17</f>
        <v>568</v>
      </c>
      <c r="E14" s="1863">
        <f>+'SEGÍTŐ SZOLGÁLAT'!AK25</f>
        <v>-588</v>
      </c>
      <c r="F14" s="1776">
        <f>+'SEGÍTŐ SZOLGÁLAT'!AL25</f>
        <v>30</v>
      </c>
      <c r="G14" s="2012">
        <f>+'SEGÍTŐ SZOLGÁLAT'!AM25</f>
        <v>-558</v>
      </c>
      <c r="H14" s="1863">
        <f>+ÓVODA!AF23</f>
        <v>0</v>
      </c>
      <c r="I14" s="1776">
        <f>+ÓVODA!AG23</f>
        <v>2081</v>
      </c>
      <c r="J14" s="2012">
        <f>+ÓVODA!AH23</f>
        <v>2081</v>
      </c>
      <c r="K14" s="1863">
        <f>+'KOZMA FERENC ÁLT. ISK.'!V20</f>
        <v>0</v>
      </c>
      <c r="L14" s="1776">
        <f>+'KOZMA FERENC ÁLT. ISK.'!W20</f>
        <v>1984</v>
      </c>
      <c r="M14" s="2012">
        <f>+'KOZMA FERENC ÁLT. ISK.'!X20</f>
        <v>1984</v>
      </c>
      <c r="N14" s="2013"/>
      <c r="O14" s="1033">
        <v>6543</v>
      </c>
      <c r="P14" s="2015">
        <f>+[3]Társulás!$AC$6</f>
        <v>6543</v>
      </c>
      <c r="Q14" s="1993">
        <f t="shared" si="0"/>
        <v>-588</v>
      </c>
      <c r="R14" s="1776">
        <f t="shared" si="0"/>
        <v>11206</v>
      </c>
      <c r="S14" s="1641">
        <f t="shared" si="1"/>
        <v>10618</v>
      </c>
      <c r="T14" s="2"/>
      <c r="U14" s="2"/>
    </row>
    <row r="15" spans="1:22">
      <c r="A15" s="9" t="s">
        <v>21</v>
      </c>
      <c r="B15" s="2065"/>
      <c r="C15" s="407"/>
      <c r="D15" s="2012"/>
      <c r="E15" s="1863">
        <f>+'SEGÍTŐ SZOLGÁLAT'!AK16</f>
        <v>12616</v>
      </c>
      <c r="F15" s="1776">
        <f>+'SEGÍTŐ SZOLGÁLAT'!AL16</f>
        <v>452</v>
      </c>
      <c r="G15" s="2012">
        <f>+'SEGÍTŐ SZOLGÁLAT'!AM16</f>
        <v>13068</v>
      </c>
      <c r="H15" s="1863">
        <f>+ÓVODA!AF16</f>
        <v>16088</v>
      </c>
      <c r="I15" s="1776">
        <f>+ÓVODA!AG16</f>
        <v>1649</v>
      </c>
      <c r="J15" s="2012">
        <f>+ÓVODA!AH16</f>
        <v>17737</v>
      </c>
      <c r="K15" s="1863">
        <f>+'KOZMA FERENC ÁLT. ISK.'!V17</f>
        <v>26764</v>
      </c>
      <c r="L15" s="1776">
        <f>+'KOZMA FERENC ÁLT. ISK.'!W17</f>
        <v>0</v>
      </c>
      <c r="M15" s="2012">
        <f>+'KOZMA FERENC ÁLT. ISK.'!X17</f>
        <v>26764</v>
      </c>
      <c r="N15" s="2013">
        <v>23452</v>
      </c>
      <c r="O15" s="1033">
        <f>+-4554+9542</f>
        <v>4988</v>
      </c>
      <c r="P15" s="2015">
        <f>+[3]Társulás!$Y$13+23452+[3]Társulás!$Y$10</f>
        <v>28440</v>
      </c>
      <c r="Q15" s="1993">
        <f t="shared" si="0"/>
        <v>78920</v>
      </c>
      <c r="R15" s="1776">
        <f t="shared" si="0"/>
        <v>7089</v>
      </c>
      <c r="S15" s="1641">
        <f t="shared" si="1"/>
        <v>86009</v>
      </c>
      <c r="U15" s="2"/>
    </row>
    <row r="16" spans="1:22" ht="12.75" customHeight="1">
      <c r="A16" s="9" t="s">
        <v>22</v>
      </c>
      <c r="B16" s="2065"/>
      <c r="C16" s="407"/>
      <c r="D16" s="2012"/>
      <c r="E16" s="1863">
        <f>+'SEGÍTŐ SZOLGÁLAT'!AK23</f>
        <v>0</v>
      </c>
      <c r="F16" s="1776">
        <f>+'SEGÍTŐ SZOLGÁLAT'!AL23</f>
        <v>26575</v>
      </c>
      <c r="G16" s="2012">
        <f>+'SEGÍTŐ SZOLGÁLAT'!AM23</f>
        <v>26575</v>
      </c>
      <c r="H16" s="1863"/>
      <c r="I16" s="1781"/>
      <c r="J16" s="2066"/>
      <c r="K16" s="1863"/>
      <c r="L16" s="1776"/>
      <c r="M16" s="2012"/>
      <c r="N16" s="1861"/>
      <c r="O16" s="1769">
        <f>+[3]Társulás!$Z$11</f>
        <v>575</v>
      </c>
      <c r="P16" s="2015">
        <f>SUM(N16:O16)</f>
        <v>575</v>
      </c>
      <c r="Q16" s="1993">
        <f t="shared" si="0"/>
        <v>0</v>
      </c>
      <c r="R16" s="1776">
        <f t="shared" si="0"/>
        <v>27150</v>
      </c>
      <c r="S16" s="1641">
        <f t="shared" si="1"/>
        <v>27150</v>
      </c>
      <c r="V16" s="1"/>
    </row>
    <row r="17" spans="1:22" ht="14.45" customHeight="1">
      <c r="A17" s="222" t="s">
        <v>23</v>
      </c>
      <c r="B17" s="2065"/>
      <c r="C17" s="407"/>
      <c r="D17" s="2012"/>
      <c r="E17" s="1863">
        <f>+'SEGÍTŐ SZOLGÁLAT'!AK24</f>
        <v>0</v>
      </c>
      <c r="F17" s="1776">
        <f>+'SEGÍTŐ SZOLGÁLAT'!AL24</f>
        <v>135562</v>
      </c>
      <c r="G17" s="2012">
        <f>+'SEGÍTŐ SZOLGÁLAT'!AM24</f>
        <v>135562</v>
      </c>
      <c r="H17" s="1863">
        <f>+ÓVODA!AF22</f>
        <v>0</v>
      </c>
      <c r="I17" s="1776">
        <f>+ÓVODA!AG22</f>
        <v>300</v>
      </c>
      <c r="J17" s="2012">
        <f>+ÓVODA!AH22</f>
        <v>300</v>
      </c>
      <c r="K17" s="1863">
        <f>+'KOZMA FERENC ÁLT. ISK.'!V19</f>
        <v>0</v>
      </c>
      <c r="L17" s="1776">
        <f>+'KOZMA FERENC ÁLT. ISK.'!W19</f>
        <v>9651</v>
      </c>
      <c r="M17" s="2012">
        <f>+'KOZMA FERENC ÁLT. ISK.'!X19</f>
        <v>9651</v>
      </c>
      <c r="N17" s="1861"/>
      <c r="O17" s="1769"/>
      <c r="P17" s="2015"/>
      <c r="Q17" s="1993">
        <f t="shared" si="0"/>
        <v>0</v>
      </c>
      <c r="R17" s="1776">
        <f t="shared" si="0"/>
        <v>145513</v>
      </c>
      <c r="S17" s="1641">
        <f t="shared" si="1"/>
        <v>145513</v>
      </c>
      <c r="V17" s="1"/>
    </row>
    <row r="18" spans="1:22" s="13" customFormat="1" ht="15" customHeight="1" thickBot="1">
      <c r="A18" s="1649" t="s">
        <v>655</v>
      </c>
      <c r="B18" s="2087"/>
      <c r="C18" s="1779"/>
      <c r="D18" s="2127"/>
      <c r="E18" s="2059">
        <f>+BEVÉTELEK!F84</f>
        <v>-588</v>
      </c>
      <c r="F18" s="1780"/>
      <c r="G18" s="2060">
        <f>+BEVÉTELEK!H84</f>
        <v>-558</v>
      </c>
      <c r="H18" s="2059">
        <f>+BEVÉTELEK!F72+BEVÉTELEK!F73+BEVÉTELEK!F74</f>
        <v>-6313</v>
      </c>
      <c r="I18" s="1780">
        <f>+BEVÉTELEK!G72+BEVÉTELEK!G73+BEVÉTELEK!G74</f>
        <v>0</v>
      </c>
      <c r="J18" s="2060">
        <f>+BEVÉTELEK!H72+BEVÉTELEK!H73+BEVÉTELEK!H74</f>
        <v>-6313</v>
      </c>
      <c r="K18" s="2059"/>
      <c r="L18" s="1780"/>
      <c r="M18" s="2060"/>
      <c r="N18" s="2017">
        <f>+BEVÉTELEK!F66+BEVÉTELEK!F94</f>
        <v>-722</v>
      </c>
      <c r="O18" s="1782">
        <f>+BEVÉTELEK!G66+BEVÉTELEK!G94</f>
        <v>-30</v>
      </c>
      <c r="P18" s="2018">
        <f>+BEVÉTELEK!H66+BEVÉTELEK!H94</f>
        <v>-752</v>
      </c>
      <c r="Q18" s="1994">
        <f t="shared" si="0"/>
        <v>-7623</v>
      </c>
      <c r="R18" s="1780">
        <f t="shared" si="0"/>
        <v>-30</v>
      </c>
      <c r="S18" s="1654">
        <f t="shared" si="1"/>
        <v>-7653</v>
      </c>
    </row>
    <row r="19" spans="1:22" s="21" customFormat="1" ht="18" customHeight="1" thickBot="1">
      <c r="A19" s="1388" t="s">
        <v>25</v>
      </c>
      <c r="B19" s="2128">
        <f t="shared" ref="B19:P19" si="2">SUM(B6:B18)</f>
        <v>22855</v>
      </c>
      <c r="C19" s="1805">
        <f t="shared" si="2"/>
        <v>1568</v>
      </c>
      <c r="D19" s="2129">
        <f t="shared" si="2"/>
        <v>24423</v>
      </c>
      <c r="E19" s="2019">
        <f>SUM(E6:E18)</f>
        <v>87707</v>
      </c>
      <c r="F19" s="1072">
        <f>SUM(F6:F18)</f>
        <v>163364</v>
      </c>
      <c r="G19" s="2090">
        <f t="shared" si="2"/>
        <v>251101</v>
      </c>
      <c r="H19" s="2019">
        <f t="shared" si="2"/>
        <v>151132.10999999999</v>
      </c>
      <c r="I19" s="1072">
        <f t="shared" si="2"/>
        <v>4030</v>
      </c>
      <c r="J19" s="2090">
        <f t="shared" si="2"/>
        <v>155162.10999999999</v>
      </c>
      <c r="K19" s="2061">
        <f t="shared" si="2"/>
        <v>76350.2</v>
      </c>
      <c r="L19" s="1785">
        <f t="shared" si="2"/>
        <v>11635</v>
      </c>
      <c r="M19" s="2062">
        <f t="shared" si="2"/>
        <v>87985</v>
      </c>
      <c r="N19" s="2019">
        <f t="shared" si="2"/>
        <v>82138</v>
      </c>
      <c r="O19" s="1766">
        <f t="shared" si="2"/>
        <v>12302</v>
      </c>
      <c r="P19" s="2020">
        <f t="shared" si="2"/>
        <v>94440</v>
      </c>
      <c r="Q19" s="1995">
        <f t="shared" si="0"/>
        <v>420182.31</v>
      </c>
      <c r="R19" s="1785">
        <f t="shared" si="0"/>
        <v>192899</v>
      </c>
      <c r="S19" s="1806">
        <f t="shared" si="1"/>
        <v>613081.31000000006</v>
      </c>
    </row>
    <row r="20" spans="1:22" ht="13.9" customHeight="1">
      <c r="A20" s="23" t="s">
        <v>26</v>
      </c>
      <c r="B20" s="2079">
        <f>+'SZOLGÁLTATÓ IRODA'!B19</f>
        <v>0</v>
      </c>
      <c r="C20" s="1069">
        <f>+'SZOLGÁLTATÓ IRODA'!C19</f>
        <v>0</v>
      </c>
      <c r="D20" s="2091"/>
      <c r="E20" s="2105"/>
      <c r="F20" s="1068"/>
      <c r="G20" s="2117"/>
      <c r="H20" s="2079"/>
      <c r="I20" s="1069"/>
      <c r="J20" s="2091"/>
      <c r="K20" s="2063"/>
      <c r="L20" s="1070"/>
      <c r="M20" s="2064"/>
      <c r="N20" s="2021"/>
      <c r="O20" s="194"/>
      <c r="P20" s="2022"/>
      <c r="Q20" s="1996">
        <f t="shared" si="0"/>
        <v>0</v>
      </c>
      <c r="R20" s="1068">
        <f t="shared" si="0"/>
        <v>0</v>
      </c>
      <c r="S20" s="1788">
        <f t="shared" si="1"/>
        <v>0</v>
      </c>
      <c r="T20" s="2"/>
      <c r="V20" s="1"/>
    </row>
    <row r="21" spans="1:22" ht="13.9" customHeight="1">
      <c r="A21" s="222" t="s">
        <v>27</v>
      </c>
      <c r="B21" s="2065">
        <f>+'SZOLGÁLTATÓ IRODA'!B20</f>
        <v>8032</v>
      </c>
      <c r="C21" s="407">
        <f>+'SZOLGÁLTATÓ IRODA'!C20</f>
        <v>-3825</v>
      </c>
      <c r="D21" s="2108">
        <f>+'SZOLGÁLTATÓ IRODA'!D20</f>
        <v>4207</v>
      </c>
      <c r="E21" s="2092">
        <f>+'SEGÍTŐ SZOLGÁLAT'!AK28</f>
        <v>48732</v>
      </c>
      <c r="F21" s="1032">
        <f>+'SEGÍTŐ SZOLGÁLAT'!AL28</f>
        <v>279</v>
      </c>
      <c r="G21" s="2014">
        <f>+'SEGÍTŐ SZOLGÁLAT'!AM28</f>
        <v>49011</v>
      </c>
      <c r="H21" s="2092">
        <f>+ÓVODA!AF26</f>
        <v>86753</v>
      </c>
      <c r="I21" s="1032">
        <f>+ÓVODA!AG26</f>
        <v>1214</v>
      </c>
      <c r="J21" s="2093">
        <f>+ÓVODA!AH26</f>
        <v>87967</v>
      </c>
      <c r="K21" s="2065">
        <f>+'KOZMA FERENC ÁLT. ISK.'!V23</f>
        <v>40327</v>
      </c>
      <c r="L21" s="407">
        <f>+'KOZMA FERENC ÁLT. ISK.'!W23</f>
        <v>0</v>
      </c>
      <c r="M21" s="2066">
        <f>+'KOZMA FERENC ÁLT. ISK.'!X23</f>
        <v>40327</v>
      </c>
      <c r="N21" s="2013"/>
      <c r="O21" s="1033"/>
      <c r="P21" s="2022"/>
      <c r="Q21" s="1993">
        <f t="shared" si="0"/>
        <v>183844</v>
      </c>
      <c r="R21" s="1776">
        <f t="shared" si="0"/>
        <v>-2332</v>
      </c>
      <c r="S21" s="1641">
        <f t="shared" si="1"/>
        <v>181512</v>
      </c>
    </row>
    <row r="22" spans="1:22" ht="13.9" customHeight="1">
      <c r="A22" s="222" t="s">
        <v>28</v>
      </c>
      <c r="B22" s="2065">
        <f>+'SZOLGÁLTATÓ IRODA'!B21</f>
        <v>1020</v>
      </c>
      <c r="C22" s="407">
        <f>+'SZOLGÁLTATÓ IRODA'!C21</f>
        <v>-525</v>
      </c>
      <c r="D22" s="2108">
        <f>+'SZOLGÁLTATÓ IRODA'!D21</f>
        <v>495</v>
      </c>
      <c r="E22" s="2092">
        <f>+'SEGÍTŐ SZOLGÁLAT'!AK29</f>
        <v>1560</v>
      </c>
      <c r="F22" s="1032">
        <f>+'SEGÍTŐ SZOLGÁLAT'!AL29</f>
        <v>-120</v>
      </c>
      <c r="G22" s="2014">
        <f>+'SEGÍTŐ SZOLGÁLAT'!AM29</f>
        <v>1440</v>
      </c>
      <c r="H22" s="2092">
        <f>+ÓVODA!AF27</f>
        <v>2940</v>
      </c>
      <c r="I22" s="1032">
        <f>+ÓVODA!AG27</f>
        <v>0</v>
      </c>
      <c r="J22" s="2093">
        <f>+ÓVODA!AH27</f>
        <v>2940</v>
      </c>
      <c r="K22" s="2065">
        <f>+'KOZMA FERENC ÁLT. ISK.'!V24</f>
        <v>1947</v>
      </c>
      <c r="L22" s="407">
        <f>+'KOZMA FERENC ÁLT. ISK.'!W24</f>
        <v>0</v>
      </c>
      <c r="M22" s="2066">
        <f>+'KOZMA FERENC ÁLT. ISK.'!X24</f>
        <v>1947</v>
      </c>
      <c r="N22" s="2013"/>
      <c r="O22" s="1033"/>
      <c r="P22" s="2022"/>
      <c r="Q22" s="1993">
        <f t="shared" si="0"/>
        <v>7467</v>
      </c>
      <c r="R22" s="1776">
        <f t="shared" si="0"/>
        <v>-645</v>
      </c>
      <c r="S22" s="1641">
        <f t="shared" si="1"/>
        <v>6822</v>
      </c>
    </row>
    <row r="23" spans="1:22" ht="13.9" customHeight="1">
      <c r="A23" s="222" t="s">
        <v>29</v>
      </c>
      <c r="B23" s="2065">
        <f>+'SZOLGÁLTATÓ IRODA'!B22</f>
        <v>0</v>
      </c>
      <c r="C23" s="407">
        <f>+'SZOLGÁLTATÓ IRODA'!C22</f>
        <v>0</v>
      </c>
      <c r="D23" s="2108">
        <f>+'SZOLGÁLTATÓ IRODA'!D22</f>
        <v>0</v>
      </c>
      <c r="E23" s="2092">
        <f>+'SEGÍTŐ SZOLGÁLAT'!AK30</f>
        <v>0</v>
      </c>
      <c r="F23" s="1032">
        <f>+'SEGÍTŐ SZOLGÁLAT'!AL30</f>
        <v>0</v>
      </c>
      <c r="G23" s="2014">
        <f>+'SEGÍTŐ SZOLGÁLAT'!AM30</f>
        <v>0</v>
      </c>
      <c r="H23" s="2092">
        <f>+ÓVODA!AF28</f>
        <v>180</v>
      </c>
      <c r="I23" s="1032">
        <f>+ÓVODA!AG28</f>
        <v>0</v>
      </c>
      <c r="J23" s="2093">
        <f>+ÓVODA!AH28</f>
        <v>180</v>
      </c>
      <c r="K23" s="2065">
        <f>+'KOZMA FERENC ÁLT. ISK.'!V25</f>
        <v>120</v>
      </c>
      <c r="L23" s="407">
        <f>+'KOZMA FERENC ÁLT. ISK.'!W25</f>
        <v>0</v>
      </c>
      <c r="M23" s="2066">
        <f>+'KOZMA FERENC ÁLT. ISK.'!X25</f>
        <v>120</v>
      </c>
      <c r="N23" s="2013"/>
      <c r="O23" s="1033"/>
      <c r="P23" s="2022"/>
      <c r="Q23" s="1993">
        <f t="shared" si="0"/>
        <v>300</v>
      </c>
      <c r="R23" s="1776">
        <f t="shared" si="0"/>
        <v>0</v>
      </c>
      <c r="S23" s="1641">
        <f t="shared" si="1"/>
        <v>300</v>
      </c>
    </row>
    <row r="24" spans="1:22" s="368" customFormat="1" ht="13.9" customHeight="1">
      <c r="A24" s="222" t="s">
        <v>30</v>
      </c>
      <c r="B24" s="2065">
        <f>+'SZOLGÁLTATÓ IRODA'!B23</f>
        <v>0</v>
      </c>
      <c r="C24" s="407">
        <f>+'SZOLGÁLTATÓ IRODA'!C23</f>
        <v>0</v>
      </c>
      <c r="D24" s="2108">
        <f>+'SZOLGÁLTATÓ IRODA'!D23</f>
        <v>0</v>
      </c>
      <c r="E24" s="2092">
        <f>+'SEGÍTŐ SZOLGÁLAT'!AK31</f>
        <v>0</v>
      </c>
      <c r="F24" s="1032">
        <f>+'SEGÍTŐ SZOLGÁLAT'!AL31</f>
        <v>0</v>
      </c>
      <c r="G24" s="2014">
        <f>+'SEGÍTŐ SZOLGÁLAT'!AM31</f>
        <v>0</v>
      </c>
      <c r="H24" s="2092">
        <f>+ÓVODA!AF29</f>
        <v>0</v>
      </c>
      <c r="I24" s="1032">
        <f>+ÓVODA!AG29</f>
        <v>0</v>
      </c>
      <c r="J24" s="2093">
        <f>+ÓVODA!AH29</f>
        <v>0</v>
      </c>
      <c r="K24" s="2065">
        <f>+'KOZMA FERENC ÁLT. ISK.'!V26</f>
        <v>0</v>
      </c>
      <c r="L24" s="407">
        <f>+'KOZMA FERENC ÁLT. ISK.'!W26</f>
        <v>0</v>
      </c>
      <c r="M24" s="2066">
        <f>+'KOZMA FERENC ÁLT. ISK.'!X26</f>
        <v>0</v>
      </c>
      <c r="N24" s="2013"/>
      <c r="O24" s="1033"/>
      <c r="P24" s="2022"/>
      <c r="Q24" s="1993">
        <f t="shared" si="0"/>
        <v>0</v>
      </c>
      <c r="R24" s="1776">
        <f t="shared" si="0"/>
        <v>0</v>
      </c>
      <c r="S24" s="1641">
        <f t="shared" si="1"/>
        <v>0</v>
      </c>
      <c r="V24" s="367"/>
    </row>
    <row r="25" spans="1:22" s="368" customFormat="1" ht="13.9" customHeight="1">
      <c r="A25" s="1316" t="s">
        <v>31</v>
      </c>
      <c r="B25" s="2065">
        <f>+'SZOLGÁLTATÓ IRODA'!B24</f>
        <v>9052</v>
      </c>
      <c r="C25" s="407">
        <f>+'SZOLGÁLTATÓ IRODA'!C24</f>
        <v>-4350</v>
      </c>
      <c r="D25" s="2130">
        <f>+'SZOLGÁLTATÓ IRODA'!D24</f>
        <v>4702</v>
      </c>
      <c r="E25" s="2092">
        <f>+'SEGÍTŐ SZOLGÁLAT'!AK32</f>
        <v>49365</v>
      </c>
      <c r="F25" s="1032">
        <f>+'SEGÍTŐ SZOLGÁLAT'!AL32</f>
        <v>159</v>
      </c>
      <c r="G25" s="2014">
        <f>+'SEGÍTŐ SZOLGÁLAT'!AM32</f>
        <v>49524</v>
      </c>
      <c r="H25" s="2092">
        <f>+ÓVODA!AF30</f>
        <v>86790</v>
      </c>
      <c r="I25" s="1032">
        <f>+ÓVODA!AG30</f>
        <v>1214</v>
      </c>
      <c r="J25" s="2094">
        <f>+ÓVODA!AH30</f>
        <v>88004</v>
      </c>
      <c r="K25" s="2065">
        <f>+'KOZMA FERENC ÁLT. ISK.'!V27</f>
        <v>36093</v>
      </c>
      <c r="L25" s="407">
        <f>+'KOZMA FERENC ÁLT. ISK.'!W27</f>
        <v>0</v>
      </c>
      <c r="M25" s="2067">
        <f>+'KOZMA FERENC ÁLT. ISK.'!X27</f>
        <v>36093</v>
      </c>
      <c r="N25" s="2023"/>
      <c r="O25" s="1658"/>
      <c r="P25" s="2024"/>
      <c r="Q25" s="1993">
        <f t="shared" si="0"/>
        <v>181300</v>
      </c>
      <c r="R25" s="1776">
        <f t="shared" si="0"/>
        <v>-2977</v>
      </c>
      <c r="S25" s="1641">
        <f t="shared" si="1"/>
        <v>178323</v>
      </c>
      <c r="V25" s="367"/>
    </row>
    <row r="26" spans="1:22" ht="13.9" customHeight="1">
      <c r="A26" s="1318" t="s">
        <v>32</v>
      </c>
      <c r="B26" s="2068">
        <f>+'SZOLGÁLTATÓ IRODA'!B25</f>
        <v>0</v>
      </c>
      <c r="C26" s="408">
        <f>+'SZOLGÁLTATÓ IRODA'!C25</f>
        <v>0</v>
      </c>
      <c r="D26" s="2131">
        <f>+'SZOLGÁLTATÓ IRODA'!D25</f>
        <v>0</v>
      </c>
      <c r="E26" s="2095">
        <f>+'SEGÍTŐ SZOLGÁLAT'!AK33</f>
        <v>926</v>
      </c>
      <c r="F26" s="1035">
        <f>+'SEGÍTŐ SZOLGÁLAT'!AL33</f>
        <v>0</v>
      </c>
      <c r="G26" s="2118">
        <f>+'SEGÍTŐ SZOLGÁLAT'!AM33</f>
        <v>926</v>
      </c>
      <c r="H26" s="2095">
        <f>+ÓVODA!AF31</f>
        <v>3083</v>
      </c>
      <c r="I26" s="1035">
        <f>+ÓVODA!AG31</f>
        <v>0</v>
      </c>
      <c r="J26" s="2096">
        <f>+ÓVODA!AH31</f>
        <v>3083</v>
      </c>
      <c r="K26" s="2068">
        <f>+'KOZMA FERENC ÁLT. ISK.'!V28</f>
        <v>6301</v>
      </c>
      <c r="L26" s="408">
        <f>+'KOZMA FERENC ÁLT. ISK.'!W28</f>
        <v>0</v>
      </c>
      <c r="M26" s="2069">
        <f>+'KOZMA FERENC ÁLT. ISK.'!X28</f>
        <v>6301</v>
      </c>
      <c r="N26" s="2025"/>
      <c r="O26" s="1824"/>
      <c r="P26" s="2026"/>
      <c r="Q26" s="1994">
        <f t="shared" si="0"/>
        <v>10310</v>
      </c>
      <c r="R26" s="1780">
        <f t="shared" si="0"/>
        <v>0</v>
      </c>
      <c r="S26" s="1654">
        <f t="shared" si="1"/>
        <v>10310</v>
      </c>
    </row>
    <row r="27" spans="1:22" ht="13.9" customHeight="1">
      <c r="A27" s="1320" t="s">
        <v>33</v>
      </c>
      <c r="B27" s="1784">
        <f>+'SZOLGÁLTATÓ IRODA'!B26</f>
        <v>9052</v>
      </c>
      <c r="C27" s="409">
        <f>+'SZOLGÁLTATÓ IRODA'!C26</f>
        <v>-4350</v>
      </c>
      <c r="D27" s="2098">
        <f>+'SZOLGÁLTATÓ IRODA'!D26</f>
        <v>4702</v>
      </c>
      <c r="E27" s="2097">
        <f>+'SEGÍTŐ SZOLGÁLAT'!AK34</f>
        <v>50291</v>
      </c>
      <c r="F27" s="1656">
        <f>+'SEGÍTŐ SZOLGÁLAT'!AL34</f>
        <v>159</v>
      </c>
      <c r="G27" s="2119">
        <f>+'SEGÍTŐ SZOLGÁLAT'!AM34</f>
        <v>50450</v>
      </c>
      <c r="H27" s="2097">
        <f>+ÓVODA!AF32</f>
        <v>89873</v>
      </c>
      <c r="I27" s="1656">
        <f>+ÓVODA!AG32</f>
        <v>1214</v>
      </c>
      <c r="J27" s="2098">
        <f>+ÓVODA!AH32</f>
        <v>91087</v>
      </c>
      <c r="K27" s="1784">
        <f>+'KOZMA FERENC ÁLT. ISK.'!V29</f>
        <v>42394</v>
      </c>
      <c r="L27" s="409">
        <f>+'KOZMA FERENC ÁLT. ISK.'!W29</f>
        <v>0</v>
      </c>
      <c r="M27" s="2070">
        <f>+'KOZMA FERENC ÁLT. ISK.'!X29</f>
        <v>42394</v>
      </c>
      <c r="N27" s="2027"/>
      <c r="O27" s="1823"/>
      <c r="P27" s="2028"/>
      <c r="Q27" s="1997">
        <f t="shared" si="0"/>
        <v>191610</v>
      </c>
      <c r="R27" s="1656">
        <f t="shared" si="0"/>
        <v>-2977</v>
      </c>
      <c r="S27" s="1799">
        <f t="shared" si="1"/>
        <v>188633</v>
      </c>
    </row>
    <row r="28" spans="1:22" ht="13.9" customHeight="1">
      <c r="A28" s="1321" t="s">
        <v>34</v>
      </c>
      <c r="B28" s="2071">
        <f>+'SZOLGÁLTATÓ IRODA'!B27</f>
        <v>0</v>
      </c>
      <c r="C28" s="410">
        <f>+'SZOLGÁLTATÓ IRODA'!C27</f>
        <v>0</v>
      </c>
      <c r="D28" s="2093">
        <f>+'SZOLGÁLTATÓ IRODA'!D27</f>
        <v>0</v>
      </c>
      <c r="E28" s="2092">
        <f>+'SEGÍTŐ SZOLGÁLAT'!AK35</f>
        <v>183</v>
      </c>
      <c r="F28" s="1032">
        <f>+'SEGÍTŐ SZOLGÁLAT'!AL35</f>
        <v>0</v>
      </c>
      <c r="G28" s="2014">
        <f>+'SEGÍTŐ SZOLGÁLAT'!AM35</f>
        <v>183</v>
      </c>
      <c r="H28" s="2092">
        <f>+ÓVODA!AF33</f>
        <v>0</v>
      </c>
      <c r="I28" s="1032">
        <f>+ÓVODA!AG33</f>
        <v>0</v>
      </c>
      <c r="J28" s="2093">
        <f>+ÓVODA!AH33</f>
        <v>0</v>
      </c>
      <c r="K28" s="2071">
        <f>+'KOZMA FERENC ÁLT. ISK.'!V30</f>
        <v>0</v>
      </c>
      <c r="L28" s="410">
        <f>+'KOZMA FERENC ÁLT. ISK.'!W30</f>
        <v>0</v>
      </c>
      <c r="M28" s="2072">
        <f>+'KOZMA FERENC ÁLT. ISK.'!X30</f>
        <v>0</v>
      </c>
      <c r="N28" s="2013"/>
      <c r="O28" s="1033"/>
      <c r="P28" s="2022"/>
      <c r="Q28" s="1998">
        <f t="shared" si="0"/>
        <v>183</v>
      </c>
      <c r="R28" s="1032">
        <f t="shared" si="0"/>
        <v>0</v>
      </c>
      <c r="S28" s="1783">
        <f t="shared" si="1"/>
        <v>183</v>
      </c>
    </row>
    <row r="29" spans="1:22" ht="13.9" customHeight="1">
      <c r="A29" s="222" t="s">
        <v>35</v>
      </c>
      <c r="B29" s="2071">
        <f>+'SZOLGÁLTATÓ IRODA'!B28</f>
        <v>0</v>
      </c>
      <c r="C29" s="410">
        <f>+'SZOLGÁLTATÓ IRODA'!C28</f>
        <v>0</v>
      </c>
      <c r="D29" s="2093">
        <f>+'SZOLGÁLTATÓ IRODA'!D28</f>
        <v>0</v>
      </c>
      <c r="E29" s="2092">
        <f>+'SEGÍTŐ SZOLGÁLAT'!AK36</f>
        <v>0</v>
      </c>
      <c r="F29" s="1032">
        <f>+'SEGÍTŐ SZOLGÁLAT'!AL36</f>
        <v>0</v>
      </c>
      <c r="G29" s="2014">
        <f>+'SEGÍTŐ SZOLGÁLAT'!AM36</f>
        <v>0</v>
      </c>
      <c r="H29" s="2092">
        <f>+ÓVODA!AF34</f>
        <v>0</v>
      </c>
      <c r="I29" s="1032">
        <f>+ÓVODA!AG34</f>
        <v>0</v>
      </c>
      <c r="J29" s="2093">
        <f>+ÓVODA!AH34</f>
        <v>0</v>
      </c>
      <c r="K29" s="2065">
        <f>+'KOZMA FERENC ÁLT. ISK.'!V31</f>
        <v>0</v>
      </c>
      <c r="L29" s="407">
        <f>+'KOZMA FERENC ÁLT. ISK.'!W31</f>
        <v>0</v>
      </c>
      <c r="M29" s="2066">
        <f>+'KOZMA FERENC ÁLT. ISK.'!X31</f>
        <v>0</v>
      </c>
      <c r="N29" s="2013"/>
      <c r="O29" s="1033"/>
      <c r="P29" s="2022"/>
      <c r="Q29" s="1993">
        <f t="shared" si="0"/>
        <v>0</v>
      </c>
      <c r="R29" s="1776">
        <f t="shared" si="0"/>
        <v>0</v>
      </c>
      <c r="S29" s="1641">
        <f t="shared" si="1"/>
        <v>0</v>
      </c>
    </row>
    <row r="30" spans="1:22" ht="13.9" customHeight="1">
      <c r="A30" s="222" t="s">
        <v>36</v>
      </c>
      <c r="B30" s="2071">
        <f>+'SZOLGÁLTATÓ IRODA'!B29</f>
        <v>475</v>
      </c>
      <c r="C30" s="410">
        <f>+'SZOLGÁLTATÓ IRODA'!C29</f>
        <v>0</v>
      </c>
      <c r="D30" s="2093">
        <f>+'SZOLGÁLTATÓ IRODA'!D29</f>
        <v>475</v>
      </c>
      <c r="E30" s="2092">
        <f>+'SEGÍTŐ SZOLGÁLAT'!AK37</f>
        <v>220</v>
      </c>
      <c r="F30" s="1032">
        <f>+'SEGÍTŐ SZOLGÁLAT'!AL37</f>
        <v>27</v>
      </c>
      <c r="G30" s="2014">
        <f>+'SEGÍTŐ SZOLGÁLAT'!AM37</f>
        <v>247</v>
      </c>
      <c r="H30" s="2092">
        <f>+ÓVODA!AF35</f>
        <v>970</v>
      </c>
      <c r="I30" s="1032">
        <f>+ÓVODA!AG35</f>
        <v>0</v>
      </c>
      <c r="J30" s="2093">
        <f>+ÓVODA!AH35</f>
        <v>970</v>
      </c>
      <c r="K30" s="2065">
        <f>+'KOZMA FERENC ÁLT. ISK.'!V32</f>
        <v>800</v>
      </c>
      <c r="L30" s="407">
        <f>+'KOZMA FERENC ÁLT. ISK.'!W32</f>
        <v>0</v>
      </c>
      <c r="M30" s="2066">
        <f>+'KOZMA FERENC ÁLT. ISK.'!X32</f>
        <v>800</v>
      </c>
      <c r="N30" s="2013"/>
      <c r="O30" s="1033"/>
      <c r="P30" s="2022"/>
      <c r="Q30" s="1993">
        <f t="shared" si="0"/>
        <v>2465</v>
      </c>
      <c r="R30" s="1776">
        <f t="shared" si="0"/>
        <v>27</v>
      </c>
      <c r="S30" s="1641">
        <f t="shared" si="1"/>
        <v>2492</v>
      </c>
    </row>
    <row r="31" spans="1:22" ht="13.9" customHeight="1">
      <c r="A31" s="222" t="s">
        <v>37</v>
      </c>
      <c r="B31" s="2071">
        <f>+'SZOLGÁLTATÓ IRODA'!B30</f>
        <v>0</v>
      </c>
      <c r="C31" s="410">
        <f>+'SZOLGÁLTATÓ IRODA'!C30</f>
        <v>0</v>
      </c>
      <c r="D31" s="2093">
        <f>+'SZOLGÁLTATÓ IRODA'!D30</f>
        <v>0</v>
      </c>
      <c r="E31" s="2092">
        <f>+'SEGÍTŐ SZOLGÁLAT'!AK38</f>
        <v>0</v>
      </c>
      <c r="F31" s="1032">
        <f>+'SEGÍTŐ SZOLGÁLAT'!AL38</f>
        <v>0</v>
      </c>
      <c r="G31" s="2014">
        <f>+'SEGÍTŐ SZOLGÁLAT'!AM38</f>
        <v>0</v>
      </c>
      <c r="H31" s="2092">
        <f>+ÓVODA!AF36</f>
        <v>968</v>
      </c>
      <c r="I31" s="1032">
        <f>+ÓVODA!AG36</f>
        <v>0</v>
      </c>
      <c r="J31" s="2093">
        <f>+ÓVODA!AH36</f>
        <v>968</v>
      </c>
      <c r="K31" s="2065">
        <f>+'KOZMA FERENC ÁLT. ISK.'!V33</f>
        <v>2501</v>
      </c>
      <c r="L31" s="407">
        <f>+'KOZMA FERENC ÁLT. ISK.'!W33</f>
        <v>0</v>
      </c>
      <c r="M31" s="2066">
        <f>+'KOZMA FERENC ÁLT. ISK.'!X33</f>
        <v>2501</v>
      </c>
      <c r="N31" s="2013"/>
      <c r="O31" s="1033"/>
      <c r="P31" s="2022"/>
      <c r="Q31" s="1993">
        <f t="shared" si="0"/>
        <v>3469</v>
      </c>
      <c r="R31" s="1776">
        <f t="shared" si="0"/>
        <v>0</v>
      </c>
      <c r="S31" s="1641">
        <f t="shared" si="1"/>
        <v>3469</v>
      </c>
    </row>
    <row r="32" spans="1:22" s="368" customFormat="1" ht="13.9" customHeight="1">
      <c r="A32" s="222" t="s">
        <v>38</v>
      </c>
      <c r="B32" s="2071">
        <f>+'SZOLGÁLTATÓ IRODA'!B31</f>
        <v>0</v>
      </c>
      <c r="C32" s="410">
        <f>+'SZOLGÁLTATÓ IRODA'!C31</f>
        <v>0</v>
      </c>
      <c r="D32" s="2093">
        <f>+'SZOLGÁLTATÓ IRODA'!D31</f>
        <v>0</v>
      </c>
      <c r="E32" s="2092">
        <f>+'SEGÍTŐ SZOLGÁLAT'!AK39</f>
        <v>0</v>
      </c>
      <c r="F32" s="1032">
        <f>+'SEGÍTŐ SZOLGÁLAT'!AL39</f>
        <v>-120</v>
      </c>
      <c r="G32" s="2014">
        <f>+'SEGÍTŐ SZOLGÁLAT'!AM39</f>
        <v>-120</v>
      </c>
      <c r="H32" s="2092">
        <f>+ÓVODA!AF37</f>
        <v>2142</v>
      </c>
      <c r="I32" s="1032">
        <f>+ÓVODA!AG37</f>
        <v>0</v>
      </c>
      <c r="J32" s="2093">
        <f>+ÓVODA!AH37</f>
        <v>2142</v>
      </c>
      <c r="K32" s="2065">
        <f>+'KOZMA FERENC ÁLT. ISK.'!V34</f>
        <v>1007</v>
      </c>
      <c r="L32" s="407">
        <f>+'KOZMA FERENC ÁLT. ISK.'!W34</f>
        <v>0</v>
      </c>
      <c r="M32" s="2066">
        <f>+'KOZMA FERENC ÁLT. ISK.'!X34</f>
        <v>1007</v>
      </c>
      <c r="N32" s="2013"/>
      <c r="O32" s="1033"/>
      <c r="P32" s="2022"/>
      <c r="Q32" s="1993">
        <f t="shared" si="0"/>
        <v>3149</v>
      </c>
      <c r="R32" s="1776">
        <f t="shared" si="0"/>
        <v>-120</v>
      </c>
      <c r="S32" s="1641">
        <f t="shared" si="1"/>
        <v>3029</v>
      </c>
      <c r="V32" s="367"/>
    </row>
    <row r="33" spans="1:22" s="368" customFormat="1" ht="13.9" customHeight="1">
      <c r="A33" s="1316" t="s">
        <v>39</v>
      </c>
      <c r="B33" s="2071">
        <f>+'SZOLGÁLTATÓ IRODA'!B32</f>
        <v>475</v>
      </c>
      <c r="C33" s="410">
        <f>+'SZOLGÁLTATÓ IRODA'!C32</f>
        <v>0</v>
      </c>
      <c r="D33" s="2094">
        <f>+'SZOLGÁLTATÓ IRODA'!D32</f>
        <v>475</v>
      </c>
      <c r="E33" s="2092">
        <f>+'SEGÍTŐ SZOLGÁLAT'!AK40</f>
        <v>403</v>
      </c>
      <c r="F33" s="1032">
        <f>+'SEGÍTŐ SZOLGÁLAT'!AL40</f>
        <v>-93</v>
      </c>
      <c r="G33" s="2014">
        <f>+'SEGÍTŐ SZOLGÁLAT'!AM40</f>
        <v>310</v>
      </c>
      <c r="H33" s="2092">
        <f>+ÓVODA!AF38</f>
        <v>4056</v>
      </c>
      <c r="I33" s="1032">
        <f>+ÓVODA!AG38</f>
        <v>0</v>
      </c>
      <c r="J33" s="2094">
        <f>+ÓVODA!AH38</f>
        <v>4056</v>
      </c>
      <c r="K33" s="2065">
        <f>+'KOZMA FERENC ÁLT. ISK.'!V35</f>
        <v>3450</v>
      </c>
      <c r="L33" s="407">
        <f>+'KOZMA FERENC ÁLT. ISK.'!W35</f>
        <v>0</v>
      </c>
      <c r="M33" s="2067">
        <f>+'KOZMA FERENC ÁLT. ISK.'!X35</f>
        <v>3450</v>
      </c>
      <c r="N33" s="2029"/>
      <c r="O33" s="1825"/>
      <c r="P33" s="2026"/>
      <c r="Q33" s="1993">
        <f t="shared" si="0"/>
        <v>8384</v>
      </c>
      <c r="R33" s="1776">
        <f t="shared" si="0"/>
        <v>-93</v>
      </c>
      <c r="S33" s="1641">
        <f t="shared" si="1"/>
        <v>8291</v>
      </c>
      <c r="V33" s="367"/>
    </row>
    <row r="34" spans="1:22" ht="13.15" customHeight="1">
      <c r="A34" s="1318" t="s">
        <v>40</v>
      </c>
      <c r="B34" s="2085">
        <f>+'SZOLGÁLTATÓ IRODA'!B33</f>
        <v>0</v>
      </c>
      <c r="C34" s="414">
        <f>+'SZOLGÁLTATÓ IRODA'!C33</f>
        <v>0</v>
      </c>
      <c r="D34" s="2096">
        <f>+'SZOLGÁLTATÓ IRODA'!D33</f>
        <v>0</v>
      </c>
      <c r="E34" s="2095">
        <f>+'SEGÍTŐ SZOLGÁLAT'!AK41</f>
        <v>0</v>
      </c>
      <c r="F34" s="1035">
        <f>+'SEGÍTŐ SZOLGÁLAT'!AL41</f>
        <v>0</v>
      </c>
      <c r="G34" s="2118">
        <f>+'SEGÍTŐ SZOLGÁLAT'!AM41</f>
        <v>0</v>
      </c>
      <c r="H34" s="2095">
        <f>+ÓVODA!AF39</f>
        <v>24</v>
      </c>
      <c r="I34" s="1035">
        <f>+ÓVODA!AG39</f>
        <v>0</v>
      </c>
      <c r="J34" s="2096">
        <f>+ÓVODA!AH39</f>
        <v>24</v>
      </c>
      <c r="K34" s="2068">
        <f>+'KOZMA FERENC ÁLT. ISK.'!V36</f>
        <v>858</v>
      </c>
      <c r="L34" s="408">
        <f>+'KOZMA FERENC ÁLT. ISK.'!W36</f>
        <v>0</v>
      </c>
      <c r="M34" s="2069">
        <f>+'KOZMA FERENC ÁLT. ISK.'!X36</f>
        <v>858</v>
      </c>
      <c r="N34" s="2030"/>
      <c r="O34" s="1824"/>
      <c r="P34" s="2031"/>
      <c r="Q34" s="1994">
        <f t="shared" si="0"/>
        <v>882</v>
      </c>
      <c r="R34" s="1780">
        <f t="shared" si="0"/>
        <v>0</v>
      </c>
      <c r="S34" s="1654">
        <f t="shared" si="1"/>
        <v>882</v>
      </c>
    </row>
    <row r="35" spans="1:22" ht="13.15" customHeight="1">
      <c r="A35" s="1320" t="s">
        <v>41</v>
      </c>
      <c r="B35" s="1784">
        <f>+'SZOLGÁLTATÓ IRODA'!B34</f>
        <v>475</v>
      </c>
      <c r="C35" s="409">
        <f>+'SZOLGÁLTATÓ IRODA'!C34</f>
        <v>0</v>
      </c>
      <c r="D35" s="2098">
        <f>+'SZOLGÁLTATÓ IRODA'!D34</f>
        <v>475</v>
      </c>
      <c r="E35" s="2097">
        <f>+'SEGÍTŐ SZOLGÁLAT'!AK42</f>
        <v>403</v>
      </c>
      <c r="F35" s="1656">
        <f>+'SEGÍTŐ SZOLGÁLAT'!AL42</f>
        <v>-93</v>
      </c>
      <c r="G35" s="2119">
        <f>+'SEGÍTŐ SZOLGÁLAT'!AM42</f>
        <v>310</v>
      </c>
      <c r="H35" s="2097">
        <f>+ÓVODA!AF40</f>
        <v>4080</v>
      </c>
      <c r="I35" s="1656">
        <f>+ÓVODA!AG40</f>
        <v>0</v>
      </c>
      <c r="J35" s="2098">
        <f>+ÓVODA!AH40</f>
        <v>4584</v>
      </c>
      <c r="K35" s="1784">
        <f>+'KOZMA FERENC ÁLT. ISK.'!V37</f>
        <v>4308</v>
      </c>
      <c r="L35" s="409">
        <f>+'KOZMA FERENC ÁLT. ISK.'!W37</f>
        <v>0</v>
      </c>
      <c r="M35" s="2070">
        <f>+'KOZMA FERENC ÁLT. ISK.'!X37</f>
        <v>4308</v>
      </c>
      <c r="N35" s="2027"/>
      <c r="O35" s="1657"/>
      <c r="P35" s="2028"/>
      <c r="Q35" s="1997">
        <f t="shared" si="0"/>
        <v>9266</v>
      </c>
      <c r="R35" s="1656">
        <f t="shared" si="0"/>
        <v>-93</v>
      </c>
      <c r="S35" s="1799">
        <f t="shared" si="1"/>
        <v>9173</v>
      </c>
    </row>
    <row r="36" spans="1:22" ht="13.15" customHeight="1">
      <c r="A36" s="1321" t="s">
        <v>42</v>
      </c>
      <c r="B36" s="2071">
        <f>+'SZOLGÁLTATÓ IRODA'!B35</f>
        <v>0</v>
      </c>
      <c r="C36" s="410">
        <f>+'SZOLGÁLTATÓ IRODA'!C35</f>
        <v>0</v>
      </c>
      <c r="D36" s="2093">
        <f>+'SZOLGÁLTATÓ IRODA'!D35</f>
        <v>0</v>
      </c>
      <c r="E36" s="2092">
        <f>+'SEGÍTŐ SZOLGÁLAT'!AK43</f>
        <v>0</v>
      </c>
      <c r="F36" s="1032">
        <f>+'SEGÍTŐ SZOLGÁLAT'!AL43</f>
        <v>0</v>
      </c>
      <c r="G36" s="2014">
        <f>+'SEGÍTŐ SZOLGÁLAT'!AM43</f>
        <v>0</v>
      </c>
      <c r="H36" s="2092">
        <f>+ÓVODA!AF41</f>
        <v>0</v>
      </c>
      <c r="I36" s="1032">
        <f>+ÓVODA!AG41</f>
        <v>0</v>
      </c>
      <c r="J36" s="2093">
        <f>+ÓVODA!AH41</f>
        <v>0</v>
      </c>
      <c r="K36" s="2071">
        <f>+'KOZMA FERENC ÁLT. ISK.'!V38</f>
        <v>0</v>
      </c>
      <c r="L36" s="410">
        <f>+'KOZMA FERENC ÁLT. ISK.'!W38</f>
        <v>0</v>
      </c>
      <c r="M36" s="2072">
        <f>+'KOZMA FERENC ÁLT. ISK.'!X38</f>
        <v>0</v>
      </c>
      <c r="N36" s="2013"/>
      <c r="O36" s="1033"/>
      <c r="P36" s="2022"/>
      <c r="Q36" s="1998">
        <f t="shared" si="0"/>
        <v>0</v>
      </c>
      <c r="R36" s="1032">
        <f t="shared" si="0"/>
        <v>0</v>
      </c>
      <c r="S36" s="1783">
        <f t="shared" si="1"/>
        <v>0</v>
      </c>
    </row>
    <row r="37" spans="1:22" ht="13.15" customHeight="1">
      <c r="A37" s="222" t="s">
        <v>43</v>
      </c>
      <c r="B37" s="2071">
        <f>+'SZOLGÁLTATÓ IRODA'!B36</f>
        <v>0</v>
      </c>
      <c r="C37" s="410">
        <f>+'SZOLGÁLTATÓ IRODA'!C36</f>
        <v>0</v>
      </c>
      <c r="D37" s="2093">
        <f>+'SZOLGÁLTATÓ IRODA'!D36</f>
        <v>0</v>
      </c>
      <c r="E37" s="2092">
        <f>+'SEGÍTŐ SZOLGÁLAT'!AK44</f>
        <v>334</v>
      </c>
      <c r="F37" s="1032">
        <f>+'SEGÍTŐ SZOLGÁLAT'!AL44</f>
        <v>0</v>
      </c>
      <c r="G37" s="2014">
        <f>+'SEGÍTŐ SZOLGÁLAT'!AM44</f>
        <v>334</v>
      </c>
      <c r="H37" s="2092">
        <f>+ÓVODA!AF42</f>
        <v>295</v>
      </c>
      <c r="I37" s="1032">
        <f>+ÓVODA!AG42</f>
        <v>0</v>
      </c>
      <c r="J37" s="2093">
        <f>+ÓVODA!AH42</f>
        <v>295</v>
      </c>
      <c r="K37" s="2065">
        <f>+'KOZMA FERENC ÁLT. ISK.'!V39</f>
        <v>1133</v>
      </c>
      <c r="L37" s="407">
        <f>+'KOZMA FERENC ÁLT. ISK.'!W39</f>
        <v>0</v>
      </c>
      <c r="M37" s="2066">
        <f>+'KOZMA FERENC ÁLT. ISK.'!X39</f>
        <v>1133</v>
      </c>
      <c r="N37" s="2013"/>
      <c r="O37" s="1033"/>
      <c r="P37" s="2022"/>
      <c r="Q37" s="1993">
        <f t="shared" si="0"/>
        <v>1762</v>
      </c>
      <c r="R37" s="1776">
        <f t="shared" si="0"/>
        <v>0</v>
      </c>
      <c r="S37" s="1641">
        <f t="shared" si="1"/>
        <v>1762</v>
      </c>
    </row>
    <row r="38" spans="1:22" ht="13.15" customHeight="1">
      <c r="A38" s="222" t="s">
        <v>44</v>
      </c>
      <c r="B38" s="2071">
        <f>+'SZOLGÁLTATÓ IRODA'!B37</f>
        <v>0</v>
      </c>
      <c r="C38" s="410">
        <f>+'SZOLGÁLTATÓ IRODA'!C37</f>
        <v>0</v>
      </c>
      <c r="D38" s="2093">
        <f>+'SZOLGÁLTATÓ IRODA'!D37</f>
        <v>0</v>
      </c>
      <c r="E38" s="2092">
        <f>+'SEGÍTŐ SZOLGÁLAT'!AK45</f>
        <v>0</v>
      </c>
      <c r="F38" s="1032">
        <f>+'SEGÍTŐ SZOLGÁLAT'!AL45</f>
        <v>0</v>
      </c>
      <c r="G38" s="2014">
        <f>+'SEGÍTŐ SZOLGÁLAT'!AM45</f>
        <v>0</v>
      </c>
      <c r="H38" s="2092">
        <f>+ÓVODA!AF43</f>
        <v>0</v>
      </c>
      <c r="I38" s="1032">
        <f>+ÓVODA!AG43</f>
        <v>0</v>
      </c>
      <c r="J38" s="2093">
        <f>+ÓVODA!AH43</f>
        <v>0</v>
      </c>
      <c r="K38" s="2065">
        <f>+'KOZMA FERENC ÁLT. ISK.'!V40</f>
        <v>0</v>
      </c>
      <c r="L38" s="407">
        <f>+'KOZMA FERENC ÁLT. ISK.'!W40</f>
        <v>0</v>
      </c>
      <c r="M38" s="2066">
        <f>+'KOZMA FERENC ÁLT. ISK.'!X40</f>
        <v>0</v>
      </c>
      <c r="N38" s="2013"/>
      <c r="O38" s="1033"/>
      <c r="P38" s="2022"/>
      <c r="Q38" s="1993">
        <f t="shared" si="0"/>
        <v>0</v>
      </c>
      <c r="R38" s="1776">
        <f t="shared" si="0"/>
        <v>0</v>
      </c>
      <c r="S38" s="1641">
        <f t="shared" si="1"/>
        <v>0</v>
      </c>
    </row>
    <row r="39" spans="1:22" s="368" customFormat="1" ht="13.15" customHeight="1">
      <c r="A39" s="222" t="s">
        <v>45</v>
      </c>
      <c r="B39" s="2071">
        <f>+'SZOLGÁLTATÓ IRODA'!B38</f>
        <v>0</v>
      </c>
      <c r="C39" s="410">
        <f>+'SZOLGÁLTATÓ IRODA'!C38</f>
        <v>0</v>
      </c>
      <c r="D39" s="2093">
        <f>+'SZOLGÁLTATÓ IRODA'!D38</f>
        <v>0</v>
      </c>
      <c r="E39" s="2092">
        <f>+'SEGÍTŐ SZOLGÁLAT'!AK46</f>
        <v>548</v>
      </c>
      <c r="F39" s="1032">
        <f>+'SEGÍTŐ SZOLGÁLAT'!AL46</f>
        <v>69</v>
      </c>
      <c r="G39" s="2014">
        <f>+'SEGÍTŐ SZOLGÁLAT'!AM46</f>
        <v>617</v>
      </c>
      <c r="H39" s="2092">
        <f>+ÓVODA!AF44</f>
        <v>357</v>
      </c>
      <c r="I39" s="1032">
        <f>+ÓVODA!AG44</f>
        <v>0</v>
      </c>
      <c r="J39" s="2093">
        <f>+ÓVODA!AH44</f>
        <v>357</v>
      </c>
      <c r="K39" s="2065">
        <f>+'KOZMA FERENC ÁLT. ISK.'!V41</f>
        <v>168</v>
      </c>
      <c r="L39" s="407">
        <f>+'KOZMA FERENC ÁLT. ISK.'!W41</f>
        <v>0</v>
      </c>
      <c r="M39" s="2066">
        <f>+'KOZMA FERENC ÁLT. ISK.'!X41</f>
        <v>168</v>
      </c>
      <c r="N39" s="2013"/>
      <c r="O39" s="1033"/>
      <c r="P39" s="2022"/>
      <c r="Q39" s="1993">
        <f t="shared" si="0"/>
        <v>1073</v>
      </c>
      <c r="R39" s="1776">
        <f t="shared" si="0"/>
        <v>69</v>
      </c>
      <c r="S39" s="1641">
        <f t="shared" si="1"/>
        <v>1142</v>
      </c>
      <c r="V39" s="367"/>
    </row>
    <row r="40" spans="1:22" s="368" customFormat="1" ht="13.15" customHeight="1">
      <c r="A40" s="1318" t="s">
        <v>46</v>
      </c>
      <c r="B40" s="2071">
        <f>+'SZOLGÁLTATÓ IRODA'!B39</f>
        <v>0</v>
      </c>
      <c r="C40" s="410">
        <f>+'SZOLGÁLTATÓ IRODA'!C39</f>
        <v>0</v>
      </c>
      <c r="D40" s="2094">
        <f>+'SZOLGÁLTATÓ IRODA'!D39</f>
        <v>0</v>
      </c>
      <c r="E40" s="2092">
        <f>+'SEGÍTŐ SZOLGÁLAT'!AK47</f>
        <v>669</v>
      </c>
      <c r="F40" s="1032">
        <f>+'SEGÍTŐ SZOLGÁLAT'!AL47</f>
        <v>69</v>
      </c>
      <c r="G40" s="2014">
        <f>+'SEGÍTŐ SZOLGÁLAT'!AM47</f>
        <v>738</v>
      </c>
      <c r="H40" s="2092">
        <f>+ÓVODA!AF45</f>
        <v>623</v>
      </c>
      <c r="I40" s="1032">
        <f>+ÓVODA!AG45</f>
        <v>0</v>
      </c>
      <c r="J40" s="2094">
        <f>+ÓVODA!AH45</f>
        <v>623</v>
      </c>
      <c r="K40" s="2065">
        <f>+'KOZMA FERENC ÁLT. ISK.'!V42</f>
        <v>1301</v>
      </c>
      <c r="L40" s="407">
        <f>+'KOZMA FERENC ÁLT. ISK.'!W42</f>
        <v>0</v>
      </c>
      <c r="M40" s="2067">
        <f>+'KOZMA FERENC ÁLT. ISK.'!X42</f>
        <v>1301</v>
      </c>
      <c r="N40" s="2029"/>
      <c r="O40" s="1826"/>
      <c r="P40" s="2031"/>
      <c r="Q40" s="1993">
        <f t="shared" si="0"/>
        <v>2593</v>
      </c>
      <c r="R40" s="1776">
        <f t="shared" si="0"/>
        <v>69</v>
      </c>
      <c r="S40" s="1641">
        <f t="shared" si="1"/>
        <v>2662</v>
      </c>
      <c r="V40" s="367"/>
    </row>
    <row r="41" spans="1:22" ht="13.15" customHeight="1">
      <c r="A41" s="1650" t="s">
        <v>47</v>
      </c>
      <c r="B41" s="2085">
        <f>+'SZOLGÁLTATÓ IRODA'!B40</f>
        <v>0</v>
      </c>
      <c r="C41" s="414">
        <f>+'SZOLGÁLTATÓ IRODA'!C40</f>
        <v>0</v>
      </c>
      <c r="D41" s="2096">
        <f>+'SZOLGÁLTATÓ IRODA'!D40</f>
        <v>0</v>
      </c>
      <c r="E41" s="2095">
        <f>+'SEGÍTŐ SZOLGÁLAT'!AK48</f>
        <v>213</v>
      </c>
      <c r="F41" s="1035">
        <f>+'SEGÍTŐ SZOLGÁLAT'!AL48</f>
        <v>0</v>
      </c>
      <c r="G41" s="2118">
        <f>+'SEGÍTŐ SZOLGÁLAT'!AM48</f>
        <v>213</v>
      </c>
      <c r="H41" s="2095">
        <f>+ÓVODA!AF46</f>
        <v>62</v>
      </c>
      <c r="I41" s="1035">
        <f>+ÓVODA!AG46</f>
        <v>0</v>
      </c>
      <c r="J41" s="2096">
        <f>+ÓVODA!AH46</f>
        <v>62</v>
      </c>
      <c r="K41" s="2068">
        <f>+'KOZMA FERENC ÁLT. ISK.'!V43</f>
        <v>0</v>
      </c>
      <c r="L41" s="408">
        <f>+'KOZMA FERENC ÁLT. ISK.'!W43</f>
        <v>0</v>
      </c>
      <c r="M41" s="2069">
        <f>+'KOZMA FERENC ÁLT. ISK.'!X43</f>
        <v>0</v>
      </c>
      <c r="N41" s="2030"/>
      <c r="O41" s="1659"/>
      <c r="P41" s="2031"/>
      <c r="Q41" s="1994">
        <f t="shared" si="0"/>
        <v>275</v>
      </c>
      <c r="R41" s="1780">
        <f t="shared" si="0"/>
        <v>0</v>
      </c>
      <c r="S41" s="1654">
        <f t="shared" si="1"/>
        <v>275</v>
      </c>
    </row>
    <row r="42" spans="1:22" ht="13.15" customHeight="1">
      <c r="A42" s="1320" t="s">
        <v>48</v>
      </c>
      <c r="B42" s="1784">
        <f>+'SZOLGÁLTATÓ IRODA'!B41</f>
        <v>0</v>
      </c>
      <c r="C42" s="409">
        <f>+'SZOLGÁLTATÓ IRODA'!C41</f>
        <v>0</v>
      </c>
      <c r="D42" s="2098">
        <f>+'SZOLGÁLTATÓ IRODA'!D41</f>
        <v>0</v>
      </c>
      <c r="E42" s="2097">
        <f>+'SEGÍTŐ SZOLGÁLAT'!AK49</f>
        <v>882</v>
      </c>
      <c r="F42" s="1656">
        <f>+'SEGÍTŐ SZOLGÁLAT'!AL49</f>
        <v>69</v>
      </c>
      <c r="G42" s="2119">
        <f>+'SEGÍTŐ SZOLGÁLAT'!AM49</f>
        <v>951</v>
      </c>
      <c r="H42" s="2097">
        <f>+ÓVODA!AF47</f>
        <v>685</v>
      </c>
      <c r="I42" s="1656">
        <f>+ÓVODA!AG47</f>
        <v>0</v>
      </c>
      <c r="J42" s="2098">
        <f>+ÓVODA!AH47</f>
        <v>685</v>
      </c>
      <c r="K42" s="1784">
        <f>+'KOZMA FERENC ÁLT. ISK.'!V44</f>
        <v>1301</v>
      </c>
      <c r="L42" s="409">
        <f>+'KOZMA FERENC ÁLT. ISK.'!W44</f>
        <v>0</v>
      </c>
      <c r="M42" s="2070">
        <f>+'KOZMA FERENC ÁLT. ISK.'!X44</f>
        <v>1301</v>
      </c>
      <c r="N42" s="2027"/>
      <c r="O42" s="1657"/>
      <c r="P42" s="2028"/>
      <c r="Q42" s="1997">
        <f t="shared" si="0"/>
        <v>2868</v>
      </c>
      <c r="R42" s="1656">
        <f t="shared" si="0"/>
        <v>69</v>
      </c>
      <c r="S42" s="1799">
        <f t="shared" si="1"/>
        <v>2937</v>
      </c>
    </row>
    <row r="43" spans="1:22" ht="13.15" customHeight="1">
      <c r="A43" s="1321" t="s">
        <v>49</v>
      </c>
      <c r="B43" s="2071">
        <f>+'SZOLGÁLTATÓ IRODA'!B42</f>
        <v>199</v>
      </c>
      <c r="C43" s="410">
        <f>+'SZOLGÁLTATÓ IRODA'!C42</f>
        <v>-103</v>
      </c>
      <c r="D43" s="2093">
        <f>+'SZOLGÁLTATÓ IRODA'!D42</f>
        <v>96</v>
      </c>
      <c r="E43" s="2092">
        <f>+'SEGÍTŐ SZOLGÁLAT'!AK50</f>
        <v>423</v>
      </c>
      <c r="F43" s="1032">
        <f>+'SEGÍTŐ SZOLGÁLAT'!AL50</f>
        <v>-40</v>
      </c>
      <c r="G43" s="2014">
        <f>+'SEGÍTŐ SZOLGÁLAT'!AM50</f>
        <v>383</v>
      </c>
      <c r="H43" s="2092">
        <f>+ÓVODA!AF48</f>
        <v>1664</v>
      </c>
      <c r="I43" s="1032">
        <f>+ÓVODA!AG48</f>
        <v>0</v>
      </c>
      <c r="J43" s="2093">
        <f>+ÓVODA!AH48</f>
        <v>1664</v>
      </c>
      <c r="K43" s="2071">
        <f>+'KOZMA FERENC ÁLT. ISK.'!V45</f>
        <v>977</v>
      </c>
      <c r="L43" s="410">
        <f>+'KOZMA FERENC ÁLT. ISK.'!W45</f>
        <v>0</v>
      </c>
      <c r="M43" s="2072">
        <f>+'KOZMA FERENC ÁLT. ISK.'!X45</f>
        <v>977</v>
      </c>
      <c r="N43" s="2013"/>
      <c r="O43" s="1033"/>
      <c r="P43" s="2022"/>
      <c r="Q43" s="1998">
        <f t="shared" si="0"/>
        <v>3263</v>
      </c>
      <c r="R43" s="1032">
        <f t="shared" si="0"/>
        <v>-143</v>
      </c>
      <c r="S43" s="1783">
        <f t="shared" si="1"/>
        <v>3120</v>
      </c>
    </row>
    <row r="44" spans="1:22" ht="13.15" customHeight="1">
      <c r="A44" s="222" t="s">
        <v>50</v>
      </c>
      <c r="B44" s="2071">
        <f>+'SZOLGÁLTATÓ IRODA'!B43</f>
        <v>468</v>
      </c>
      <c r="C44" s="410">
        <f>+'SZOLGÁLTATÓ IRODA'!C43</f>
        <v>-199</v>
      </c>
      <c r="D44" s="2093">
        <f>+'SZOLGÁLTATÓ IRODA'!D43</f>
        <v>269</v>
      </c>
      <c r="E44" s="2092">
        <f>+'SEGÍTŐ SZOLGÁLAT'!AK51</f>
        <v>3846</v>
      </c>
      <c r="F44" s="1032">
        <f>+'SEGÍTŐ SZOLGÁLAT'!AL51</f>
        <v>0</v>
      </c>
      <c r="G44" s="2014">
        <f>+'SEGÍTŐ SZOLGÁLAT'!AM51</f>
        <v>3846</v>
      </c>
      <c r="H44" s="2092">
        <f>+ÓVODA!AF49</f>
        <v>6305</v>
      </c>
      <c r="I44" s="1032">
        <f>+ÓVODA!AG49</f>
        <v>90</v>
      </c>
      <c r="J44" s="2093">
        <f>+ÓVODA!AH49</f>
        <v>6395</v>
      </c>
      <c r="K44" s="2065">
        <f>+'KOZMA FERENC ÁLT. ISK.'!V46</f>
        <v>2995</v>
      </c>
      <c r="L44" s="407">
        <f>+'KOZMA FERENC ÁLT. ISK.'!W46</f>
        <v>0</v>
      </c>
      <c r="M44" s="2066">
        <f>+'KOZMA FERENC ÁLT. ISK.'!X46</f>
        <v>2995</v>
      </c>
      <c r="N44" s="2013"/>
      <c r="O44" s="1033"/>
      <c r="P44" s="2022"/>
      <c r="Q44" s="1993">
        <f t="shared" si="0"/>
        <v>13614</v>
      </c>
      <c r="R44" s="1776">
        <f t="shared" si="0"/>
        <v>-109</v>
      </c>
      <c r="S44" s="1641">
        <f t="shared" si="1"/>
        <v>13505</v>
      </c>
    </row>
    <row r="45" spans="1:22" ht="13.15" customHeight="1">
      <c r="A45" s="222" t="s">
        <v>51</v>
      </c>
      <c r="B45" s="2071">
        <f>+'SZOLGÁLTATÓ IRODA'!B44</f>
        <v>0</v>
      </c>
      <c r="C45" s="410">
        <f>+'SZOLGÁLTATÓ IRODA'!C44</f>
        <v>0</v>
      </c>
      <c r="D45" s="2093">
        <f>+'SZOLGÁLTATÓ IRODA'!D44</f>
        <v>0</v>
      </c>
      <c r="E45" s="2092">
        <f>+'SEGÍTŐ SZOLGÁLAT'!AK52</f>
        <v>0</v>
      </c>
      <c r="F45" s="1032">
        <f>+'SEGÍTŐ SZOLGÁLAT'!AL52</f>
        <v>0</v>
      </c>
      <c r="G45" s="2014">
        <f>+'SEGÍTŐ SZOLGÁLAT'!AM52</f>
        <v>0</v>
      </c>
      <c r="H45" s="2092">
        <f>+ÓVODA!AF50</f>
        <v>0</v>
      </c>
      <c r="I45" s="1032">
        <f>+ÓVODA!AG50</f>
        <v>0</v>
      </c>
      <c r="J45" s="2093">
        <f>+ÓVODA!AH50</f>
        <v>0</v>
      </c>
      <c r="K45" s="2065">
        <f>+'KOZMA FERENC ÁLT. ISK.'!V47</f>
        <v>0</v>
      </c>
      <c r="L45" s="407">
        <f>+'KOZMA FERENC ÁLT. ISK.'!W47</f>
        <v>0</v>
      </c>
      <c r="M45" s="2066">
        <f>+'KOZMA FERENC ÁLT. ISK.'!X47</f>
        <v>0</v>
      </c>
      <c r="N45" s="2013"/>
      <c r="O45" s="1033"/>
      <c r="P45" s="2022"/>
      <c r="Q45" s="1993">
        <f t="shared" si="0"/>
        <v>0</v>
      </c>
      <c r="R45" s="1776">
        <f t="shared" si="0"/>
        <v>0</v>
      </c>
      <c r="S45" s="1641">
        <f t="shared" si="1"/>
        <v>0</v>
      </c>
    </row>
    <row r="46" spans="1:22" s="368" customFormat="1" ht="13.15" customHeight="1">
      <c r="A46" s="222" t="s">
        <v>52</v>
      </c>
      <c r="B46" s="2071">
        <f>+'SZOLGÁLTATÓ IRODA'!B45</f>
        <v>0</v>
      </c>
      <c r="C46" s="410">
        <f>+'SZOLGÁLTATÓ IRODA'!C45</f>
        <v>0</v>
      </c>
      <c r="D46" s="2093">
        <f>+'SZOLGÁLTATÓ IRODA'!D45</f>
        <v>0</v>
      </c>
      <c r="E46" s="2092">
        <f>+'SEGÍTŐ SZOLGÁLAT'!AK53</f>
        <v>0</v>
      </c>
      <c r="F46" s="1032">
        <f>+'SEGÍTŐ SZOLGÁLAT'!AL53</f>
        <v>0</v>
      </c>
      <c r="G46" s="2014">
        <f>+'SEGÍTŐ SZOLGÁLAT'!AM53</f>
        <v>0</v>
      </c>
      <c r="H46" s="2092">
        <f>+ÓVODA!AF51</f>
        <v>0</v>
      </c>
      <c r="I46" s="1032">
        <f>+ÓVODA!AG51</f>
        <v>0</v>
      </c>
      <c r="J46" s="2093">
        <f>+ÓVODA!AH51</f>
        <v>0</v>
      </c>
      <c r="K46" s="2065">
        <f>+'KOZMA FERENC ÁLT. ISK.'!V48</f>
        <v>0</v>
      </c>
      <c r="L46" s="407">
        <f>+'KOZMA FERENC ÁLT. ISK.'!W48</f>
        <v>0</v>
      </c>
      <c r="M46" s="2066">
        <f>+'KOZMA FERENC ÁLT. ISK.'!X48</f>
        <v>0</v>
      </c>
      <c r="N46" s="2013"/>
      <c r="O46" s="1033"/>
      <c r="P46" s="2022"/>
      <c r="Q46" s="1993">
        <f t="shared" si="0"/>
        <v>0</v>
      </c>
      <c r="R46" s="1776">
        <f t="shared" si="0"/>
        <v>0</v>
      </c>
      <c r="S46" s="1641">
        <f t="shared" si="1"/>
        <v>0</v>
      </c>
      <c r="V46" s="367"/>
    </row>
    <row r="47" spans="1:22" s="368" customFormat="1" ht="13.15" customHeight="1">
      <c r="A47" s="1316" t="s">
        <v>53</v>
      </c>
      <c r="B47" s="2071">
        <f>+'SZOLGÁLTATÓ IRODA'!B46</f>
        <v>667</v>
      </c>
      <c r="C47" s="410">
        <f>+'SZOLGÁLTATÓ IRODA'!C46</f>
        <v>-302</v>
      </c>
      <c r="D47" s="2094">
        <f>+'SZOLGÁLTATÓ IRODA'!D46</f>
        <v>365</v>
      </c>
      <c r="E47" s="2092">
        <f>+'SEGÍTŐ SZOLGÁLAT'!AK54</f>
        <v>4212</v>
      </c>
      <c r="F47" s="1032">
        <f>+'SEGÍTŐ SZOLGÁLAT'!AL54</f>
        <v>-40</v>
      </c>
      <c r="G47" s="2014">
        <f>+'SEGÍTŐ SZOLGÁLAT'!AM54</f>
        <v>4172</v>
      </c>
      <c r="H47" s="2092">
        <f>+ÓVODA!AF52</f>
        <v>7707</v>
      </c>
      <c r="I47" s="1032">
        <f>+ÓVODA!AG52</f>
        <v>90</v>
      </c>
      <c r="J47" s="2094">
        <f>+ÓVODA!AH52</f>
        <v>7797</v>
      </c>
      <c r="K47" s="2065">
        <f>+'KOZMA FERENC ÁLT. ISK.'!V49</f>
        <v>3125</v>
      </c>
      <c r="L47" s="407">
        <f>+'KOZMA FERENC ÁLT. ISK.'!W49</f>
        <v>0</v>
      </c>
      <c r="M47" s="2067">
        <f>+'KOZMA FERENC ÁLT. ISK.'!X49</f>
        <v>3125</v>
      </c>
      <c r="N47" s="2023"/>
      <c r="O47" s="1658"/>
      <c r="P47" s="2024"/>
      <c r="Q47" s="1993">
        <f t="shared" si="0"/>
        <v>15711</v>
      </c>
      <c r="R47" s="1776">
        <f t="shared" si="0"/>
        <v>-252</v>
      </c>
      <c r="S47" s="1641">
        <f t="shared" si="1"/>
        <v>15459</v>
      </c>
      <c r="V47" s="367"/>
    </row>
    <row r="48" spans="1:22" ht="13.15" customHeight="1">
      <c r="A48" s="1318" t="s">
        <v>54</v>
      </c>
      <c r="B48" s="2085">
        <f>+'SZOLGÁLTATÓ IRODA'!B47</f>
        <v>0</v>
      </c>
      <c r="C48" s="414">
        <f>+'SZOLGÁLTATÓ IRODA'!C47</f>
        <v>0</v>
      </c>
      <c r="D48" s="2096">
        <f>+'SZOLGÁLTATÓ IRODA'!D47</f>
        <v>0</v>
      </c>
      <c r="E48" s="2095">
        <f>+'SEGÍTŐ SZOLGÁLAT'!AK55</f>
        <v>57</v>
      </c>
      <c r="F48" s="1035">
        <f>+'SEGÍTŐ SZOLGÁLAT'!AL55</f>
        <v>0</v>
      </c>
      <c r="G48" s="2118">
        <f>+'SEGÍTŐ SZOLGÁLAT'!AM55</f>
        <v>57</v>
      </c>
      <c r="H48" s="2095">
        <f>+ÓVODA!AF53</f>
        <v>262</v>
      </c>
      <c r="I48" s="1035">
        <f>+ÓVODA!AG53</f>
        <v>0</v>
      </c>
      <c r="J48" s="2096">
        <f>+ÓVODA!AH53</f>
        <v>262</v>
      </c>
      <c r="K48" s="2068">
        <f>+'KOZMA FERENC ÁLT. ISK.'!V50</f>
        <v>847</v>
      </c>
      <c r="L48" s="408">
        <f>+'KOZMA FERENC ÁLT. ISK.'!W50</f>
        <v>0</v>
      </c>
      <c r="M48" s="2069">
        <f>+'KOZMA FERENC ÁLT. ISK.'!X50</f>
        <v>847</v>
      </c>
      <c r="N48" s="2030"/>
      <c r="O48" s="1659"/>
      <c r="P48" s="2026"/>
      <c r="Q48" s="1994">
        <f t="shared" si="0"/>
        <v>1166</v>
      </c>
      <c r="R48" s="1780">
        <f t="shared" si="0"/>
        <v>0</v>
      </c>
      <c r="S48" s="1654">
        <f t="shared" si="1"/>
        <v>1166</v>
      </c>
    </row>
    <row r="49" spans="1:22" ht="13.15" customHeight="1">
      <c r="A49" s="1320" t="s">
        <v>55</v>
      </c>
      <c r="B49" s="1784">
        <f>+'SZOLGÁLTATÓ IRODA'!B48</f>
        <v>667</v>
      </c>
      <c r="C49" s="409">
        <f>+'SZOLGÁLTATÓ IRODA'!C48</f>
        <v>-302</v>
      </c>
      <c r="D49" s="2098">
        <f>+'SZOLGÁLTATÓ IRODA'!D48</f>
        <v>365</v>
      </c>
      <c r="E49" s="2097">
        <f>+'SEGÍTŐ SZOLGÁLAT'!AK56</f>
        <v>4269</v>
      </c>
      <c r="F49" s="1656">
        <f>+'SEGÍTŐ SZOLGÁLAT'!AL56</f>
        <v>-40</v>
      </c>
      <c r="G49" s="2119">
        <f>+'SEGÍTŐ SZOLGÁLAT'!AM56</f>
        <v>4229</v>
      </c>
      <c r="H49" s="2097">
        <f>+ÓVODA!AF54</f>
        <v>7969</v>
      </c>
      <c r="I49" s="1656">
        <f>+ÓVODA!AG54</f>
        <v>90</v>
      </c>
      <c r="J49" s="2098">
        <f>+ÓVODA!AH54</f>
        <v>8059</v>
      </c>
      <c r="K49" s="1784">
        <f>+'KOZMA FERENC ÁLT. ISK.'!V51</f>
        <v>3972</v>
      </c>
      <c r="L49" s="409">
        <f>+'KOZMA FERENC ÁLT. ISK.'!W51</f>
        <v>0</v>
      </c>
      <c r="M49" s="2070">
        <f>+'KOZMA FERENC ÁLT. ISK.'!X51</f>
        <v>3972</v>
      </c>
      <c r="N49" s="2027"/>
      <c r="O49" s="1657"/>
      <c r="P49" s="2028"/>
      <c r="Q49" s="1997">
        <f t="shared" si="0"/>
        <v>16877</v>
      </c>
      <c r="R49" s="1656">
        <f t="shared" si="0"/>
        <v>-252</v>
      </c>
      <c r="S49" s="1799">
        <f t="shared" si="1"/>
        <v>16625</v>
      </c>
    </row>
    <row r="50" spans="1:22" s="368" customFormat="1" ht="13.15" customHeight="1">
      <c r="A50" s="1321" t="s">
        <v>56</v>
      </c>
      <c r="B50" s="2071">
        <f>+'SZOLGÁLTATÓ IRODA'!B49</f>
        <v>0</v>
      </c>
      <c r="C50" s="410">
        <f>+'SZOLGÁLTATÓ IRODA'!C49</f>
        <v>0</v>
      </c>
      <c r="D50" s="2093">
        <f>+'SZOLGÁLTATÓ IRODA'!D49</f>
        <v>0</v>
      </c>
      <c r="E50" s="2092">
        <f>+'SEGÍTŐ SZOLGÁLAT'!AK57</f>
        <v>0</v>
      </c>
      <c r="F50" s="1032">
        <f>+'SEGÍTŐ SZOLGÁLAT'!AL57</f>
        <v>2032</v>
      </c>
      <c r="G50" s="2014">
        <f>+'SEGÍTŐ SZOLGÁLAT'!AM57</f>
        <v>2032</v>
      </c>
      <c r="H50" s="2092">
        <f>+ÓVODA!AF55</f>
        <v>0</v>
      </c>
      <c r="I50" s="1032">
        <f>+ÓVODA!AG55</f>
        <v>0</v>
      </c>
      <c r="J50" s="2093">
        <f>+ÓVODA!AH55</f>
        <v>0</v>
      </c>
      <c r="K50" s="2071">
        <f>+'KOZMA FERENC ÁLT. ISK.'!V52</f>
        <v>0</v>
      </c>
      <c r="L50" s="410">
        <f>+'KOZMA FERENC ÁLT. ISK.'!W52</f>
        <v>0</v>
      </c>
      <c r="M50" s="2072">
        <f>+'KOZMA FERENC ÁLT. ISK.'!X52</f>
        <v>0</v>
      </c>
      <c r="N50" s="2013"/>
      <c r="O50" s="1033"/>
      <c r="P50" s="2022"/>
      <c r="Q50" s="1998">
        <f t="shared" si="0"/>
        <v>0</v>
      </c>
      <c r="R50" s="1032">
        <f t="shared" si="0"/>
        <v>2032</v>
      </c>
      <c r="S50" s="1783">
        <f t="shared" si="1"/>
        <v>2032</v>
      </c>
      <c r="V50" s="367"/>
    </row>
    <row r="51" spans="1:22" s="368" customFormat="1" ht="13.15" customHeight="1">
      <c r="A51" s="1316" t="s">
        <v>57</v>
      </c>
      <c r="B51" s="2071">
        <f>+'SZOLGÁLTATÓ IRODA'!B50</f>
        <v>1142</v>
      </c>
      <c r="C51" s="410">
        <f>+'SZOLGÁLTATÓ IRODA'!C50</f>
        <v>-302</v>
      </c>
      <c r="D51" s="2094">
        <f>+'SZOLGÁLTATÓ IRODA'!D50</f>
        <v>840</v>
      </c>
      <c r="E51" s="2092">
        <f>+'SEGÍTŐ SZOLGÁLAT'!AK58</f>
        <v>5284</v>
      </c>
      <c r="F51" s="1032">
        <f>+'SEGÍTŐ SZOLGÁLAT'!AL58</f>
        <v>-64</v>
      </c>
      <c r="G51" s="2014">
        <f>+'SEGÍTŐ SZOLGÁLAT'!AM58</f>
        <v>5220</v>
      </c>
      <c r="H51" s="2092">
        <f>+ÓVODA!AF56</f>
        <v>12386</v>
      </c>
      <c r="I51" s="1032">
        <f>+ÓVODA!AG56</f>
        <v>90</v>
      </c>
      <c r="J51" s="2094">
        <f>+ÓVODA!AH56</f>
        <v>12476</v>
      </c>
      <c r="K51" s="2065">
        <f>+'KOZMA FERENC ÁLT. ISK.'!V53</f>
        <v>7876</v>
      </c>
      <c r="L51" s="407">
        <f>+'KOZMA FERENC ÁLT. ISK.'!W53</f>
        <v>0</v>
      </c>
      <c r="M51" s="2067">
        <f>+'KOZMA FERENC ÁLT. ISK.'!X53</f>
        <v>7876</v>
      </c>
      <c r="N51" s="2023"/>
      <c r="O51" s="1658"/>
      <c r="P51" s="2024"/>
      <c r="Q51" s="1993">
        <f t="shared" si="0"/>
        <v>26688</v>
      </c>
      <c r="R51" s="1776">
        <f t="shared" si="0"/>
        <v>-276</v>
      </c>
      <c r="S51" s="1641">
        <f t="shared" si="1"/>
        <v>26412</v>
      </c>
      <c r="V51" s="367"/>
    </row>
    <row r="52" spans="1:22" ht="13.15" customHeight="1">
      <c r="A52" s="1650" t="s">
        <v>58</v>
      </c>
      <c r="B52" s="2085">
        <f>+'SZOLGÁLTATÓ IRODA'!B51</f>
        <v>0</v>
      </c>
      <c r="C52" s="414">
        <f>+'SZOLGÁLTATÓ IRODA'!C51</f>
        <v>0</v>
      </c>
      <c r="D52" s="2096">
        <f>+'SZOLGÁLTATÓ IRODA'!D51</f>
        <v>0</v>
      </c>
      <c r="E52" s="2095">
        <f>+'SEGÍTŐ SZOLGÁLAT'!AK59</f>
        <v>270</v>
      </c>
      <c r="F52" s="1035">
        <f>+'SEGÍTŐ SZOLGÁLAT'!AL59</f>
        <v>0</v>
      </c>
      <c r="G52" s="2118">
        <f>+'SEGÍTŐ SZOLGÁLAT'!AM59</f>
        <v>270</v>
      </c>
      <c r="H52" s="2095">
        <f>+ÓVODA!AF57</f>
        <v>348</v>
      </c>
      <c r="I52" s="1035">
        <f>+ÓVODA!AG57</f>
        <v>0</v>
      </c>
      <c r="J52" s="2096">
        <f>+ÓVODA!AH57</f>
        <v>348</v>
      </c>
      <c r="K52" s="2068">
        <f>+'KOZMA FERENC ÁLT. ISK.'!V54</f>
        <v>1705</v>
      </c>
      <c r="L52" s="408">
        <f>+'KOZMA FERENC ÁLT. ISK.'!W54</f>
        <v>0</v>
      </c>
      <c r="M52" s="2069">
        <f>+'KOZMA FERENC ÁLT. ISK.'!X54</f>
        <v>1705</v>
      </c>
      <c r="N52" s="2030"/>
      <c r="O52" s="1659"/>
      <c r="P52" s="2026"/>
      <c r="Q52" s="1994">
        <f t="shared" si="0"/>
        <v>2323</v>
      </c>
      <c r="R52" s="1780">
        <f t="shared" si="0"/>
        <v>0</v>
      </c>
      <c r="S52" s="1654">
        <f t="shared" si="1"/>
        <v>2323</v>
      </c>
      <c r="T52" s="1801"/>
    </row>
    <row r="53" spans="1:22" ht="13.15" customHeight="1">
      <c r="A53" s="1320" t="s">
        <v>59</v>
      </c>
      <c r="B53" s="1784">
        <f>+'SZOLGÁLTATÓ IRODA'!B52</f>
        <v>1142</v>
      </c>
      <c r="C53" s="409">
        <f>+'SZOLGÁLTATÓ IRODA'!C52</f>
        <v>-302</v>
      </c>
      <c r="D53" s="2098">
        <f>+'SZOLGÁLTATÓ IRODA'!D52</f>
        <v>840</v>
      </c>
      <c r="E53" s="2097">
        <f>+'SEGÍTŐ SZOLGÁLAT'!AK60</f>
        <v>5554</v>
      </c>
      <c r="F53" s="1656">
        <f>+'SEGÍTŐ SZOLGÁLAT'!AL60</f>
        <v>-64</v>
      </c>
      <c r="G53" s="2119">
        <f>+'SEGÍTŐ SZOLGÁLAT'!AM60</f>
        <v>5490</v>
      </c>
      <c r="H53" s="2097">
        <f>+ÓVODA!AF58</f>
        <v>12734</v>
      </c>
      <c r="I53" s="1656">
        <f>+ÓVODA!AG58</f>
        <v>90</v>
      </c>
      <c r="J53" s="2098">
        <f>+ÓVODA!AH58</f>
        <v>12824</v>
      </c>
      <c r="K53" s="1784">
        <f>+'KOZMA FERENC ÁLT. ISK.'!V55</f>
        <v>9581</v>
      </c>
      <c r="L53" s="409">
        <f>+'KOZMA FERENC ÁLT. ISK.'!W55</f>
        <v>0</v>
      </c>
      <c r="M53" s="2070">
        <f>+'KOZMA FERENC ÁLT. ISK.'!X55</f>
        <v>9581</v>
      </c>
      <c r="N53" s="2027"/>
      <c r="O53" s="1657"/>
      <c r="P53" s="2028"/>
      <c r="Q53" s="1997">
        <f t="shared" si="0"/>
        <v>29011</v>
      </c>
      <c r="R53" s="1656">
        <f t="shared" si="0"/>
        <v>-276</v>
      </c>
      <c r="S53" s="1799">
        <f t="shared" si="1"/>
        <v>28735</v>
      </c>
      <c r="T53" s="1801"/>
    </row>
    <row r="54" spans="1:22" ht="13.15" customHeight="1">
      <c r="A54" s="1320" t="s">
        <v>60</v>
      </c>
      <c r="B54" s="1784">
        <f>+'SZOLGÁLTATÓ IRODA'!B53</f>
        <v>963</v>
      </c>
      <c r="C54" s="409">
        <f>+'SZOLGÁLTATÓ IRODA'!C53</f>
        <v>254</v>
      </c>
      <c r="D54" s="2098">
        <f>+'SZOLGÁLTATÓ IRODA'!D53</f>
        <v>1217</v>
      </c>
      <c r="E54" s="2095">
        <f>+'SEGÍTŐ SZOLGÁLAT'!AK61</f>
        <v>580</v>
      </c>
      <c r="F54" s="1035">
        <f>+'SEGÍTŐ SZOLGÁLAT'!AL61</f>
        <v>1563</v>
      </c>
      <c r="G54" s="2118">
        <f>+'SEGÍTŐ SZOLGÁLAT'!AM61</f>
        <v>2143</v>
      </c>
      <c r="H54" s="2095">
        <f>+ÓVODA!AF59</f>
        <v>2189</v>
      </c>
      <c r="I54" s="1035">
        <f>+ÓVODA!AG59</f>
        <v>121</v>
      </c>
      <c r="J54" s="2099">
        <f>+ÓVODA!AH59</f>
        <v>2310</v>
      </c>
      <c r="K54" s="2073">
        <f>+'KOZMA FERENC ÁLT. ISK.'!V56</f>
        <v>250</v>
      </c>
      <c r="L54" s="1765">
        <f>+'KOZMA FERENC ÁLT. ISK.'!W56</f>
        <v>382</v>
      </c>
      <c r="M54" s="2070">
        <f>+'KOZMA FERENC ÁLT. ISK.'!X56</f>
        <v>632</v>
      </c>
      <c r="N54" s="2027"/>
      <c r="O54" s="1657"/>
      <c r="P54" s="2028"/>
      <c r="Q54" s="1997">
        <f t="shared" si="0"/>
        <v>3982</v>
      </c>
      <c r="R54" s="1656">
        <f t="shared" si="0"/>
        <v>2320</v>
      </c>
      <c r="S54" s="1799">
        <f t="shared" si="1"/>
        <v>6302</v>
      </c>
      <c r="T54" s="1801"/>
    </row>
    <row r="55" spans="1:22" s="21" customFormat="1" ht="13.15" customHeight="1">
      <c r="A55" s="1512" t="s">
        <v>61</v>
      </c>
      <c r="B55" s="2132">
        <f>+'SZOLGÁLTATÓ IRODA'!B54</f>
        <v>11157</v>
      </c>
      <c r="C55" s="1807">
        <f>+'SZOLGÁLTATÓ IRODA'!C54</f>
        <v>-4398</v>
      </c>
      <c r="D55" s="2101">
        <f>+'SZOLGÁLTATÓ IRODA'!D54</f>
        <v>6759</v>
      </c>
      <c r="E55" s="2100">
        <f>+'SEGÍTŐ SZOLGÁLAT'!AK62</f>
        <v>56425</v>
      </c>
      <c r="F55" s="1808">
        <f>+'SEGÍTŐ SZOLGÁLAT'!AL62</f>
        <v>1658</v>
      </c>
      <c r="G55" s="2120">
        <f>+'SEGÍTŐ SZOLGÁLAT'!AM62</f>
        <v>58083</v>
      </c>
      <c r="H55" s="2100">
        <f>+ÓVODA!AF60</f>
        <v>104796</v>
      </c>
      <c r="I55" s="1808">
        <f>+ÓVODA!AG60</f>
        <v>1425</v>
      </c>
      <c r="J55" s="2101">
        <f>+ÓVODA!AH60</f>
        <v>106221</v>
      </c>
      <c r="K55" s="2074">
        <f>+'KOZMA FERENC ÁLT. ISK.'!V57</f>
        <v>52225</v>
      </c>
      <c r="L55" s="1809">
        <f>+'KOZMA FERENC ÁLT. ISK.'!W57</f>
        <v>382</v>
      </c>
      <c r="M55" s="2075">
        <f>+'KOZMA FERENC ÁLT. ISK.'!X57</f>
        <v>52607</v>
      </c>
      <c r="N55" s="2032"/>
      <c r="O55" s="1792"/>
      <c r="P55" s="2033"/>
      <c r="Q55" s="1999">
        <f t="shared" si="0"/>
        <v>224603</v>
      </c>
      <c r="R55" s="1810">
        <f t="shared" si="0"/>
        <v>-933</v>
      </c>
      <c r="S55" s="1811">
        <f t="shared" si="1"/>
        <v>223670</v>
      </c>
      <c r="V55" s="22"/>
    </row>
    <row r="56" spans="1:22" s="21" customFormat="1" ht="13.15" customHeight="1" thickBot="1">
      <c r="A56" s="1990" t="s">
        <v>62</v>
      </c>
      <c r="B56" s="2133">
        <f>+'SZOLGÁLTATÓ IRODA'!B55</f>
        <v>2832.3</v>
      </c>
      <c r="C56" s="1812">
        <f>+'SZOLGÁLTATÓ IRODA'!C55</f>
        <v>-972</v>
      </c>
      <c r="D56" s="2103">
        <f>+'SZOLGÁLTATÓ IRODA'!D55</f>
        <v>1860.3000000000002</v>
      </c>
      <c r="E56" s="2102">
        <f>+'SEGÍTŐ SZOLGÁLAT'!AK63</f>
        <v>13988.970000000001</v>
      </c>
      <c r="F56" s="1813">
        <f>+'SEGÍTŐ SZOLGÁLAT'!AL63</f>
        <v>416.92</v>
      </c>
      <c r="G56" s="2121">
        <f>+'SEGÍTŐ SZOLGÁLAT'!AM63</f>
        <v>14405.890000000001</v>
      </c>
      <c r="H56" s="2102">
        <f>+ÓVODA!AF61</f>
        <v>26046.900000000005</v>
      </c>
      <c r="I56" s="1813">
        <f>+ÓVODA!AG61</f>
        <v>357</v>
      </c>
      <c r="J56" s="2103">
        <f>+ÓVODA!AH61</f>
        <v>26403.900000000005</v>
      </c>
      <c r="K56" s="2076">
        <f>+'KOZMA FERENC ÁLT. ISK.'!V58</f>
        <v>12982.400000000001</v>
      </c>
      <c r="L56" s="1814">
        <f>+'KOZMA FERENC ÁLT. ISK.'!W58</f>
        <v>100</v>
      </c>
      <c r="M56" s="2077">
        <f>+'KOZMA FERENC ÁLT. ISK.'!X58</f>
        <v>13082.750000000002</v>
      </c>
      <c r="N56" s="2034"/>
      <c r="O56" s="1797"/>
      <c r="P56" s="2035"/>
      <c r="Q56" s="2000">
        <f t="shared" si="0"/>
        <v>55850.570000000007</v>
      </c>
      <c r="R56" s="1815">
        <f t="shared" si="0"/>
        <v>-98.079999999999927</v>
      </c>
      <c r="S56" s="1816">
        <f t="shared" si="1"/>
        <v>55752.490000000005</v>
      </c>
      <c r="V56" s="22"/>
    </row>
    <row r="57" spans="1:22" s="21" customFormat="1" ht="12.75" customHeight="1" thickBot="1">
      <c r="A57" s="1344" t="s">
        <v>63</v>
      </c>
      <c r="B57" s="2078">
        <f>+'SZOLGÁLTATÓ IRODA'!B56</f>
        <v>13989.3</v>
      </c>
      <c r="C57" s="417">
        <f>+'SZOLGÁLTATÓ IRODA'!C56</f>
        <v>-5370</v>
      </c>
      <c r="D57" s="2104">
        <f>SUM(D55:D56)</f>
        <v>8619.2999999999993</v>
      </c>
      <c r="E57" s="2019">
        <f>+'SEGÍTŐ SZOLGÁLAT'!AK64</f>
        <v>70413.97</v>
      </c>
      <c r="F57" s="1072">
        <f>+'SEGÍTŐ SZOLGÁLAT'!AL64</f>
        <v>2074.92</v>
      </c>
      <c r="G57" s="2090">
        <f>+'SEGÍTŐ SZOLGÁLAT'!AM64</f>
        <v>72488.89</v>
      </c>
      <c r="H57" s="2019">
        <f>+ÓVODA!AF62</f>
        <v>130842.89999999998</v>
      </c>
      <c r="I57" s="1072">
        <f>+ÓVODA!AG62</f>
        <v>1782</v>
      </c>
      <c r="J57" s="2104">
        <f>SUM(J55:J56)</f>
        <v>132624.9</v>
      </c>
      <c r="K57" s="2078">
        <f>+'KOZMA FERENC ÁLT. ISK.'!V59</f>
        <v>65207.4</v>
      </c>
      <c r="L57" s="417">
        <f>+'KOZMA FERENC ÁLT. ISK.'!W59</f>
        <v>482</v>
      </c>
      <c r="M57" s="2047">
        <f>SUM(M55:M56)</f>
        <v>65689.75</v>
      </c>
      <c r="N57" s="2036"/>
      <c r="O57" s="1798"/>
      <c r="P57" s="2037"/>
      <c r="Q57" s="1764">
        <f t="shared" si="0"/>
        <v>280453.57</v>
      </c>
      <c r="R57" s="1072">
        <f t="shared" si="0"/>
        <v>-1031.08</v>
      </c>
      <c r="S57" s="1817">
        <f t="shared" si="1"/>
        <v>279422.49</v>
      </c>
      <c r="V57" s="22"/>
    </row>
    <row r="58" spans="1:22">
      <c r="A58" s="23" t="s">
        <v>64</v>
      </c>
      <c r="B58" s="2079">
        <f>+'SZOLGÁLTATÓ IRODA'!B57</f>
        <v>150</v>
      </c>
      <c r="C58" s="1069">
        <f>+'SZOLGÁLTATÓ IRODA'!C57</f>
        <v>0</v>
      </c>
      <c r="D58" s="2091">
        <f>+'SZOLGÁLTATÓ IRODA'!D57</f>
        <v>150</v>
      </c>
      <c r="E58" s="2105">
        <f>+'SEGÍTŐ SZOLGÁLAT'!AK65</f>
        <v>120</v>
      </c>
      <c r="F58" s="1068">
        <f>+'SEGÍTŐ SZOLGÁLAT'!AL65</f>
        <v>8</v>
      </c>
      <c r="G58" s="2117">
        <f>+'SEGÍTŐ SZOLGÁLAT'!AM65</f>
        <v>128</v>
      </c>
      <c r="H58" s="2105">
        <f>+ÓVODA!AF63</f>
        <v>150</v>
      </c>
      <c r="I58" s="1068">
        <f>+ÓVODA!AG63</f>
        <v>0</v>
      </c>
      <c r="J58" s="2091">
        <f>+ÓVODA!AH63</f>
        <v>150</v>
      </c>
      <c r="K58" s="2079">
        <f>+'KOZMA FERENC ÁLT. ISK.'!V60</f>
        <v>450</v>
      </c>
      <c r="L58" s="1069">
        <f>+'KOZMA FERENC ÁLT. ISK.'!W60</f>
        <v>130</v>
      </c>
      <c r="M58" s="2064">
        <f>+'KOZMA FERENC ÁLT. ISK.'!X60</f>
        <v>580</v>
      </c>
      <c r="N58" s="2013"/>
      <c r="O58" s="1033"/>
      <c r="P58" s="2022"/>
      <c r="Q58" s="1998">
        <f t="shared" si="0"/>
        <v>870</v>
      </c>
      <c r="R58" s="1032">
        <f t="shared" si="0"/>
        <v>138</v>
      </c>
      <c r="S58" s="1783">
        <f t="shared" si="1"/>
        <v>1008</v>
      </c>
    </row>
    <row r="59" spans="1:22">
      <c r="A59" s="9" t="s">
        <v>65</v>
      </c>
      <c r="B59" s="2071">
        <f>+'SZOLGÁLTATÓ IRODA'!B58</f>
        <v>35</v>
      </c>
      <c r="C59" s="410">
        <f>+'SZOLGÁLTATÓ IRODA'!C58</f>
        <v>-18</v>
      </c>
      <c r="D59" s="2093">
        <f>+'SZOLGÁLTATÓ IRODA'!D58</f>
        <v>17</v>
      </c>
      <c r="E59" s="2092">
        <f>+'SEGÍTŐ SZOLGÁLAT'!AK66</f>
        <v>25</v>
      </c>
      <c r="F59" s="1032">
        <f>+'SEGÍTŐ SZOLGÁLAT'!AL66</f>
        <v>1</v>
      </c>
      <c r="G59" s="2014">
        <f>+'SEGÍTŐ SZOLGÁLAT'!AM66</f>
        <v>26</v>
      </c>
      <c r="H59" s="2092">
        <f>+ÓVODA!AF64</f>
        <v>250</v>
      </c>
      <c r="I59" s="1032">
        <f>+ÓVODA!AG64</f>
        <v>28</v>
      </c>
      <c r="J59" s="2093">
        <f>+ÓVODA!AH64</f>
        <v>278</v>
      </c>
      <c r="K59" s="2065">
        <f>+'KOZMA FERENC ÁLT. ISK.'!V61</f>
        <v>1269</v>
      </c>
      <c r="L59" s="407">
        <f>+'KOZMA FERENC ÁLT. ISK.'!W61</f>
        <v>1</v>
      </c>
      <c r="M59" s="2066">
        <f>+'KOZMA FERENC ÁLT. ISK.'!X61</f>
        <v>1270</v>
      </c>
      <c r="N59" s="2013"/>
      <c r="O59" s="1033"/>
      <c r="P59" s="2038"/>
      <c r="Q59" s="1993">
        <f t="shared" si="0"/>
        <v>1579</v>
      </c>
      <c r="R59" s="1776">
        <f t="shared" si="0"/>
        <v>12</v>
      </c>
      <c r="S59" s="1641">
        <f t="shared" si="1"/>
        <v>1591</v>
      </c>
    </row>
    <row r="60" spans="1:22">
      <c r="A60" s="9" t="s">
        <v>66</v>
      </c>
      <c r="B60" s="2071">
        <f>+'SZOLGÁLTATÓ IRODA'!B59</f>
        <v>20</v>
      </c>
      <c r="C60" s="410">
        <f>+'SZOLGÁLTATÓ IRODA'!C59</f>
        <v>-15</v>
      </c>
      <c r="D60" s="2093">
        <f>+'SZOLGÁLTATÓ IRODA'!D59</f>
        <v>5</v>
      </c>
      <c r="E60" s="2092">
        <f>+'SEGÍTŐ SZOLGÁLAT'!AK67</f>
        <v>0</v>
      </c>
      <c r="F60" s="1032">
        <f>+'SEGÍTŐ SZOLGÁLAT'!AL67</f>
        <v>0</v>
      </c>
      <c r="G60" s="2014">
        <f>+'SEGÍTŐ SZOLGÁLAT'!AM67</f>
        <v>0</v>
      </c>
      <c r="H60" s="2092">
        <f>+ÓVODA!AF65</f>
        <v>30</v>
      </c>
      <c r="I60" s="1032">
        <f>+ÓVODA!AG65</f>
        <v>0</v>
      </c>
      <c r="J60" s="2093">
        <f>+ÓVODA!AH65</f>
        <v>30</v>
      </c>
      <c r="K60" s="2065">
        <f>+'KOZMA FERENC ÁLT. ISK.'!V62</f>
        <v>15</v>
      </c>
      <c r="L60" s="407">
        <f>+'KOZMA FERENC ÁLT. ISK.'!W62</f>
        <v>0</v>
      </c>
      <c r="M60" s="2066">
        <f>+'KOZMA FERENC ÁLT. ISK.'!X62</f>
        <v>15</v>
      </c>
      <c r="N60" s="2013"/>
      <c r="O60" s="1033"/>
      <c r="P60" s="2038"/>
      <c r="Q60" s="1993">
        <f t="shared" si="0"/>
        <v>65</v>
      </c>
      <c r="R60" s="1776">
        <f t="shared" si="0"/>
        <v>-15</v>
      </c>
      <c r="S60" s="1641">
        <f t="shared" si="1"/>
        <v>50</v>
      </c>
    </row>
    <row r="61" spans="1:22" ht="13.9" customHeight="1">
      <c r="A61" s="9" t="s">
        <v>67</v>
      </c>
      <c r="B61" s="2071">
        <f>+'SZOLGÁLTATÓ IRODA'!B60</f>
        <v>0</v>
      </c>
      <c r="C61" s="410">
        <f>+'SZOLGÁLTATÓ IRODA'!C60</f>
        <v>0</v>
      </c>
      <c r="D61" s="2093">
        <f>+'SZOLGÁLTATÓ IRODA'!D60</f>
        <v>0</v>
      </c>
      <c r="E61" s="2092">
        <f>+'SEGÍTŐ SZOLGÁLAT'!AK68</f>
        <v>20</v>
      </c>
      <c r="F61" s="1032">
        <f>+'SEGÍTŐ SZOLGÁLAT'!AL68</f>
        <v>-20</v>
      </c>
      <c r="G61" s="2014">
        <f>+'SEGÍTŐ SZOLGÁLAT'!AM68</f>
        <v>0</v>
      </c>
      <c r="H61" s="2092">
        <f>+ÓVODA!AF66</f>
        <v>30</v>
      </c>
      <c r="I61" s="1032">
        <f>+ÓVODA!AG66</f>
        <v>0</v>
      </c>
      <c r="J61" s="2093">
        <f>+ÓVODA!AH66</f>
        <v>30</v>
      </c>
      <c r="K61" s="2065">
        <f>+'KOZMA FERENC ÁLT. ISK.'!V63</f>
        <v>10</v>
      </c>
      <c r="L61" s="407">
        <f>+'KOZMA FERENC ÁLT. ISK.'!W63</f>
        <v>0</v>
      </c>
      <c r="M61" s="2066">
        <f>+'KOZMA FERENC ÁLT. ISK.'!X63</f>
        <v>10</v>
      </c>
      <c r="N61" s="2013"/>
      <c r="O61" s="1033"/>
      <c r="P61" s="2038"/>
      <c r="Q61" s="1993">
        <f t="shared" si="0"/>
        <v>60</v>
      </c>
      <c r="R61" s="1776">
        <f t="shared" si="0"/>
        <v>-20</v>
      </c>
      <c r="S61" s="1641">
        <f t="shared" si="1"/>
        <v>40</v>
      </c>
    </row>
    <row r="62" spans="1:22">
      <c r="A62" s="9" t="s">
        <v>68</v>
      </c>
      <c r="B62" s="2071">
        <f>+'SZOLGÁLTATÓ IRODA'!B61</f>
        <v>0</v>
      </c>
      <c r="C62" s="410">
        <f>+'SZOLGÁLTATÓ IRODA'!C61</f>
        <v>0</v>
      </c>
      <c r="D62" s="2093">
        <f>+'SZOLGÁLTATÓ IRODA'!D61</f>
        <v>0</v>
      </c>
      <c r="E62" s="2092">
        <f>+'SEGÍTŐ SZOLGÁLAT'!AK69</f>
        <v>2110</v>
      </c>
      <c r="F62" s="1032">
        <f>+'SEGÍTŐ SZOLGÁLAT'!AL69</f>
        <v>-100</v>
      </c>
      <c r="G62" s="2014">
        <f>+'SEGÍTŐ SZOLGÁLAT'!AM69</f>
        <v>2010</v>
      </c>
      <c r="H62" s="2092">
        <f>+ÓVODA!AF67</f>
        <v>20</v>
      </c>
      <c r="I62" s="1032">
        <f>+ÓVODA!AG67</f>
        <v>0</v>
      </c>
      <c r="J62" s="2093">
        <f>+ÓVODA!AH67</f>
        <v>20</v>
      </c>
      <c r="K62" s="2065">
        <f>+'KOZMA FERENC ÁLT. ISK.'!V64</f>
        <v>10</v>
      </c>
      <c r="L62" s="407">
        <f>+'KOZMA FERENC ÁLT. ISK.'!W64</f>
        <v>0</v>
      </c>
      <c r="M62" s="2066">
        <f>+'KOZMA FERENC ÁLT. ISK.'!X64</f>
        <v>10</v>
      </c>
      <c r="N62" s="2013"/>
      <c r="O62" s="1033"/>
      <c r="P62" s="2038"/>
      <c r="Q62" s="1993">
        <f t="shared" si="0"/>
        <v>2140</v>
      </c>
      <c r="R62" s="1776">
        <f t="shared" si="0"/>
        <v>-100</v>
      </c>
      <c r="S62" s="1641">
        <f t="shared" si="1"/>
        <v>2040</v>
      </c>
    </row>
    <row r="63" spans="1:22">
      <c r="A63" s="9" t="s">
        <v>69</v>
      </c>
      <c r="B63" s="2071">
        <f>+'SZOLGÁLTATÓ IRODA'!B62</f>
        <v>50</v>
      </c>
      <c r="C63" s="410">
        <f>+'SZOLGÁLTATÓ IRODA'!C62</f>
        <v>-30</v>
      </c>
      <c r="D63" s="2093">
        <f>+'SZOLGÁLTATÓ IRODA'!D62</f>
        <v>20</v>
      </c>
      <c r="E63" s="2092">
        <f>+'SEGÍTŐ SZOLGÁLAT'!AK70</f>
        <v>210</v>
      </c>
      <c r="F63" s="1032">
        <f>+'SEGÍTŐ SZOLGÁLAT'!AL70</f>
        <v>-71</v>
      </c>
      <c r="G63" s="2014">
        <f>+'SEGÍTŐ SZOLGÁLAT'!AM70</f>
        <v>139</v>
      </c>
      <c r="H63" s="2092">
        <f>+ÓVODA!AF68</f>
        <v>255</v>
      </c>
      <c r="I63" s="1032">
        <f>+ÓVODA!AG68</f>
        <v>0</v>
      </c>
      <c r="J63" s="2093">
        <f>+ÓVODA!AH68</f>
        <v>255</v>
      </c>
      <c r="K63" s="2065">
        <f>+'KOZMA FERENC ÁLT. ISK.'!V65</f>
        <v>100</v>
      </c>
      <c r="L63" s="407">
        <f>+'KOZMA FERENC ÁLT. ISK.'!W65</f>
        <v>0</v>
      </c>
      <c r="M63" s="2066">
        <f>+'KOZMA FERENC ÁLT. ISK.'!X65</f>
        <v>100</v>
      </c>
      <c r="N63" s="2013"/>
      <c r="O63" s="1033"/>
      <c r="P63" s="2038"/>
      <c r="Q63" s="1993">
        <f t="shared" si="0"/>
        <v>615</v>
      </c>
      <c r="R63" s="1776">
        <f t="shared" si="0"/>
        <v>-101</v>
      </c>
      <c r="S63" s="1641">
        <f t="shared" si="1"/>
        <v>514</v>
      </c>
    </row>
    <row r="64" spans="1:22">
      <c r="A64" s="9" t="s">
        <v>70</v>
      </c>
      <c r="B64" s="2071">
        <f>+'SZOLGÁLTATÓ IRODA'!B63</f>
        <v>0</v>
      </c>
      <c r="C64" s="410">
        <f>+'SZOLGÁLTATÓ IRODA'!C63</f>
        <v>0</v>
      </c>
      <c r="D64" s="2093">
        <f>+'SZOLGÁLTATÓ IRODA'!D63</f>
        <v>0</v>
      </c>
      <c r="E64" s="2092">
        <f>+'SEGÍTŐ SZOLGÁLAT'!AK71</f>
        <v>15</v>
      </c>
      <c r="F64" s="1032">
        <f>+'SEGÍTŐ SZOLGÁLAT'!AL71</f>
        <v>8</v>
      </c>
      <c r="G64" s="2014">
        <f>+'SEGÍTŐ SZOLGÁLAT'!AM71</f>
        <v>23</v>
      </c>
      <c r="H64" s="2092">
        <f>+ÓVODA!AF69</f>
        <v>400</v>
      </c>
      <c r="I64" s="1032">
        <f>+ÓVODA!AG69</f>
        <v>41</v>
      </c>
      <c r="J64" s="2093">
        <f>+ÓVODA!AH69</f>
        <v>441</v>
      </c>
      <c r="K64" s="2065">
        <f>+'KOZMA FERENC ÁLT. ISK.'!V66</f>
        <v>100</v>
      </c>
      <c r="L64" s="407">
        <f>+'KOZMA FERENC ÁLT. ISK.'!W66</f>
        <v>0</v>
      </c>
      <c r="M64" s="2066">
        <f>+'KOZMA FERENC ÁLT. ISK.'!X66</f>
        <v>100</v>
      </c>
      <c r="N64" s="2013"/>
      <c r="O64" s="1033"/>
      <c r="P64" s="2038"/>
      <c r="Q64" s="1993">
        <f t="shared" si="0"/>
        <v>515</v>
      </c>
      <c r="R64" s="1776">
        <f t="shared" si="0"/>
        <v>49</v>
      </c>
      <c r="S64" s="1641">
        <f t="shared" si="1"/>
        <v>564</v>
      </c>
    </row>
    <row r="65" spans="1:19">
      <c r="A65" s="9" t="s">
        <v>71</v>
      </c>
      <c r="B65" s="2071">
        <f>+'SZOLGÁLTATÓ IRODA'!B64</f>
        <v>0</v>
      </c>
      <c r="C65" s="410">
        <f>+'SZOLGÁLTATÓ IRODA'!C64</f>
        <v>0</v>
      </c>
      <c r="D65" s="2093">
        <f>+'SZOLGÁLTATÓ IRODA'!D64</f>
        <v>0</v>
      </c>
      <c r="E65" s="2092">
        <f>+'SEGÍTŐ SZOLGÁLAT'!AK72</f>
        <v>0</v>
      </c>
      <c r="F65" s="1032">
        <f>+'SEGÍTŐ SZOLGÁLAT'!AL72</f>
        <v>0</v>
      </c>
      <c r="G65" s="2014">
        <f>+'SEGÍTŐ SZOLGÁLAT'!AM72</f>
        <v>0</v>
      </c>
      <c r="H65" s="2092">
        <f>+ÓVODA!AF70</f>
        <v>0</v>
      </c>
      <c r="I65" s="1032">
        <f>+ÓVODA!AG70</f>
        <v>0</v>
      </c>
      <c r="J65" s="2093">
        <f>+ÓVODA!AH70</f>
        <v>0</v>
      </c>
      <c r="K65" s="2065">
        <f>+'KOZMA FERENC ÁLT. ISK.'!V67</f>
        <v>0</v>
      </c>
      <c r="L65" s="407">
        <f>+'KOZMA FERENC ÁLT. ISK.'!W67</f>
        <v>0</v>
      </c>
      <c r="M65" s="2066">
        <f>+'KOZMA FERENC ÁLT. ISK.'!X67</f>
        <v>0</v>
      </c>
      <c r="N65" s="2013"/>
      <c r="O65" s="1033"/>
      <c r="P65" s="2038"/>
      <c r="Q65" s="1993">
        <f t="shared" si="0"/>
        <v>0</v>
      </c>
      <c r="R65" s="1776">
        <f t="shared" si="0"/>
        <v>0</v>
      </c>
      <c r="S65" s="1641">
        <f t="shared" si="1"/>
        <v>0</v>
      </c>
    </row>
    <row r="66" spans="1:19">
      <c r="A66" s="9" t="s">
        <v>72</v>
      </c>
      <c r="B66" s="2071">
        <f>+'SZOLGÁLTATÓ IRODA'!B65</f>
        <v>0</v>
      </c>
      <c r="C66" s="410">
        <f>+'SZOLGÁLTATÓ IRODA'!C65</f>
        <v>0</v>
      </c>
      <c r="D66" s="2093">
        <f>+'SZOLGÁLTATÓ IRODA'!D65</f>
        <v>0</v>
      </c>
      <c r="E66" s="2092">
        <f>+'SEGÍTŐ SZOLGÁLAT'!AK73</f>
        <v>0</v>
      </c>
      <c r="F66" s="1032">
        <f>+'SEGÍTŐ SZOLGÁLAT'!AL73</f>
        <v>0</v>
      </c>
      <c r="G66" s="2014">
        <f>+'SEGÍTŐ SZOLGÁLAT'!AM73</f>
        <v>0</v>
      </c>
      <c r="H66" s="2092">
        <f>+ÓVODA!AF71</f>
        <v>210</v>
      </c>
      <c r="I66" s="1032">
        <f>+ÓVODA!AG71</f>
        <v>0</v>
      </c>
      <c r="J66" s="2093">
        <f>+ÓVODA!AH71</f>
        <v>210</v>
      </c>
      <c r="K66" s="2065">
        <f>+'KOZMA FERENC ÁLT. ISK.'!V68</f>
        <v>80</v>
      </c>
      <c r="L66" s="407">
        <f>+'KOZMA FERENC ÁLT. ISK.'!W68</f>
        <v>0</v>
      </c>
      <c r="M66" s="2066">
        <f>+'KOZMA FERENC ÁLT. ISK.'!X68</f>
        <v>80</v>
      </c>
      <c r="N66" s="2013"/>
      <c r="O66" s="1033"/>
      <c r="P66" s="2038"/>
      <c r="Q66" s="1993">
        <f t="shared" si="0"/>
        <v>290</v>
      </c>
      <c r="R66" s="1776">
        <f t="shared" si="0"/>
        <v>0</v>
      </c>
      <c r="S66" s="1641">
        <f t="shared" si="1"/>
        <v>290</v>
      </c>
    </row>
    <row r="67" spans="1:19">
      <c r="A67" s="25" t="s">
        <v>73</v>
      </c>
      <c r="B67" s="2085">
        <f>+'SZOLGÁLTATÓ IRODA'!B66</f>
        <v>183.5</v>
      </c>
      <c r="C67" s="414">
        <f>+'SZOLGÁLTATÓ IRODA'!C66</f>
        <v>-60</v>
      </c>
      <c r="D67" s="2099">
        <f>+'SZOLGÁLTATÓ IRODA'!D66</f>
        <v>123.5</v>
      </c>
      <c r="E67" s="2095">
        <f>+'SEGÍTŐ SZOLGÁLAT'!AK74</f>
        <v>355</v>
      </c>
      <c r="F67" s="1035">
        <f>+'SEGÍTŐ SZOLGÁLAT'!AL74</f>
        <v>-330</v>
      </c>
      <c r="G67" s="2118">
        <f>+'SEGÍTŐ SZOLGÁLAT'!AM74</f>
        <v>25</v>
      </c>
      <c r="H67" s="2095">
        <f>+ÓVODA!AF72</f>
        <v>580</v>
      </c>
      <c r="I67" s="1035">
        <f>+ÓVODA!AG72</f>
        <v>-386</v>
      </c>
      <c r="J67" s="2099">
        <f>+ÓVODA!AH72</f>
        <v>194</v>
      </c>
      <c r="K67" s="2068">
        <f>+'KOZMA FERENC ÁLT. ISK.'!V69</f>
        <v>100</v>
      </c>
      <c r="L67" s="408">
        <f>+'KOZMA FERENC ÁLT. ISK.'!W69</f>
        <v>0</v>
      </c>
      <c r="M67" s="2080">
        <f>+'KOZMA FERENC ÁLT. ISK.'!X69</f>
        <v>100</v>
      </c>
      <c r="N67" s="2039"/>
      <c r="O67" s="1655"/>
      <c r="P67" s="2040"/>
      <c r="Q67" s="1994">
        <f t="shared" si="0"/>
        <v>1218.5</v>
      </c>
      <c r="R67" s="1780">
        <f t="shared" si="0"/>
        <v>-776</v>
      </c>
      <c r="S67" s="1654">
        <f t="shared" si="1"/>
        <v>442.5</v>
      </c>
    </row>
    <row r="68" spans="1:19">
      <c r="A68" s="825" t="s">
        <v>74</v>
      </c>
      <c r="B68" s="1784">
        <f>+'SZOLGÁLTATÓ IRODA'!B67</f>
        <v>438.5</v>
      </c>
      <c r="C68" s="409">
        <f>+'SZOLGÁLTATÓ IRODA'!C67</f>
        <v>-123</v>
      </c>
      <c r="D68" s="2098">
        <f>+'SZOLGÁLTATÓ IRODA'!D67</f>
        <v>315.5</v>
      </c>
      <c r="E68" s="2097">
        <f>+'SEGÍTŐ SZOLGÁLAT'!AK75</f>
        <v>2855</v>
      </c>
      <c r="F68" s="1656">
        <f>+'SEGÍTŐ SZOLGÁLAT'!AL75</f>
        <v>-504</v>
      </c>
      <c r="G68" s="2119">
        <f>+'SEGÍTŐ SZOLGÁLAT'!AM75</f>
        <v>2351</v>
      </c>
      <c r="H68" s="2097">
        <f>+ÓVODA!AF73</f>
        <v>1925</v>
      </c>
      <c r="I68" s="1656">
        <f>+ÓVODA!AG73</f>
        <v>-317</v>
      </c>
      <c r="J68" s="2098">
        <f>+ÓVODA!AH73</f>
        <v>1608</v>
      </c>
      <c r="K68" s="1784">
        <f>+'KOZMA FERENC ÁLT. ISK.'!V70</f>
        <v>2134</v>
      </c>
      <c r="L68" s="409">
        <f>+'KOZMA FERENC ÁLT. ISK.'!W70</f>
        <v>131</v>
      </c>
      <c r="M68" s="2070">
        <f>+'KOZMA FERENC ÁLT. ISK.'!X70</f>
        <v>2265</v>
      </c>
      <c r="N68" s="2027"/>
      <c r="O68" s="1657"/>
      <c r="P68" s="2028">
        <f>SUM(P58:P67)</f>
        <v>0</v>
      </c>
      <c r="Q68" s="1997">
        <f t="shared" si="0"/>
        <v>7352.5</v>
      </c>
      <c r="R68" s="1656">
        <f t="shared" si="0"/>
        <v>-813</v>
      </c>
      <c r="S68" s="1799">
        <f t="shared" si="1"/>
        <v>6539.5</v>
      </c>
    </row>
    <row r="69" spans="1:19">
      <c r="A69" s="23" t="s">
        <v>75</v>
      </c>
      <c r="B69" s="2071">
        <f>+'SZOLGÁLTATÓ IRODA'!B68</f>
        <v>220</v>
      </c>
      <c r="C69" s="410">
        <f>+'SZOLGÁLTATÓ IRODA'!C68</f>
        <v>-123</v>
      </c>
      <c r="D69" s="2093">
        <f>+'SZOLGÁLTATÓ IRODA'!D68</f>
        <v>97</v>
      </c>
      <c r="E69" s="2092">
        <f>+'SEGÍTŐ SZOLGÁLAT'!AK76</f>
        <v>740</v>
      </c>
      <c r="F69" s="1032">
        <f>+'SEGÍTŐ SZOLGÁLAT'!AL76</f>
        <v>22</v>
      </c>
      <c r="G69" s="2014">
        <f>+'SEGÍTŐ SZOLGÁLAT'!AM76</f>
        <v>762</v>
      </c>
      <c r="H69" s="2092">
        <f>+ÓVODA!AF74</f>
        <v>405</v>
      </c>
      <c r="I69" s="1032">
        <f>+ÓVODA!AG74</f>
        <v>13</v>
      </c>
      <c r="J69" s="2093">
        <f>+ÓVODA!AH74</f>
        <v>418</v>
      </c>
      <c r="K69" s="2071">
        <f>+'KOZMA FERENC ÁLT. ISK.'!V71</f>
        <v>200</v>
      </c>
      <c r="L69" s="410">
        <f>+'KOZMA FERENC ÁLT. ISK.'!W71</f>
        <v>16</v>
      </c>
      <c r="M69" s="2072">
        <f>+'KOZMA FERENC ÁLT. ISK.'!X71</f>
        <v>216</v>
      </c>
      <c r="N69" s="2013"/>
      <c r="O69" s="1033"/>
      <c r="P69" s="2022"/>
      <c r="Q69" s="1998">
        <f t="shared" si="0"/>
        <v>1565</v>
      </c>
      <c r="R69" s="1032">
        <f t="shared" si="0"/>
        <v>-72</v>
      </c>
      <c r="S69" s="1783">
        <f t="shared" si="1"/>
        <v>1493</v>
      </c>
    </row>
    <row r="70" spans="1:19">
      <c r="A70" s="9" t="s">
        <v>76</v>
      </c>
      <c r="B70" s="2071">
        <f>+'SZOLGÁLTATÓ IRODA'!B69</f>
        <v>100</v>
      </c>
      <c r="C70" s="410">
        <f>+'SZOLGÁLTATÓ IRODA'!C69</f>
        <v>-50</v>
      </c>
      <c r="D70" s="2093">
        <f>+'SZOLGÁLTATÓ IRODA'!D69</f>
        <v>50</v>
      </c>
      <c r="E70" s="2092">
        <f>+'SEGÍTŐ SZOLGÁLAT'!AK77</f>
        <v>0</v>
      </c>
      <c r="F70" s="1032">
        <f>+'SEGÍTŐ SZOLGÁLAT'!AL77</f>
        <v>0</v>
      </c>
      <c r="G70" s="2014">
        <f>+'SEGÍTŐ SZOLGÁLAT'!AM77</f>
        <v>0</v>
      </c>
      <c r="H70" s="2092">
        <f>+ÓVODA!AF75</f>
        <v>0</v>
      </c>
      <c r="I70" s="1032">
        <f>+ÓVODA!AG75</f>
        <v>0</v>
      </c>
      <c r="J70" s="2093">
        <f>+ÓVODA!AH75</f>
        <v>0</v>
      </c>
      <c r="K70" s="2065">
        <f>+'KOZMA FERENC ÁLT. ISK.'!V72</f>
        <v>0</v>
      </c>
      <c r="L70" s="407">
        <f>+'KOZMA FERENC ÁLT. ISK.'!W72</f>
        <v>0</v>
      </c>
      <c r="M70" s="2066">
        <f>+'KOZMA FERENC ÁLT. ISK.'!X72</f>
        <v>0</v>
      </c>
      <c r="N70" s="2013"/>
      <c r="O70" s="1033"/>
      <c r="P70" s="2038"/>
      <c r="Q70" s="1993">
        <f t="shared" si="0"/>
        <v>100</v>
      </c>
      <c r="R70" s="1776">
        <f t="shared" si="0"/>
        <v>-50</v>
      </c>
      <c r="S70" s="1641">
        <f t="shared" si="1"/>
        <v>50</v>
      </c>
    </row>
    <row r="71" spans="1:19">
      <c r="A71" s="25" t="s">
        <v>77</v>
      </c>
      <c r="B71" s="2085">
        <f>+'SZOLGÁLTATÓ IRODA'!B70</f>
        <v>300</v>
      </c>
      <c r="C71" s="414">
        <f>+'SZOLGÁLTATÓ IRODA'!C70</f>
        <v>-150</v>
      </c>
      <c r="D71" s="2099">
        <f>+'SZOLGÁLTATÓ IRODA'!D70</f>
        <v>150</v>
      </c>
      <c r="E71" s="2095">
        <f>+'SEGÍTŐ SZOLGÁLAT'!AK78</f>
        <v>0</v>
      </c>
      <c r="F71" s="1035">
        <f>+'SEGÍTŐ SZOLGÁLAT'!AL78</f>
        <v>0</v>
      </c>
      <c r="G71" s="2118">
        <f>+'SEGÍTŐ SZOLGÁLAT'!AM78</f>
        <v>0</v>
      </c>
      <c r="H71" s="2095">
        <f>+ÓVODA!AF76</f>
        <v>0</v>
      </c>
      <c r="I71" s="1035">
        <f>+ÓVODA!AG76</f>
        <v>0</v>
      </c>
      <c r="J71" s="2099">
        <f>+ÓVODA!AH76</f>
        <v>0</v>
      </c>
      <c r="K71" s="2068">
        <f>+'KOZMA FERENC ÁLT. ISK.'!V73</f>
        <v>0</v>
      </c>
      <c r="L71" s="408">
        <f>+'KOZMA FERENC ÁLT. ISK.'!W73</f>
        <v>0</v>
      </c>
      <c r="M71" s="2080">
        <f>+'KOZMA FERENC ÁLT. ISK.'!X73</f>
        <v>0</v>
      </c>
      <c r="N71" s="2039"/>
      <c r="O71" s="1655"/>
      <c r="P71" s="2040"/>
      <c r="Q71" s="1994">
        <f t="shared" ref="Q71:R117" si="3">+B71+E71+H71+K71+N71</f>
        <v>300</v>
      </c>
      <c r="R71" s="1780">
        <f t="shared" si="3"/>
        <v>-150</v>
      </c>
      <c r="S71" s="1654">
        <f t="shared" ref="S71:S116" si="4">SUM(Q71:R71)</f>
        <v>150</v>
      </c>
    </row>
    <row r="72" spans="1:19">
      <c r="A72" s="825" t="s">
        <v>78</v>
      </c>
      <c r="B72" s="1784">
        <f>+'SZOLGÁLTATÓ IRODA'!B71</f>
        <v>620</v>
      </c>
      <c r="C72" s="409">
        <f>+'SZOLGÁLTATÓ IRODA'!C71</f>
        <v>-323</v>
      </c>
      <c r="D72" s="2098">
        <f>+'SZOLGÁLTATÓ IRODA'!D71</f>
        <v>297</v>
      </c>
      <c r="E72" s="2097">
        <f>+'SEGÍTŐ SZOLGÁLAT'!AK79</f>
        <v>740</v>
      </c>
      <c r="F72" s="1656">
        <f>+'SEGÍTŐ SZOLGÁLAT'!AL79</f>
        <v>22</v>
      </c>
      <c r="G72" s="2119">
        <f>+'SEGÍTŐ SZOLGÁLAT'!AM79</f>
        <v>762</v>
      </c>
      <c r="H72" s="2097">
        <f>+ÓVODA!AF77</f>
        <v>405</v>
      </c>
      <c r="I72" s="1656">
        <f>+ÓVODA!AG77</f>
        <v>13</v>
      </c>
      <c r="J72" s="2098">
        <f>+ÓVODA!AH77</f>
        <v>418</v>
      </c>
      <c r="K72" s="1784">
        <f>+'KOZMA FERENC ÁLT. ISK.'!V74</f>
        <v>200</v>
      </c>
      <c r="L72" s="409">
        <f>+'KOZMA FERENC ÁLT. ISK.'!W74</f>
        <v>16</v>
      </c>
      <c r="M72" s="2070">
        <f>+'KOZMA FERENC ÁLT. ISK.'!X74</f>
        <v>216</v>
      </c>
      <c r="N72" s="2027"/>
      <c r="O72" s="1657"/>
      <c r="P72" s="2028"/>
      <c r="Q72" s="1997">
        <f t="shared" si="3"/>
        <v>1965</v>
      </c>
      <c r="R72" s="1656">
        <f t="shared" si="3"/>
        <v>-272</v>
      </c>
      <c r="S72" s="1799">
        <f t="shared" si="4"/>
        <v>1693</v>
      </c>
    </row>
    <row r="73" spans="1:19">
      <c r="A73" s="23" t="s">
        <v>79</v>
      </c>
      <c r="B73" s="2071">
        <f>+'SZOLGÁLTATÓ IRODA'!B72</f>
        <v>0</v>
      </c>
      <c r="C73" s="410">
        <f>+'SZOLGÁLTATÓ IRODA'!C72</f>
        <v>0</v>
      </c>
      <c r="D73" s="2093">
        <f>+'SZOLGÁLTATÓ IRODA'!D72</f>
        <v>0</v>
      </c>
      <c r="E73" s="2092">
        <f>+'SEGÍTŐ SZOLGÁLAT'!AK80</f>
        <v>2923</v>
      </c>
      <c r="F73" s="1032">
        <f>+'SEGÍTŐ SZOLGÁLAT'!AL80</f>
        <v>-776</v>
      </c>
      <c r="G73" s="2014">
        <f>+'SEGÍTŐ SZOLGÁLAT'!AM80</f>
        <v>2147</v>
      </c>
      <c r="H73" s="2092">
        <f>+ÓVODA!AF78</f>
        <v>0</v>
      </c>
      <c r="I73" s="1032">
        <f>+ÓVODA!AG78</f>
        <v>0</v>
      </c>
      <c r="J73" s="2093">
        <f>+ÓVODA!AH78</f>
        <v>0</v>
      </c>
      <c r="K73" s="2071">
        <f>+'KOZMA FERENC ÁLT. ISK.'!V75</f>
        <v>200</v>
      </c>
      <c r="L73" s="410">
        <f>+'KOZMA FERENC ÁLT. ISK.'!W75</f>
        <v>0</v>
      </c>
      <c r="M73" s="2072">
        <f>+'KOZMA FERENC ÁLT. ISK.'!X75</f>
        <v>200</v>
      </c>
      <c r="N73" s="2013"/>
      <c r="O73" s="1033"/>
      <c r="P73" s="2022"/>
      <c r="Q73" s="1998">
        <f t="shared" si="3"/>
        <v>3123</v>
      </c>
      <c r="R73" s="1032">
        <f t="shared" si="3"/>
        <v>-776</v>
      </c>
      <c r="S73" s="1783">
        <f t="shared" si="4"/>
        <v>2347</v>
      </c>
    </row>
    <row r="74" spans="1:19">
      <c r="A74" s="9" t="s">
        <v>80</v>
      </c>
      <c r="B74" s="2071">
        <f>+'SZOLGÁLTATÓ IRODA'!B73</f>
        <v>0</v>
      </c>
      <c r="C74" s="410">
        <f>+'SZOLGÁLTATÓ IRODA'!C73</f>
        <v>0</v>
      </c>
      <c r="D74" s="2093">
        <f>+'SZOLGÁLTATÓ IRODA'!D73</f>
        <v>0</v>
      </c>
      <c r="E74" s="2092">
        <f>+'SEGÍTŐ SZOLGÁLAT'!AK81</f>
        <v>2016</v>
      </c>
      <c r="F74" s="1032">
        <f>+'SEGÍTŐ SZOLGÁLAT'!AL81</f>
        <v>0</v>
      </c>
      <c r="G74" s="2014">
        <f>+'SEGÍTŐ SZOLGÁLAT'!AM81</f>
        <v>2016</v>
      </c>
      <c r="H74" s="2092">
        <f>+ÓVODA!AF79</f>
        <v>5143.6000000000004</v>
      </c>
      <c r="I74" s="1032">
        <f>+ÓVODA!AG79</f>
        <v>119</v>
      </c>
      <c r="J74" s="2093">
        <f>+ÓVODA!AH79</f>
        <v>5262.6</v>
      </c>
      <c r="K74" s="2065">
        <f>+'KOZMA FERENC ÁLT. ISK.'!V76</f>
        <v>0</v>
      </c>
      <c r="L74" s="407">
        <f>+'KOZMA FERENC ÁLT. ISK.'!W76</f>
        <v>0</v>
      </c>
      <c r="M74" s="2066">
        <f>+'KOZMA FERENC ÁLT. ISK.'!X76</f>
        <v>0</v>
      </c>
      <c r="N74" s="2013"/>
      <c r="O74" s="1033"/>
      <c r="P74" s="2038"/>
      <c r="Q74" s="1993">
        <f t="shared" si="3"/>
        <v>7159.6</v>
      </c>
      <c r="R74" s="1776">
        <f t="shared" si="3"/>
        <v>119</v>
      </c>
      <c r="S74" s="1641">
        <f t="shared" si="4"/>
        <v>7278.6</v>
      </c>
    </row>
    <row r="75" spans="1:19">
      <c r="A75" s="9" t="s">
        <v>81</v>
      </c>
      <c r="B75" s="2071">
        <f>+'SZOLGÁLTATÓ IRODA'!B74</f>
        <v>0</v>
      </c>
      <c r="C75" s="410">
        <f>+'SZOLGÁLTATÓ IRODA'!C74</f>
        <v>0</v>
      </c>
      <c r="D75" s="2093">
        <f>+'SZOLGÁLTATÓ IRODA'!D74</f>
        <v>0</v>
      </c>
      <c r="E75" s="2092">
        <f>+'SEGÍTŐ SZOLGÁLAT'!AK82</f>
        <v>105</v>
      </c>
      <c r="F75" s="1032">
        <f>+'SEGÍTŐ SZOLGÁLAT'!AL82</f>
        <v>-20</v>
      </c>
      <c r="G75" s="2014">
        <f>+'SEGÍTŐ SZOLGÁLAT'!AM82</f>
        <v>85</v>
      </c>
      <c r="H75" s="2092">
        <f>+ÓVODA!AF80</f>
        <v>50</v>
      </c>
      <c r="I75" s="1032">
        <f>+ÓVODA!AG80</f>
        <v>31</v>
      </c>
      <c r="J75" s="2093">
        <f>+ÓVODA!AH80</f>
        <v>81</v>
      </c>
      <c r="K75" s="2065">
        <f>+'KOZMA FERENC ÁLT. ISK.'!V77</f>
        <v>0</v>
      </c>
      <c r="L75" s="407">
        <f>+'KOZMA FERENC ÁLT. ISK.'!W77</f>
        <v>0</v>
      </c>
      <c r="M75" s="2066">
        <f>+'KOZMA FERENC ÁLT. ISK.'!X77</f>
        <v>0</v>
      </c>
      <c r="N75" s="2013"/>
      <c r="O75" s="1033"/>
      <c r="P75" s="2038"/>
      <c r="Q75" s="1993">
        <f t="shared" si="3"/>
        <v>155</v>
      </c>
      <c r="R75" s="1776">
        <f t="shared" si="3"/>
        <v>11</v>
      </c>
      <c r="S75" s="1641">
        <f t="shared" si="4"/>
        <v>166</v>
      </c>
    </row>
    <row r="76" spans="1:19">
      <c r="A76" s="9" t="s">
        <v>82</v>
      </c>
      <c r="B76" s="2071">
        <f>+'SZOLGÁLTATÓ IRODA'!B75</f>
        <v>500</v>
      </c>
      <c r="C76" s="410">
        <f>+'SZOLGÁLTATÓ IRODA'!C75</f>
        <v>0</v>
      </c>
      <c r="D76" s="2093">
        <f>+'SZOLGÁLTATÓ IRODA'!D75</f>
        <v>500</v>
      </c>
      <c r="E76" s="2092">
        <f>+'SEGÍTŐ SZOLGÁLAT'!AK83</f>
        <v>430</v>
      </c>
      <c r="F76" s="1032">
        <f>+'SEGÍTŐ SZOLGÁLAT'!AL83</f>
        <v>95</v>
      </c>
      <c r="G76" s="2014">
        <f>+'SEGÍTŐ SZOLGÁLAT'!AM83</f>
        <v>525</v>
      </c>
      <c r="H76" s="2092">
        <f>+ÓVODA!AF81</f>
        <v>2230</v>
      </c>
      <c r="I76" s="1032">
        <f>+ÓVODA!AG81</f>
        <v>0</v>
      </c>
      <c r="J76" s="2093">
        <f>+ÓVODA!AH81</f>
        <v>2230</v>
      </c>
      <c r="K76" s="2065">
        <f>+'KOZMA FERENC ÁLT. ISK.'!V78</f>
        <v>2158</v>
      </c>
      <c r="L76" s="407">
        <f>+'KOZMA FERENC ÁLT. ISK.'!W78</f>
        <v>0</v>
      </c>
      <c r="M76" s="2066">
        <f>+'KOZMA FERENC ÁLT. ISK.'!X78</f>
        <v>2158</v>
      </c>
      <c r="N76" s="2013"/>
      <c r="O76" s="1033"/>
      <c r="P76" s="2038"/>
      <c r="Q76" s="1993">
        <f t="shared" si="3"/>
        <v>5318</v>
      </c>
      <c r="R76" s="1776">
        <f t="shared" si="3"/>
        <v>95</v>
      </c>
      <c r="S76" s="1641">
        <f t="shared" si="4"/>
        <v>5413</v>
      </c>
    </row>
    <row r="77" spans="1:19">
      <c r="A77" s="9" t="s">
        <v>83</v>
      </c>
      <c r="B77" s="2071">
        <f>+'SZOLGÁLTATÓ IRODA'!B76</f>
        <v>190</v>
      </c>
      <c r="C77" s="410">
        <f>+'SZOLGÁLTATÓ IRODA'!C76</f>
        <v>-95</v>
      </c>
      <c r="D77" s="2093">
        <f>+'SZOLGÁLTATÓ IRODA'!D76</f>
        <v>95</v>
      </c>
      <c r="E77" s="2092">
        <f>+'SEGÍTŐ SZOLGÁLAT'!AK84</f>
        <v>330</v>
      </c>
      <c r="F77" s="1032">
        <f>+'SEGÍTŐ SZOLGÁLAT'!AL84</f>
        <v>25</v>
      </c>
      <c r="G77" s="2014">
        <f>+'SEGÍTŐ SZOLGÁLAT'!AM84</f>
        <v>355</v>
      </c>
      <c r="H77" s="2092">
        <f>+ÓVODA!AF82</f>
        <v>1200</v>
      </c>
      <c r="I77" s="1032">
        <f>+ÓVODA!AG82</f>
        <v>0</v>
      </c>
      <c r="J77" s="2093">
        <f>+ÓVODA!AH82</f>
        <v>1200</v>
      </c>
      <c r="K77" s="2065">
        <f>+'KOZMA FERENC ÁLT. ISK.'!V79</f>
        <v>600</v>
      </c>
      <c r="L77" s="407">
        <f>+'KOZMA FERENC ÁLT. ISK.'!W79</f>
        <v>0</v>
      </c>
      <c r="M77" s="2066">
        <f>+'KOZMA FERENC ÁLT. ISK.'!X79</f>
        <v>600</v>
      </c>
      <c r="N77" s="2013"/>
      <c r="O77" s="1033"/>
      <c r="P77" s="2038"/>
      <c r="Q77" s="1993">
        <f t="shared" si="3"/>
        <v>2320</v>
      </c>
      <c r="R77" s="1776">
        <f t="shared" si="3"/>
        <v>-70</v>
      </c>
      <c r="S77" s="1641">
        <f t="shared" si="4"/>
        <v>2250</v>
      </c>
    </row>
    <row r="78" spans="1:19">
      <c r="A78" s="9" t="s">
        <v>84</v>
      </c>
      <c r="B78" s="2071">
        <f>+'SZOLGÁLTATÓ IRODA'!B77</f>
        <v>20</v>
      </c>
      <c r="C78" s="410">
        <f>+'SZOLGÁLTATÓ IRODA'!C77</f>
        <v>-10</v>
      </c>
      <c r="D78" s="2093">
        <f>+'SZOLGÁLTATÓ IRODA'!D77</f>
        <v>10</v>
      </c>
      <c r="E78" s="2092">
        <f>+'SEGÍTŐ SZOLGÁLAT'!AK85</f>
        <v>60</v>
      </c>
      <c r="F78" s="1032">
        <f>+'SEGÍTŐ SZOLGÁLAT'!AL85</f>
        <v>0</v>
      </c>
      <c r="G78" s="2014">
        <f>+'SEGÍTŐ SZOLGÁLAT'!AM85</f>
        <v>60</v>
      </c>
      <c r="H78" s="2092">
        <f>+ÓVODA!AF83</f>
        <v>460</v>
      </c>
      <c r="I78" s="1032">
        <f>+ÓVODA!AG83</f>
        <v>0</v>
      </c>
      <c r="J78" s="2093">
        <f>+ÓVODA!AH83</f>
        <v>460</v>
      </c>
      <c r="K78" s="2065">
        <f>+'KOZMA FERENC ÁLT. ISK.'!V80</f>
        <v>200</v>
      </c>
      <c r="L78" s="407">
        <f>+'KOZMA FERENC ÁLT. ISK.'!W80</f>
        <v>0</v>
      </c>
      <c r="M78" s="2066">
        <f>+'KOZMA FERENC ÁLT. ISK.'!X80</f>
        <v>200</v>
      </c>
      <c r="N78" s="2013"/>
      <c r="O78" s="1033"/>
      <c r="P78" s="2038"/>
      <c r="Q78" s="1993">
        <f t="shared" si="3"/>
        <v>740</v>
      </c>
      <c r="R78" s="1776">
        <f t="shared" si="3"/>
        <v>-10</v>
      </c>
      <c r="S78" s="1641">
        <f t="shared" si="4"/>
        <v>730</v>
      </c>
    </row>
    <row r="79" spans="1:19">
      <c r="A79" s="9" t="s">
        <v>85</v>
      </c>
      <c r="B79" s="2071">
        <f>+'SZOLGÁLTATÓ IRODA'!B78</f>
        <v>100</v>
      </c>
      <c r="C79" s="410">
        <f>+'SZOLGÁLTATÓ IRODA'!C78</f>
        <v>0</v>
      </c>
      <c r="D79" s="2093">
        <f>+'SZOLGÁLTATÓ IRODA'!D78</f>
        <v>100</v>
      </c>
      <c r="E79" s="2092">
        <f>+'SEGÍTŐ SZOLGÁLAT'!AK86</f>
        <v>450</v>
      </c>
      <c r="F79" s="1032">
        <f>+'SEGÍTŐ SZOLGÁLAT'!AL86</f>
        <v>244</v>
      </c>
      <c r="G79" s="2014">
        <f>+'SEGÍTŐ SZOLGÁLAT'!AM86</f>
        <v>694</v>
      </c>
      <c r="H79" s="2092">
        <f>+ÓVODA!AF84</f>
        <v>390</v>
      </c>
      <c r="I79" s="1032">
        <f>+ÓVODA!AG84</f>
        <v>0</v>
      </c>
      <c r="J79" s="2093">
        <f>+ÓVODA!AH84</f>
        <v>390</v>
      </c>
      <c r="K79" s="2065">
        <f>+'KOZMA FERENC ÁLT. ISK.'!V81</f>
        <v>150</v>
      </c>
      <c r="L79" s="407">
        <f>+'KOZMA FERENC ÁLT. ISK.'!W81</f>
        <v>0</v>
      </c>
      <c r="M79" s="2066">
        <f>+'KOZMA FERENC ÁLT. ISK.'!X81</f>
        <v>150</v>
      </c>
      <c r="N79" s="2013"/>
      <c r="O79" s="1033"/>
      <c r="P79" s="2038"/>
      <c r="Q79" s="1993">
        <f t="shared" si="3"/>
        <v>1090</v>
      </c>
      <c r="R79" s="1776">
        <f t="shared" si="3"/>
        <v>244</v>
      </c>
      <c r="S79" s="1641">
        <f t="shared" si="4"/>
        <v>1334</v>
      </c>
    </row>
    <row r="80" spans="1:19">
      <c r="A80" s="9" t="s">
        <v>86</v>
      </c>
      <c r="B80" s="2071">
        <f>+'SZOLGÁLTATÓ IRODA'!B79</f>
        <v>550</v>
      </c>
      <c r="C80" s="410">
        <f>+'SZOLGÁLTATÓ IRODA'!C79</f>
        <v>-350</v>
      </c>
      <c r="D80" s="2093">
        <f>+'SZOLGÁLTATÓ IRODA'!D79</f>
        <v>200</v>
      </c>
      <c r="E80" s="2092">
        <f>+'SEGÍTŐ SZOLGÁLAT'!AK87</f>
        <v>150</v>
      </c>
      <c r="F80" s="1032">
        <f>+'SEGÍTŐ SZOLGÁLAT'!AL87</f>
        <v>0</v>
      </c>
      <c r="G80" s="2014">
        <f>+'SEGÍTŐ SZOLGÁLAT'!AM87</f>
        <v>150</v>
      </c>
      <c r="H80" s="2092">
        <f>+ÓVODA!AF85</f>
        <v>250</v>
      </c>
      <c r="I80" s="1032">
        <f>+ÓVODA!AG85</f>
        <v>16</v>
      </c>
      <c r="J80" s="2093">
        <f>+ÓVODA!AH85</f>
        <v>266</v>
      </c>
      <c r="K80" s="2065">
        <f>+'KOZMA FERENC ÁLT. ISK.'!V82</f>
        <v>500</v>
      </c>
      <c r="L80" s="407">
        <f>+'KOZMA FERENC ÁLT. ISK.'!W82</f>
        <v>348</v>
      </c>
      <c r="M80" s="2066">
        <f>+'KOZMA FERENC ÁLT. ISK.'!X82</f>
        <v>848</v>
      </c>
      <c r="N80" s="2013"/>
      <c r="O80" s="1033"/>
      <c r="P80" s="2038"/>
      <c r="Q80" s="1993">
        <f t="shared" si="3"/>
        <v>1450</v>
      </c>
      <c r="R80" s="1776">
        <f t="shared" si="3"/>
        <v>14</v>
      </c>
      <c r="S80" s="1654">
        <f t="shared" si="4"/>
        <v>1464</v>
      </c>
    </row>
    <row r="81" spans="1:33">
      <c r="A81" s="25" t="s">
        <v>87</v>
      </c>
      <c r="B81" s="2071">
        <f>+'SZOLGÁLTATÓ IRODA'!B80</f>
        <v>3550</v>
      </c>
      <c r="C81" s="410">
        <f>+'SZOLGÁLTATÓ IRODA'!C80</f>
        <v>0</v>
      </c>
      <c r="D81" s="2093">
        <f>+'SZOLGÁLTATÓ IRODA'!D80</f>
        <v>3550</v>
      </c>
      <c r="E81" s="2092">
        <f>+'SEGÍTŐ SZOLGÁLAT'!AK88</f>
        <v>1740</v>
      </c>
      <c r="F81" s="1032">
        <f>+'SEGÍTŐ SZOLGÁLAT'!AL88</f>
        <v>-170</v>
      </c>
      <c r="G81" s="2014">
        <f>+'SEGÍTŐ SZOLGÁLAT'!AM88</f>
        <v>1570</v>
      </c>
      <c r="H81" s="2092">
        <f>+ÓVODA!AF86</f>
        <v>470</v>
      </c>
      <c r="I81" s="1032">
        <f>+ÓVODA!AG86</f>
        <v>-40</v>
      </c>
      <c r="J81" s="2093">
        <f>+ÓVODA!AH86</f>
        <v>430</v>
      </c>
      <c r="K81" s="2065">
        <f>+'KOZMA FERENC ÁLT. ISK.'!V83</f>
        <v>1640</v>
      </c>
      <c r="L81" s="407">
        <f>+'KOZMA FERENC ÁLT. ISK.'!W83</f>
        <v>40</v>
      </c>
      <c r="M81" s="2066">
        <f>+'KOZMA FERENC ÁLT. ISK.'!X83</f>
        <v>1680</v>
      </c>
      <c r="N81" s="2013">
        <v>45480</v>
      </c>
      <c r="O81" s="1033">
        <f>+[3]Társulás!$H$9+[3]Társulás!$J$8</f>
        <v>-764</v>
      </c>
      <c r="P81" s="2038">
        <f>+[3]Társulás!$J$8+[3]Társulás!$H$9+45480</f>
        <v>44716</v>
      </c>
      <c r="Q81" s="1993">
        <f t="shared" si="3"/>
        <v>52880</v>
      </c>
      <c r="R81" s="1776">
        <f t="shared" si="3"/>
        <v>-934</v>
      </c>
      <c r="S81" s="1641">
        <f t="shared" si="4"/>
        <v>51946</v>
      </c>
    </row>
    <row r="82" spans="1:33">
      <c r="A82" s="1348" t="s">
        <v>88</v>
      </c>
      <c r="B82" s="2071">
        <f>+'SZOLGÁLTATÓ IRODA'!B81</f>
        <v>0</v>
      </c>
      <c r="C82" s="410">
        <f>+'SZOLGÁLTATÓ IRODA'!C81</f>
        <v>0</v>
      </c>
      <c r="D82" s="2093">
        <f>+'SZOLGÁLTATÓ IRODA'!D81</f>
        <v>0</v>
      </c>
      <c r="E82" s="2092">
        <f>+'SEGÍTŐ SZOLGÁLAT'!AK89</f>
        <v>0</v>
      </c>
      <c r="F82" s="1032">
        <f>+'SEGÍTŐ SZOLGÁLAT'!AL89</f>
        <v>0</v>
      </c>
      <c r="G82" s="2014">
        <f>+'SEGÍTŐ SZOLGÁLAT'!AM89</f>
        <v>0</v>
      </c>
      <c r="H82" s="2092">
        <f>+ÓVODA!AF87</f>
        <v>0</v>
      </c>
      <c r="I82" s="1032">
        <f>+ÓVODA!AG87</f>
        <v>0</v>
      </c>
      <c r="J82" s="2093">
        <f>+ÓVODA!AH87</f>
        <v>0</v>
      </c>
      <c r="K82" s="2065">
        <f>+'KOZMA FERENC ÁLT. ISK.'!V84</f>
        <v>0</v>
      </c>
      <c r="L82" s="407">
        <f>+'KOZMA FERENC ÁLT. ISK.'!W84</f>
        <v>0</v>
      </c>
      <c r="M82" s="2066">
        <f>+'KOZMA FERENC ÁLT. ISK.'!X84</f>
        <v>0</v>
      </c>
      <c r="N82" s="2013"/>
      <c r="O82" s="1033"/>
      <c r="P82" s="2038"/>
      <c r="Q82" s="1998">
        <f t="shared" si="3"/>
        <v>0</v>
      </c>
      <c r="R82" s="1032">
        <f t="shared" si="3"/>
        <v>0</v>
      </c>
      <c r="S82" s="1783">
        <f t="shared" si="4"/>
        <v>0</v>
      </c>
    </row>
    <row r="83" spans="1:33">
      <c r="A83" s="1347" t="s">
        <v>89</v>
      </c>
      <c r="B83" s="2071">
        <f>+'SZOLGÁLTATÓ IRODA'!B82</f>
        <v>0</v>
      </c>
      <c r="C83" s="410">
        <f>+'SZOLGÁLTATÓ IRODA'!C82</f>
        <v>0</v>
      </c>
      <c r="D83" s="2093">
        <f>+'SZOLGÁLTATÓ IRODA'!D82</f>
        <v>0</v>
      </c>
      <c r="E83" s="2092">
        <f>+'SEGÍTŐ SZOLGÁLAT'!AK90</f>
        <v>0</v>
      </c>
      <c r="F83" s="1032">
        <f>+'SEGÍTŐ SZOLGÁLAT'!AL90</f>
        <v>0</v>
      </c>
      <c r="G83" s="2014">
        <f>+'SEGÍTŐ SZOLGÁLAT'!AM90</f>
        <v>0</v>
      </c>
      <c r="H83" s="2092">
        <f>+ÓVODA!AF88</f>
        <v>0</v>
      </c>
      <c r="I83" s="1032">
        <f>+ÓVODA!AG88</f>
        <v>0</v>
      </c>
      <c r="J83" s="2093">
        <f>+ÓVODA!AH88</f>
        <v>0</v>
      </c>
      <c r="K83" s="2065">
        <f>+'KOZMA FERENC ÁLT. ISK.'!V85</f>
        <v>0</v>
      </c>
      <c r="L83" s="407">
        <f>+'KOZMA FERENC ÁLT. ISK.'!W85</f>
        <v>0</v>
      </c>
      <c r="M83" s="2066">
        <f>+'KOZMA FERENC ÁLT. ISK.'!X85</f>
        <v>0</v>
      </c>
      <c r="N83" s="2039"/>
      <c r="O83" s="1033"/>
      <c r="P83" s="2040"/>
      <c r="Q83" s="1993">
        <f t="shared" si="3"/>
        <v>0</v>
      </c>
      <c r="R83" s="1776">
        <f t="shared" si="3"/>
        <v>0</v>
      </c>
      <c r="S83" s="1641">
        <f t="shared" si="4"/>
        <v>0</v>
      </c>
    </row>
    <row r="84" spans="1:33">
      <c r="A84" s="1348" t="s">
        <v>90</v>
      </c>
      <c r="B84" s="2085">
        <f>+'SZOLGÁLTATÓ IRODA'!B83</f>
        <v>754</v>
      </c>
      <c r="C84" s="414">
        <f>+'SZOLGÁLTATÓ IRODA'!C83</f>
        <v>0</v>
      </c>
      <c r="D84" s="2099">
        <f>+'SZOLGÁLTATÓ IRODA'!D83</f>
        <v>754</v>
      </c>
      <c r="E84" s="2095">
        <f>+'SEGÍTŐ SZOLGÁLAT'!AK91</f>
        <v>0</v>
      </c>
      <c r="F84" s="1035">
        <f>+'SEGÍTŐ SZOLGÁLAT'!AL91</f>
        <v>0</v>
      </c>
      <c r="G84" s="2118">
        <f>+'SEGÍTŐ SZOLGÁLAT'!AM91</f>
        <v>0</v>
      </c>
      <c r="H84" s="2095">
        <f>+ÓVODA!AF89</f>
        <v>0</v>
      </c>
      <c r="I84" s="1035">
        <f>+ÓVODA!AG89</f>
        <v>0</v>
      </c>
      <c r="J84" s="2099">
        <f>+ÓVODA!AH89</f>
        <v>0</v>
      </c>
      <c r="K84" s="2068">
        <f>+'KOZMA FERENC ÁLT. ISK.'!V86</f>
        <v>0</v>
      </c>
      <c r="L84" s="408">
        <f>+'KOZMA FERENC ÁLT. ISK.'!W86</f>
        <v>0</v>
      </c>
      <c r="M84" s="2080">
        <f>+'KOZMA FERENC ÁLT. ISK.'!X86</f>
        <v>0</v>
      </c>
      <c r="N84" s="2041"/>
      <c r="O84" s="1655"/>
      <c r="P84" s="2040"/>
      <c r="Q84" s="1994">
        <f t="shared" si="3"/>
        <v>754</v>
      </c>
      <c r="R84" s="1780">
        <f t="shared" si="3"/>
        <v>0</v>
      </c>
      <c r="S84" s="1654">
        <f t="shared" si="4"/>
        <v>754</v>
      </c>
    </row>
    <row r="85" spans="1:33">
      <c r="A85" s="825" t="s">
        <v>91</v>
      </c>
      <c r="B85" s="1784">
        <f>+'SZOLGÁLTATÓ IRODA'!B84</f>
        <v>5664</v>
      </c>
      <c r="C85" s="409">
        <f>+'SZOLGÁLTATÓ IRODA'!C84</f>
        <v>-455</v>
      </c>
      <c r="D85" s="2098">
        <f>+'SZOLGÁLTATÓ IRODA'!D84</f>
        <v>5209</v>
      </c>
      <c r="E85" s="2097">
        <f>+'SEGÍTŐ SZOLGÁLAT'!AK92</f>
        <v>8204</v>
      </c>
      <c r="F85" s="1656">
        <f>+'SEGÍTŐ SZOLGÁLAT'!AL92</f>
        <v>-602</v>
      </c>
      <c r="G85" s="2119">
        <f>+'SEGÍTŐ SZOLGÁLAT'!AM92</f>
        <v>7602</v>
      </c>
      <c r="H85" s="2097">
        <f>+ÓVODA!AF90</f>
        <v>10193.6</v>
      </c>
      <c r="I85" s="1656">
        <f>+ÓVODA!AG90</f>
        <v>126</v>
      </c>
      <c r="J85" s="2098">
        <f>+ÓVODA!AH90</f>
        <v>10319.6</v>
      </c>
      <c r="K85" s="2081">
        <f>+'KOZMA FERENC ÁLT. ISK.'!V87</f>
        <v>5448</v>
      </c>
      <c r="L85" s="1791">
        <f>+'KOZMA FERENC ÁLT. ISK.'!W87</f>
        <v>388</v>
      </c>
      <c r="M85" s="2082">
        <f>+'KOZMA FERENC ÁLT. ISK.'!X87</f>
        <v>5836</v>
      </c>
      <c r="N85" s="2027">
        <f>SUM(N81:N84)</f>
        <v>45480</v>
      </c>
      <c r="O85" s="1790">
        <f>+[3]Társulás!$H$9+[3]Társulás!$J$8</f>
        <v>-764</v>
      </c>
      <c r="P85" s="2028">
        <f>SUM(P73:P84)</f>
        <v>44716</v>
      </c>
      <c r="Q85" s="1997">
        <f t="shared" si="3"/>
        <v>74989.600000000006</v>
      </c>
      <c r="R85" s="1802">
        <f t="shared" si="3"/>
        <v>-1307</v>
      </c>
      <c r="S85" s="1799">
        <f t="shared" si="4"/>
        <v>73682.600000000006</v>
      </c>
    </row>
    <row r="86" spans="1:33">
      <c r="A86" s="825" t="s">
        <v>92</v>
      </c>
      <c r="B86" s="1784">
        <f>+'SZOLGÁLTATÓ IRODA'!B85</f>
        <v>1680.625</v>
      </c>
      <c r="C86" s="409">
        <f>+'SZOLGÁLTATÓ IRODA'!C85</f>
        <v>-895</v>
      </c>
      <c r="D86" s="2098">
        <f>+'SZOLGÁLTATÓ IRODA'!D85</f>
        <v>785.625</v>
      </c>
      <c r="E86" s="2097">
        <f>+'SEGÍTŐ SZOLGÁLAT'!AK93</f>
        <v>2950.5</v>
      </c>
      <c r="F86" s="1656">
        <f>+'SEGÍTŐ SZOLGÁLAT'!AL93</f>
        <v>-143</v>
      </c>
      <c r="G86" s="2119">
        <f>+'SEGÍTŐ SZOLGÁLAT'!AM93</f>
        <v>2807.5</v>
      </c>
      <c r="H86" s="2097">
        <f>+ÓVODA!AF91</f>
        <v>3130.9</v>
      </c>
      <c r="I86" s="1656">
        <f>+ÓVODA!AG91</f>
        <v>-76</v>
      </c>
      <c r="J86" s="2098">
        <f>+ÓVODA!AH91</f>
        <v>3060.4</v>
      </c>
      <c r="K86" s="2083">
        <f>+'KOZMA FERENC ÁLT. ISK.'!V88</f>
        <v>1707.25</v>
      </c>
      <c r="L86" s="412">
        <f>+'KOZMA FERENC ÁLT. ISK.'!W88</f>
        <v>0</v>
      </c>
      <c r="M86" s="2084">
        <f>+'KOZMA FERENC ÁLT. ISK.'!X88</f>
        <v>1707.25</v>
      </c>
      <c r="N86" s="2027"/>
      <c r="O86" s="1657"/>
      <c r="P86" s="2042"/>
      <c r="Q86" s="2001">
        <f>+B86+E86+H86+K86+N86</f>
        <v>9469.2749999999996</v>
      </c>
      <c r="R86" s="1656">
        <f t="shared" si="3"/>
        <v>-1114</v>
      </c>
      <c r="S86" s="1803">
        <f t="shared" si="4"/>
        <v>8355.2749999999996</v>
      </c>
    </row>
    <row r="87" spans="1:33">
      <c r="A87" s="23" t="s">
        <v>93</v>
      </c>
      <c r="B87" s="2071">
        <f>+'SZOLGÁLTATÓ IRODA'!B86</f>
        <v>120</v>
      </c>
      <c r="C87" s="410">
        <f>+'SZOLGÁLTATÓ IRODA'!C86</f>
        <v>-80</v>
      </c>
      <c r="D87" s="2093">
        <f>+'SZOLGÁLTATÓ IRODA'!D86</f>
        <v>40</v>
      </c>
      <c r="E87" s="2092">
        <f>+'SEGÍTŐ SZOLGÁLAT'!AK94</f>
        <v>890</v>
      </c>
      <c r="F87" s="1032">
        <f>+'SEGÍTŐ SZOLGÁLAT'!AL94</f>
        <v>10</v>
      </c>
      <c r="G87" s="2014">
        <f>+'SEGÍTŐ SZOLGÁLAT'!AM94</f>
        <v>900</v>
      </c>
      <c r="H87" s="2092">
        <f>+ÓVODA!AF92</f>
        <v>100</v>
      </c>
      <c r="I87" s="1032">
        <f>+ÓVODA!AG92</f>
        <v>0</v>
      </c>
      <c r="J87" s="2093">
        <f>+ÓVODA!AH92</f>
        <v>100</v>
      </c>
      <c r="K87" s="2071">
        <f>+'KOZMA FERENC ÁLT. ISK.'!V89</f>
        <v>80</v>
      </c>
      <c r="L87" s="410">
        <f>+'KOZMA FERENC ÁLT. ISK.'!W89</f>
        <v>0</v>
      </c>
      <c r="M87" s="2072">
        <f>+'KOZMA FERENC ÁLT. ISK.'!X89</f>
        <v>80</v>
      </c>
      <c r="N87" s="2013"/>
      <c r="O87" s="1033"/>
      <c r="P87" s="2022">
        <v>0</v>
      </c>
      <c r="Q87" s="1998">
        <f t="shared" si="3"/>
        <v>1190</v>
      </c>
      <c r="R87" s="1032">
        <f t="shared" si="3"/>
        <v>-70</v>
      </c>
      <c r="S87" s="1783">
        <f t="shared" si="4"/>
        <v>1120</v>
      </c>
    </row>
    <row r="88" spans="1:33">
      <c r="A88" s="9" t="s">
        <v>94</v>
      </c>
      <c r="B88" s="2071">
        <f>+'SZOLGÁLTATÓ IRODA'!B87</f>
        <v>100</v>
      </c>
      <c r="C88" s="410">
        <f>+'SZOLGÁLTATÓ IRODA'!C87</f>
        <v>-50</v>
      </c>
      <c r="D88" s="2093">
        <f>+'SZOLGÁLTATÓ IRODA'!D87</f>
        <v>50</v>
      </c>
      <c r="E88" s="2092">
        <f>+'SEGÍTŐ SZOLGÁLAT'!AK95</f>
        <v>88</v>
      </c>
      <c r="F88" s="1032">
        <f>+'SEGÍTŐ SZOLGÁLAT'!AL95</f>
        <v>-20</v>
      </c>
      <c r="G88" s="2014">
        <f>+'SEGÍTŐ SZOLGÁLAT'!AM95</f>
        <v>68</v>
      </c>
      <c r="H88" s="2092">
        <f>+ÓVODA!AF93</f>
        <v>35</v>
      </c>
      <c r="I88" s="1032">
        <f>+ÓVODA!AG93</f>
        <v>0</v>
      </c>
      <c r="J88" s="2093">
        <f>+ÓVODA!AH93</f>
        <v>35</v>
      </c>
      <c r="K88" s="2065">
        <f>+'KOZMA FERENC ÁLT. ISK.'!V90</f>
        <v>30</v>
      </c>
      <c r="L88" s="407">
        <f>+'KOZMA FERENC ÁLT. ISK.'!W90</f>
        <v>0</v>
      </c>
      <c r="M88" s="2066">
        <f>+'KOZMA FERENC ÁLT. ISK.'!X90</f>
        <v>30</v>
      </c>
      <c r="N88" s="2013"/>
      <c r="O88" s="1033"/>
      <c r="P88" s="2038">
        <v>0</v>
      </c>
      <c r="Q88" s="1993">
        <f t="shared" si="3"/>
        <v>253</v>
      </c>
      <c r="R88" s="1776">
        <f t="shared" si="3"/>
        <v>-70</v>
      </c>
      <c r="S88" s="1641">
        <f t="shared" si="4"/>
        <v>183</v>
      </c>
    </row>
    <row r="89" spans="1:33">
      <c r="A89" s="25" t="s">
        <v>95</v>
      </c>
      <c r="B89" s="2085">
        <f>+'SZOLGÁLTATÓ IRODA'!B88</f>
        <v>20</v>
      </c>
      <c r="C89" s="414">
        <f>+'SZOLGÁLTATÓ IRODA'!C88</f>
        <v>-20</v>
      </c>
      <c r="D89" s="2099">
        <f>+'SZOLGÁLTATÓ IRODA'!D88</f>
        <v>0</v>
      </c>
      <c r="E89" s="2095">
        <f>+'SEGÍTŐ SZOLGÁLAT'!AK96</f>
        <v>10</v>
      </c>
      <c r="F89" s="1035">
        <f>+'SEGÍTŐ SZOLGÁLAT'!AL96</f>
        <v>0</v>
      </c>
      <c r="G89" s="2118">
        <f>+'SEGÍTŐ SZOLGÁLAT'!AM96</f>
        <v>10</v>
      </c>
      <c r="H89" s="2095">
        <f>+ÓVODA!AF94</f>
        <v>0</v>
      </c>
      <c r="I89" s="1035">
        <f>+ÓVODA!AG94</f>
        <v>0</v>
      </c>
      <c r="J89" s="2099">
        <f>+ÓVODA!AH94</f>
        <v>0</v>
      </c>
      <c r="K89" s="2068">
        <f>+'KOZMA FERENC ÁLT. ISK.'!V91</f>
        <v>10</v>
      </c>
      <c r="L89" s="408">
        <f>+'KOZMA FERENC ÁLT. ISK.'!W91</f>
        <v>0</v>
      </c>
      <c r="M89" s="2080">
        <f>+'KOZMA FERENC ÁLT. ISK.'!X91</f>
        <v>10</v>
      </c>
      <c r="N89" s="2039"/>
      <c r="O89" s="1655"/>
      <c r="P89" s="2040">
        <v>0</v>
      </c>
      <c r="Q89" s="1994">
        <f t="shared" si="3"/>
        <v>40</v>
      </c>
      <c r="R89" s="1780">
        <f t="shared" si="3"/>
        <v>-20</v>
      </c>
      <c r="S89" s="1654">
        <f t="shared" si="4"/>
        <v>20</v>
      </c>
    </row>
    <row r="90" spans="1:33">
      <c r="A90" s="825" t="s">
        <v>96</v>
      </c>
      <c r="B90" s="1784">
        <f>+'SZOLGÁLTATÓ IRODA'!B89</f>
        <v>240</v>
      </c>
      <c r="C90" s="409">
        <f>+'SZOLGÁLTATÓ IRODA'!C89</f>
        <v>-150</v>
      </c>
      <c r="D90" s="2098">
        <f>+'SZOLGÁLTATÓ IRODA'!D89</f>
        <v>90</v>
      </c>
      <c r="E90" s="2097">
        <f>+'SEGÍTŐ SZOLGÁLAT'!AK97</f>
        <v>988</v>
      </c>
      <c r="F90" s="1656">
        <f>+'SEGÍTŐ SZOLGÁLAT'!AL97</f>
        <v>-10</v>
      </c>
      <c r="G90" s="2119">
        <f>+'SEGÍTŐ SZOLGÁLAT'!AM97</f>
        <v>978</v>
      </c>
      <c r="H90" s="2097">
        <f>+ÓVODA!AF95</f>
        <v>135</v>
      </c>
      <c r="I90" s="1656">
        <f>+ÓVODA!AG95</f>
        <v>0</v>
      </c>
      <c r="J90" s="2098">
        <f>+ÓVODA!AH95</f>
        <v>135</v>
      </c>
      <c r="K90" s="1784">
        <f>+'KOZMA FERENC ÁLT. ISK.'!V92</f>
        <v>120</v>
      </c>
      <c r="L90" s="409">
        <f>+'KOZMA FERENC ÁLT. ISK.'!W92</f>
        <v>0</v>
      </c>
      <c r="M90" s="2070">
        <f>+'KOZMA FERENC ÁLT. ISK.'!X92</f>
        <v>120</v>
      </c>
      <c r="N90" s="2027"/>
      <c r="O90" s="1657"/>
      <c r="P90" s="2028">
        <f>SUM(P87:P89)</f>
        <v>0</v>
      </c>
      <c r="Q90" s="1997">
        <f t="shared" si="3"/>
        <v>1483</v>
      </c>
      <c r="R90" s="1656">
        <f t="shared" si="3"/>
        <v>-160</v>
      </c>
      <c r="S90" s="1799">
        <f t="shared" si="4"/>
        <v>1323</v>
      </c>
    </row>
    <row r="91" spans="1:33">
      <c r="A91" s="1651" t="s">
        <v>97</v>
      </c>
      <c r="B91" s="2085">
        <f>+'SZOLGÁLTATÓ IRODA'!B90</f>
        <v>0</v>
      </c>
      <c r="C91" s="414">
        <f>+'SZOLGÁLTATÓ IRODA'!C90</f>
        <v>0</v>
      </c>
      <c r="D91" s="2099">
        <f>+'SZOLGÁLTATÓ IRODA'!D90</f>
        <v>0</v>
      </c>
      <c r="E91" s="2095">
        <f>+'SEGÍTŐ SZOLGÁLAT'!AK98</f>
        <v>70</v>
      </c>
      <c r="F91" s="1035">
        <f>+'SEGÍTŐ SZOLGÁLAT'!AL98</f>
        <v>-20</v>
      </c>
      <c r="G91" s="2118">
        <f>+'SEGÍTŐ SZOLGÁLAT'!AM98</f>
        <v>50</v>
      </c>
      <c r="H91" s="2095">
        <f>+ÓVODA!AF96</f>
        <v>60</v>
      </c>
      <c r="I91" s="1035">
        <f>+ÓVODA!AG96</f>
        <v>0</v>
      </c>
      <c r="J91" s="2099">
        <f>+ÓVODA!AH96</f>
        <v>60</v>
      </c>
      <c r="K91" s="2085">
        <f>+'KOZMA FERENC ÁLT. ISK.'!V93</f>
        <v>0</v>
      </c>
      <c r="L91" s="414">
        <f>+'KOZMA FERENC ÁLT. ISK.'!W93</f>
        <v>0</v>
      </c>
      <c r="M91" s="2086">
        <f>+'KOZMA FERENC ÁLT. ISK.'!X93</f>
        <v>0</v>
      </c>
      <c r="N91" s="2039"/>
      <c r="O91" s="1655"/>
      <c r="P91" s="2043">
        <v>0</v>
      </c>
      <c r="Q91" s="2002">
        <f t="shared" si="3"/>
        <v>130</v>
      </c>
      <c r="R91" s="1035">
        <f t="shared" si="3"/>
        <v>-20</v>
      </c>
      <c r="S91" s="1789">
        <f t="shared" si="4"/>
        <v>110</v>
      </c>
    </row>
    <row r="92" spans="1:33" ht="15" customHeight="1">
      <c r="A92" s="76" t="s">
        <v>98</v>
      </c>
      <c r="B92" s="1784">
        <f>+'SZOLGÁLTATÓ IRODA'!B91</f>
        <v>8643.125</v>
      </c>
      <c r="C92" s="409">
        <f>+'SZOLGÁLTATÓ IRODA'!C91</f>
        <v>-1946</v>
      </c>
      <c r="D92" s="2098">
        <f>+'SZOLGÁLTATÓ IRODA'!D91</f>
        <v>6697.125</v>
      </c>
      <c r="E92" s="2097">
        <f>+'SEGÍTŐ SZOLGÁLAT'!AK99</f>
        <v>15807.5</v>
      </c>
      <c r="F92" s="1656">
        <f>+'SEGÍTŐ SZOLGÁLAT'!AL99</f>
        <v>-1257</v>
      </c>
      <c r="G92" s="2119">
        <f>+'SEGÍTŐ SZOLGÁLAT'!AM99</f>
        <v>14550.5</v>
      </c>
      <c r="H92" s="2097">
        <f>+ÓVODA!AF97</f>
        <v>15849.5</v>
      </c>
      <c r="I92" s="1656">
        <f>+ÓVODA!AG97</f>
        <v>-254</v>
      </c>
      <c r="J92" s="2098">
        <f>+ÓVODA!AH97</f>
        <v>15601</v>
      </c>
      <c r="K92" s="1784">
        <f>+'KOZMA FERENC ÁLT. ISK.'!V94</f>
        <v>9609</v>
      </c>
      <c r="L92" s="409">
        <f>+'KOZMA FERENC ÁLT. ISK.'!W94</f>
        <v>535</v>
      </c>
      <c r="M92" s="2070">
        <f>+'KOZMA FERENC ÁLT. ISK.'!X94</f>
        <v>10144.25</v>
      </c>
      <c r="N92" s="2044">
        <f>+N68+N72+N85+N86</f>
        <v>45480</v>
      </c>
      <c r="O92" s="1657">
        <f>+O68+O72+O85+O86</f>
        <v>-764</v>
      </c>
      <c r="P92" s="2028">
        <f>+P68+P72+P85+P86+SUM(P87:P89)</f>
        <v>44716</v>
      </c>
      <c r="Q92" s="1997">
        <f t="shared" si="3"/>
        <v>95389.125</v>
      </c>
      <c r="R92" s="1656">
        <f t="shared" si="3"/>
        <v>-3686</v>
      </c>
      <c r="S92" s="1799">
        <f t="shared" si="4"/>
        <v>91703.125</v>
      </c>
    </row>
    <row r="93" spans="1:33" ht="14.45" customHeight="1">
      <c r="A93" s="1347" t="s">
        <v>99</v>
      </c>
      <c r="B93" s="2071">
        <f>+'SZOLGÁLTATÓ IRODA'!B92</f>
        <v>0</v>
      </c>
      <c r="C93" s="410">
        <f>+'SZOLGÁLTATÓ IRODA'!C92</f>
        <v>0</v>
      </c>
      <c r="D93" s="2093">
        <f>+'SZOLGÁLTATÓ IRODA'!D92</f>
        <v>0</v>
      </c>
      <c r="E93" s="2092">
        <f>+'SEGÍTŐ SZOLGÁLAT'!AK100</f>
        <v>0</v>
      </c>
      <c r="F93" s="1032">
        <f>+'SEGÍTŐ SZOLGÁLAT'!AL100</f>
        <v>0</v>
      </c>
      <c r="G93" s="2014">
        <f>+'SEGÍTŐ SZOLGÁLAT'!AM100</f>
        <v>0</v>
      </c>
      <c r="H93" s="2092">
        <f>+ÓVODA!AF98</f>
        <v>0</v>
      </c>
      <c r="I93" s="1032">
        <f>+ÓVODA!AG98</f>
        <v>0</v>
      </c>
      <c r="J93" s="2093">
        <f>+ÓVODA!AH98</f>
        <v>0</v>
      </c>
      <c r="K93" s="2071">
        <f>+'KOZMA FERENC ÁLT. ISK.'!V95</f>
        <v>0</v>
      </c>
      <c r="L93" s="410">
        <f>+'KOZMA FERENC ÁLT. ISK.'!W95</f>
        <v>0</v>
      </c>
      <c r="M93" s="2072">
        <f>+'KOZMA FERENC ÁLT. ISK.'!X95</f>
        <v>0</v>
      </c>
      <c r="N93" s="2013"/>
      <c r="O93" s="1033">
        <f>+[3]Társulás!$J$7</f>
        <v>4676</v>
      </c>
      <c r="P93" s="2022">
        <f>+[3]Társulás!$J$7</f>
        <v>4676</v>
      </c>
      <c r="Q93" s="1998">
        <f t="shared" si="3"/>
        <v>0</v>
      </c>
      <c r="R93" s="1032">
        <f t="shared" si="3"/>
        <v>4676</v>
      </c>
      <c r="S93" s="1783">
        <f t="shared" si="4"/>
        <v>4676</v>
      </c>
      <c r="T93" s="2"/>
      <c r="U93" s="2"/>
      <c r="W93" s="2"/>
      <c r="X93" s="2"/>
      <c r="Y93" s="2"/>
      <c r="Z93" s="2"/>
      <c r="AB93" s="1" t="s">
        <v>101</v>
      </c>
      <c r="AC93" s="2" t="s">
        <v>102</v>
      </c>
      <c r="AD93" s="1" t="s">
        <v>103</v>
      </c>
      <c r="AE93" s="1" t="s">
        <v>104</v>
      </c>
    </row>
    <row r="94" spans="1:33">
      <c r="A94" s="83" t="s">
        <v>100</v>
      </c>
      <c r="B94" s="2071">
        <f>+'SZOLGÁLTATÓ IRODA'!B93</f>
        <v>0</v>
      </c>
      <c r="C94" s="410">
        <f>+'SZOLGÁLTATÓ IRODA'!C93</f>
        <v>0</v>
      </c>
      <c r="D94" s="2093">
        <f>+'SZOLGÁLTATÓ IRODA'!D93</f>
        <v>0</v>
      </c>
      <c r="E94" s="2092">
        <f>+'SEGÍTŐ SZOLGÁLAT'!AK101</f>
        <v>0</v>
      </c>
      <c r="F94" s="1032">
        <f>+'SEGÍTŐ SZOLGÁLAT'!AL101</f>
        <v>0</v>
      </c>
      <c r="G94" s="2014">
        <f>+'SEGÍTŐ SZOLGÁLAT'!AM101</f>
        <v>0</v>
      </c>
      <c r="H94" s="2092">
        <f>+ÓVODA!AF99</f>
        <v>0</v>
      </c>
      <c r="I94" s="1032">
        <f>+ÓVODA!AG99</f>
        <v>0</v>
      </c>
      <c r="J94" s="2093">
        <f>+ÓVODA!AH99</f>
        <v>0</v>
      </c>
      <c r="K94" s="2065">
        <f>+'KOZMA FERENC ÁLT. ISK.'!V96</f>
        <v>0</v>
      </c>
      <c r="L94" s="407">
        <f>+'KOZMA FERENC ÁLT. ISK.'!W96</f>
        <v>0</v>
      </c>
      <c r="M94" s="2066">
        <f>+'KOZMA FERENC ÁLT. ISK.'!X96</f>
        <v>0</v>
      </c>
      <c r="N94" s="2013"/>
      <c r="O94" s="1033"/>
      <c r="P94" s="2038"/>
      <c r="Q94" s="1993">
        <f t="shared" si="3"/>
        <v>0</v>
      </c>
      <c r="R94" s="1776">
        <f t="shared" si="3"/>
        <v>0</v>
      </c>
      <c r="S94" s="1641">
        <f t="shared" si="4"/>
        <v>0</v>
      </c>
      <c r="T94" s="2"/>
      <c r="U94" s="2"/>
      <c r="W94" s="2"/>
      <c r="X94" s="2"/>
      <c r="Y94" s="2"/>
      <c r="Z94" s="2"/>
      <c r="AA94" s="1" t="s">
        <v>106</v>
      </c>
      <c r="AB94" s="2">
        <f>+D57</f>
        <v>8619.2999999999993</v>
      </c>
      <c r="AC94" s="2">
        <f>+G57</f>
        <v>72488.89</v>
      </c>
      <c r="AD94" s="2">
        <f>+J57</f>
        <v>132624.9</v>
      </c>
      <c r="AE94" s="2">
        <f>+M57</f>
        <v>65689.75</v>
      </c>
      <c r="AF94" s="2">
        <f>SUM(AB94:AE94)</f>
        <v>279422.83999999997</v>
      </c>
      <c r="AG94" s="1">
        <f>+AF94/AF96</f>
        <v>0.82389184605027965</v>
      </c>
    </row>
    <row r="95" spans="1:33">
      <c r="A95" s="83" t="s">
        <v>105</v>
      </c>
      <c r="B95" s="2071">
        <f>+'SZOLGÁLTATÓ IRODA'!B94</f>
        <v>222.5</v>
      </c>
      <c r="C95" s="410">
        <f>+'SZOLGÁLTATÓ IRODA'!C94</f>
        <v>-163</v>
      </c>
      <c r="D95" s="2093">
        <f>+'SZOLGÁLTATÓ IRODA'!D94</f>
        <v>59.5</v>
      </c>
      <c r="E95" s="2092">
        <f>+'SEGÍTŐ SZOLGÁLAT'!AK102</f>
        <v>732.21840000000009</v>
      </c>
      <c r="F95" s="1032">
        <f>+'SEGÍTŐ SZOLGÁLAT'!AL102</f>
        <v>0</v>
      </c>
      <c r="G95" s="2014">
        <f>+'SEGÍTŐ SZOLGÁLAT'!AM102</f>
        <v>732.21840000000009</v>
      </c>
      <c r="H95" s="2092">
        <f>+ÓVODA!AF100</f>
        <v>1201.1220000000001</v>
      </c>
      <c r="I95" s="1032">
        <f>+ÓVODA!AG100</f>
        <v>17</v>
      </c>
      <c r="J95" s="2093">
        <f>+ÓVODA!AH100</f>
        <v>1218.1220000000001</v>
      </c>
      <c r="K95" s="2068">
        <f>+'KOZMA FERENC ÁLT. ISK.'!V97</f>
        <v>568.84799999999996</v>
      </c>
      <c r="L95" s="408">
        <f>+'KOZMA FERENC ÁLT. ISK.'!W97</f>
        <v>0</v>
      </c>
      <c r="M95" s="2066">
        <f>+'KOZMA FERENC ÁLT. ISK.'!X97</f>
        <v>568.84799999999996</v>
      </c>
      <c r="N95" s="2013"/>
      <c r="O95" s="1033"/>
      <c r="P95" s="2045"/>
      <c r="Q95" s="1993">
        <f t="shared" si="3"/>
        <v>2724.6884</v>
      </c>
      <c r="R95" s="1776">
        <f t="shared" si="3"/>
        <v>-146</v>
      </c>
      <c r="S95" s="1641">
        <f t="shared" si="4"/>
        <v>2578.6884</v>
      </c>
      <c r="T95" s="34"/>
      <c r="U95" s="2"/>
      <c r="W95" s="2"/>
      <c r="X95" s="2"/>
      <c r="Y95" s="2"/>
      <c r="Z95" s="2"/>
      <c r="AA95" s="1" t="s">
        <v>108</v>
      </c>
      <c r="AB95" s="2">
        <f>+D97</f>
        <v>6756.625</v>
      </c>
      <c r="AC95" s="2">
        <f>+G97</f>
        <v>19655.718400000002</v>
      </c>
      <c r="AD95" s="2">
        <f>+J97</f>
        <v>20671.622000000003</v>
      </c>
      <c r="AE95" s="2">
        <f>+M97</f>
        <v>12643.098</v>
      </c>
      <c r="AF95" s="2">
        <f>SUM(AB95:AE95)</f>
        <v>59727.063399999999</v>
      </c>
    </row>
    <row r="96" spans="1:33" ht="13.5" thickBot="1">
      <c r="A96" s="1652" t="s">
        <v>107</v>
      </c>
      <c r="B96" s="2134">
        <f>+'SZOLGÁLTATÓ IRODA'!B95</f>
        <v>0</v>
      </c>
      <c r="C96" s="1786">
        <f>+'SZOLGÁLTATÓ IRODA'!C95</f>
        <v>0</v>
      </c>
      <c r="D96" s="2107">
        <f>+'SZOLGÁLTATÓ IRODA'!D95</f>
        <v>0</v>
      </c>
      <c r="E96" s="2106">
        <f>+'SEGÍTŐ SZOLGÁLAT'!AK103</f>
        <v>1929</v>
      </c>
      <c r="F96" s="1787">
        <f>+'SEGÍTŐ SZOLGÁLAT'!AL103</f>
        <v>2444</v>
      </c>
      <c r="G96" s="2122">
        <f>+'SEGÍTŐ SZOLGÁLAT'!AM103</f>
        <v>4373</v>
      </c>
      <c r="H96" s="2106">
        <f>+ÓVODA!AF101</f>
        <v>1929</v>
      </c>
      <c r="I96" s="1787">
        <f>+ÓVODA!AG101</f>
        <v>1929</v>
      </c>
      <c r="J96" s="2107">
        <f>+ÓVODA!AH101</f>
        <v>3858</v>
      </c>
      <c r="K96" s="2087">
        <f>+'KOZMA FERENC ÁLT. ISK.'!V98</f>
        <v>965</v>
      </c>
      <c r="L96" s="1779">
        <f>+'KOZMA FERENC ÁLT. ISK.'!W98</f>
        <v>965</v>
      </c>
      <c r="M96" s="2086">
        <f>+'KOZMA FERENC ÁLT. ISK.'!X98</f>
        <v>1930</v>
      </c>
      <c r="N96" s="2039"/>
      <c r="O96" s="1655"/>
      <c r="P96" s="2040"/>
      <c r="Q96" s="1994">
        <f t="shared" si="3"/>
        <v>4823</v>
      </c>
      <c r="R96" s="1780">
        <f t="shared" si="3"/>
        <v>5338</v>
      </c>
      <c r="S96" s="1654">
        <f t="shared" si="4"/>
        <v>10161</v>
      </c>
      <c r="T96" s="21"/>
      <c r="AF96" s="2">
        <f>SUM(AF94:AF95)</f>
        <v>339149.90339999995</v>
      </c>
    </row>
    <row r="97" spans="1:32" s="21" customFormat="1" ht="13.5" thickBot="1">
      <c r="A97" s="1388" t="s">
        <v>109</v>
      </c>
      <c r="B97" s="2078">
        <f>+'SZOLGÁLTATÓ IRODA'!B96</f>
        <v>8865.625</v>
      </c>
      <c r="C97" s="417">
        <f>+'SZOLGÁLTATÓ IRODA'!C96</f>
        <v>-2109</v>
      </c>
      <c r="D97" s="2104">
        <f>+'SZOLGÁLTATÓ IRODA'!D96</f>
        <v>6756.625</v>
      </c>
      <c r="E97" s="2019">
        <f>+'SEGÍTŐ SZOLGÁLAT'!AK104</f>
        <v>18468.718400000002</v>
      </c>
      <c r="F97" s="1072">
        <f>+'SEGÍTŐ SZOLGÁLAT'!AL104</f>
        <v>1187</v>
      </c>
      <c r="G97" s="2090">
        <f>+'SEGÍTŐ SZOLGÁLAT'!AM104</f>
        <v>19655.718400000002</v>
      </c>
      <c r="H97" s="2019">
        <f>+ÓVODA!AF102</f>
        <v>18979.621999999999</v>
      </c>
      <c r="I97" s="1072">
        <f>+ÓVODA!AG102</f>
        <v>1692</v>
      </c>
      <c r="J97" s="2104">
        <f>+ÓVODA!AH102</f>
        <v>20671.622000000003</v>
      </c>
      <c r="K97" s="2078">
        <f>+'KOZMA FERENC ÁLT. ISK.'!V99</f>
        <v>11142.848</v>
      </c>
      <c r="L97" s="417">
        <f>+'KOZMA FERENC ÁLT. ISK.'!W99</f>
        <v>1500</v>
      </c>
      <c r="M97" s="2047">
        <f>+'KOZMA FERENC ÁLT. ISK.'!X99</f>
        <v>12643.098</v>
      </c>
      <c r="N97" s="2046">
        <f>+N92+SUM(N93:N96)</f>
        <v>45480</v>
      </c>
      <c r="O97" s="1767">
        <f>+O92+SUM(O93:O96)</f>
        <v>3912</v>
      </c>
      <c r="P97" s="2047">
        <f>+P92+SUM(P93:P96)</f>
        <v>49392</v>
      </c>
      <c r="Q97" s="1995">
        <f>+B97+E97+H97+K97+N97</f>
        <v>102936.8134</v>
      </c>
      <c r="R97" s="1072">
        <f t="shared" si="3"/>
        <v>6182</v>
      </c>
      <c r="S97" s="1806">
        <f t="shared" si="4"/>
        <v>109118.8134</v>
      </c>
      <c r="V97" s="22"/>
      <c r="AF97" s="22"/>
    </row>
    <row r="98" spans="1:32" ht="25.5">
      <c r="A98" s="1827" t="s">
        <v>371</v>
      </c>
      <c r="B98" s="2079">
        <f>+'SZOLGÁLTATÓ IRODA'!B97</f>
        <v>0</v>
      </c>
      <c r="C98" s="1069">
        <f>+'SZOLGÁLTATÓ IRODA'!C97</f>
        <v>8250</v>
      </c>
      <c r="D98" s="2091">
        <f>+'SZOLGÁLTATÓ IRODA'!D97</f>
        <v>8250</v>
      </c>
      <c r="E98" s="2105"/>
      <c r="F98" s="1068"/>
      <c r="G98" s="2117"/>
      <c r="H98" s="2105">
        <f>+ÓVODA!AF103</f>
        <v>0</v>
      </c>
      <c r="I98" s="1068">
        <f>+ÓVODA!AG103</f>
        <v>0</v>
      </c>
      <c r="J98" s="2091"/>
      <c r="K98" s="2071"/>
      <c r="L98" s="410"/>
      <c r="M98" s="2072"/>
      <c r="N98" s="2013"/>
      <c r="O98" s="1033"/>
      <c r="P98" s="2048"/>
      <c r="Q98" s="1996">
        <f t="shared" si="3"/>
        <v>0</v>
      </c>
      <c r="R98" s="1032">
        <f t="shared" si="3"/>
        <v>8250</v>
      </c>
      <c r="S98" s="1788">
        <f t="shared" si="4"/>
        <v>8250</v>
      </c>
      <c r="AF98" s="2"/>
    </row>
    <row r="99" spans="1:32">
      <c r="A99" s="1347" t="s">
        <v>702</v>
      </c>
      <c r="B99" s="2071">
        <f>+'SZOLGÁLTATÓ IRODA'!B98</f>
        <v>0</v>
      </c>
      <c r="C99" s="410">
        <f>+'SZOLGÁLTATÓ IRODA'!C98</f>
        <v>0</v>
      </c>
      <c r="D99" s="2093">
        <f>+'SZOLGÁLTATÓ IRODA'!D98</f>
        <v>0</v>
      </c>
      <c r="E99" s="2092"/>
      <c r="F99" s="1032"/>
      <c r="G99" s="2014"/>
      <c r="H99" s="2092">
        <f>+ÓVODA!AF104</f>
        <v>0</v>
      </c>
      <c r="I99" s="1032">
        <f>+ÓVODA!AG104</f>
        <v>0</v>
      </c>
      <c r="J99" s="2093"/>
      <c r="K99" s="2065"/>
      <c r="L99" s="407"/>
      <c r="M99" s="2066"/>
      <c r="N99" s="2013"/>
      <c r="O99" s="1033"/>
      <c r="P99" s="2022"/>
      <c r="Q99" s="1993">
        <f t="shared" si="3"/>
        <v>0</v>
      </c>
      <c r="R99" s="1776">
        <f t="shared" si="3"/>
        <v>0</v>
      </c>
      <c r="S99" s="1641">
        <f t="shared" si="4"/>
        <v>0</v>
      </c>
      <c r="T99" s="787"/>
      <c r="U99" s="787"/>
    </row>
    <row r="100" spans="1:32">
      <c r="A100" s="1347" t="s">
        <v>110</v>
      </c>
      <c r="B100" s="2071">
        <f>+'SZOLGÁLTATÓ IRODA'!B99</f>
        <v>0</v>
      </c>
      <c r="C100" s="410">
        <f>+'SZOLGÁLTATÓ IRODA'!C99</f>
        <v>0</v>
      </c>
      <c r="D100" s="2093">
        <f>+'SZOLGÁLTATÓ IRODA'!D99</f>
        <v>0</v>
      </c>
      <c r="E100" s="2092">
        <f>+'SEGÍTŐ SZOLGÁLAT'!AK105</f>
        <v>0</v>
      </c>
      <c r="F100" s="1032">
        <f>+'SEGÍTŐ SZOLGÁLAT'!AL105</f>
        <v>0</v>
      </c>
      <c r="G100" s="2014"/>
      <c r="H100" s="2092"/>
      <c r="I100" s="1032"/>
      <c r="J100" s="2093"/>
      <c r="K100" s="2065">
        <f>+'KOZMA FERENC ÁLT. ISK.'!V100</f>
        <v>0</v>
      </c>
      <c r="L100" s="407">
        <f>+'KOZMA FERENC ÁLT. ISK.'!W100</f>
        <v>0</v>
      </c>
      <c r="M100" s="2066">
        <f>+'KOZMA FERENC ÁLT. ISK.'!X100</f>
        <v>0</v>
      </c>
      <c r="N100" s="2013"/>
      <c r="O100" s="1033"/>
      <c r="P100" s="2022"/>
      <c r="Q100" s="1993">
        <f t="shared" si="3"/>
        <v>0</v>
      </c>
      <c r="R100" s="1776">
        <f t="shared" si="3"/>
        <v>0</v>
      </c>
      <c r="S100" s="1641">
        <f t="shared" si="4"/>
        <v>0</v>
      </c>
      <c r="T100" s="788"/>
      <c r="U100" s="788"/>
    </row>
    <row r="101" spans="1:32">
      <c r="A101" s="83" t="s">
        <v>111</v>
      </c>
      <c r="B101" s="2071">
        <f>+'SZOLGÁLTATÓ IRODA'!B100</f>
        <v>0</v>
      </c>
      <c r="C101" s="410">
        <f>+'SZOLGÁLTATÓ IRODA'!C100</f>
        <v>0</v>
      </c>
      <c r="D101" s="2093">
        <f>+'SZOLGÁLTATÓ IRODA'!D100</f>
        <v>0</v>
      </c>
      <c r="E101" s="2092">
        <f>+'SEGÍTŐ SZOLGÁLAT'!AK106</f>
        <v>0</v>
      </c>
      <c r="F101" s="1032">
        <f>+'SEGÍTŐ SZOLGÁLAT'!AL106</f>
        <v>0</v>
      </c>
      <c r="G101" s="2014"/>
      <c r="H101" s="2092"/>
      <c r="I101" s="1032"/>
      <c r="J101" s="2093"/>
      <c r="K101" s="2065">
        <f>+'KOZMA FERENC ÁLT. ISK.'!V101</f>
        <v>0</v>
      </c>
      <c r="L101" s="407">
        <f>+'KOZMA FERENC ÁLT. ISK.'!W101</f>
        <v>0</v>
      </c>
      <c r="M101" s="2066">
        <f>+'KOZMA FERENC ÁLT. ISK.'!X101</f>
        <v>0</v>
      </c>
      <c r="N101" s="2013"/>
      <c r="O101" s="1033"/>
      <c r="P101" s="2038"/>
      <c r="Q101" s="1993">
        <f t="shared" si="3"/>
        <v>0</v>
      </c>
      <c r="R101" s="1776">
        <f t="shared" si="3"/>
        <v>0</v>
      </c>
      <c r="S101" s="1641">
        <f t="shared" si="4"/>
        <v>0</v>
      </c>
      <c r="T101" s="788"/>
      <c r="U101" s="788"/>
    </row>
    <row r="102" spans="1:32">
      <c r="A102" s="83" t="s">
        <v>112</v>
      </c>
      <c r="B102" s="2071">
        <f>+'SZOLGÁLTATÓ IRODA'!B101</f>
        <v>0</v>
      </c>
      <c r="C102" s="410">
        <f>+'SZOLGÁLTATÓ IRODA'!C101</f>
        <v>297</v>
      </c>
      <c r="D102" s="2093">
        <f>+'SZOLGÁLTATÓ IRODA'!D101</f>
        <v>297</v>
      </c>
      <c r="E102" s="2092">
        <f>+'SEGÍTŐ SZOLGÁLAT'!AK107</f>
        <v>0</v>
      </c>
      <c r="F102" s="1032">
        <f>+'SEGÍTŐ SZOLGÁLAT'!AL107</f>
        <v>0</v>
      </c>
      <c r="G102" s="2014"/>
      <c r="H102" s="2092">
        <f>+ÓVODA!AF105</f>
        <v>0</v>
      </c>
      <c r="I102" s="1032">
        <f>+ÓVODA!AG105</f>
        <v>450</v>
      </c>
      <c r="J102" s="2093">
        <f>+ÓVODA!AH105</f>
        <v>450</v>
      </c>
      <c r="K102" s="2065">
        <f>+'KOZMA FERENC ÁLT. ISK.'!V102</f>
        <v>0</v>
      </c>
      <c r="L102" s="407">
        <f>+'KOZMA FERENC ÁLT. ISK.'!W102</f>
        <v>0</v>
      </c>
      <c r="M102" s="2066">
        <f>+'KOZMA FERENC ÁLT. ISK.'!X102</f>
        <v>0</v>
      </c>
      <c r="N102" s="2013"/>
      <c r="O102" s="1033"/>
      <c r="P102" s="2038"/>
      <c r="Q102" s="1993">
        <f t="shared" si="3"/>
        <v>0</v>
      </c>
      <c r="R102" s="1776">
        <f t="shared" si="3"/>
        <v>747</v>
      </c>
      <c r="S102" s="1641">
        <f t="shared" si="4"/>
        <v>747</v>
      </c>
      <c r="T102" s="788"/>
      <c r="U102" s="788"/>
    </row>
    <row r="103" spans="1:32">
      <c r="A103" s="83" t="s">
        <v>113</v>
      </c>
      <c r="B103" s="2071">
        <f>+'SZOLGÁLTATÓ IRODA'!B102</f>
        <v>0</v>
      </c>
      <c r="C103" s="410">
        <f>+'SZOLGÁLTATÓ IRODA'!C102</f>
        <v>0</v>
      </c>
      <c r="D103" s="2093">
        <f>+'SZOLGÁLTATÓ IRODA'!D102</f>
        <v>0</v>
      </c>
      <c r="E103" s="2092">
        <f>+'SEGÍTŐ SZOLGÁLAT'!AK108</f>
        <v>0</v>
      </c>
      <c r="F103" s="1032">
        <f>+'SEGÍTŐ SZOLGÁLAT'!AL108</f>
        <v>0</v>
      </c>
      <c r="G103" s="2014"/>
      <c r="H103" s="2092">
        <f>+ÓVODA!AF106</f>
        <v>0</v>
      </c>
      <c r="I103" s="1032">
        <f>+ÓVODA!AG106</f>
        <v>0</v>
      </c>
      <c r="J103" s="2093">
        <f>+ÓVODA!AH106</f>
        <v>0</v>
      </c>
      <c r="K103" s="2065">
        <f>+'KOZMA FERENC ÁLT. ISK.'!V103</f>
        <v>0</v>
      </c>
      <c r="L103" s="407">
        <f>+'KOZMA FERENC ÁLT. ISK.'!W103</f>
        <v>9398</v>
      </c>
      <c r="M103" s="2066">
        <f>+'KOZMA FERENC ÁLT. ISK.'!X103</f>
        <v>9398</v>
      </c>
      <c r="N103" s="2013"/>
      <c r="O103" s="1033"/>
      <c r="P103" s="2038"/>
      <c r="Q103" s="1993">
        <f t="shared" si="3"/>
        <v>0</v>
      </c>
      <c r="R103" s="1776">
        <f t="shared" si="3"/>
        <v>9398</v>
      </c>
      <c r="S103" s="1641">
        <f t="shared" si="4"/>
        <v>9398</v>
      </c>
      <c r="T103" s="789"/>
      <c r="U103" s="789"/>
    </row>
    <row r="104" spans="1:32">
      <c r="A104" s="83" t="s">
        <v>114</v>
      </c>
      <c r="B104" s="2071">
        <f>+'SZOLGÁLTATÓ IRODA'!B103</f>
        <v>0</v>
      </c>
      <c r="C104" s="410">
        <f>+'SZOLGÁLTATÓ IRODA'!C103</f>
        <v>0</v>
      </c>
      <c r="D104" s="2093">
        <f>+'SZOLGÁLTATÓ IRODA'!D103</f>
        <v>0</v>
      </c>
      <c r="E104" s="2092">
        <f>+'SEGÍTŐ SZOLGÁLAT'!AK109</f>
        <v>0</v>
      </c>
      <c r="F104" s="1032">
        <f>+'SEGÍTŐ SZOLGÁLAT'!AL109</f>
        <v>0</v>
      </c>
      <c r="G104" s="2014">
        <f>+'SEGÍTŐ SZOLGÁLAT'!AM109</f>
        <v>0</v>
      </c>
      <c r="H104" s="2092">
        <f>+ÓVODA!AF107</f>
        <v>0</v>
      </c>
      <c r="I104" s="1032">
        <f>+ÓVODA!AG107</f>
        <v>0</v>
      </c>
      <c r="J104" s="2093">
        <f>+ÓVODA!AH107</f>
        <v>0</v>
      </c>
      <c r="K104" s="2065">
        <f>+'KOZMA FERENC ÁLT. ISK.'!V104</f>
        <v>0</v>
      </c>
      <c r="L104" s="407">
        <f>+'KOZMA FERENC ÁLT. ISK.'!W104</f>
        <v>55</v>
      </c>
      <c r="M104" s="2066">
        <f>+'KOZMA FERENC ÁLT. ISK.'!X104</f>
        <v>55</v>
      </c>
      <c r="N104" s="2013"/>
      <c r="O104" s="1033">
        <v>1000</v>
      </c>
      <c r="P104" s="2038">
        <f>+[3]Társulás!$P$4</f>
        <v>1000</v>
      </c>
      <c r="Q104" s="1993">
        <f t="shared" si="3"/>
        <v>0</v>
      </c>
      <c r="R104" s="1776">
        <f t="shared" si="3"/>
        <v>1055</v>
      </c>
      <c r="S104" s="1641">
        <f t="shared" si="4"/>
        <v>1055</v>
      </c>
    </row>
    <row r="105" spans="1:32">
      <c r="A105" s="83" t="s">
        <v>115</v>
      </c>
      <c r="B105" s="2071">
        <f>+'SZOLGÁLTATÓ IRODA'!B104</f>
        <v>0</v>
      </c>
      <c r="C105" s="410">
        <f>+'SZOLGÁLTATÓ IRODA'!C104</f>
        <v>0</v>
      </c>
      <c r="D105" s="2093">
        <f>+'SZOLGÁLTATÓ IRODA'!D104</f>
        <v>0</v>
      </c>
      <c r="E105" s="2092">
        <f>+'SEGÍTŐ SZOLGÁLAT'!AK110</f>
        <v>0</v>
      </c>
      <c r="F105" s="1032">
        <f>+'SEGÍTŐ SZOLGÁLAT'!AL110</f>
        <v>131520</v>
      </c>
      <c r="G105" s="2014">
        <f>+'SEGÍTŐ SZOLGÁLAT'!AM110</f>
        <v>0</v>
      </c>
      <c r="H105" s="2092">
        <f>+ÓVODA!AF108</f>
        <v>0</v>
      </c>
      <c r="I105" s="1032">
        <f>+ÓVODA!AG108</f>
        <v>0</v>
      </c>
      <c r="J105" s="2093">
        <f>+ÓVODA!AH108</f>
        <v>0</v>
      </c>
      <c r="K105" s="2065">
        <f>+'KOZMA FERENC ÁLT. ISK.'!V105</f>
        <v>0</v>
      </c>
      <c r="L105" s="407">
        <f>+'KOZMA FERENC ÁLT. ISK.'!W105</f>
        <v>0</v>
      </c>
      <c r="M105" s="2066">
        <f>+'KOZMA FERENC ÁLT. ISK.'!X105</f>
        <v>0</v>
      </c>
      <c r="N105" s="2013"/>
      <c r="O105" s="1033"/>
      <c r="P105" s="2038"/>
      <c r="Q105" s="1993">
        <f t="shared" si="3"/>
        <v>0</v>
      </c>
      <c r="R105" s="1776">
        <f t="shared" si="3"/>
        <v>131520</v>
      </c>
      <c r="S105" s="1641">
        <f t="shared" si="4"/>
        <v>131520</v>
      </c>
    </row>
    <row r="106" spans="1:32">
      <c r="A106" s="83" t="s">
        <v>116</v>
      </c>
      <c r="B106" s="2071">
        <f>+'SZOLGÁLTATÓ IRODA'!B105</f>
        <v>0</v>
      </c>
      <c r="C106" s="410">
        <f>+'SZOLGÁLTATÓ IRODA'!C105</f>
        <v>0</v>
      </c>
      <c r="D106" s="2093">
        <f>+'SZOLGÁLTATÓ IRODA'!D105</f>
        <v>0</v>
      </c>
      <c r="E106" s="2092">
        <f>+'SEGÍTŐ SZOLGÁLAT'!AK111</f>
        <v>0</v>
      </c>
      <c r="F106" s="1032">
        <f>+'SEGÍTŐ SZOLGÁLAT'!AL111</f>
        <v>607</v>
      </c>
      <c r="G106" s="2014">
        <f>+'SEGÍTŐ SZOLGÁLAT'!AM111</f>
        <v>607</v>
      </c>
      <c r="H106" s="2092">
        <f>+ÓVODA!AF109</f>
        <v>0</v>
      </c>
      <c r="I106" s="1032">
        <f>+ÓVODA!AG109</f>
        <v>0</v>
      </c>
      <c r="J106" s="2093">
        <f>+ÓVODA!AH109</f>
        <v>0</v>
      </c>
      <c r="K106" s="2065">
        <f>+'KOZMA FERENC ÁLT. ISK.'!V106</f>
        <v>0</v>
      </c>
      <c r="L106" s="407">
        <f>+'KOZMA FERENC ÁLT. ISK.'!W106</f>
        <v>0</v>
      </c>
      <c r="M106" s="2066">
        <f>+'KOZMA FERENC ÁLT. ISK.'!X106</f>
        <v>0</v>
      </c>
      <c r="N106" s="2013"/>
      <c r="O106" s="1033"/>
      <c r="P106" s="2038"/>
      <c r="Q106" s="1993">
        <f t="shared" si="3"/>
        <v>0</v>
      </c>
      <c r="R106" s="1776">
        <f t="shared" si="3"/>
        <v>607</v>
      </c>
      <c r="S106" s="1641">
        <f t="shared" si="4"/>
        <v>607</v>
      </c>
    </row>
    <row r="107" spans="1:32">
      <c r="A107" s="1653" t="s">
        <v>117</v>
      </c>
      <c r="B107" s="2071">
        <f>+'SZOLGÁLTATÓ IRODA'!B106</f>
        <v>0</v>
      </c>
      <c r="C107" s="410">
        <f>+'SZOLGÁLTATÓ IRODA'!C106</f>
        <v>297</v>
      </c>
      <c r="D107" s="2093">
        <f>+'SZOLGÁLTATÓ IRODA'!D106</f>
        <v>297</v>
      </c>
      <c r="E107" s="2092">
        <f>+'SEGÍTŐ SZOLGÁLAT'!AK112</f>
        <v>0</v>
      </c>
      <c r="F107" s="1032">
        <f>+'SEGÍTŐ SZOLGÁLAT'!AL112</f>
        <v>132127</v>
      </c>
      <c r="G107" s="2014">
        <f>+'SEGÍTŐ SZOLGÁLAT'!AM112</f>
        <v>132127</v>
      </c>
      <c r="H107" s="2092">
        <f>+ÓVODA!AF110</f>
        <v>0</v>
      </c>
      <c r="I107" s="1032">
        <f>+ÓVODA!AG110</f>
        <v>450</v>
      </c>
      <c r="J107" s="2093">
        <f>+ÓVODA!AH110</f>
        <v>450</v>
      </c>
      <c r="K107" s="2065">
        <f>+'KOZMA FERENC ÁLT. ISK.'!V107</f>
        <v>0</v>
      </c>
      <c r="L107" s="407">
        <f>+'KOZMA FERENC ÁLT. ISK.'!W107</f>
        <v>9453</v>
      </c>
      <c r="M107" s="2066">
        <f>+'KOZMA FERENC ÁLT. ISK.'!X107</f>
        <v>9453</v>
      </c>
      <c r="N107" s="2013"/>
      <c r="O107" s="1033">
        <f>SUM(O104:O106)</f>
        <v>1000</v>
      </c>
      <c r="P107" s="2038">
        <f>SUM(P98:P106)</f>
        <v>1000</v>
      </c>
      <c r="Q107" s="1993">
        <f t="shared" si="3"/>
        <v>0</v>
      </c>
      <c r="R107" s="1776">
        <f t="shared" si="3"/>
        <v>143327</v>
      </c>
      <c r="S107" s="1641">
        <f t="shared" si="4"/>
        <v>143327</v>
      </c>
    </row>
    <row r="108" spans="1:32">
      <c r="A108" s="1385" t="s">
        <v>118</v>
      </c>
      <c r="B108" s="2085">
        <f>+'SZOLGÁLTATÓ IRODA'!B107</f>
        <v>0</v>
      </c>
      <c r="C108" s="414">
        <f>+'SZOLGÁLTATÓ IRODA'!C107</f>
        <v>0</v>
      </c>
      <c r="D108" s="2099">
        <f>+'SZOLGÁLTATÓ IRODA'!D107</f>
        <v>0</v>
      </c>
      <c r="E108" s="2095">
        <f>+'SEGÍTŐ SZOLGÁLAT'!AK113</f>
        <v>0</v>
      </c>
      <c r="F108" s="1035">
        <f>+'SEGÍTŐ SZOLGÁLAT'!AL113</f>
        <v>32658</v>
      </c>
      <c r="G108" s="2118">
        <f>+'SEGÍTŐ SZOLGÁLAT'!AM113</f>
        <v>32658</v>
      </c>
      <c r="H108" s="2095">
        <f>+ÓVODA!AF111</f>
        <v>0</v>
      </c>
      <c r="I108" s="1035">
        <f>+ÓVODA!AG111</f>
        <v>106</v>
      </c>
      <c r="J108" s="2099">
        <f>+ÓVODA!AH111</f>
        <v>106</v>
      </c>
      <c r="K108" s="2068">
        <f>+'KOZMA FERENC ÁLT. ISK.'!V108</f>
        <v>0</v>
      </c>
      <c r="L108" s="408">
        <f>+'KOZMA FERENC ÁLT. ISK.'!W108</f>
        <v>200</v>
      </c>
      <c r="M108" s="2080">
        <f>+'KOZMA FERENC ÁLT. ISK.'!X108</f>
        <v>200</v>
      </c>
      <c r="N108" s="2039"/>
      <c r="O108" s="1655"/>
      <c r="P108" s="2040"/>
      <c r="Q108" s="1994">
        <f t="shared" si="3"/>
        <v>0</v>
      </c>
      <c r="R108" s="1780">
        <f t="shared" si="3"/>
        <v>32964</v>
      </c>
      <c r="S108" s="1654">
        <f t="shared" si="4"/>
        <v>32964</v>
      </c>
    </row>
    <row r="109" spans="1:32">
      <c r="A109" s="76" t="s">
        <v>119</v>
      </c>
      <c r="B109" s="1784">
        <f>+'SZOLGÁLTATÓ IRODA'!B108</f>
        <v>0</v>
      </c>
      <c r="C109" s="409">
        <f>+'SZOLGÁLTATÓ IRODA'!C108</f>
        <v>297</v>
      </c>
      <c r="D109" s="2028">
        <f>SUM(D107:D108)</f>
        <v>297</v>
      </c>
      <c r="E109" s="2097">
        <f>+'SEGÍTŐ SZOLGÁLAT'!AK114</f>
        <v>0</v>
      </c>
      <c r="F109" s="1656">
        <f>+'SEGÍTŐ SZOLGÁLAT'!AL114</f>
        <v>164785</v>
      </c>
      <c r="G109" s="2028">
        <f>SUM(G107:G108)</f>
        <v>164785</v>
      </c>
      <c r="H109" s="2097">
        <f>+ÓVODA!AF112</f>
        <v>0</v>
      </c>
      <c r="I109" s="1656">
        <f>+ÓVODA!AG112</f>
        <v>556</v>
      </c>
      <c r="J109" s="2028">
        <f>SUM(J107:J108)</f>
        <v>556</v>
      </c>
      <c r="K109" s="1784">
        <f>+'KOZMA FERENC ÁLT. ISK.'!V109</f>
        <v>0</v>
      </c>
      <c r="L109" s="409">
        <f>+'KOZMA FERENC ÁLT. ISK.'!W109</f>
        <v>9653</v>
      </c>
      <c r="M109" s="2028">
        <f>SUM(M107:M108)</f>
        <v>9653</v>
      </c>
      <c r="N109" s="2049"/>
      <c r="O109" s="1315">
        <f>SUM(O107:O108)</f>
        <v>1000</v>
      </c>
      <c r="P109" s="2028">
        <f>SUM(P107:P108)</f>
        <v>1000</v>
      </c>
      <c r="Q109" s="1997">
        <f t="shared" si="3"/>
        <v>0</v>
      </c>
      <c r="R109" s="1656">
        <f t="shared" si="3"/>
        <v>176291</v>
      </c>
      <c r="S109" s="1799">
        <f t="shared" si="4"/>
        <v>176291</v>
      </c>
    </row>
    <row r="110" spans="1:32">
      <c r="A110" s="1347" t="s">
        <v>120</v>
      </c>
      <c r="B110" s="2071">
        <f>+'SZOLGÁLTATÓ IRODA'!B109</f>
        <v>0</v>
      </c>
      <c r="C110" s="410">
        <f>+'SZOLGÁLTATÓ IRODA'!C109</f>
        <v>0</v>
      </c>
      <c r="D110" s="2093">
        <f>+'SZOLGÁLTATÓ IRODA'!D109</f>
        <v>0</v>
      </c>
      <c r="E110" s="2092">
        <f>+'SEGÍTŐ SZOLGÁLAT'!AK115</f>
        <v>0</v>
      </c>
      <c r="F110" s="1032">
        <f>+'SEGÍTŐ SZOLGÁLAT'!AL115</f>
        <v>0</v>
      </c>
      <c r="G110" s="2014">
        <f>+'SEGÍTŐ SZOLGÁLAT'!AM115</f>
        <v>0</v>
      </c>
      <c r="H110" s="2092">
        <f>+ÓVODA!AF113</f>
        <v>0</v>
      </c>
      <c r="I110" s="1032">
        <f>+ÓVODA!AG113</f>
        <v>0</v>
      </c>
      <c r="J110" s="2093">
        <f>+ÓVODA!AH113</f>
        <v>0</v>
      </c>
      <c r="K110" s="2071">
        <f>+'KOZMA FERENC ÁLT. ISK.'!V110</f>
        <v>0</v>
      </c>
      <c r="L110" s="410">
        <f>+'KOZMA FERENC ÁLT. ISK.'!W110</f>
        <v>0</v>
      </c>
      <c r="M110" s="2072">
        <f>+'KOZMA FERENC ÁLT. ISK.'!X110</f>
        <v>0</v>
      </c>
      <c r="N110" s="2013">
        <v>31448</v>
      </c>
      <c r="O110" s="1033"/>
      <c r="P110" s="2022">
        <v>31448</v>
      </c>
      <c r="Q110" s="1998">
        <f t="shared" si="3"/>
        <v>31448</v>
      </c>
      <c r="R110" s="1032">
        <f t="shared" si="3"/>
        <v>0</v>
      </c>
      <c r="S110" s="1783">
        <f t="shared" si="4"/>
        <v>31448</v>
      </c>
    </row>
    <row r="111" spans="1:32" s="21" customFormat="1">
      <c r="A111" s="83" t="s">
        <v>121</v>
      </c>
      <c r="B111" s="2071">
        <f>+'SZOLGÁLTATÓ IRODA'!B110</f>
        <v>0</v>
      </c>
      <c r="C111" s="410">
        <f>+'SZOLGÁLTATÓ IRODA'!C110</f>
        <v>0</v>
      </c>
      <c r="D111" s="2093">
        <f>+'SZOLGÁLTATÓ IRODA'!D110</f>
        <v>0</v>
      </c>
      <c r="E111" s="2092">
        <f>+'SEGÍTŐ SZOLGÁLAT'!AK116</f>
        <v>0</v>
      </c>
      <c r="F111" s="1032">
        <f>+'SEGÍTŐ SZOLGÁLAT'!AL116</f>
        <v>0</v>
      </c>
      <c r="G111" s="2014">
        <f>+'SEGÍTŐ SZOLGÁLAT'!AM116</f>
        <v>0</v>
      </c>
      <c r="H111" s="2092">
        <f>+ÓVODA!AF114</f>
        <v>0</v>
      </c>
      <c r="I111" s="1032">
        <f>+ÓVODA!AG114</f>
        <v>0</v>
      </c>
      <c r="J111" s="2093">
        <f>+ÓVODA!AH114</f>
        <v>0</v>
      </c>
      <c r="K111" s="2065">
        <f>+'KOZMA FERENC ÁLT. ISK.'!V111</f>
        <v>0</v>
      </c>
      <c r="L111" s="407">
        <f>+'KOZMA FERENC ÁLT. ISK.'!W111</f>
        <v>0</v>
      </c>
      <c r="M111" s="2066">
        <f>+'KOZMA FERENC ÁLT. ISK.'!X111</f>
        <v>0</v>
      </c>
      <c r="N111" s="2013"/>
      <c r="O111" s="1033"/>
      <c r="P111" s="2022">
        <f>+P7</f>
        <v>0</v>
      </c>
      <c r="Q111" s="1993">
        <f t="shared" si="3"/>
        <v>0</v>
      </c>
      <c r="R111" s="1776">
        <f t="shared" si="3"/>
        <v>0</v>
      </c>
      <c r="S111" s="1641">
        <f t="shared" si="4"/>
        <v>0</v>
      </c>
      <c r="T111" s="22"/>
      <c r="V111" s="22"/>
    </row>
    <row r="112" spans="1:32">
      <c r="A112" s="1348" t="s">
        <v>122</v>
      </c>
      <c r="B112" s="2071">
        <f>+'SZOLGÁLTATÓ IRODA'!B111</f>
        <v>0</v>
      </c>
      <c r="C112" s="410">
        <f>+'SZOLGÁLTATÓ IRODA'!C111</f>
        <v>0</v>
      </c>
      <c r="D112" s="2093">
        <f>+'SZOLGÁLTATÓ IRODA'!D111</f>
        <v>0</v>
      </c>
      <c r="E112" s="2092">
        <f>+'SEGÍTŐ SZOLGÁLAT'!AK117</f>
        <v>0</v>
      </c>
      <c r="F112" s="1032">
        <f>+'SEGÍTŐ SZOLGÁLAT'!AL117</f>
        <v>0</v>
      </c>
      <c r="G112" s="2014">
        <f>+'SEGÍTŐ SZOLGÁLAT'!AM117</f>
        <v>0</v>
      </c>
      <c r="H112" s="2092">
        <f>+ÓVODA!AF115</f>
        <v>0</v>
      </c>
      <c r="I112" s="1032">
        <f>+ÓVODA!AG115</f>
        <v>0</v>
      </c>
      <c r="J112" s="2093">
        <f>+ÓVODA!AH115</f>
        <v>0</v>
      </c>
      <c r="K112" s="2065">
        <f>+'KOZMA FERENC ÁLT. ISK.'!V112</f>
        <v>0</v>
      </c>
      <c r="L112" s="407">
        <f>+'KOZMA FERENC ÁLT. ISK.'!W112</f>
        <v>0</v>
      </c>
      <c r="M112" s="2066">
        <f>+'KOZMA FERENC ÁLT. ISK.'!X112</f>
        <v>0</v>
      </c>
      <c r="N112" s="2013"/>
      <c r="O112" s="1033"/>
      <c r="P112" s="2038"/>
      <c r="Q112" s="1993">
        <f t="shared" si="3"/>
        <v>0</v>
      </c>
      <c r="R112" s="1776">
        <f t="shared" si="3"/>
        <v>0</v>
      </c>
      <c r="S112" s="1641">
        <f t="shared" si="4"/>
        <v>0</v>
      </c>
    </row>
    <row r="113" spans="1:22">
      <c r="A113" s="83" t="s">
        <v>708</v>
      </c>
      <c r="B113" s="2065">
        <f>+'SZOLGÁLTATÓ IRODA'!B112</f>
        <v>0</v>
      </c>
      <c r="C113" s="407">
        <f>+'SZOLGÁLTATÓ IRODA'!C112</f>
        <v>0</v>
      </c>
      <c r="D113" s="2108">
        <f>+'SZOLGÁLTATÓ IRODA'!D112</f>
        <v>0</v>
      </c>
      <c r="E113" s="1863">
        <f>+'SEGÍTŐ SZOLGÁLAT'!AK118</f>
        <v>0</v>
      </c>
      <c r="F113" s="1776">
        <f>+'SEGÍTŐ SZOLGÁLAT'!AL118</f>
        <v>0</v>
      </c>
      <c r="G113" s="2012">
        <f>+'SEGÍTŐ SZOLGÁLAT'!AM118</f>
        <v>0</v>
      </c>
      <c r="H113" s="1863">
        <f>+ÓVODA!AF116</f>
        <v>0</v>
      </c>
      <c r="I113" s="1776">
        <f>+ÓVODA!AG116</f>
        <v>0</v>
      </c>
      <c r="J113" s="2108">
        <f>+ÓVODA!AH116</f>
        <v>0</v>
      </c>
      <c r="K113" s="2065">
        <f>+'KOZMA FERENC ÁLT. ISK.'!V113</f>
        <v>0</v>
      </c>
      <c r="L113" s="407">
        <f>+'KOZMA FERENC ÁLT. ISK.'!W113</f>
        <v>0</v>
      </c>
      <c r="M113" s="2066">
        <f>+'KOZMA FERENC ÁLT. ISK.'!X113</f>
        <v>0</v>
      </c>
      <c r="N113" s="2011">
        <v>5932</v>
      </c>
      <c r="O113" s="1781">
        <f>+[3]Társulás!$Q$5</f>
        <v>-1000</v>
      </c>
      <c r="P113" s="2038">
        <f>SUM(N113:O113)</f>
        <v>4932</v>
      </c>
      <c r="Q113" s="1993">
        <f t="shared" si="3"/>
        <v>5932</v>
      </c>
      <c r="R113" s="1776">
        <f t="shared" si="3"/>
        <v>-1000</v>
      </c>
      <c r="S113" s="1641">
        <f t="shared" si="4"/>
        <v>4932</v>
      </c>
      <c r="T113" s="2"/>
    </row>
    <row r="114" spans="1:22">
      <c r="A114" s="83" t="s">
        <v>709</v>
      </c>
      <c r="B114" s="2065"/>
      <c r="C114" s="407"/>
      <c r="D114" s="2108"/>
      <c r="E114" s="1863"/>
      <c r="F114" s="1776"/>
      <c r="G114" s="2012"/>
      <c r="H114" s="1863"/>
      <c r="I114" s="1776"/>
      <c r="J114" s="2108"/>
      <c r="K114" s="2065"/>
      <c r="L114" s="407"/>
      <c r="M114" s="2066"/>
      <c r="N114" s="2050"/>
      <c r="O114" s="1781">
        <f>+[3]Társulás!$Q$14</f>
        <v>8420</v>
      </c>
      <c r="P114" s="2038">
        <f>SUM(N114:O114)</f>
        <v>8420</v>
      </c>
      <c r="Q114" s="1993">
        <f t="shared" si="3"/>
        <v>0</v>
      </c>
      <c r="R114" s="1776">
        <f t="shared" si="3"/>
        <v>8420</v>
      </c>
      <c r="S114" s="1641">
        <f t="shared" si="4"/>
        <v>8420</v>
      </c>
      <c r="T114" s="2"/>
    </row>
    <row r="115" spans="1:22">
      <c r="A115" s="83" t="s">
        <v>706</v>
      </c>
      <c r="B115" s="2065"/>
      <c r="C115" s="407"/>
      <c r="D115" s="2108"/>
      <c r="E115" s="1863"/>
      <c r="F115" s="1776"/>
      <c r="G115" s="2012"/>
      <c r="H115" s="1863"/>
      <c r="I115" s="1776"/>
      <c r="J115" s="2108"/>
      <c r="K115" s="2065"/>
      <c r="L115" s="407"/>
      <c r="M115" s="2066"/>
      <c r="N115" s="2050"/>
      <c r="O115" s="1781">
        <f>+[3]Társulás!$Q$15</f>
        <v>500</v>
      </c>
      <c r="P115" s="2038">
        <f>SUM(O115)</f>
        <v>500</v>
      </c>
      <c r="Q115" s="1993">
        <f t="shared" si="3"/>
        <v>0</v>
      </c>
      <c r="R115" s="1776">
        <f t="shared" si="3"/>
        <v>500</v>
      </c>
      <c r="S115" s="1641">
        <f t="shared" si="4"/>
        <v>500</v>
      </c>
      <c r="T115" s="2"/>
    </row>
    <row r="116" spans="1:22" ht="13.5" thickBot="1">
      <c r="A116" s="1820" t="s">
        <v>707</v>
      </c>
      <c r="B116" s="2087"/>
      <c r="C116" s="1779"/>
      <c r="D116" s="2110"/>
      <c r="E116" s="2109"/>
      <c r="F116" s="1821"/>
      <c r="G116" s="2123"/>
      <c r="H116" s="2109"/>
      <c r="I116" s="1821"/>
      <c r="J116" s="2110"/>
      <c r="K116" s="2087"/>
      <c r="L116" s="1779"/>
      <c r="M116" s="2088"/>
      <c r="N116" s="2051"/>
      <c r="O116" s="1822">
        <f>+[3]Társulás!$Q$16</f>
        <v>1293</v>
      </c>
      <c r="P116" s="2052">
        <f>SUM(O116)</f>
        <v>1293</v>
      </c>
      <c r="Q116" s="1993">
        <f t="shared" si="3"/>
        <v>0</v>
      </c>
      <c r="R116" s="1776">
        <f t="shared" si="3"/>
        <v>1293</v>
      </c>
      <c r="S116" s="1641">
        <f t="shared" si="4"/>
        <v>1293</v>
      </c>
      <c r="T116" s="2"/>
    </row>
    <row r="117" spans="1:22" s="21" customFormat="1" ht="13.5" thickBot="1">
      <c r="A117" s="1388" t="s">
        <v>124</v>
      </c>
      <c r="B117" s="2078">
        <f>+'SZOLGÁLTATÓ IRODA'!B113</f>
        <v>22854.924999999999</v>
      </c>
      <c r="C117" s="417">
        <f>+'SZOLGÁLTATÓ IRODA'!C113</f>
        <v>1068</v>
      </c>
      <c r="D117" s="2054">
        <f>+D57+D97+D98+D99+D109+D110+D111+D112+D113</f>
        <v>23922.924999999999</v>
      </c>
      <c r="E117" s="2019">
        <f>+'SEGÍTŐ SZOLGÁLAT'!AK119</f>
        <v>88882.688399999985</v>
      </c>
      <c r="F117" s="1072">
        <f>+'SEGÍTŐ SZOLGÁLAT'!AL119</f>
        <v>168046.92</v>
      </c>
      <c r="G117" s="2054">
        <f>+G57+G97+G109+G110+G111+G112+G113</f>
        <v>256929.6084</v>
      </c>
      <c r="H117" s="2019">
        <f>+ÓVODA!AF117</f>
        <v>149822.52199999997</v>
      </c>
      <c r="I117" s="1072">
        <f>+ÓVODA!AG117</f>
        <v>4030</v>
      </c>
      <c r="J117" s="2054">
        <f>+J57+J97+J109+J110+J111+J112+J113</f>
        <v>153852.522</v>
      </c>
      <c r="K117" s="2078">
        <f>+'KOZMA FERENC ÁLT. ISK.'!V114</f>
        <v>76350.248000000007</v>
      </c>
      <c r="L117" s="417">
        <f>+'KOZMA FERENC ÁLT. ISK.'!W114</f>
        <v>11635</v>
      </c>
      <c r="M117" s="2054">
        <f>+M57+M97+M109+M110+M111+M112+M113</f>
        <v>87985.847999999998</v>
      </c>
      <c r="N117" s="2053">
        <f>+N57+N97+N109+SUM(N110:N113)</f>
        <v>82860</v>
      </c>
      <c r="O117" s="1403">
        <f>+O57+O97+O109+SUM(O110:O116)</f>
        <v>14125</v>
      </c>
      <c r="P117" s="2054">
        <f>+P57+P97+P109+SUM(P110:P116)</f>
        <v>96985</v>
      </c>
      <c r="Q117" s="1995">
        <f t="shared" si="3"/>
        <v>420770.38339999999</v>
      </c>
      <c r="R117" s="1785">
        <f>+C117+F117+I117+L117+O117</f>
        <v>198904.92</v>
      </c>
      <c r="S117" s="1817">
        <f>SUM(Q117:R117)</f>
        <v>619675.30339999998</v>
      </c>
      <c r="U117" s="22"/>
      <c r="V117" s="22"/>
    </row>
    <row r="118" spans="1:22" ht="13.5" thickBot="1">
      <c r="A118" s="1652"/>
      <c r="B118" s="2085"/>
      <c r="C118" s="414"/>
      <c r="D118" s="2099"/>
      <c r="E118" s="2095"/>
      <c r="F118" s="1035"/>
      <c r="G118" s="2118"/>
      <c r="H118" s="2095"/>
      <c r="I118" s="1035"/>
      <c r="J118" s="2099"/>
      <c r="K118" s="2085"/>
      <c r="L118" s="414"/>
      <c r="M118" s="2086"/>
      <c r="N118" s="2055"/>
      <c r="O118" s="1823"/>
      <c r="P118" s="2056"/>
      <c r="Q118" s="2003"/>
      <c r="R118" s="1804"/>
      <c r="S118" s="1800"/>
      <c r="U118" s="2"/>
    </row>
    <row r="119" spans="1:22" s="21" customFormat="1" ht="13.5" thickBot="1">
      <c r="A119" s="1388" t="s">
        <v>125</v>
      </c>
      <c r="B119" s="2135">
        <f t="shared" ref="B119:S119" si="5">+B19-B117</f>
        <v>7.5000000000727596E-2</v>
      </c>
      <c r="C119" s="2136">
        <f t="shared" si="5"/>
        <v>500</v>
      </c>
      <c r="D119" s="2137">
        <f t="shared" si="5"/>
        <v>500.07500000000073</v>
      </c>
      <c r="E119" s="2111">
        <f t="shared" si="5"/>
        <v>-1175.6883999999845</v>
      </c>
      <c r="F119" s="2138">
        <f t="shared" si="5"/>
        <v>-4682.9200000000128</v>
      </c>
      <c r="G119" s="2124">
        <f t="shared" si="5"/>
        <v>-5828.6083999999973</v>
      </c>
      <c r="H119" s="2111">
        <f t="shared" si="5"/>
        <v>1309.5880000000179</v>
      </c>
      <c r="I119" s="2112">
        <f t="shared" si="5"/>
        <v>0</v>
      </c>
      <c r="J119" s="2113">
        <f t="shared" si="5"/>
        <v>1309.5879999999888</v>
      </c>
      <c r="K119" s="2089">
        <f t="shared" si="5"/>
        <v>-4.8000000009778887E-2</v>
      </c>
      <c r="L119" s="2089">
        <f t="shared" si="5"/>
        <v>0</v>
      </c>
      <c r="M119" s="2089">
        <f t="shared" si="5"/>
        <v>-0.84799999999813735</v>
      </c>
      <c r="N119" s="2004">
        <f t="shared" si="5"/>
        <v>-722</v>
      </c>
      <c r="O119" s="2005">
        <f t="shared" si="5"/>
        <v>-1823</v>
      </c>
      <c r="P119" s="2006">
        <f t="shared" si="5"/>
        <v>-2545</v>
      </c>
      <c r="Q119" s="1642">
        <f t="shared" si="5"/>
        <v>-588.07339999999385</v>
      </c>
      <c r="R119" s="1072">
        <f t="shared" si="5"/>
        <v>-6005.9200000000128</v>
      </c>
      <c r="S119" s="1818">
        <f t="shared" si="5"/>
        <v>-6593.9933999999193</v>
      </c>
      <c r="V119" s="22"/>
    </row>
    <row r="120" spans="1:22">
      <c r="A120" s="1"/>
      <c r="B120" s="1"/>
      <c r="C120" s="1"/>
      <c r="D120" s="1"/>
      <c r="E120" s="1770"/>
      <c r="F120" s="1"/>
      <c r="G120" s="1770"/>
      <c r="H120" s="1770"/>
      <c r="I120" s="1770"/>
      <c r="J120" s="1721"/>
      <c r="K120" s="1721"/>
      <c r="L120" s="1721"/>
      <c r="M120" s="1768"/>
      <c r="N120" s="1768"/>
      <c r="O120" s="1768"/>
      <c r="P120" s="2"/>
      <c r="Q120" s="2"/>
      <c r="R120" s="2"/>
      <c r="S120" s="1"/>
    </row>
    <row r="121" spans="1:22">
      <c r="A121" s="1"/>
      <c r="B121" s="1"/>
      <c r="C121" s="1"/>
      <c r="D121" s="1"/>
      <c r="E121" s="1770"/>
      <c r="F121" s="2139">
        <v>29</v>
      </c>
      <c r="G121" s="1264"/>
      <c r="H121" s="1770"/>
      <c r="I121" s="1770"/>
      <c r="J121" s="1"/>
      <c r="K121" s="1721"/>
      <c r="L121" s="1721"/>
      <c r="M121" s="359"/>
      <c r="N121" s="359"/>
      <c r="O121" s="359"/>
      <c r="P121" s="2"/>
      <c r="Q121" s="2"/>
      <c r="R121" s="2"/>
      <c r="S121" s="1"/>
    </row>
    <row r="122" spans="1:22">
      <c r="H122" s="1770"/>
      <c r="I122" s="1770"/>
      <c r="J122" s="1"/>
      <c r="K122" s="1721"/>
      <c r="L122" s="1721"/>
    </row>
  </sheetData>
  <mergeCells count="17">
    <mergeCell ref="Q1:S1"/>
    <mergeCell ref="B1:D1"/>
    <mergeCell ref="E1:G1"/>
    <mergeCell ref="H1:J1"/>
    <mergeCell ref="K1:M1"/>
    <mergeCell ref="N1:P1"/>
    <mergeCell ref="R3:R4"/>
    <mergeCell ref="B2:D2"/>
    <mergeCell ref="E2:G2"/>
    <mergeCell ref="H2:J2"/>
    <mergeCell ref="K2:M2"/>
    <mergeCell ref="N2:P2"/>
    <mergeCell ref="C3:C4"/>
    <mergeCell ref="F3:F4"/>
    <mergeCell ref="I3:I4"/>
    <mergeCell ref="L3:L4"/>
    <mergeCell ref="O3:O4"/>
  </mergeCells>
  <printOptions horizontalCentered="1"/>
  <pageMargins left="0.31496062992125984" right="3.937007874015748E-2" top="1.1100000000000001" bottom="0.51181102362204722" header="0.27" footer="0.15748031496062992"/>
  <pageSetup paperSize="8" scale="90" orientation="landscape" r:id="rId1"/>
  <headerFooter alignWithMargins="0">
    <oddHeader>&amp;L&amp;"Times New Roman,Normál"&amp;12Szent László Völgye
Kistérségi Szolgáltató Iroda&amp;C&amp;"Times New Roman,Félkövér"&amp;14
2011. ÉVI KÖLTSÉGVETÉS
1. SZ. MÓDOSÍTÁSA&amp;R1. sz. melléklet
Adatok: eFt</oddHeader>
    <oddFooter>&amp;L&amp;F&amp;C&amp;D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Q102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N26" sqref="N26"/>
    </sheetView>
  </sheetViews>
  <sheetFormatPr defaultColWidth="9.140625" defaultRowHeight="15"/>
  <cols>
    <col min="1" max="1" width="42.5703125" style="796" customWidth="1"/>
    <col min="2" max="13" width="8.7109375" style="796" customWidth="1"/>
    <col min="14" max="14" width="10.5703125" style="806" customWidth="1"/>
    <col min="15" max="15" width="9.5703125" style="796" bestFit="1" customWidth="1"/>
    <col min="16" max="16" width="11.5703125" style="796" bestFit="1" customWidth="1"/>
    <col min="17" max="16384" width="9.140625" style="796"/>
  </cols>
  <sheetData>
    <row r="1" spans="1:16" ht="24.75" customHeight="1" thickBot="1">
      <c r="A1" s="932"/>
      <c r="B1" s="1956" t="s">
        <v>664</v>
      </c>
      <c r="C1" s="1957" t="s">
        <v>665</v>
      </c>
      <c r="D1" s="1957" t="s">
        <v>666</v>
      </c>
      <c r="E1" s="1957" t="s">
        <v>667</v>
      </c>
      <c r="F1" s="1957" t="s">
        <v>668</v>
      </c>
      <c r="G1" s="1957" t="s">
        <v>669</v>
      </c>
      <c r="H1" s="1957" t="s">
        <v>670</v>
      </c>
      <c r="I1" s="1957" t="s">
        <v>671</v>
      </c>
      <c r="J1" s="1957" t="s">
        <v>672</v>
      </c>
      <c r="K1" s="1957" t="s">
        <v>673</v>
      </c>
      <c r="L1" s="1957" t="s">
        <v>674</v>
      </c>
      <c r="M1" s="1957" t="s">
        <v>675</v>
      </c>
      <c r="N1" s="1958" t="s">
        <v>676</v>
      </c>
    </row>
    <row r="2" spans="1:16" ht="24.75" customHeight="1">
      <c r="A2" s="933" t="s">
        <v>634</v>
      </c>
      <c r="B2" s="1959"/>
      <c r="C2" s="1960"/>
      <c r="D2" s="1961"/>
      <c r="E2" s="1961"/>
      <c r="F2" s="1961"/>
      <c r="G2" s="1961"/>
      <c r="H2" s="1961"/>
      <c r="I2" s="1961"/>
      <c r="J2" s="1961"/>
      <c r="K2" s="1961"/>
      <c r="L2" s="1961"/>
      <c r="M2" s="1961"/>
      <c r="N2" s="1962"/>
    </row>
    <row r="3" spans="1:16" ht="15.6" customHeight="1">
      <c r="A3" s="934" t="s">
        <v>658</v>
      </c>
      <c r="B3" s="1963">
        <f>N3*0.127</f>
        <v>37570.512869999999</v>
      </c>
      <c r="C3" s="1964">
        <f>N3*0.088</f>
        <v>26033.111279999997</v>
      </c>
      <c r="D3" s="1964">
        <f>N3*0.07</f>
        <v>20708.156700000003</v>
      </c>
      <c r="E3" s="1964">
        <f>N3*0.081</f>
        <v>23962.295610000001</v>
      </c>
      <c r="F3" s="1964">
        <f>N3*0.081</f>
        <v>23962.295610000001</v>
      </c>
      <c r="G3" s="1964">
        <f>N3*0.076</f>
        <v>22483.14156</v>
      </c>
      <c r="H3" s="1964">
        <f>N3*0.076</f>
        <v>22483.14156</v>
      </c>
      <c r="I3" s="1964">
        <f>N3*0.088</f>
        <v>26033.111279999997</v>
      </c>
      <c r="J3" s="1964">
        <f>N3*0.07</f>
        <v>20708.156700000003</v>
      </c>
      <c r="K3" s="1964">
        <f>N3*0.081</f>
        <v>23962.295610000001</v>
      </c>
      <c r="L3" s="1964">
        <f>N3*0.087</f>
        <v>25737.280469999998</v>
      </c>
      <c r="M3" s="1964">
        <f>+N3*0.075</f>
        <v>22187.310750000001</v>
      </c>
      <c r="N3" s="1965">
        <f>+BEVÉTELEK!H47</f>
        <v>295830.81</v>
      </c>
      <c r="O3" s="797"/>
      <c r="P3" s="797"/>
    </row>
    <row r="4" spans="1:16" ht="13.5" customHeight="1">
      <c r="A4" s="936" t="s">
        <v>14</v>
      </c>
      <c r="B4" s="1966">
        <f t="shared" ref="B4:M4" si="0">+$N$4/12</f>
        <v>518.29166666666663</v>
      </c>
      <c r="C4" s="1967">
        <f t="shared" si="0"/>
        <v>518.29166666666663</v>
      </c>
      <c r="D4" s="1967">
        <f t="shared" si="0"/>
        <v>518.29166666666663</v>
      </c>
      <c r="E4" s="1968">
        <f t="shared" si="0"/>
        <v>518.29166666666663</v>
      </c>
      <c r="F4" s="1968">
        <f t="shared" si="0"/>
        <v>518.29166666666663</v>
      </c>
      <c r="G4" s="1968">
        <f t="shared" si="0"/>
        <v>518.29166666666663</v>
      </c>
      <c r="H4" s="1968">
        <f t="shared" si="0"/>
        <v>518.29166666666663</v>
      </c>
      <c r="I4" s="1968">
        <f t="shared" si="0"/>
        <v>518.29166666666663</v>
      </c>
      <c r="J4" s="1968">
        <f t="shared" si="0"/>
        <v>518.29166666666663</v>
      </c>
      <c r="K4" s="1968">
        <f t="shared" si="0"/>
        <v>518.29166666666663</v>
      </c>
      <c r="L4" s="1968">
        <f t="shared" si="0"/>
        <v>518.29166666666663</v>
      </c>
      <c r="M4" s="1968">
        <f t="shared" si="0"/>
        <v>518.29166666666663</v>
      </c>
      <c r="N4" s="1969">
        <f>+BEVÉTELEK!H112</f>
        <v>6219.5</v>
      </c>
      <c r="O4" s="797"/>
      <c r="P4" s="797"/>
    </row>
    <row r="5" spans="1:16" ht="13.5" customHeight="1">
      <c r="A5" s="934" t="s">
        <v>15</v>
      </c>
      <c r="B5" s="1963">
        <f t="shared" ref="B5:M5" si="1">+$N$5/12</f>
        <v>0</v>
      </c>
      <c r="C5" s="1964">
        <f t="shared" si="1"/>
        <v>0</v>
      </c>
      <c r="D5" s="1964">
        <f t="shared" si="1"/>
        <v>0</v>
      </c>
      <c r="E5" s="1968">
        <f t="shared" si="1"/>
        <v>0</v>
      </c>
      <c r="F5" s="1968">
        <f t="shared" si="1"/>
        <v>0</v>
      </c>
      <c r="G5" s="1968">
        <f t="shared" si="1"/>
        <v>0</v>
      </c>
      <c r="H5" s="1968">
        <f t="shared" si="1"/>
        <v>0</v>
      </c>
      <c r="I5" s="1968">
        <f t="shared" si="1"/>
        <v>0</v>
      </c>
      <c r="J5" s="1968">
        <f t="shared" si="1"/>
        <v>0</v>
      </c>
      <c r="K5" s="1968">
        <f t="shared" si="1"/>
        <v>0</v>
      </c>
      <c r="L5" s="1968">
        <f t="shared" si="1"/>
        <v>0</v>
      </c>
      <c r="M5" s="1968">
        <f t="shared" si="1"/>
        <v>0</v>
      </c>
      <c r="N5" s="1970">
        <f>+TÁRSULÁS!S9</f>
        <v>0</v>
      </c>
      <c r="O5" s="797"/>
      <c r="P5" s="797"/>
    </row>
    <row r="6" spans="1:16" ht="13.5" customHeight="1">
      <c r="A6" s="935" t="s">
        <v>16</v>
      </c>
      <c r="B6" s="1971">
        <f t="shared" ref="B6:M6" si="2">+$N$6/12</f>
        <v>0</v>
      </c>
      <c r="C6" s="1968">
        <f t="shared" si="2"/>
        <v>0</v>
      </c>
      <c r="D6" s="1968">
        <f t="shared" si="2"/>
        <v>0</v>
      </c>
      <c r="E6" s="1968">
        <f t="shared" si="2"/>
        <v>0</v>
      </c>
      <c r="F6" s="1968">
        <f t="shared" si="2"/>
        <v>0</v>
      </c>
      <c r="G6" s="1968">
        <f t="shared" si="2"/>
        <v>0</v>
      </c>
      <c r="H6" s="1968">
        <f t="shared" si="2"/>
        <v>0</v>
      </c>
      <c r="I6" s="1968">
        <f t="shared" si="2"/>
        <v>0</v>
      </c>
      <c r="J6" s="1968">
        <f t="shared" si="2"/>
        <v>0</v>
      </c>
      <c r="K6" s="1968">
        <f t="shared" si="2"/>
        <v>0</v>
      </c>
      <c r="L6" s="1968">
        <f t="shared" si="2"/>
        <v>0</v>
      </c>
      <c r="M6" s="1968">
        <f t="shared" si="2"/>
        <v>0</v>
      </c>
      <c r="N6" s="1970">
        <f>+TÁRSULÁS!S10</f>
        <v>0</v>
      </c>
      <c r="O6" s="797"/>
      <c r="P6" s="797"/>
    </row>
    <row r="7" spans="1:16" ht="13.5" customHeight="1">
      <c r="A7" s="935" t="s">
        <v>17</v>
      </c>
      <c r="B7" s="1971">
        <f t="shared" ref="B7:M7" si="3">+$N$7/12</f>
        <v>1582.1666666666667</v>
      </c>
      <c r="C7" s="1968">
        <f t="shared" si="3"/>
        <v>1582.1666666666667</v>
      </c>
      <c r="D7" s="1968">
        <f t="shared" si="3"/>
        <v>1582.1666666666667</v>
      </c>
      <c r="E7" s="1968">
        <f t="shared" si="3"/>
        <v>1582.1666666666667</v>
      </c>
      <c r="F7" s="1968">
        <f t="shared" si="3"/>
        <v>1582.1666666666667</v>
      </c>
      <c r="G7" s="1968">
        <f t="shared" si="3"/>
        <v>1582.1666666666667</v>
      </c>
      <c r="H7" s="1968">
        <f t="shared" si="3"/>
        <v>1582.1666666666667</v>
      </c>
      <c r="I7" s="1968">
        <f t="shared" si="3"/>
        <v>1582.1666666666667</v>
      </c>
      <c r="J7" s="1968">
        <f t="shared" si="3"/>
        <v>1582.1666666666667</v>
      </c>
      <c r="K7" s="1968">
        <f t="shared" si="3"/>
        <v>1582.1666666666667</v>
      </c>
      <c r="L7" s="1968">
        <f t="shared" si="3"/>
        <v>1582.1666666666667</v>
      </c>
      <c r="M7" s="1968">
        <f t="shared" si="3"/>
        <v>1582.1666666666667</v>
      </c>
      <c r="N7" s="1970">
        <f>+TÁRSULÁS!S11</f>
        <v>18986</v>
      </c>
      <c r="O7" s="797"/>
      <c r="P7" s="797"/>
    </row>
    <row r="8" spans="1:16" ht="13.5" customHeight="1">
      <c r="A8" s="935" t="s">
        <v>635</v>
      </c>
      <c r="B8" s="1971">
        <f t="shared" ref="B8:M8" si="4">+$N$8/12</f>
        <v>2330</v>
      </c>
      <c r="C8" s="1968">
        <f t="shared" si="4"/>
        <v>2330</v>
      </c>
      <c r="D8" s="1968">
        <f t="shared" si="4"/>
        <v>2330</v>
      </c>
      <c r="E8" s="1968">
        <f t="shared" si="4"/>
        <v>2330</v>
      </c>
      <c r="F8" s="1968">
        <f t="shared" si="4"/>
        <v>2330</v>
      </c>
      <c r="G8" s="1968">
        <f t="shared" si="4"/>
        <v>2330</v>
      </c>
      <c r="H8" s="1968">
        <f t="shared" si="4"/>
        <v>2330</v>
      </c>
      <c r="I8" s="1968">
        <f t="shared" si="4"/>
        <v>2330</v>
      </c>
      <c r="J8" s="1968">
        <f t="shared" si="4"/>
        <v>2330</v>
      </c>
      <c r="K8" s="1968">
        <f t="shared" si="4"/>
        <v>2330</v>
      </c>
      <c r="L8" s="1968">
        <f t="shared" si="4"/>
        <v>2330</v>
      </c>
      <c r="M8" s="1968">
        <f t="shared" si="4"/>
        <v>2330</v>
      </c>
      <c r="N8" s="1970">
        <f>+TÁRSULÁS!S12</f>
        <v>27960</v>
      </c>
      <c r="O8" s="797"/>
      <c r="P8" s="797"/>
    </row>
    <row r="9" spans="1:16" ht="13.5" customHeight="1">
      <c r="A9" s="935" t="s">
        <v>19</v>
      </c>
      <c r="B9" s="1971">
        <f t="shared" ref="B9:M9" si="5">+$N$9/12</f>
        <v>0</v>
      </c>
      <c r="C9" s="1968">
        <f t="shared" si="5"/>
        <v>0</v>
      </c>
      <c r="D9" s="1968">
        <f t="shared" si="5"/>
        <v>0</v>
      </c>
      <c r="E9" s="1968">
        <f t="shared" si="5"/>
        <v>0</v>
      </c>
      <c r="F9" s="1968">
        <f t="shared" si="5"/>
        <v>0</v>
      </c>
      <c r="G9" s="1968">
        <f t="shared" si="5"/>
        <v>0</v>
      </c>
      <c r="H9" s="1968">
        <f t="shared" si="5"/>
        <v>0</v>
      </c>
      <c r="I9" s="1968">
        <f t="shared" si="5"/>
        <v>0</v>
      </c>
      <c r="J9" s="1968">
        <f t="shared" si="5"/>
        <v>0</v>
      </c>
      <c r="K9" s="1968">
        <f t="shared" si="5"/>
        <v>0</v>
      </c>
      <c r="L9" s="1968">
        <f t="shared" si="5"/>
        <v>0</v>
      </c>
      <c r="M9" s="1968">
        <f t="shared" si="5"/>
        <v>0</v>
      </c>
      <c r="N9" s="1970">
        <f>+TÁRSULÁS!S13</f>
        <v>0</v>
      </c>
      <c r="O9" s="797"/>
      <c r="P9" s="797"/>
    </row>
    <row r="10" spans="1:16" ht="13.5" customHeight="1">
      <c r="A10" s="935" t="s">
        <v>699</v>
      </c>
      <c r="B10" s="1971">
        <f>+N10/2</f>
        <v>8591</v>
      </c>
      <c r="C10" s="1968">
        <v>0</v>
      </c>
      <c r="D10" s="1968">
        <v>0</v>
      </c>
      <c r="E10" s="1968">
        <f>+N10/2</f>
        <v>8591</v>
      </c>
      <c r="F10" s="1968">
        <f>+G10/12</f>
        <v>0</v>
      </c>
      <c r="G10" s="1968">
        <f>+H10/12</f>
        <v>0</v>
      </c>
      <c r="H10" s="1968">
        <f>+I10/12</f>
        <v>0</v>
      </c>
      <c r="I10" s="1968">
        <f>+J10/12</f>
        <v>0</v>
      </c>
      <c r="J10" s="1968">
        <v>0</v>
      </c>
      <c r="K10" s="1968">
        <v>0</v>
      </c>
      <c r="L10" s="1968">
        <v>0</v>
      </c>
      <c r="M10" s="1968">
        <v>0</v>
      </c>
      <c r="N10" s="1970">
        <f>+TÁRSULÁS!S14</f>
        <v>17182</v>
      </c>
    </row>
    <row r="11" spans="1:16" ht="13.5" customHeight="1">
      <c r="A11" s="935" t="s">
        <v>711</v>
      </c>
      <c r="B11" s="1971">
        <f t="shared" ref="B11:M11" si="6">+$N$11/12</f>
        <v>7167.416666666667</v>
      </c>
      <c r="C11" s="1968">
        <f t="shared" si="6"/>
        <v>7167.416666666667</v>
      </c>
      <c r="D11" s="1968">
        <f t="shared" si="6"/>
        <v>7167.416666666667</v>
      </c>
      <c r="E11" s="1968">
        <f t="shared" si="6"/>
        <v>7167.416666666667</v>
      </c>
      <c r="F11" s="1968">
        <f t="shared" si="6"/>
        <v>7167.416666666667</v>
      </c>
      <c r="G11" s="1968">
        <f t="shared" si="6"/>
        <v>7167.416666666667</v>
      </c>
      <c r="H11" s="1968">
        <f t="shared" si="6"/>
        <v>7167.416666666667</v>
      </c>
      <c r="I11" s="1968">
        <f t="shared" si="6"/>
        <v>7167.416666666667</v>
      </c>
      <c r="J11" s="1968">
        <f t="shared" si="6"/>
        <v>7167.416666666667</v>
      </c>
      <c r="K11" s="1968">
        <f t="shared" si="6"/>
        <v>7167.416666666667</v>
      </c>
      <c r="L11" s="1968">
        <f t="shared" si="6"/>
        <v>7167.416666666667</v>
      </c>
      <c r="M11" s="1968">
        <f t="shared" si="6"/>
        <v>7167.416666666667</v>
      </c>
      <c r="N11" s="1970">
        <f>+TÁRSULÁS!S15</f>
        <v>86009</v>
      </c>
    </row>
    <row r="12" spans="1:16" ht="13.5" customHeight="1">
      <c r="A12" s="935" t="s">
        <v>712</v>
      </c>
      <c r="B12" s="1971"/>
      <c r="C12" s="1968"/>
      <c r="D12" s="1968">
        <f>+N12*0.2</f>
        <v>5430</v>
      </c>
      <c r="E12" s="1968"/>
      <c r="F12" s="1968"/>
      <c r="G12" s="1968">
        <f>+N12*0.3</f>
        <v>8145</v>
      </c>
      <c r="H12" s="1968"/>
      <c r="I12" s="1968">
        <f>+N12*0.2</f>
        <v>5430</v>
      </c>
      <c r="J12" s="1968"/>
      <c r="K12" s="1968">
        <f>+N12*0.15</f>
        <v>4072.5</v>
      </c>
      <c r="L12" s="1968"/>
      <c r="M12" s="1968">
        <f>+N12*0.15</f>
        <v>4072.5</v>
      </c>
      <c r="N12" s="1970">
        <f>+TÁRSULÁS!S16</f>
        <v>27150</v>
      </c>
    </row>
    <row r="13" spans="1:16" ht="13.5" customHeight="1">
      <c r="A13" s="135" t="s">
        <v>713</v>
      </c>
      <c r="B13" s="1971"/>
      <c r="C13" s="1968"/>
      <c r="D13" s="1968">
        <f>+N13*0.05</f>
        <v>7275.6500000000005</v>
      </c>
      <c r="E13" s="1968"/>
      <c r="F13" s="1971"/>
      <c r="G13" s="1968">
        <f>+N13*0.15</f>
        <v>21826.95</v>
      </c>
      <c r="H13" s="1968"/>
      <c r="I13" s="1968">
        <f>+N13*0.3</f>
        <v>43653.9</v>
      </c>
      <c r="J13" s="1968"/>
      <c r="K13" s="1968">
        <f>+N13*0.25</f>
        <v>36378.25</v>
      </c>
      <c r="L13" s="1968">
        <f>+N13*0.15</f>
        <v>21826.95</v>
      </c>
      <c r="M13" s="1968">
        <f>+N13*0.1</f>
        <v>14551.300000000001</v>
      </c>
      <c r="N13" s="1970">
        <f>+TÁRSULÁS!S17</f>
        <v>145513</v>
      </c>
    </row>
    <row r="14" spans="1:16" ht="13.5" customHeight="1">
      <c r="A14" s="935" t="s">
        <v>662</v>
      </c>
      <c r="B14" s="1971"/>
      <c r="C14" s="1968"/>
      <c r="D14" s="1968">
        <f>+N14/4</f>
        <v>-1905.75</v>
      </c>
      <c r="E14" s="1968"/>
      <c r="F14" s="1968"/>
      <c r="G14" s="1968">
        <f>+N14/4</f>
        <v>-1905.75</v>
      </c>
      <c r="H14" s="1968"/>
      <c r="I14" s="1968"/>
      <c r="J14" s="1968">
        <f>+N14/4</f>
        <v>-1905.75</v>
      </c>
      <c r="K14" s="1968"/>
      <c r="L14" s="1968"/>
      <c r="M14" s="1968">
        <f>+N14/4</f>
        <v>-1905.75</v>
      </c>
      <c r="N14" s="1970">
        <f>+TÁRSULÁS!S18</f>
        <v>-7623</v>
      </c>
    </row>
    <row r="15" spans="1:16" ht="13.5" customHeight="1" thickBot="1">
      <c r="A15" s="936" t="s">
        <v>636</v>
      </c>
      <c r="B15" s="1972">
        <v>4979</v>
      </c>
      <c r="C15" s="1973">
        <f>+B28</f>
        <v>27739.279253333327</v>
      </c>
      <c r="D15" s="1973">
        <f>+C28</f>
        <v>30371.15691666666</v>
      </c>
      <c r="E15" s="1973">
        <f>+D28</f>
        <v>38477.98000000001</v>
      </c>
      <c r="F15" s="1973">
        <f>+E28</f>
        <v>30000.941993333341</v>
      </c>
      <c r="G15" s="1973">
        <f>+F28</f>
        <v>30562.003986666678</v>
      </c>
      <c r="H15" s="1973">
        <f t="shared" ref="H15:M15" si="7">+G28</f>
        <v>23694.461930000019</v>
      </c>
      <c r="I15" s="1973">
        <f t="shared" si="7"/>
        <v>22776.369873333359</v>
      </c>
      <c r="J15" s="1973">
        <f t="shared" si="7"/>
        <v>28769.3975366667</v>
      </c>
      <c r="K15" s="1973">
        <f t="shared" si="7"/>
        <v>22520.570620000042</v>
      </c>
      <c r="L15" s="1973">
        <f t="shared" si="7"/>
        <v>180.53261333337286</v>
      </c>
      <c r="M15" s="1973">
        <f t="shared" si="7"/>
        <v>15121.529466666703</v>
      </c>
      <c r="N15" s="1974"/>
    </row>
    <row r="16" spans="1:16" s="806" customFormat="1" thickBot="1">
      <c r="A16" s="939" t="s">
        <v>683</v>
      </c>
      <c r="B16" s="1975">
        <f>SUM(B3:B15)</f>
        <v>62738.387869999991</v>
      </c>
      <c r="C16" s="1976">
        <f>SUM(C3:C15)</f>
        <v>65370.265533333324</v>
      </c>
      <c r="D16" s="1976">
        <f t="shared" ref="D16:N16" si="8">SUM(D3:D15)</f>
        <v>73477.088616666675</v>
      </c>
      <c r="E16" s="1976">
        <f t="shared" si="8"/>
        <v>82629.150610000012</v>
      </c>
      <c r="F16" s="1976">
        <f t="shared" si="8"/>
        <v>65561.112603333342</v>
      </c>
      <c r="G16" s="1976">
        <f t="shared" si="8"/>
        <v>92709.220546666678</v>
      </c>
      <c r="H16" s="1976">
        <f>SUM(H3:H15)</f>
        <v>57775.478490000023</v>
      </c>
      <c r="I16" s="1976">
        <f>SUM(I3:I15)</f>
        <v>109491.25615333336</v>
      </c>
      <c r="J16" s="1976">
        <f t="shared" si="8"/>
        <v>59169.679236666707</v>
      </c>
      <c r="K16" s="1976">
        <f t="shared" si="8"/>
        <v>98531.491230000043</v>
      </c>
      <c r="L16" s="1976">
        <f t="shared" si="8"/>
        <v>59342.638083333368</v>
      </c>
      <c r="M16" s="1976">
        <f t="shared" si="8"/>
        <v>65624.76521666671</v>
      </c>
      <c r="N16" s="1977">
        <f t="shared" si="8"/>
        <v>617227.31000000006</v>
      </c>
    </row>
    <row r="17" spans="1:17" s="798" customFormat="1" ht="22.9" customHeight="1">
      <c r="A17" s="937" t="s">
        <v>637</v>
      </c>
      <c r="B17" s="1978"/>
      <c r="C17" s="1979"/>
      <c r="D17" s="1979"/>
      <c r="E17" s="1979"/>
      <c r="F17" s="1979"/>
      <c r="G17" s="1979"/>
      <c r="H17" s="1979"/>
      <c r="I17" s="1979"/>
      <c r="J17" s="1979"/>
      <c r="K17" s="1979"/>
      <c r="L17" s="1979"/>
      <c r="M17" s="1979"/>
      <c r="N17" s="1965"/>
      <c r="P17" s="799"/>
    </row>
    <row r="18" spans="1:17">
      <c r="A18" s="935" t="s">
        <v>659</v>
      </c>
      <c r="B18" s="1971">
        <f t="shared" ref="B18:M20" si="9">$N18/12</f>
        <v>18639.166666666668</v>
      </c>
      <c r="C18" s="1968">
        <f t="shared" si="9"/>
        <v>18639.166666666668</v>
      </c>
      <c r="D18" s="1968">
        <f t="shared" si="9"/>
        <v>18639.166666666668</v>
      </c>
      <c r="E18" s="1968">
        <f t="shared" si="9"/>
        <v>18639.166666666668</v>
      </c>
      <c r="F18" s="1968">
        <f t="shared" si="9"/>
        <v>18639.166666666668</v>
      </c>
      <c r="G18" s="1968">
        <f t="shared" si="9"/>
        <v>18639.166666666668</v>
      </c>
      <c r="H18" s="1968">
        <f t="shared" si="9"/>
        <v>18639.166666666668</v>
      </c>
      <c r="I18" s="1968">
        <f t="shared" si="9"/>
        <v>18639.166666666668</v>
      </c>
      <c r="J18" s="1968">
        <f t="shared" si="9"/>
        <v>18639.166666666668</v>
      </c>
      <c r="K18" s="1968">
        <f>$N18/12</f>
        <v>18639.166666666668</v>
      </c>
      <c r="L18" s="1968">
        <f t="shared" si="9"/>
        <v>18639.166666666668</v>
      </c>
      <c r="M18" s="1968">
        <f>$N18/12</f>
        <v>18639.166666666668</v>
      </c>
      <c r="N18" s="1970">
        <f>+TÁRSULÁS!S55</f>
        <v>223670</v>
      </c>
      <c r="P18" s="797"/>
      <c r="Q18" s="797"/>
    </row>
    <row r="19" spans="1:17">
      <c r="A19" s="935" t="s">
        <v>640</v>
      </c>
      <c r="B19" s="1971">
        <f t="shared" si="9"/>
        <v>4646.0408333333335</v>
      </c>
      <c r="C19" s="1968">
        <f t="shared" si="9"/>
        <v>4646.0408333333335</v>
      </c>
      <c r="D19" s="1968">
        <f t="shared" si="9"/>
        <v>4646.0408333333335</v>
      </c>
      <c r="E19" s="1968">
        <f t="shared" si="9"/>
        <v>4646.0408333333335</v>
      </c>
      <c r="F19" s="1968">
        <f t="shared" si="9"/>
        <v>4646.0408333333335</v>
      </c>
      <c r="G19" s="1968">
        <f t="shared" si="9"/>
        <v>4646.0408333333335</v>
      </c>
      <c r="H19" s="1968">
        <f t="shared" si="9"/>
        <v>4646.0408333333335</v>
      </c>
      <c r="I19" s="1968">
        <f t="shared" si="9"/>
        <v>4646.0408333333335</v>
      </c>
      <c r="J19" s="1968">
        <f t="shared" si="9"/>
        <v>4646.0408333333335</v>
      </c>
      <c r="K19" s="1968">
        <f t="shared" si="9"/>
        <v>4646.0408333333335</v>
      </c>
      <c r="L19" s="1968">
        <f t="shared" si="9"/>
        <v>4646.0408333333335</v>
      </c>
      <c r="M19" s="1968">
        <f t="shared" si="9"/>
        <v>4646.0408333333335</v>
      </c>
      <c r="N19" s="1970">
        <f>+TÁRSULÁS!S56</f>
        <v>55752.490000000005</v>
      </c>
      <c r="Q19" s="797"/>
    </row>
    <row r="20" spans="1:17" ht="15" customHeight="1">
      <c r="A20" s="935" t="s">
        <v>660</v>
      </c>
      <c r="B20" s="1971">
        <f t="shared" si="9"/>
        <v>9093.2344499999999</v>
      </c>
      <c r="C20" s="1968">
        <f t="shared" si="9"/>
        <v>9093.2344499999999</v>
      </c>
      <c r="D20" s="1968">
        <f t="shared" si="9"/>
        <v>9093.2344499999999</v>
      </c>
      <c r="E20" s="1968">
        <f t="shared" si="9"/>
        <v>9093.2344499999999</v>
      </c>
      <c r="F20" s="1968">
        <f t="shared" si="9"/>
        <v>9093.2344499999999</v>
      </c>
      <c r="G20" s="1968">
        <f t="shared" si="9"/>
        <v>9093.2344499999999</v>
      </c>
      <c r="H20" s="1968">
        <f t="shared" si="9"/>
        <v>9093.2344499999999</v>
      </c>
      <c r="I20" s="1968">
        <f t="shared" si="9"/>
        <v>9093.2344499999999</v>
      </c>
      <c r="J20" s="1968">
        <f t="shared" si="9"/>
        <v>9093.2344499999999</v>
      </c>
      <c r="K20" s="1968">
        <f t="shared" si="9"/>
        <v>9093.2344499999999</v>
      </c>
      <c r="L20" s="1968">
        <f t="shared" si="9"/>
        <v>9093.2344499999999</v>
      </c>
      <c r="M20" s="1968">
        <f t="shared" si="9"/>
        <v>9093.2344499999999</v>
      </c>
      <c r="N20" s="1970">
        <f>+TÁRSULÁS!S97</f>
        <v>109118.8134</v>
      </c>
      <c r="P20" s="797"/>
      <c r="Q20" s="797"/>
    </row>
    <row r="21" spans="1:17">
      <c r="A21" s="935" t="s">
        <v>701</v>
      </c>
      <c r="B21" s="1971">
        <f>+$N$21/12</f>
        <v>2620.6666666666665</v>
      </c>
      <c r="C21" s="1968">
        <f t="shared" ref="C21:M21" si="10">+$N$21/12</f>
        <v>2620.6666666666665</v>
      </c>
      <c r="D21" s="1968">
        <f t="shared" si="10"/>
        <v>2620.6666666666665</v>
      </c>
      <c r="E21" s="1968">
        <f t="shared" si="10"/>
        <v>2620.6666666666665</v>
      </c>
      <c r="F21" s="1968">
        <f t="shared" si="10"/>
        <v>2620.6666666666665</v>
      </c>
      <c r="G21" s="1968">
        <f t="shared" si="10"/>
        <v>2620.6666666666665</v>
      </c>
      <c r="H21" s="1968">
        <f t="shared" si="10"/>
        <v>2620.6666666666665</v>
      </c>
      <c r="I21" s="1968">
        <f t="shared" si="10"/>
        <v>2620.6666666666665</v>
      </c>
      <c r="J21" s="1968">
        <f t="shared" si="10"/>
        <v>2620.6666666666665</v>
      </c>
      <c r="K21" s="1968">
        <f t="shared" si="10"/>
        <v>2620.6666666666665</v>
      </c>
      <c r="L21" s="1968">
        <f t="shared" si="10"/>
        <v>2620.6666666666665</v>
      </c>
      <c r="M21" s="1968">
        <f t="shared" si="10"/>
        <v>2620.6666666666665</v>
      </c>
      <c r="N21" s="1970">
        <f>+TÁRSULÁS!S110</f>
        <v>31448</v>
      </c>
      <c r="O21" s="797"/>
      <c r="P21" s="797"/>
    </row>
    <row r="22" spans="1:17">
      <c r="A22" s="935" t="s">
        <v>700</v>
      </c>
      <c r="B22" s="1971"/>
      <c r="C22" s="1968"/>
      <c r="D22" s="1968"/>
      <c r="E22" s="1968"/>
      <c r="F22" s="1968"/>
      <c r="G22" s="1968"/>
      <c r="H22" s="1968"/>
      <c r="I22" s="1968">
        <f>+$N$22/5</f>
        <v>1650</v>
      </c>
      <c r="J22" s="1968">
        <f>+$N$22/5</f>
        <v>1650</v>
      </c>
      <c r="K22" s="1968">
        <f>+$N$22/5</f>
        <v>1650</v>
      </c>
      <c r="L22" s="1968">
        <f>+$N$22/5</f>
        <v>1650</v>
      </c>
      <c r="M22" s="1968">
        <f>+$N$22/5</f>
        <v>1650</v>
      </c>
      <c r="N22" s="1970">
        <f>+TÁRSULÁS!S98</f>
        <v>8250</v>
      </c>
      <c r="O22" s="797"/>
      <c r="P22" s="797"/>
    </row>
    <row r="23" spans="1:17">
      <c r="A23" s="935" t="s">
        <v>704</v>
      </c>
      <c r="B23" s="1971"/>
      <c r="C23" s="1968"/>
      <c r="D23" s="1968"/>
      <c r="E23" s="1968"/>
      <c r="F23" s="1968"/>
      <c r="G23" s="1968"/>
      <c r="H23" s="1968"/>
      <c r="I23" s="1968"/>
      <c r="J23" s="1968"/>
      <c r="K23" s="1968"/>
      <c r="L23" s="1968">
        <f>+N23</f>
        <v>0</v>
      </c>
      <c r="M23" s="1968"/>
      <c r="N23" s="1970">
        <f>+'SZOLGÁLTATÓ IRODA'!D98</f>
        <v>0</v>
      </c>
      <c r="O23" s="797"/>
      <c r="P23" s="797"/>
    </row>
    <row r="24" spans="1:17">
      <c r="A24" s="935" t="s">
        <v>638</v>
      </c>
      <c r="B24" s="1971"/>
      <c r="C24" s="1968"/>
      <c r="D24" s="1968"/>
      <c r="E24" s="1968">
        <f>+N24*0.1</f>
        <v>17629.100000000002</v>
      </c>
      <c r="F24" s="1968"/>
      <c r="G24" s="1968">
        <f>+N24*0.15</f>
        <v>26443.649999999998</v>
      </c>
      <c r="H24" s="1968"/>
      <c r="I24" s="1968">
        <f>+N24*0.25</f>
        <v>44072.75</v>
      </c>
      <c r="J24" s="1968"/>
      <c r="K24" s="1968">
        <f>+N24*0.35</f>
        <v>61701.85</v>
      </c>
      <c r="L24" s="1968"/>
      <c r="M24" s="1968">
        <f>+N24*0.15</f>
        <v>26443.649999999998</v>
      </c>
      <c r="N24" s="1970">
        <f>+TÁRSULÁS!S109</f>
        <v>176291</v>
      </c>
      <c r="O24" s="797"/>
      <c r="P24" s="797"/>
    </row>
    <row r="25" spans="1:17" ht="15.75" thickBot="1">
      <c r="A25" s="936" t="s">
        <v>639</v>
      </c>
      <c r="B25" s="1972"/>
      <c r="C25" s="1973"/>
      <c r="D25" s="1973"/>
      <c r="E25" s="1973"/>
      <c r="F25" s="1973"/>
      <c r="G25" s="1973">
        <f>+N25/2-0.5</f>
        <v>7572</v>
      </c>
      <c r="H25" s="1973"/>
      <c r="I25" s="1973"/>
      <c r="J25" s="1973"/>
      <c r="K25" s="1973"/>
      <c r="L25" s="1973">
        <f>+N25/2-0.5</f>
        <v>7572</v>
      </c>
      <c r="M25" s="1973"/>
      <c r="N25" s="1974">
        <f>+TÁRSULÁS!S113+TÁRSULÁS!S114+TÁRSULÁS!S115+TÁRSULÁS!S116</f>
        <v>15145</v>
      </c>
    </row>
    <row r="26" spans="1:17" s="806" customFormat="1" thickBot="1">
      <c r="A26" s="939" t="s">
        <v>682</v>
      </c>
      <c r="B26" s="1975">
        <f t="shared" ref="B26:N26" si="11">SUM(B18:B25)</f>
        <v>34999.108616666665</v>
      </c>
      <c r="C26" s="1976">
        <f t="shared" si="11"/>
        <v>34999.108616666665</v>
      </c>
      <c r="D26" s="1976">
        <f t="shared" si="11"/>
        <v>34999.108616666665</v>
      </c>
      <c r="E26" s="1976">
        <f t="shared" si="11"/>
        <v>52628.20861666667</v>
      </c>
      <c r="F26" s="1976">
        <f t="shared" si="11"/>
        <v>34999.108616666665</v>
      </c>
      <c r="G26" s="1976">
        <f t="shared" si="11"/>
        <v>69014.758616666659</v>
      </c>
      <c r="H26" s="1976">
        <f t="shared" si="11"/>
        <v>34999.108616666665</v>
      </c>
      <c r="I26" s="1976">
        <f>SUM(I18:I25)</f>
        <v>80721.858616666665</v>
      </c>
      <c r="J26" s="1976">
        <f t="shared" si="11"/>
        <v>36649.108616666665</v>
      </c>
      <c r="K26" s="1976">
        <f t="shared" si="11"/>
        <v>98350.95861666667</v>
      </c>
      <c r="L26" s="1976">
        <f t="shared" si="11"/>
        <v>44221.108616666665</v>
      </c>
      <c r="M26" s="1976">
        <f t="shared" si="11"/>
        <v>63092.758616666659</v>
      </c>
      <c r="N26" s="1977">
        <f t="shared" si="11"/>
        <v>619675.30339999998</v>
      </c>
    </row>
    <row r="27" spans="1:17" ht="15.75" thickBot="1">
      <c r="A27" s="938"/>
      <c r="B27" s="1980"/>
      <c r="C27" s="1981"/>
      <c r="D27" s="1981"/>
      <c r="E27" s="1981"/>
      <c r="F27" s="1981"/>
      <c r="G27" s="1981"/>
      <c r="H27" s="1981"/>
      <c r="I27" s="1981"/>
      <c r="J27" s="1981"/>
      <c r="K27" s="1981"/>
      <c r="L27" s="1981"/>
      <c r="M27" s="1981"/>
      <c r="N27" s="1982"/>
    </row>
    <row r="28" spans="1:17" ht="15.75" thickBot="1">
      <c r="A28" s="939" t="s">
        <v>681</v>
      </c>
      <c r="B28" s="1975">
        <f>+B16-B26</f>
        <v>27739.279253333327</v>
      </c>
      <c r="C28" s="1976">
        <f t="shared" ref="C28:L28" si="12">+C16-C26</f>
        <v>30371.15691666666</v>
      </c>
      <c r="D28" s="1976">
        <f t="shared" si="12"/>
        <v>38477.98000000001</v>
      </c>
      <c r="E28" s="1976">
        <f t="shared" si="12"/>
        <v>30000.941993333341</v>
      </c>
      <c r="F28" s="1976">
        <f t="shared" si="12"/>
        <v>30562.003986666678</v>
      </c>
      <c r="G28" s="1976">
        <f t="shared" si="12"/>
        <v>23694.461930000019</v>
      </c>
      <c r="H28" s="1976">
        <f t="shared" si="12"/>
        <v>22776.369873333359</v>
      </c>
      <c r="I28" s="1976">
        <f t="shared" si="12"/>
        <v>28769.3975366667</v>
      </c>
      <c r="J28" s="1976">
        <f t="shared" si="12"/>
        <v>22520.570620000042</v>
      </c>
      <c r="K28" s="1976">
        <f t="shared" si="12"/>
        <v>180.53261333337286</v>
      </c>
      <c r="L28" s="1976">
        <f t="shared" si="12"/>
        <v>15121.529466666703</v>
      </c>
      <c r="M28" s="1976">
        <f>+M16-M26</f>
        <v>2532.0066000000515</v>
      </c>
      <c r="N28" s="1977"/>
    </row>
    <row r="29" spans="1:17" s="800" customFormat="1">
      <c r="N29" s="801"/>
    </row>
    <row r="30" spans="1:17" s="800" customFormat="1">
      <c r="A30" s="800" t="s">
        <v>663</v>
      </c>
      <c r="C30" s="914">
        <f>112307+782905+134512+3941629+1988+5915</f>
        <v>4979256</v>
      </c>
      <c r="N30" s="802">
        <f>+N26-N16</f>
        <v>2447.9933999999193</v>
      </c>
    </row>
    <row r="31" spans="1:17" s="804" customFormat="1">
      <c r="A31" s="800"/>
      <c r="B31" s="800"/>
      <c r="C31" s="800"/>
      <c r="D31" s="800"/>
      <c r="E31" s="800"/>
      <c r="F31" s="800"/>
      <c r="G31" s="800"/>
      <c r="H31" s="800"/>
      <c r="I31" s="800"/>
      <c r="J31" s="800"/>
      <c r="K31" s="800"/>
      <c r="L31" s="800"/>
      <c r="M31" s="800"/>
      <c r="N31" s="801"/>
      <c r="O31" s="803"/>
    </row>
    <row r="32" spans="1:17" s="800" customFormat="1">
      <c r="N32" s="801"/>
      <c r="O32" s="805"/>
    </row>
    <row r="85" spans="1:4">
      <c r="A85" s="800"/>
      <c r="B85" s="800"/>
      <c r="C85" s="800"/>
      <c r="D85" s="800"/>
    </row>
    <row r="98" spans="1:8">
      <c r="A98" s="807"/>
      <c r="B98" s="807"/>
      <c r="C98" s="807"/>
      <c r="D98" s="807"/>
      <c r="E98" s="807"/>
      <c r="F98" s="807"/>
      <c r="G98" s="807"/>
      <c r="H98" s="807"/>
    </row>
    <row r="99" spans="1:8">
      <c r="A99" s="808"/>
      <c r="B99" s="808"/>
      <c r="C99" s="808"/>
      <c r="D99" s="808"/>
      <c r="E99" s="808"/>
      <c r="F99" s="808"/>
      <c r="G99" s="808"/>
      <c r="H99" s="808"/>
    </row>
    <row r="100" spans="1:8">
      <c r="A100" s="808"/>
      <c r="B100" s="808"/>
      <c r="C100" s="808"/>
      <c r="D100" s="808"/>
      <c r="E100" s="808"/>
      <c r="F100" s="808"/>
      <c r="G100" s="808"/>
      <c r="H100" s="808"/>
    </row>
    <row r="101" spans="1:8">
      <c r="A101" s="808"/>
      <c r="B101" s="808"/>
      <c r="C101" s="808"/>
      <c r="D101" s="808"/>
      <c r="E101" s="808"/>
      <c r="F101" s="808"/>
      <c r="G101" s="808"/>
      <c r="H101" s="808"/>
    </row>
    <row r="102" spans="1:8">
      <c r="A102" s="809"/>
      <c r="B102" s="809"/>
      <c r="C102" s="809"/>
      <c r="D102" s="809"/>
      <c r="E102" s="809"/>
      <c r="F102" s="809"/>
      <c r="G102" s="809"/>
      <c r="H102" s="809"/>
    </row>
  </sheetData>
  <phoneticPr fontId="25" type="noConversion"/>
  <printOptions horizontalCentered="1"/>
  <pageMargins left="0.15748031496062992" right="0.15748031496062992" top="1.3779527559055118" bottom="0.59055118110236227" header="0.31496062992125984" footer="0.31496062992125984"/>
  <pageSetup paperSize="9" scale="90" orientation="landscape" r:id="rId1"/>
  <headerFooter alignWithMargins="0">
    <oddHeader xml:space="preserve">&amp;L&amp;"Times New Roman,Normál"&amp;12Szent László Völgye 
Többcélú Kistérségi Társulás &amp;C&amp;"Times New Roman,Félkövér"&amp;14 2011. ÉVI KÖLTSÉGVETÉS
1. SZ. MÓDOSÍTÁSA&amp;R&amp;"Times New Roman,Normál"&amp;11 8 sz. melléklet&amp;"Arial,Félkövér"&amp;12
&amp;"Times New Roman,Félkövér"&amp;11&amp;A
 </oddHeader>
    <oddFooter>&amp;L&amp;F&amp;C&amp;D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P86"/>
  <sheetViews>
    <sheetView workbookViewId="0">
      <selection activeCell="B5" sqref="B5"/>
    </sheetView>
  </sheetViews>
  <sheetFormatPr defaultColWidth="8.85546875" defaultRowHeight="12.75"/>
  <cols>
    <col min="1" max="1" width="29.7109375" style="416" customWidth="1"/>
    <col min="2" max="13" width="7.42578125" style="416" customWidth="1"/>
    <col min="14" max="14" width="9.28515625" style="416" customWidth="1"/>
    <col min="15" max="16384" width="8.85546875" style="416"/>
  </cols>
  <sheetData>
    <row r="1" spans="1:16">
      <c r="H1" s="416" t="s">
        <v>703</v>
      </c>
    </row>
    <row r="2" spans="1:16" ht="13.5" thickBot="1"/>
    <row r="3" spans="1:16" s="1031" customFormat="1" ht="27.6" customHeight="1" thickBot="1">
      <c r="B3" s="1734" t="s">
        <v>641</v>
      </c>
      <c r="C3" s="1735" t="s">
        <v>642</v>
      </c>
      <c r="D3" s="1735" t="s">
        <v>643</v>
      </c>
      <c r="E3" s="1736" t="s">
        <v>644</v>
      </c>
      <c r="F3" s="1735" t="s">
        <v>645</v>
      </c>
      <c r="G3" s="1735" t="s">
        <v>646</v>
      </c>
      <c r="H3" s="1735" t="s">
        <v>647</v>
      </c>
      <c r="I3" s="1735" t="s">
        <v>648</v>
      </c>
      <c r="J3" s="1735" t="s">
        <v>649</v>
      </c>
      <c r="K3" s="1735" t="s">
        <v>650</v>
      </c>
      <c r="L3" s="1735" t="s">
        <v>651</v>
      </c>
      <c r="M3" s="1737" t="s">
        <v>652</v>
      </c>
      <c r="N3" s="1738" t="s">
        <v>653</v>
      </c>
    </row>
    <row r="4" spans="1:16" s="1031" customFormat="1" ht="34.9" customHeight="1">
      <c r="A4" s="1739" t="s">
        <v>656</v>
      </c>
      <c r="B4" s="1740"/>
      <c r="C4" s="1741"/>
      <c r="D4" s="1741"/>
      <c r="E4" s="1742"/>
      <c r="F4" s="1741"/>
      <c r="G4" s="1741"/>
      <c r="H4" s="1741"/>
      <c r="I4" s="1741"/>
      <c r="J4" s="1741"/>
      <c r="K4" s="1741"/>
      <c r="L4" s="1741"/>
      <c r="M4" s="1743"/>
      <c r="N4" s="1983"/>
    </row>
    <row r="5" spans="1:16">
      <c r="A5" s="1744" t="s">
        <v>202</v>
      </c>
      <c r="B5" s="1745">
        <v>3000</v>
      </c>
      <c r="C5" s="1746">
        <v>3000</v>
      </c>
      <c r="D5" s="1746">
        <v>3270</v>
      </c>
      <c r="E5" s="1747">
        <v>3270</v>
      </c>
      <c r="F5" s="1746">
        <v>3270</v>
      </c>
      <c r="G5" s="1746">
        <v>3270</v>
      </c>
      <c r="H5" s="1746">
        <v>3264</v>
      </c>
      <c r="I5" s="1746">
        <v>3264</v>
      </c>
      <c r="J5" s="1746">
        <v>3264</v>
      </c>
      <c r="K5" s="1746">
        <v>3264</v>
      </c>
      <c r="L5" s="1746">
        <v>3264</v>
      </c>
      <c r="M5" s="1746">
        <v>3264</v>
      </c>
      <c r="N5" s="1984">
        <f>+BEVÉTELEK!H59+BEVÉTELEK!H68+BEVÉTELEK!H76+BEVÉTELEK!H86</f>
        <v>38663.520000000004</v>
      </c>
      <c r="O5" s="415"/>
      <c r="P5" s="415">
        <f>+(N5-SUM(B5:G5))/6</f>
        <v>3263.9200000000005</v>
      </c>
    </row>
    <row r="6" spans="1:16">
      <c r="A6" s="1748" t="s">
        <v>206</v>
      </c>
      <c r="B6" s="1749">
        <v>350</v>
      </c>
      <c r="C6" s="1750">
        <v>350</v>
      </c>
      <c r="D6" s="1750">
        <v>285</v>
      </c>
      <c r="E6" s="1750">
        <v>280</v>
      </c>
      <c r="F6" s="1750">
        <v>285</v>
      </c>
      <c r="G6" s="1750">
        <v>280</v>
      </c>
      <c r="H6" s="1750">
        <v>247</v>
      </c>
      <c r="I6" s="1750">
        <v>247</v>
      </c>
      <c r="J6" s="1750">
        <v>247</v>
      </c>
      <c r="K6" s="1750">
        <v>247</v>
      </c>
      <c r="L6" s="1750">
        <v>247</v>
      </c>
      <c r="M6" s="1750">
        <v>245</v>
      </c>
      <c r="N6" s="1985">
        <f>+BEVÉTELEK!H61+BEVÉTELEK!H69+BEVÉTELEK!H77+BEVÉTELEK!H88+BEVÉTELEK!H72+BEVÉTELEK!H82+BEVÉTELEK!H92</f>
        <v>3310.32</v>
      </c>
      <c r="O6" s="415"/>
      <c r="P6" s="415">
        <f t="shared" ref="P6:P11" si="0">+(N6-SUM(B6:G6))/6</f>
        <v>246.72000000000003</v>
      </c>
    </row>
    <row r="7" spans="1:16">
      <c r="A7" s="1748" t="s">
        <v>204</v>
      </c>
      <c r="B7" s="1749">
        <v>700</v>
      </c>
      <c r="C7" s="1750">
        <v>700</v>
      </c>
      <c r="D7" s="1750">
        <v>698</v>
      </c>
      <c r="E7" s="1750">
        <v>698</v>
      </c>
      <c r="F7" s="1750">
        <v>698</v>
      </c>
      <c r="G7" s="1750">
        <v>698</v>
      </c>
      <c r="H7" s="1750">
        <v>430</v>
      </c>
      <c r="I7" s="1750">
        <v>430</v>
      </c>
      <c r="J7" s="1750">
        <v>430</v>
      </c>
      <c r="K7" s="1750">
        <v>430</v>
      </c>
      <c r="L7" s="1750">
        <v>430</v>
      </c>
      <c r="M7" s="1750">
        <v>431</v>
      </c>
      <c r="N7" s="1985">
        <f>+BEVÉTELEK!H60+BEVÉTELEK!H87</f>
        <v>6773</v>
      </c>
      <c r="P7" s="415">
        <f t="shared" si="0"/>
        <v>430.16666666666669</v>
      </c>
    </row>
    <row r="8" spans="1:16">
      <c r="A8" s="1748" t="s">
        <v>208</v>
      </c>
      <c r="B8" s="1749">
        <v>100</v>
      </c>
      <c r="C8" s="1750">
        <v>100</v>
      </c>
      <c r="D8" s="1750">
        <v>120</v>
      </c>
      <c r="E8" s="1750">
        <v>120</v>
      </c>
      <c r="F8" s="1750">
        <v>120</v>
      </c>
      <c r="G8" s="1750">
        <v>125</v>
      </c>
      <c r="H8" s="1750">
        <v>88</v>
      </c>
      <c r="I8" s="1750">
        <v>88</v>
      </c>
      <c r="J8" s="1750">
        <v>88</v>
      </c>
      <c r="K8" s="1750">
        <v>88</v>
      </c>
      <c r="L8" s="1750">
        <v>88</v>
      </c>
      <c r="M8" s="1750">
        <v>86</v>
      </c>
      <c r="N8" s="1985">
        <f>+BEVÉTELEK!H62+BEVÉTELEK!H78</f>
        <v>1211</v>
      </c>
      <c r="P8" s="415">
        <f t="shared" si="0"/>
        <v>87.666666666666671</v>
      </c>
    </row>
    <row r="9" spans="1:16">
      <c r="A9" s="1748" t="s">
        <v>210</v>
      </c>
      <c r="B9" s="1749">
        <v>1000</v>
      </c>
      <c r="C9" s="1750">
        <v>1000</v>
      </c>
      <c r="D9" s="1750">
        <v>970</v>
      </c>
      <c r="E9" s="1750">
        <v>965</v>
      </c>
      <c r="F9" s="1750">
        <v>970</v>
      </c>
      <c r="G9" s="1750">
        <v>970</v>
      </c>
      <c r="H9" s="1750">
        <v>795</v>
      </c>
      <c r="I9" s="1750">
        <v>795</v>
      </c>
      <c r="J9" s="1750">
        <v>795</v>
      </c>
      <c r="K9" s="1750">
        <v>795</v>
      </c>
      <c r="L9" s="1750">
        <v>795</v>
      </c>
      <c r="M9" s="1750">
        <v>792</v>
      </c>
      <c r="N9" s="1985">
        <f>+BEVÉTELEK!H63+BEVÉTELEK!H79+BEVÉTELEK!H89</f>
        <v>10642</v>
      </c>
      <c r="O9" s="415"/>
      <c r="P9" s="415">
        <f t="shared" si="0"/>
        <v>794.5</v>
      </c>
    </row>
    <row r="10" spans="1:16">
      <c r="A10" s="1748" t="s">
        <v>212</v>
      </c>
      <c r="B10" s="1749">
        <v>600</v>
      </c>
      <c r="C10" s="1750">
        <v>600</v>
      </c>
      <c r="D10" s="1750">
        <v>525</v>
      </c>
      <c r="E10" s="1750">
        <v>525</v>
      </c>
      <c r="F10" s="1750">
        <v>525</v>
      </c>
      <c r="G10" s="1750">
        <v>523</v>
      </c>
      <c r="H10" s="1750">
        <v>697</v>
      </c>
      <c r="I10" s="1750">
        <v>697</v>
      </c>
      <c r="J10" s="1750">
        <v>697</v>
      </c>
      <c r="K10" s="1750">
        <v>697</v>
      </c>
      <c r="L10" s="1750">
        <v>697</v>
      </c>
      <c r="M10" s="1750">
        <v>698</v>
      </c>
      <c r="N10" s="1985">
        <f>+BEVÉTELEK!H64+BEVÉTELEK!H70+BEVÉTELEK!H80+BEVÉTELEK!H90+BEVÉTELEK!H73+BEVÉTELEK!H83+BEVÉTELEK!H93</f>
        <v>7480.68</v>
      </c>
      <c r="O10" s="415"/>
      <c r="P10" s="415">
        <f t="shared" si="0"/>
        <v>697.11333333333334</v>
      </c>
    </row>
    <row r="11" spans="1:16" ht="13.5" thickBot="1">
      <c r="A11" s="1752" t="s">
        <v>214</v>
      </c>
      <c r="B11" s="1753">
        <v>100</v>
      </c>
      <c r="C11" s="1605">
        <v>100</v>
      </c>
      <c r="D11" s="1605">
        <v>93</v>
      </c>
      <c r="E11" s="1605">
        <v>92</v>
      </c>
      <c r="F11" s="1605">
        <v>92</v>
      </c>
      <c r="G11" s="1605">
        <v>93</v>
      </c>
      <c r="H11" s="1605">
        <v>32</v>
      </c>
      <c r="I11" s="1605">
        <v>32</v>
      </c>
      <c r="J11" s="1605">
        <v>32</v>
      </c>
      <c r="K11" s="1605">
        <v>32</v>
      </c>
      <c r="L11" s="1605">
        <v>32</v>
      </c>
      <c r="M11" s="1605">
        <v>33</v>
      </c>
      <c r="N11" s="1986">
        <f>+BEVÉTELEK!H65+BEVÉTELEK!H71+BEVÉTELEK!H81+BEVÉTELEK!H91+BEVÉTELEK!H66+BEVÉTELEK!H74+BEVÉTELEK!H84+BEVÉTELEK!H94</f>
        <v>763.47999999999956</v>
      </c>
      <c r="O11" s="415"/>
      <c r="P11" s="415">
        <f t="shared" si="0"/>
        <v>32.246666666666592</v>
      </c>
    </row>
    <row r="12" spans="1:16" ht="13.5" thickBot="1">
      <c r="A12" s="1755" t="s">
        <v>686</v>
      </c>
      <c r="B12" s="1756">
        <f t="shared" ref="B12:M12" si="1">SUM(B5:B11)</f>
        <v>5850</v>
      </c>
      <c r="C12" s="1757">
        <f t="shared" si="1"/>
        <v>5850</v>
      </c>
      <c r="D12" s="1757">
        <f t="shared" si="1"/>
        <v>5961</v>
      </c>
      <c r="E12" s="1757">
        <f t="shared" si="1"/>
        <v>5950</v>
      </c>
      <c r="F12" s="1757">
        <f t="shared" si="1"/>
        <v>5960</v>
      </c>
      <c r="G12" s="1757">
        <f t="shared" si="1"/>
        <v>5959</v>
      </c>
      <c r="H12" s="1757">
        <f t="shared" si="1"/>
        <v>5553</v>
      </c>
      <c r="I12" s="1757">
        <f t="shared" si="1"/>
        <v>5553</v>
      </c>
      <c r="J12" s="1757">
        <f t="shared" si="1"/>
        <v>5553</v>
      </c>
      <c r="K12" s="1757">
        <f t="shared" si="1"/>
        <v>5553</v>
      </c>
      <c r="L12" s="1757">
        <f t="shared" si="1"/>
        <v>5553</v>
      </c>
      <c r="M12" s="1758">
        <f t="shared" si="1"/>
        <v>5549</v>
      </c>
      <c r="N12" s="1759">
        <f>SUM(N5:N11)</f>
        <v>68844</v>
      </c>
    </row>
    <row r="13" spans="1:16" ht="34.9" customHeight="1">
      <c r="A13" s="1739" t="s">
        <v>657</v>
      </c>
      <c r="B13" s="1760"/>
      <c r="C13" s="1761"/>
      <c r="D13" s="1761"/>
      <c r="E13" s="1761"/>
      <c r="F13" s="1761"/>
      <c r="G13" s="1761"/>
      <c r="H13" s="1761"/>
      <c r="I13" s="1761"/>
      <c r="J13" s="1761"/>
      <c r="K13" s="1761"/>
      <c r="L13" s="1761"/>
      <c r="M13" s="1762"/>
      <c r="N13" s="1987"/>
      <c r="P13" s="415"/>
    </row>
    <row r="14" spans="1:16">
      <c r="A14" s="1744" t="s">
        <v>315</v>
      </c>
      <c r="B14" s="1745">
        <v>2000</v>
      </c>
      <c r="C14" s="1746">
        <v>2000</v>
      </c>
      <c r="D14" s="1746">
        <v>1900</v>
      </c>
      <c r="E14" s="1746">
        <v>1910</v>
      </c>
      <c r="F14" s="1746">
        <v>1900</v>
      </c>
      <c r="G14" s="1746">
        <v>1910</v>
      </c>
      <c r="H14" s="1746">
        <v>1900</v>
      </c>
      <c r="I14" s="1746">
        <v>1910</v>
      </c>
      <c r="J14" s="1746">
        <v>1900</v>
      </c>
      <c r="K14" s="1746">
        <v>1910</v>
      </c>
      <c r="L14" s="1746">
        <v>1900</v>
      </c>
      <c r="M14" s="1763">
        <v>1900</v>
      </c>
      <c r="N14" s="1984">
        <f>+'BEVÉTEL INT.TÁRSULÁSOK'!F39</f>
        <v>23037</v>
      </c>
    </row>
    <row r="15" spans="1:16">
      <c r="A15" s="1744" t="s">
        <v>705</v>
      </c>
      <c r="B15" s="1745"/>
      <c r="C15" s="1746"/>
      <c r="D15" s="1746"/>
      <c r="E15" s="1746"/>
      <c r="F15" s="1746"/>
      <c r="G15" s="1746"/>
      <c r="H15" s="1746">
        <v>1375</v>
      </c>
      <c r="I15" s="1746">
        <v>1375</v>
      </c>
      <c r="J15" s="1746">
        <v>1375</v>
      </c>
      <c r="K15" s="1746">
        <v>1375</v>
      </c>
      <c r="L15" s="1746">
        <v>1375</v>
      </c>
      <c r="M15" s="1746">
        <v>1375</v>
      </c>
      <c r="N15" s="1984">
        <f>SUM(H15:M15)</f>
        <v>8250</v>
      </c>
    </row>
    <row r="16" spans="1:16">
      <c r="A16" s="1748" t="s">
        <v>314</v>
      </c>
      <c r="B16" s="1749">
        <v>500</v>
      </c>
      <c r="C16" s="1750">
        <v>500</v>
      </c>
      <c r="D16" s="1750">
        <v>680</v>
      </c>
      <c r="E16" s="1750">
        <v>690</v>
      </c>
      <c r="F16" s="1750">
        <v>690</v>
      </c>
      <c r="G16" s="1750">
        <v>680</v>
      </c>
      <c r="H16" s="1750">
        <v>680</v>
      </c>
      <c r="I16" s="1750">
        <v>690</v>
      </c>
      <c r="J16" s="1750">
        <v>690</v>
      </c>
      <c r="K16" s="1750">
        <v>680</v>
      </c>
      <c r="L16" s="1750">
        <v>690</v>
      </c>
      <c r="M16" s="1751">
        <v>690</v>
      </c>
      <c r="N16" s="1985">
        <f>+'BEVÉTEL INT.TÁRSULÁSOK'!D39</f>
        <v>7859</v>
      </c>
    </row>
    <row r="17" spans="1:14" ht="13.5" thickBot="1">
      <c r="A17" s="1752" t="s">
        <v>204</v>
      </c>
      <c r="B17" s="1753">
        <v>50</v>
      </c>
      <c r="C17" s="1605">
        <v>40</v>
      </c>
      <c r="D17" s="1605">
        <v>50</v>
      </c>
      <c r="E17" s="1605">
        <v>40</v>
      </c>
      <c r="F17" s="1605">
        <v>50</v>
      </c>
      <c r="G17" s="1605">
        <v>40</v>
      </c>
      <c r="H17" s="1605">
        <v>50</v>
      </c>
      <c r="I17" s="1605">
        <v>40</v>
      </c>
      <c r="J17" s="1605">
        <v>50</v>
      </c>
      <c r="K17" s="1605">
        <v>40</v>
      </c>
      <c r="L17" s="1605">
        <v>50</v>
      </c>
      <c r="M17" s="1754">
        <v>50</v>
      </c>
      <c r="N17" s="1986">
        <f>+SZAKFELADATOS!S4</f>
        <v>552.20000000000005</v>
      </c>
    </row>
    <row r="18" spans="1:14" ht="13.5" thickBot="1">
      <c r="A18" s="1755" t="s">
        <v>687</v>
      </c>
      <c r="B18" s="1756">
        <f>SUM(B14:B17)</f>
        <v>2550</v>
      </c>
      <c r="C18" s="1757">
        <f t="shared" ref="C18:M18" si="2">SUM(C14:C17)</f>
        <v>2540</v>
      </c>
      <c r="D18" s="1757">
        <f t="shared" si="2"/>
        <v>2630</v>
      </c>
      <c r="E18" s="1757">
        <f t="shared" si="2"/>
        <v>2640</v>
      </c>
      <c r="F18" s="1757">
        <f t="shared" si="2"/>
        <v>2640</v>
      </c>
      <c r="G18" s="1757">
        <f t="shared" si="2"/>
        <v>2630</v>
      </c>
      <c r="H18" s="1757">
        <f t="shared" si="2"/>
        <v>4005</v>
      </c>
      <c r="I18" s="1757">
        <f t="shared" si="2"/>
        <v>4015</v>
      </c>
      <c r="J18" s="1757">
        <f t="shared" si="2"/>
        <v>4015</v>
      </c>
      <c r="K18" s="1757">
        <f t="shared" si="2"/>
        <v>4005</v>
      </c>
      <c r="L18" s="1757">
        <f t="shared" si="2"/>
        <v>4015</v>
      </c>
      <c r="M18" s="1758">
        <f t="shared" si="2"/>
        <v>4015</v>
      </c>
      <c r="N18" s="1759">
        <f>SUM(N14:N17)</f>
        <v>39698.199999999997</v>
      </c>
    </row>
    <row r="86" spans="1:4">
      <c r="A86" s="512"/>
      <c r="B86" s="512"/>
      <c r="C86" s="512"/>
      <c r="D86" s="512"/>
    </row>
  </sheetData>
  <phoneticPr fontId="46" type="noConversion"/>
  <printOptions horizontalCentered="1"/>
  <pageMargins left="0.78740157480314965" right="0.78740157480314965" top="1.3385826771653544" bottom="0.98425196850393704" header="0.51181102362204722" footer="0.51181102362204722"/>
  <pageSetup paperSize="9" scale="90" orientation="landscape" r:id="rId1"/>
  <headerFooter alignWithMargins="0">
    <oddHeader xml:space="preserve">&amp;L&amp;"Times New Roman,Normál"Szent László VÖlgye
Kistérségi Szolgáltató Iroda&amp;C&amp;"Arial,Félkövér"&amp;12 2011. ÉVI KÖLTSÉGVETÉS
1. SZ. MÓDOSÍTÁSA&amp;R&amp;"Times New Roman,Normál"&amp;11 9. sz. melléklet
&amp;"Times New Roman,Félkövér"&amp;12&amp;A
</oddHeader>
    <oddFooter>&amp;L&amp;F&amp;C&amp;D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158"/>
  <sheetViews>
    <sheetView zoomScale="70" workbookViewId="0">
      <pane xSplit="1" ySplit="3" topLeftCell="B115" activePane="bottomRight" state="frozen"/>
      <selection activeCell="A19" sqref="A19"/>
      <selection pane="topRight" activeCell="A19" sqref="A19"/>
      <selection pane="bottomLeft" activeCell="A19" sqref="A19"/>
      <selection pane="bottomRight" activeCell="C149" sqref="C149"/>
    </sheetView>
  </sheetViews>
  <sheetFormatPr defaultColWidth="8.85546875" defaultRowHeight="12.75"/>
  <cols>
    <col min="1" max="1" width="60.42578125" style="38" customWidth="1"/>
    <col min="2" max="3" width="9.28515625" style="406" customWidth="1"/>
    <col min="4" max="4" width="14.42578125" style="406" customWidth="1"/>
    <col min="5" max="5" width="9.85546875" style="266" bestFit="1" customWidth="1"/>
    <col min="6" max="6" width="13.28515625" style="248" bestFit="1" customWidth="1"/>
    <col min="7" max="7" width="10.140625" style="248" bestFit="1" customWidth="1"/>
    <col min="8" max="8" width="9.85546875" style="248" bestFit="1" customWidth="1"/>
    <col min="9" max="16384" width="8.85546875" style="248"/>
  </cols>
  <sheetData>
    <row r="1" spans="1:5" s="293" customFormat="1" ht="13.15" customHeight="1">
      <c r="A1" s="1026"/>
      <c r="B1" s="2484" t="s">
        <v>458</v>
      </c>
      <c r="C1" s="2485"/>
      <c r="D1" s="2486"/>
      <c r="E1" s="1108"/>
    </row>
    <row r="2" spans="1:5" s="293" customFormat="1" ht="13.15" customHeight="1">
      <c r="A2" s="1025"/>
      <c r="B2" s="2482" t="s">
        <v>459</v>
      </c>
      <c r="C2" s="2483"/>
      <c r="D2" s="1198" t="s">
        <v>460</v>
      </c>
      <c r="E2" s="1108"/>
    </row>
    <row r="3" spans="1:5" s="293" customFormat="1" ht="13.5" thickBot="1">
      <c r="A3" s="1025"/>
      <c r="B3" s="1199" t="s">
        <v>461</v>
      </c>
      <c r="C3" s="1200" t="s">
        <v>462</v>
      </c>
      <c r="D3" s="1201"/>
      <c r="E3" s="1108"/>
    </row>
    <row r="4" spans="1:5" s="293" customFormat="1">
      <c r="A4" s="1202" t="s">
        <v>133</v>
      </c>
      <c r="B4" s="1058"/>
      <c r="C4" s="1059"/>
      <c r="D4" s="1203"/>
      <c r="E4" s="1108"/>
    </row>
    <row r="5" spans="1:5" s="293" customFormat="1" ht="21.6" customHeight="1">
      <c r="A5" s="1062" t="s">
        <v>463</v>
      </c>
      <c r="B5" s="1056"/>
      <c r="C5" s="1057"/>
      <c r="D5" s="1204"/>
      <c r="E5" s="1108"/>
    </row>
    <row r="6" spans="1:5" s="293" customFormat="1">
      <c r="A6" s="1063" t="s">
        <v>464</v>
      </c>
      <c r="B6" s="1065">
        <v>376</v>
      </c>
      <c r="C6" s="1066"/>
      <c r="D6" s="1205">
        <f>+ÓVODAINORMATÍVA!O2</f>
        <v>50447</v>
      </c>
      <c r="E6" s="1108"/>
    </row>
    <row r="7" spans="1:5" s="293" customFormat="1">
      <c r="A7" s="1064" t="s">
        <v>465</v>
      </c>
      <c r="B7" s="1206"/>
      <c r="C7" s="1207">
        <v>402</v>
      </c>
      <c r="D7" s="1208">
        <f>+ÓVODAINORMATÍVA!O3</f>
        <v>26007</v>
      </c>
      <c r="E7" s="1108"/>
    </row>
    <row r="8" spans="1:5" s="293" customFormat="1">
      <c r="A8" s="1209" t="s">
        <v>466</v>
      </c>
      <c r="B8" s="1060"/>
      <c r="C8" s="1061"/>
      <c r="D8" s="1210">
        <f>SUM(D6:D7)</f>
        <v>76454</v>
      </c>
      <c r="E8" s="1108"/>
    </row>
    <row r="9" spans="1:5" s="293" customFormat="1" ht="20.45" customHeight="1">
      <c r="A9" s="1062" t="s">
        <v>467</v>
      </c>
      <c r="B9" s="1056"/>
      <c r="C9" s="1057"/>
      <c r="D9" s="1204"/>
      <c r="E9" s="1108"/>
    </row>
    <row r="10" spans="1:5" s="293" customFormat="1">
      <c r="A10" s="1063" t="s">
        <v>468</v>
      </c>
      <c r="B10" s="1065">
        <f>+ISKOLANORMATÍVA!B2</f>
        <v>62</v>
      </c>
      <c r="C10" s="1066"/>
      <c r="D10" s="1205">
        <f>+ISKOLANORMATÍVA!I2</f>
        <v>5483</v>
      </c>
      <c r="E10" s="1108"/>
    </row>
    <row r="11" spans="1:5" s="293" customFormat="1">
      <c r="A11" s="1063" t="s">
        <v>469</v>
      </c>
      <c r="B11" s="1065">
        <f>+ISKOLANORMATÍVA!B3</f>
        <v>17</v>
      </c>
      <c r="C11" s="1066"/>
      <c r="D11" s="1205">
        <f>+ISKOLANORMATÍVA!I3</f>
        <v>1567</v>
      </c>
      <c r="E11" s="1108"/>
    </row>
    <row r="12" spans="1:5" s="293" customFormat="1">
      <c r="A12" s="1064" t="s">
        <v>470</v>
      </c>
      <c r="B12" s="1206">
        <f>+ISKOLANORMATÍVA!B4</f>
        <v>18</v>
      </c>
      <c r="C12" s="1207"/>
      <c r="D12" s="1205">
        <f>+ISKOLANORMATÍVA!I4</f>
        <v>1880</v>
      </c>
      <c r="E12" s="1108"/>
    </row>
    <row r="13" spans="1:5" s="293" customFormat="1">
      <c r="A13" s="1209" t="s">
        <v>471</v>
      </c>
      <c r="B13" s="1060">
        <f>SUM(B10:B12)</f>
        <v>97</v>
      </c>
      <c r="C13" s="1061"/>
      <c r="D13" s="1210">
        <f>SUM(D10:D12)</f>
        <v>8930</v>
      </c>
      <c r="E13" s="1108"/>
    </row>
    <row r="14" spans="1:5" s="293" customFormat="1">
      <c r="A14" s="1062" t="s">
        <v>472</v>
      </c>
      <c r="B14" s="1056">
        <f>+ISKOLANORMATÍVA!B5</f>
        <v>42</v>
      </c>
      <c r="C14" s="1057"/>
      <c r="D14" s="1205">
        <f>+ISKOLANORMATÍVA!I5</f>
        <v>4387</v>
      </c>
      <c r="E14" s="1108"/>
    </row>
    <row r="15" spans="1:5" s="293" customFormat="1">
      <c r="A15" s="1063" t="s">
        <v>473</v>
      </c>
      <c r="B15" s="1065">
        <f>+ISKOLANORMATÍVA!B6</f>
        <v>20</v>
      </c>
      <c r="C15" s="1066"/>
      <c r="D15" s="1205">
        <f>+ISKOLANORMATÍVA!I6</f>
        <v>2350</v>
      </c>
      <c r="E15" s="1108"/>
    </row>
    <row r="16" spans="1:5" s="293" customFormat="1">
      <c r="A16" s="1064" t="s">
        <v>474</v>
      </c>
      <c r="B16" s="1065">
        <f>+ISKOLANORMATÍVA!B7</f>
        <v>24</v>
      </c>
      <c r="C16" s="1066"/>
      <c r="D16" s="1205">
        <f>+ISKOLANORMATÍVA!I7</f>
        <v>2977</v>
      </c>
      <c r="E16" s="1108"/>
    </row>
    <row r="17" spans="1:5" s="293" customFormat="1">
      <c r="A17" s="1211" t="s">
        <v>475</v>
      </c>
      <c r="B17" s="1212">
        <f>SUM(B14:B16)</f>
        <v>86</v>
      </c>
      <c r="C17" s="1213"/>
      <c r="D17" s="1214">
        <f>SUM(D14:D16)</f>
        <v>9714</v>
      </c>
      <c r="E17" s="1108"/>
    </row>
    <row r="18" spans="1:5" s="293" customFormat="1">
      <c r="A18" s="1209" t="s">
        <v>476</v>
      </c>
      <c r="B18" s="1060">
        <f>+B13+B17</f>
        <v>183</v>
      </c>
      <c r="C18" s="1061"/>
      <c r="D18" s="1210">
        <f>+D13+D17</f>
        <v>18644</v>
      </c>
      <c r="E18" s="1108"/>
    </row>
    <row r="19" spans="1:5" s="293" customFormat="1">
      <c r="A19" s="1062" t="s">
        <v>468</v>
      </c>
      <c r="B19" s="1056"/>
      <c r="C19" s="1215">
        <f>+ISKOLANORMATÍVA!K2</f>
        <v>56</v>
      </c>
      <c r="D19" s="1216">
        <f>+ISKOLANORMATÍVA!O2</f>
        <v>2507</v>
      </c>
      <c r="E19" s="1108"/>
    </row>
    <row r="20" spans="1:5" s="293" customFormat="1">
      <c r="A20" s="1063" t="s">
        <v>469</v>
      </c>
      <c r="B20" s="1065"/>
      <c r="C20" s="1066">
        <f>+ISKOLANORMATÍVA!K3</f>
        <v>36</v>
      </c>
      <c r="D20" s="1205">
        <f>+ISKOLANORMATÍVA!O3</f>
        <v>1645</v>
      </c>
      <c r="E20" s="1108"/>
    </row>
    <row r="21" spans="1:5" s="293" customFormat="1">
      <c r="A21" s="1064" t="s">
        <v>470</v>
      </c>
      <c r="B21" s="1206"/>
      <c r="C21" s="1217">
        <f>+ISKOLANORMATÍVA!K4</f>
        <v>17</v>
      </c>
      <c r="D21" s="1205">
        <f>+ISKOLANORMATÍVA!O4</f>
        <v>862</v>
      </c>
      <c r="E21" s="1108"/>
    </row>
    <row r="22" spans="1:5" s="293" customFormat="1">
      <c r="A22" s="1209" t="s">
        <v>471</v>
      </c>
      <c r="B22" s="1060"/>
      <c r="C22" s="1061">
        <f>SUM(C19:C21)</f>
        <v>109</v>
      </c>
      <c r="D22" s="1210">
        <f>SUM(D19:D21)</f>
        <v>5014</v>
      </c>
      <c r="E22" s="1108"/>
    </row>
    <row r="23" spans="1:5" s="293" customFormat="1">
      <c r="A23" s="1062" t="s">
        <v>472</v>
      </c>
      <c r="B23" s="1056"/>
      <c r="C23" s="1215">
        <f>+ISKOLANORMATÍVA!K5</f>
        <v>35</v>
      </c>
      <c r="D23" s="1205">
        <f>+ISKOLANORMATÍVA!O5</f>
        <v>1880</v>
      </c>
      <c r="E23" s="1108"/>
    </row>
    <row r="24" spans="1:5" s="293" customFormat="1">
      <c r="A24" s="1063" t="s">
        <v>473</v>
      </c>
      <c r="B24" s="1065"/>
      <c r="C24" s="1066">
        <f>+ISKOLANORMATÍVA!K6</f>
        <v>25</v>
      </c>
      <c r="D24" s="1205">
        <f>+ISKOLANORMATÍVA!O6</f>
        <v>1488</v>
      </c>
      <c r="E24" s="1108"/>
    </row>
    <row r="25" spans="1:5" s="293" customFormat="1">
      <c r="A25" s="1064" t="s">
        <v>474</v>
      </c>
      <c r="B25" s="1206"/>
      <c r="C25" s="1217">
        <f>+ISKOLANORMATÍVA!K7</f>
        <v>20</v>
      </c>
      <c r="D25" s="1205">
        <f>+ISKOLANORMATÍVA!O7</f>
        <v>1175</v>
      </c>
      <c r="E25" s="1108"/>
    </row>
    <row r="26" spans="1:5" s="293" customFormat="1">
      <c r="A26" s="1211" t="s">
        <v>475</v>
      </c>
      <c r="B26" s="1212"/>
      <c r="C26" s="1213">
        <f>SUM(C23:C25)</f>
        <v>80</v>
      </c>
      <c r="D26" s="1214">
        <f>SUM(D23:D25)</f>
        <v>4543</v>
      </c>
      <c r="E26" s="1108"/>
    </row>
    <row r="27" spans="1:5" s="293" customFormat="1">
      <c r="A27" s="1209" t="s">
        <v>477</v>
      </c>
      <c r="B27" s="1060"/>
      <c r="C27" s="1061">
        <f>+C22+C26</f>
        <v>189</v>
      </c>
      <c r="D27" s="1210">
        <f>+D22+D26</f>
        <v>9557</v>
      </c>
      <c r="E27" s="1108"/>
    </row>
    <row r="28" spans="1:5" s="293" customFormat="1">
      <c r="A28" s="1218" t="s">
        <v>478</v>
      </c>
      <c r="B28" s="1219"/>
      <c r="C28" s="1220"/>
      <c r="D28" s="1221">
        <f>+D18+D27</f>
        <v>28201</v>
      </c>
      <c r="E28" s="1108"/>
    </row>
    <row r="29" spans="1:5" s="293" customFormat="1" ht="24" customHeight="1">
      <c r="A29" s="1062" t="s">
        <v>479</v>
      </c>
      <c r="B29" s="1056"/>
      <c r="C29" s="1057"/>
      <c r="D29" s="1204"/>
      <c r="E29" s="1108"/>
    </row>
    <row r="30" spans="1:5" s="293" customFormat="1">
      <c r="A30" s="1063" t="s">
        <v>471</v>
      </c>
      <c r="B30" s="1065">
        <f>+ISKOLANORMATÍVA!B10</f>
        <v>47</v>
      </c>
      <c r="C30" s="1066"/>
      <c r="D30" s="1205">
        <f>+ISKOLANORMATÍVA!I10</f>
        <v>783</v>
      </c>
      <c r="E30" s="1108"/>
    </row>
    <row r="31" spans="1:5" s="293" customFormat="1">
      <c r="A31" s="1064" t="s">
        <v>475</v>
      </c>
      <c r="B31" s="1206">
        <f>+ISKOLANORMATÍVA!B11</f>
        <v>25</v>
      </c>
      <c r="C31" s="1207"/>
      <c r="D31" s="1205">
        <f>+ISKOLANORMATÍVA!I11</f>
        <v>313</v>
      </c>
      <c r="E31" s="1108"/>
    </row>
    <row r="32" spans="1:5" s="293" customFormat="1">
      <c r="A32" s="1209" t="s">
        <v>476</v>
      </c>
      <c r="B32" s="1060">
        <f>SUM(B30:B31)</f>
        <v>72</v>
      </c>
      <c r="C32" s="1061"/>
      <c r="D32" s="1210">
        <f>SUM(D30:D31)</f>
        <v>1096</v>
      </c>
      <c r="E32" s="1108"/>
    </row>
    <row r="33" spans="1:5" s="293" customFormat="1">
      <c r="A33" s="1062" t="s">
        <v>471</v>
      </c>
      <c r="B33" s="1056"/>
      <c r="C33" s="1057">
        <f>+ISKOLANORMATÍVA!K10</f>
        <v>50</v>
      </c>
      <c r="D33" s="1204">
        <f>+ISKOLANORMATÍVA!O10</f>
        <v>392</v>
      </c>
      <c r="E33" s="1108"/>
    </row>
    <row r="34" spans="1:5" s="293" customFormat="1">
      <c r="A34" s="1064" t="s">
        <v>475</v>
      </c>
      <c r="B34" s="1206"/>
      <c r="C34" s="1207">
        <f>+ISKOLANORMATÍVA!K11</f>
        <v>25</v>
      </c>
      <c r="D34" s="1208">
        <f>+ISKOLANORMATÍVA!O11</f>
        <v>157</v>
      </c>
      <c r="E34" s="1108"/>
    </row>
    <row r="35" spans="1:5" s="293" customFormat="1">
      <c r="A35" s="1209" t="s">
        <v>477</v>
      </c>
      <c r="B35" s="1060"/>
      <c r="C35" s="1061">
        <f>SUM(C33:C34)</f>
        <v>75</v>
      </c>
      <c r="D35" s="1210">
        <f>SUM(D33:D34)</f>
        <v>549</v>
      </c>
      <c r="E35" s="1108"/>
    </row>
    <row r="36" spans="1:5" s="293" customFormat="1">
      <c r="A36" s="1218" t="s">
        <v>479</v>
      </c>
      <c r="B36" s="1219"/>
      <c r="C36" s="1220"/>
      <c r="D36" s="1221">
        <f>+D32+D35</f>
        <v>1645</v>
      </c>
      <c r="E36" s="1108"/>
    </row>
    <row r="37" spans="1:5" s="293" customFormat="1" ht="19.149999999999999" customHeight="1">
      <c r="A37" s="1222" t="s">
        <v>480</v>
      </c>
      <c r="B37" s="1212"/>
      <c r="C37" s="1213"/>
      <c r="D37" s="1214"/>
      <c r="E37" s="1108"/>
    </row>
    <row r="38" spans="1:5" s="293" customFormat="1" ht="13.9" customHeight="1">
      <c r="A38" s="1062" t="s">
        <v>141</v>
      </c>
      <c r="B38" s="1056"/>
      <c r="C38" s="1057"/>
      <c r="D38" s="1204"/>
      <c r="E38" s="1108"/>
    </row>
    <row r="39" spans="1:5" s="293" customFormat="1">
      <c r="A39" s="1063" t="s">
        <v>481</v>
      </c>
      <c r="B39" s="1065"/>
      <c r="C39" s="1066"/>
      <c r="D39" s="1205"/>
      <c r="E39" s="1108"/>
    </row>
    <row r="40" spans="1:5" s="293" customFormat="1">
      <c r="A40" s="1063" t="s">
        <v>464</v>
      </c>
      <c r="B40" s="1065">
        <f>+ÓVODAINORMATÍVA!K25</f>
        <v>1</v>
      </c>
      <c r="C40" s="1066"/>
      <c r="D40" s="1205">
        <f>+ÓVODAINORMATÍVA!O25</f>
        <v>120</v>
      </c>
      <c r="E40" s="1108"/>
    </row>
    <row r="41" spans="1:5" s="293" customFormat="1">
      <c r="A41" s="1064" t="s">
        <v>465</v>
      </c>
      <c r="B41" s="1206"/>
      <c r="C41" s="1207">
        <f>+ÓVODAINORMATÍVA!K26</f>
        <v>2</v>
      </c>
      <c r="D41" s="1208">
        <f>+ÓVODAINORMATÍVA!O26</f>
        <v>120</v>
      </c>
      <c r="E41" s="1108"/>
    </row>
    <row r="42" spans="1:5" s="293" customFormat="1">
      <c r="A42" s="1209" t="s">
        <v>481</v>
      </c>
      <c r="B42" s="1060">
        <v>1</v>
      </c>
      <c r="C42" s="1061">
        <v>2</v>
      </c>
      <c r="D42" s="1210">
        <f>SUM(D40:D41)</f>
        <v>240</v>
      </c>
      <c r="E42" s="1108"/>
    </row>
    <row r="43" spans="1:5" s="293" customFormat="1">
      <c r="A43" s="1062" t="s">
        <v>482</v>
      </c>
      <c r="B43" s="1056"/>
      <c r="C43" s="1057"/>
      <c r="D43" s="1204"/>
      <c r="E43" s="1108"/>
    </row>
    <row r="44" spans="1:5" s="293" customFormat="1">
      <c r="A44" s="1063" t="s">
        <v>464</v>
      </c>
      <c r="B44" s="1065"/>
      <c r="C44" s="1066"/>
      <c r="D44" s="1205"/>
      <c r="E44" s="1108"/>
    </row>
    <row r="45" spans="1:5" s="293" customFormat="1">
      <c r="A45" s="1064" t="s">
        <v>465</v>
      </c>
      <c r="B45" s="1206"/>
      <c r="C45" s="1207"/>
      <c r="D45" s="1208"/>
      <c r="E45" s="1108"/>
    </row>
    <row r="46" spans="1:5" s="293" customFormat="1">
      <c r="A46" s="1209" t="s">
        <v>482</v>
      </c>
      <c r="B46" s="1060"/>
      <c r="C46" s="1061"/>
      <c r="D46" s="1210"/>
      <c r="E46" s="1108"/>
    </row>
    <row r="47" spans="1:5" s="293" customFormat="1">
      <c r="A47" s="1218" t="s">
        <v>483</v>
      </c>
      <c r="B47" s="1219">
        <f>+B42+B46</f>
        <v>1</v>
      </c>
      <c r="C47" s="1220">
        <f>+C42+C46</f>
        <v>2</v>
      </c>
      <c r="D47" s="1221">
        <f>+D42+D46</f>
        <v>240</v>
      </c>
      <c r="E47" s="1108"/>
    </row>
    <row r="48" spans="1:5" s="293" customFormat="1">
      <c r="A48" s="1062" t="s">
        <v>481</v>
      </c>
      <c r="B48" s="1056"/>
      <c r="C48" s="1057"/>
      <c r="D48" s="1204"/>
      <c r="E48" s="1108"/>
    </row>
    <row r="49" spans="1:5" s="293" customFormat="1">
      <c r="A49" s="1063" t="s">
        <v>464</v>
      </c>
      <c r="B49" s="1065"/>
      <c r="C49" s="1066"/>
      <c r="D49" s="1205"/>
      <c r="E49" s="1108"/>
    </row>
    <row r="50" spans="1:5" s="293" customFormat="1">
      <c r="A50" s="1064" t="s">
        <v>465</v>
      </c>
      <c r="B50" s="1206"/>
      <c r="C50" s="1207"/>
      <c r="D50" s="1208"/>
      <c r="E50" s="1108"/>
    </row>
    <row r="51" spans="1:5" s="293" customFormat="1">
      <c r="A51" s="1209" t="s">
        <v>481</v>
      </c>
      <c r="B51" s="1060"/>
      <c r="C51" s="1061"/>
      <c r="D51" s="1210"/>
      <c r="E51" s="1108"/>
    </row>
    <row r="52" spans="1:5" s="293" customFormat="1">
      <c r="A52" s="1062" t="s">
        <v>482</v>
      </c>
      <c r="B52" s="1056"/>
      <c r="C52" s="1057"/>
      <c r="D52" s="1204"/>
      <c r="E52" s="1108"/>
    </row>
    <row r="53" spans="1:5" s="293" customFormat="1">
      <c r="A53" s="1063" t="s">
        <v>464</v>
      </c>
      <c r="B53" s="1065">
        <f>+ISKOLANORMATÍVA!B14</f>
        <v>11</v>
      </c>
      <c r="C53" s="1066"/>
      <c r="D53" s="1205">
        <f>+ISKOLANORMATÍVA!G14</f>
        <v>986</v>
      </c>
      <c r="E53" s="1108"/>
    </row>
    <row r="54" spans="1:5" s="293" customFormat="1">
      <c r="A54" s="1064" t="s">
        <v>465</v>
      </c>
      <c r="B54" s="1206"/>
      <c r="C54" s="1207">
        <f>+ISKOLANORMATÍVA!B15</f>
        <v>11</v>
      </c>
      <c r="D54" s="1208">
        <f>+ISKOLANORMATÍVA!G15</f>
        <v>575</v>
      </c>
      <c r="E54" s="1108"/>
    </row>
    <row r="55" spans="1:5" s="293" customFormat="1">
      <c r="A55" s="1209" t="s">
        <v>482</v>
      </c>
      <c r="B55" s="1060">
        <f>SUM(B53:B54)</f>
        <v>11</v>
      </c>
      <c r="C55" s="1061">
        <f>SUM(C53:C54)</f>
        <v>11</v>
      </c>
      <c r="D55" s="1210">
        <f>SUM(D53:D54)</f>
        <v>1561</v>
      </c>
      <c r="E55" s="1108"/>
    </row>
    <row r="56" spans="1:5" s="293" customFormat="1">
      <c r="A56" s="1218" t="s">
        <v>484</v>
      </c>
      <c r="B56" s="1219"/>
      <c r="C56" s="1220"/>
      <c r="D56" s="1221">
        <f>+D51+D55</f>
        <v>1561</v>
      </c>
      <c r="E56" s="1108"/>
    </row>
    <row r="57" spans="1:5" s="293" customFormat="1">
      <c r="A57" s="1218" t="s">
        <v>485</v>
      </c>
      <c r="B57" s="1219"/>
      <c r="C57" s="1220"/>
      <c r="D57" s="1221">
        <f>+D56+D47</f>
        <v>1801</v>
      </c>
      <c r="E57" s="1108"/>
    </row>
    <row r="58" spans="1:5" s="293" customFormat="1" ht="22.9" customHeight="1">
      <c r="A58" s="1223" t="s">
        <v>486</v>
      </c>
      <c r="B58" s="1058"/>
      <c r="C58" s="1059"/>
      <c r="D58" s="1203"/>
      <c r="E58" s="1108"/>
    </row>
    <row r="59" spans="1:5" s="293" customFormat="1">
      <c r="A59" s="1209" t="s">
        <v>481</v>
      </c>
      <c r="B59" s="1060">
        <f>+ÓVODAINORMATÍVA!M45</f>
        <v>348</v>
      </c>
      <c r="C59" s="1061"/>
      <c r="D59" s="1210">
        <f>+ÓVODAINORMATÍVA!P45</f>
        <v>8422</v>
      </c>
      <c r="E59" s="1108"/>
    </row>
    <row r="60" spans="1:5" s="293" customFormat="1">
      <c r="A60" s="1062" t="s">
        <v>482</v>
      </c>
      <c r="B60" s="1056"/>
      <c r="C60" s="1057"/>
      <c r="D60" s="1204"/>
      <c r="E60" s="1108"/>
    </row>
    <row r="61" spans="1:5" s="293" customFormat="1">
      <c r="A61" s="1063" t="s">
        <v>471</v>
      </c>
      <c r="B61" s="1065">
        <f>+ISKOLANORMATÍVA!B18</f>
        <v>97</v>
      </c>
      <c r="C61" s="1066"/>
      <c r="D61" s="1205">
        <f>+ISKOLANORMATÍVA!D18</f>
        <v>2347</v>
      </c>
      <c r="E61" s="1108"/>
    </row>
    <row r="62" spans="1:5" s="293" customFormat="1">
      <c r="A62" s="1063" t="s">
        <v>472</v>
      </c>
      <c r="B62" s="1065">
        <f>+ISKOLANORMATÍVA!B19</f>
        <v>62</v>
      </c>
      <c r="C62" s="1066"/>
      <c r="D62" s="1205">
        <f>+ISKOLANORMATÍVA!D19</f>
        <v>1501</v>
      </c>
      <c r="E62" s="1108"/>
    </row>
    <row r="63" spans="1:5" s="293" customFormat="1">
      <c r="A63" s="1064" t="s">
        <v>474</v>
      </c>
      <c r="B63" s="1206">
        <f>+ISKOLANORMATÍVA!B20</f>
        <v>24</v>
      </c>
      <c r="C63" s="1207"/>
      <c r="D63" s="1205">
        <f>+ISKOLANORMATÍVA!D20</f>
        <v>581</v>
      </c>
      <c r="E63" s="1108"/>
    </row>
    <row r="64" spans="1:5" s="293" customFormat="1">
      <c r="A64" s="1211" t="s">
        <v>487</v>
      </c>
      <c r="B64" s="1224">
        <f>SUM(B61:B63)</f>
        <v>183</v>
      </c>
      <c r="C64" s="1225"/>
      <c r="D64" s="1226">
        <f>SUM(D61:D63)</f>
        <v>4429</v>
      </c>
      <c r="E64" s="1108"/>
    </row>
    <row r="65" spans="1:5">
      <c r="A65" s="825" t="s">
        <v>488</v>
      </c>
      <c r="B65" s="1227"/>
      <c r="C65" s="1084"/>
      <c r="D65" s="853">
        <f>+D59+D64</f>
        <v>12851</v>
      </c>
    </row>
    <row r="66" spans="1:5">
      <c r="A66" s="831" t="s">
        <v>481</v>
      </c>
      <c r="B66" s="851"/>
      <c r="C66" s="413">
        <f>+ÓVODAINORMATÍVA!M54</f>
        <v>360</v>
      </c>
      <c r="D66" s="852">
        <f>+ÓVODAINORMATÍVA!P54</f>
        <v>3840</v>
      </c>
    </row>
    <row r="67" spans="1:5">
      <c r="A67" s="821" t="s">
        <v>482</v>
      </c>
      <c r="B67" s="840"/>
      <c r="C67" s="410"/>
      <c r="D67" s="841"/>
    </row>
    <row r="68" spans="1:5">
      <c r="A68" s="822" t="s">
        <v>471</v>
      </c>
      <c r="B68" s="842"/>
      <c r="C68" s="407">
        <f>+ISKOLANORMATÍVA!E18</f>
        <v>109</v>
      </c>
      <c r="D68" s="843">
        <f>+ISKOLANORMATÍVA!G18</f>
        <v>1163</v>
      </c>
    </row>
    <row r="69" spans="1:5">
      <c r="A69" s="822" t="s">
        <v>472</v>
      </c>
      <c r="B69" s="842"/>
      <c r="C69" s="407">
        <f>+ISKOLANORMATÍVA!E19</f>
        <v>60</v>
      </c>
      <c r="D69" s="843">
        <f>+ISKOLANORMATÍVA!G19</f>
        <v>640</v>
      </c>
    </row>
    <row r="70" spans="1:5">
      <c r="A70" s="823" t="s">
        <v>489</v>
      </c>
      <c r="B70" s="844"/>
      <c r="C70" s="407">
        <f>+ISKOLANORMATÍVA!E20</f>
        <v>20</v>
      </c>
      <c r="D70" s="843">
        <f>+ISKOLANORMATÍVA!G20</f>
        <v>213</v>
      </c>
    </row>
    <row r="71" spans="1:5">
      <c r="A71" s="826" t="s">
        <v>487</v>
      </c>
      <c r="B71" s="848"/>
      <c r="C71" s="411">
        <f>SUM(C68:C70)</f>
        <v>189</v>
      </c>
      <c r="D71" s="849">
        <f>SUM(D68:D70)</f>
        <v>2016</v>
      </c>
    </row>
    <row r="72" spans="1:5">
      <c r="A72" s="1209" t="s">
        <v>490</v>
      </c>
      <c r="B72" s="1060"/>
      <c r="C72" s="1061"/>
      <c r="D72" s="1210">
        <f>+D66+D71</f>
        <v>5856</v>
      </c>
    </row>
    <row r="73" spans="1:5">
      <c r="A73" s="827" t="s">
        <v>491</v>
      </c>
      <c r="B73" s="851"/>
      <c r="C73" s="413"/>
      <c r="D73" s="852">
        <f>+D65+D72</f>
        <v>18707</v>
      </c>
    </row>
    <row r="74" spans="1:5" ht="19.149999999999999" customHeight="1">
      <c r="A74" s="821" t="s">
        <v>492</v>
      </c>
      <c r="B74" s="840"/>
      <c r="C74" s="410"/>
      <c r="D74" s="841"/>
    </row>
    <row r="75" spans="1:5">
      <c r="A75" s="822" t="s">
        <v>481</v>
      </c>
      <c r="B75" s="842">
        <f>+ÓVODAINORMATÍVA!M37+ÓVODAINORMATÍVA!N37</f>
        <v>158</v>
      </c>
      <c r="C75" s="407"/>
      <c r="D75" s="843">
        <f>+ÓVODAINORMATÍVA!R37+ÓVODAINORMATÍVA!S37</f>
        <v>10744</v>
      </c>
    </row>
    <row r="76" spans="1:5">
      <c r="A76" s="832" t="s">
        <v>482</v>
      </c>
      <c r="B76" s="854">
        <f>+ISKOLANORMATÍVA!B39</f>
        <v>69</v>
      </c>
      <c r="C76" s="412"/>
      <c r="D76" s="855">
        <f>+ISKOLANORMATÍVA!D39</f>
        <v>4692</v>
      </c>
    </row>
    <row r="77" spans="1:5">
      <c r="A77" s="827" t="s">
        <v>493</v>
      </c>
      <c r="B77" s="851">
        <f>SUM(B75:B76)</f>
        <v>227</v>
      </c>
      <c r="C77" s="413"/>
      <c r="D77" s="852">
        <f>SUM(D75:D76)</f>
        <v>15436</v>
      </c>
    </row>
    <row r="78" spans="1:5">
      <c r="A78" s="829"/>
      <c r="B78" s="838"/>
      <c r="C78" s="414"/>
      <c r="D78" s="839"/>
    </row>
    <row r="79" spans="1:5">
      <c r="A79" s="824" t="s">
        <v>494</v>
      </c>
      <c r="B79" s="846">
        <f>+ISKOLANORMATÍVA!B44</f>
        <v>183</v>
      </c>
      <c r="C79" s="409"/>
      <c r="D79" s="847">
        <f>+ISKOLANORMATÍVA!D44</f>
        <v>320</v>
      </c>
    </row>
    <row r="80" spans="1:5" s="416" customFormat="1" ht="13.5" customHeight="1">
      <c r="A80" s="23"/>
      <c r="B80" s="840"/>
      <c r="C80" s="410"/>
      <c r="D80" s="841"/>
      <c r="E80" s="415"/>
    </row>
    <row r="81" spans="1:9" s="416" customFormat="1" ht="13.5" thickBot="1">
      <c r="A81" s="826" t="s">
        <v>495</v>
      </c>
      <c r="B81" s="848">
        <f>+ISKOLANORMATÍVA!B43</f>
        <v>104</v>
      </c>
      <c r="C81" s="411"/>
      <c r="D81" s="849">
        <f>+ISKOLANORMATÍVA!D43</f>
        <v>1248</v>
      </c>
      <c r="E81" s="415"/>
    </row>
    <row r="82" spans="1:9" s="418" customFormat="1" ht="13.5" thickBot="1">
      <c r="A82" s="833" t="s">
        <v>496</v>
      </c>
      <c r="B82" s="856"/>
      <c r="C82" s="417"/>
      <c r="D82" s="857">
        <f>+D8+D28+D36+D57+D73+D77+D79+D81</f>
        <v>143812</v>
      </c>
      <c r="E82" s="272"/>
      <c r="F82" s="272"/>
    </row>
    <row r="83" spans="1:9" s="418" customFormat="1" ht="21.6" customHeight="1">
      <c r="A83" s="834" t="s">
        <v>151</v>
      </c>
      <c r="B83" s="858"/>
      <c r="C83" s="420"/>
      <c r="D83" s="859"/>
      <c r="E83" s="272"/>
    </row>
    <row r="84" spans="1:9" ht="15" customHeight="1">
      <c r="A84" s="828" t="s">
        <v>497</v>
      </c>
      <c r="B84" s="840"/>
      <c r="C84" s="410"/>
      <c r="D84" s="841"/>
    </row>
    <row r="85" spans="1:9" s="418" customFormat="1" ht="15" customHeight="1">
      <c r="A85" s="822" t="s">
        <v>498</v>
      </c>
      <c r="B85" s="840">
        <f>+ISKOLANORMATÍVA!B46</f>
        <v>19</v>
      </c>
      <c r="C85" s="410"/>
      <c r="D85" s="841">
        <f>+ISKOLANORMATÍVA!D46</f>
        <v>133</v>
      </c>
      <c r="E85" s="272"/>
    </row>
    <row r="86" spans="1:9" s="418" customFormat="1" ht="15" customHeight="1">
      <c r="A86" s="822" t="s">
        <v>499</v>
      </c>
      <c r="B86" s="840"/>
      <c r="C86" s="410">
        <f>+ISKOLANORMATÍVA!B47</f>
        <v>19</v>
      </c>
      <c r="D86" s="841">
        <f>+ISKOLANORMATÍVA!D47</f>
        <v>67</v>
      </c>
      <c r="E86" s="272"/>
    </row>
    <row r="87" spans="1:9" s="418" customFormat="1" ht="15" customHeight="1">
      <c r="A87" s="835" t="s">
        <v>158</v>
      </c>
      <c r="B87" s="840"/>
      <c r="C87" s="410"/>
      <c r="D87" s="841"/>
      <c r="E87" s="272"/>
    </row>
    <row r="88" spans="1:9" s="418" customFormat="1" ht="15" customHeight="1">
      <c r="A88" s="822" t="s">
        <v>498</v>
      </c>
      <c r="B88" s="840">
        <f>+ISKOLANORMATÍVA!B49</f>
        <v>10</v>
      </c>
      <c r="C88" s="410"/>
      <c r="D88" s="841">
        <f>+ISKOLANORMATÍVA!D49</f>
        <v>173</v>
      </c>
      <c r="E88" s="272"/>
    </row>
    <row r="89" spans="1:9" s="418" customFormat="1" ht="15" customHeight="1">
      <c r="A89" s="822" t="s">
        <v>499</v>
      </c>
      <c r="B89" s="840"/>
      <c r="C89" s="410">
        <f>+ISKOLANORMATÍVA!B50</f>
        <v>11</v>
      </c>
      <c r="D89" s="841">
        <f>+ISKOLANORMATÍVA!D50</f>
        <v>95</v>
      </c>
      <c r="E89" s="272"/>
    </row>
    <row r="90" spans="1:9" s="418" customFormat="1" ht="15" customHeight="1">
      <c r="A90" s="835" t="s">
        <v>160</v>
      </c>
      <c r="B90" s="840"/>
      <c r="C90" s="410"/>
      <c r="D90" s="841"/>
      <c r="E90" s="272"/>
    </row>
    <row r="91" spans="1:9" s="418" customFormat="1" ht="15" customHeight="1">
      <c r="A91" s="822" t="s">
        <v>498</v>
      </c>
      <c r="B91" s="840">
        <v>2</v>
      </c>
      <c r="C91" s="410"/>
      <c r="D91" s="841">
        <f>+ÓVODAINORMATÍVA!H35</f>
        <v>86.666666666666714</v>
      </c>
      <c r="E91" s="272"/>
    </row>
    <row r="92" spans="1:9" s="418" customFormat="1" ht="15" customHeight="1">
      <c r="A92" s="822" t="s">
        <v>499</v>
      </c>
      <c r="B92" s="840"/>
      <c r="C92" s="410">
        <v>2</v>
      </c>
      <c r="D92" s="841">
        <f>+ÓVODAINORMATÍVA!H36</f>
        <v>43.333333333333357</v>
      </c>
      <c r="E92" s="272"/>
    </row>
    <row r="93" spans="1:9" ht="15" customHeight="1">
      <c r="A93" s="835" t="s">
        <v>500</v>
      </c>
      <c r="B93" s="842"/>
      <c r="C93" s="407"/>
      <c r="D93" s="843"/>
    </row>
    <row r="94" spans="1:9">
      <c r="A94" s="822" t="s">
        <v>501</v>
      </c>
      <c r="B94" s="842"/>
      <c r="C94" s="407"/>
      <c r="D94" s="843"/>
    </row>
    <row r="95" spans="1:9">
      <c r="A95" s="822" t="s">
        <v>498</v>
      </c>
      <c r="B95" s="842">
        <f>+ÓVODAINORMATÍVA!B79+ÓVODAINORMATÍVA!B80</f>
        <v>67</v>
      </c>
      <c r="C95" s="407"/>
      <c r="D95" s="843">
        <f>+ÓVODAINORMATÍVA!H38+ISKOLANORMATÍVA!D52</f>
        <v>4410</v>
      </c>
    </row>
    <row r="96" spans="1:9">
      <c r="A96" s="822" t="s">
        <v>499</v>
      </c>
      <c r="B96" s="842"/>
      <c r="C96" s="407">
        <f>+ÓVODAINORMATÍVA!B88+ÓVODAINORMATÍVA!B89</f>
        <v>63</v>
      </c>
      <c r="D96" s="843">
        <f>+ÓVODAINORMATÍVA!H39+ISKOLANORMATÍVA!D53</f>
        <v>2100</v>
      </c>
      <c r="E96" s="744"/>
      <c r="F96" s="723"/>
      <c r="G96" s="723"/>
      <c r="H96" s="723"/>
      <c r="I96" s="723"/>
    </row>
    <row r="97" spans="1:9">
      <c r="A97" s="822" t="s">
        <v>502</v>
      </c>
      <c r="B97" s="842"/>
      <c r="C97" s="407"/>
      <c r="D97" s="843"/>
      <c r="E97" s="47"/>
      <c r="F97" s="51"/>
      <c r="G97" s="51"/>
      <c r="H97" s="51"/>
      <c r="I97" s="51"/>
    </row>
    <row r="98" spans="1:9">
      <c r="A98" s="822" t="s">
        <v>498</v>
      </c>
      <c r="B98" s="842">
        <f>+'BEVÉTEL INT.TÁRSULÁSOK'!C3+'BEVÉTEL INT.TÁRSULÁSOK'!E3</f>
        <v>75</v>
      </c>
      <c r="C98" s="407"/>
      <c r="D98" s="843">
        <f>+'BEVÉTEL INT.TÁRSULÁSOK'!D3+'BEVÉTEL INT.TÁRSULÁSOK'!F3</f>
        <v>3500</v>
      </c>
      <c r="E98" s="47"/>
      <c r="F98" s="51"/>
      <c r="G98" s="51"/>
      <c r="H98" s="51"/>
      <c r="I98" s="51"/>
    </row>
    <row r="99" spans="1:9">
      <c r="A99" s="822" t="s">
        <v>499</v>
      </c>
      <c r="B99" s="842"/>
      <c r="C99" s="407">
        <f>+'BEVÉTEL INT.TÁRSULÁSOK'!C6+'BEVÉTEL INT.TÁRSULÁSOK'!E6</f>
        <v>72</v>
      </c>
      <c r="D99" s="843">
        <f>+'BEVÉTEL INT.TÁRSULÁSOK'!D6+'BEVÉTEL INT.TÁRSULÁSOK'!F6</f>
        <v>1680</v>
      </c>
      <c r="E99" s="47"/>
      <c r="F99" s="51"/>
      <c r="G99" s="51"/>
      <c r="H99" s="51"/>
      <c r="I99" s="51"/>
    </row>
    <row r="100" spans="1:9">
      <c r="A100" s="822" t="s">
        <v>503</v>
      </c>
      <c r="B100" s="842"/>
      <c r="C100" s="407"/>
      <c r="D100" s="843"/>
      <c r="E100" s="745"/>
      <c r="F100" s="725"/>
      <c r="G100" s="725"/>
      <c r="H100" s="725"/>
      <c r="I100" s="725"/>
    </row>
    <row r="101" spans="1:9">
      <c r="A101" s="822" t="s">
        <v>498</v>
      </c>
      <c r="B101" s="842">
        <f>+'BEVÉTEL INT.TÁRSULÁSOK'!C4+'BEVÉTEL INT.TÁRSULÁSOK'!E4</f>
        <v>87</v>
      </c>
      <c r="C101" s="407"/>
      <c r="D101" s="843">
        <f>+'BEVÉTEL INT.TÁRSULÁSOK'!D4+'BEVÉTEL INT.TÁRSULÁSOK'!F4</f>
        <v>4524</v>
      </c>
    </row>
    <row r="102" spans="1:9">
      <c r="A102" s="822" t="s">
        <v>499</v>
      </c>
      <c r="B102" s="842"/>
      <c r="C102" s="407">
        <f>+'BEVÉTEL INT.TÁRSULÁSOK'!C7+'BEVÉTEL INT.TÁRSULÁSOK'!E7</f>
        <v>93</v>
      </c>
      <c r="D102" s="843">
        <f>+'BEVÉTEL INT.TÁRSULÁSOK'!D7+'BEVÉTEL INT.TÁRSULÁSOK'!F7</f>
        <v>2790</v>
      </c>
    </row>
    <row r="103" spans="1:9" ht="26.45" customHeight="1">
      <c r="A103" s="836" t="s">
        <v>504</v>
      </c>
      <c r="B103" s="842"/>
      <c r="C103" s="407"/>
      <c r="D103" s="843"/>
    </row>
    <row r="104" spans="1:9">
      <c r="A104" s="822" t="s">
        <v>498</v>
      </c>
      <c r="B104" s="842">
        <f>+ÓVODAINORMATÍVA!E79+ÓVODAINORMATÍVA!E80</f>
        <v>58</v>
      </c>
      <c r="C104" s="407"/>
      <c r="D104" s="843">
        <f>+ÓVODAINORMATÍVA!H44+ISKOLANORMATÍVA!D55</f>
        <v>1911</v>
      </c>
    </row>
    <row r="105" spans="1:9">
      <c r="A105" s="822" t="s">
        <v>499</v>
      </c>
      <c r="B105" s="842"/>
      <c r="C105" s="407">
        <f>+C96</f>
        <v>63</v>
      </c>
      <c r="D105" s="843">
        <f>+ÓVODAINORMATÍVA!H45+ISKOLANORMATÍVA!D56</f>
        <v>1050</v>
      </c>
    </row>
    <row r="106" spans="1:9" ht="23.45" customHeight="1">
      <c r="A106" s="822" t="s">
        <v>505</v>
      </c>
      <c r="B106" s="842"/>
      <c r="C106" s="407"/>
      <c r="D106" s="843"/>
    </row>
    <row r="107" spans="1:9">
      <c r="A107" s="822" t="s">
        <v>498</v>
      </c>
      <c r="B107" s="842">
        <f>+B98</f>
        <v>75</v>
      </c>
      <c r="C107" s="407"/>
      <c r="D107" s="843">
        <f>+'BEVÉTEL INT.TÁRSULÁSOK'!G10</f>
        <v>1750</v>
      </c>
    </row>
    <row r="108" spans="1:9">
      <c r="A108" s="822" t="s">
        <v>499</v>
      </c>
      <c r="B108" s="842"/>
      <c r="C108" s="407">
        <f>+C99</f>
        <v>72</v>
      </c>
      <c r="D108" s="843">
        <f>+'BEVÉTEL INT.TÁRSULÁSOK'!G13</f>
        <v>840</v>
      </c>
    </row>
    <row r="109" spans="1:9" ht="27" customHeight="1">
      <c r="A109" s="822" t="s">
        <v>506</v>
      </c>
      <c r="B109" s="842"/>
      <c r="C109" s="407"/>
      <c r="D109" s="843"/>
    </row>
    <row r="110" spans="1:9">
      <c r="A110" s="822" t="s">
        <v>498</v>
      </c>
      <c r="B110" s="842">
        <f>+B101</f>
        <v>87</v>
      </c>
      <c r="C110" s="407"/>
      <c r="D110" s="843">
        <f>+'BEVÉTEL INT.TÁRSULÁSOK'!G11</f>
        <v>2262</v>
      </c>
    </row>
    <row r="111" spans="1:9">
      <c r="A111" s="823" t="s">
        <v>499</v>
      </c>
      <c r="B111" s="844"/>
      <c r="C111" s="408">
        <f>+C102</f>
        <v>93</v>
      </c>
      <c r="D111" s="845">
        <f>+'BEVÉTEL INT.TÁRSULÁSOK'!G14</f>
        <v>1395</v>
      </c>
    </row>
    <row r="112" spans="1:9">
      <c r="A112" s="830" t="s">
        <v>507</v>
      </c>
      <c r="B112" s="1060"/>
      <c r="C112" s="1061"/>
      <c r="D112" s="1210">
        <f>SUM(D95:D111)</f>
        <v>28212</v>
      </c>
      <c r="F112" s="266"/>
    </row>
    <row r="113" spans="1:9" ht="18.600000000000001" customHeight="1">
      <c r="A113" s="828" t="s">
        <v>153</v>
      </c>
      <c r="B113" s="840"/>
      <c r="C113" s="410"/>
      <c r="D113" s="841"/>
      <c r="I113" s="248" t="s">
        <v>204</v>
      </c>
    </row>
    <row r="114" spans="1:9">
      <c r="A114" s="822" t="s">
        <v>508</v>
      </c>
      <c r="B114" s="842"/>
      <c r="C114" s="407"/>
      <c r="D114" s="843"/>
    </row>
    <row r="115" spans="1:9">
      <c r="A115" s="822" t="s">
        <v>498</v>
      </c>
      <c r="B115" s="842">
        <f>+ÓVODAINORMATÍVA!H79+ÓVODAINORMATÍVA!H80+'BEVÉTEL INT.TÁRSULÁSOK'!E17</f>
        <v>58</v>
      </c>
      <c r="C115" s="407">
        <f>+ÓVODAINORMATÍVA!I50+ISKOLANORMATÍVA!E58+'BEVÉTEL INT.TÁRSULÁSOK'!H17</f>
        <v>0</v>
      </c>
      <c r="D115" s="850">
        <f>+ÓVODAINORMATÍVA!H50+ISKOLANORMATÍVA!D58+'BEVÉTEL INT.TÁRSULÁSOK'!G17</f>
        <v>2730</v>
      </c>
    </row>
    <row r="116" spans="1:9">
      <c r="A116" s="822" t="s">
        <v>499</v>
      </c>
      <c r="B116" s="842"/>
      <c r="C116" s="407">
        <f>+ÓVODAINORMATÍVA!H88+ÓVODAINORMATÍVA!H89+'BEVÉTEL INT.TÁRSULÁSOK'!E18</f>
        <v>58</v>
      </c>
      <c r="D116" s="843">
        <f>+ÓVODAINORMATÍVA!H51+ISKOLANORMATÍVA!D59+'BEVÉTEL INT.TÁRSULÁSOK'!G18</f>
        <v>1520</v>
      </c>
    </row>
    <row r="117" spans="1:9">
      <c r="A117" s="822" t="s">
        <v>509</v>
      </c>
      <c r="B117" s="842"/>
      <c r="C117" s="407"/>
      <c r="D117" s="843"/>
      <c r="F117" s="248">
        <f>31/12*4</f>
        <v>10.333333333333334</v>
      </c>
    </row>
    <row r="118" spans="1:9">
      <c r="A118" s="822" t="s">
        <v>498</v>
      </c>
      <c r="B118" s="842">
        <f>+ÓVODAINORMATÍVA!K79+ÓVODAINORMATÍVA!K80+'BEVÉTEL INT.TÁRSULÁSOK'!E20</f>
        <v>31</v>
      </c>
      <c r="C118" s="407"/>
      <c r="D118" s="843">
        <f>+ÓVODAINORMATÍVA!H53+ISKOLANORMATÍVA!D61+'BEVÉTEL INT.TÁRSULÁSOK'!G20</f>
        <v>220</v>
      </c>
    </row>
    <row r="119" spans="1:9">
      <c r="A119" s="823" t="s">
        <v>499</v>
      </c>
      <c r="B119" s="844"/>
      <c r="C119" s="408">
        <f>+ÓVODAINORMATÍVA!K88+ÓVODAINORMATÍVA!K89+'BEVÉTEL INT.TÁRSULÁSOK'!E21</f>
        <v>31</v>
      </c>
      <c r="D119" s="845">
        <f>+ÓVODAINORMATÍVA!H54+ISKOLANORMATÍVA!D62+'BEVÉTEL INT.TÁRSULÁSOK'!G21</f>
        <v>120</v>
      </c>
    </row>
    <row r="120" spans="1:9">
      <c r="A120" s="1209" t="s">
        <v>510</v>
      </c>
      <c r="B120" s="1060"/>
      <c r="C120" s="1061"/>
      <c r="D120" s="1210">
        <f>SUM(D115:D119)</f>
        <v>4590</v>
      </c>
    </row>
    <row r="121" spans="1:9" ht="21" customHeight="1">
      <c r="A121" s="828" t="s">
        <v>154</v>
      </c>
      <c r="B121" s="840"/>
      <c r="C121" s="410"/>
      <c r="D121" s="841"/>
      <c r="G121" s="248" t="s">
        <v>244</v>
      </c>
      <c r="H121" s="248" t="s">
        <v>511</v>
      </c>
    </row>
    <row r="122" spans="1:9">
      <c r="A122" s="822" t="s">
        <v>512</v>
      </c>
      <c r="B122" s="842">
        <f>+ÓVODAINORMATÍVA!P81</f>
        <v>231</v>
      </c>
      <c r="C122" s="407"/>
      <c r="D122" s="843">
        <f>+ÓVODAINORMATÍVA!H41+'BEVÉTEL INT.TÁRSULÁSOK'!D23+'BEVÉTEL INT.TÁRSULÁSOK'!F23</f>
        <v>19670</v>
      </c>
      <c r="E122" s="266">
        <f>+I122-D122</f>
        <v>0</v>
      </c>
      <c r="G122" s="248">
        <v>3430</v>
      </c>
      <c r="H122" s="248">
        <v>16240</v>
      </c>
      <c r="I122" s="248">
        <f>SUM(G122:H122)</f>
        <v>19670</v>
      </c>
    </row>
    <row r="123" spans="1:9">
      <c r="A123" s="823" t="s">
        <v>513</v>
      </c>
      <c r="B123" s="844"/>
      <c r="C123" s="408">
        <f>+ÓVODAINORMATÍVA!P90</f>
        <v>120</v>
      </c>
      <c r="D123" s="845">
        <f>+ÓVODAINORMATÍVA!H42+'BEVÉTEL INT.TÁRSULÁSOK'!D24+'BEVÉTEL INT.TÁRSULÁSOK'!F24</f>
        <v>13140</v>
      </c>
      <c r="E123" s="266">
        <f>13140-D123</f>
        <v>0</v>
      </c>
      <c r="G123" s="248">
        <v>2340</v>
      </c>
      <c r="H123" s="248">
        <v>10800</v>
      </c>
      <c r="I123" s="248">
        <f>SUM(G123:H123)</f>
        <v>13140</v>
      </c>
    </row>
    <row r="124" spans="1:9">
      <c r="A124" s="830" t="s">
        <v>514</v>
      </c>
      <c r="B124" s="1060"/>
      <c r="C124" s="1061"/>
      <c r="D124" s="1210">
        <f>SUM(D122:D123)</f>
        <v>32810</v>
      </c>
      <c r="G124" s="248">
        <f>SUM(G122:G123)</f>
        <v>5770</v>
      </c>
      <c r="H124" s="248">
        <f>SUM(H122:H123)</f>
        <v>27040</v>
      </c>
      <c r="I124" s="248">
        <f>SUM(G124:H124)</f>
        <v>32810</v>
      </c>
    </row>
    <row r="125" spans="1:9" ht="20.45" customHeight="1">
      <c r="A125" s="828" t="s">
        <v>155</v>
      </c>
      <c r="B125" s="840"/>
      <c r="C125" s="410"/>
      <c r="D125" s="841"/>
    </row>
    <row r="126" spans="1:9">
      <c r="A126" s="822" t="s">
        <v>512</v>
      </c>
      <c r="B126" s="842">
        <f>+ÓVODAINORMATÍVA!N79+'BEVÉTEL INT.TÁRSULÁSOK'!C23+'BEVÉTEL INT.TÁRSULÁSOK'!E23</f>
        <v>422</v>
      </c>
      <c r="C126" s="407"/>
      <c r="D126" s="843">
        <f>+ÓVODAINORMATÍVA!H47+'BEVÉTEL INT.TÁRSULÁSOK'!D26+'BEVÉTEL INT.TÁRSULÁSOK'!F26</f>
        <v>1320</v>
      </c>
      <c r="F126" s="266"/>
    </row>
    <row r="127" spans="1:9">
      <c r="A127" s="823" t="s">
        <v>513</v>
      </c>
      <c r="B127" s="844"/>
      <c r="C127" s="408">
        <f>+ÓVODAINORMATÍVA!R79+'BEVÉTEL INT.TÁRSULÁSOK'!C27+'BEVÉTEL INT.TÁRSULÁSOK'!E27</f>
        <v>122</v>
      </c>
      <c r="D127" s="845">
        <f>+ÓVODAINORMATÍVA!H48+'BEVÉTEL INT.TÁRSULÁSOK'!D27+'BEVÉTEL INT.TÁRSULÁSOK'!F27</f>
        <v>882</v>
      </c>
    </row>
    <row r="128" spans="1:9">
      <c r="A128" s="1209" t="s">
        <v>515</v>
      </c>
      <c r="B128" s="1060"/>
      <c r="C128" s="1061"/>
      <c r="D128" s="1210">
        <f>SUM(D126:D127)</f>
        <v>2202</v>
      </c>
    </row>
    <row r="129" spans="1:6" ht="21.6" customHeight="1">
      <c r="A129" s="828" t="s">
        <v>156</v>
      </c>
      <c r="B129" s="840"/>
      <c r="C129" s="410"/>
      <c r="D129" s="841"/>
    </row>
    <row r="130" spans="1:6">
      <c r="A130" s="822" t="s">
        <v>516</v>
      </c>
      <c r="B130" s="842"/>
      <c r="C130" s="407"/>
      <c r="D130" s="843"/>
    </row>
    <row r="131" spans="1:6">
      <c r="A131" s="822" t="s">
        <v>517</v>
      </c>
      <c r="B131" s="842">
        <f>+SZAKFELADATOS!B12</f>
        <v>71.199999999999989</v>
      </c>
      <c r="C131" s="407"/>
      <c r="D131" s="860">
        <f>+SZAKFELADATOS!C12</f>
        <v>1566.4099999999999</v>
      </c>
    </row>
    <row r="132" spans="1:6">
      <c r="A132" s="822" t="s">
        <v>518</v>
      </c>
      <c r="B132" s="842"/>
      <c r="C132" s="407">
        <f>+SZAKFELADATOS!D12</f>
        <v>38.4</v>
      </c>
      <c r="D132" s="860">
        <f>+SZAKFELADATOS!E12</f>
        <v>1074.8</v>
      </c>
    </row>
    <row r="133" spans="1:6">
      <c r="A133" s="822" t="s">
        <v>519</v>
      </c>
      <c r="B133" s="842"/>
      <c r="C133" s="407"/>
      <c r="D133" s="860"/>
    </row>
    <row r="134" spans="1:6">
      <c r="A134" s="822" t="s">
        <v>517</v>
      </c>
      <c r="B134" s="842">
        <f>+SZAKFELADATOS!L12</f>
        <v>12.7</v>
      </c>
      <c r="C134" s="407"/>
      <c r="D134" s="860">
        <f>+SZAKFELADATOS!M12</f>
        <v>279.39999999999998</v>
      </c>
    </row>
    <row r="135" spans="1:6">
      <c r="A135" s="822" t="s">
        <v>518</v>
      </c>
      <c r="B135" s="842"/>
      <c r="C135" s="407">
        <f>+SZAKFELADATOS!N12</f>
        <v>6.3</v>
      </c>
      <c r="D135" s="860">
        <f>+SZAKFELADATOS!O12</f>
        <v>176.4</v>
      </c>
    </row>
    <row r="136" spans="1:6">
      <c r="A136" s="822" t="s">
        <v>520</v>
      </c>
      <c r="B136" s="842"/>
      <c r="C136" s="407"/>
      <c r="D136" s="860"/>
    </row>
    <row r="137" spans="1:6">
      <c r="A137" s="822" t="s">
        <v>517</v>
      </c>
      <c r="B137" s="842">
        <f>+SZAKFELADATOS!G12</f>
        <v>38</v>
      </c>
      <c r="C137" s="407"/>
      <c r="D137" s="860">
        <f>+SZAKFELADATOS!H12</f>
        <v>836</v>
      </c>
    </row>
    <row r="138" spans="1:6">
      <c r="A138" s="823" t="s">
        <v>518</v>
      </c>
      <c r="B138" s="844"/>
      <c r="C138" s="408">
        <f>+SZAKFELADATOS!I12</f>
        <v>19.600000000000001</v>
      </c>
      <c r="D138" s="861">
        <f>+SZAKFELADATOS!J12</f>
        <v>548.79999999999995</v>
      </c>
    </row>
    <row r="139" spans="1:6">
      <c r="A139" s="1209" t="s">
        <v>521</v>
      </c>
      <c r="B139" s="1060"/>
      <c r="C139" s="1061"/>
      <c r="D139" s="862">
        <f>SUM(D131:D138)</f>
        <v>4481.8100000000004</v>
      </c>
    </row>
    <row r="140" spans="1:6" s="418" customFormat="1">
      <c r="A140" s="837" t="s">
        <v>522</v>
      </c>
      <c r="B140" s="863"/>
      <c r="C140" s="419"/>
      <c r="D140" s="864">
        <f>+SUM(D85:D92)+D112+D120+D124+D128+D139</f>
        <v>72893.81</v>
      </c>
      <c r="E140" s="272"/>
      <c r="F140" s="418">
        <v>72895</v>
      </c>
    </row>
    <row r="141" spans="1:6" s="418" customFormat="1" ht="13.5" thickBot="1">
      <c r="A141" s="834"/>
      <c r="B141" s="858"/>
      <c r="C141" s="420"/>
      <c r="D141" s="859"/>
      <c r="E141" s="272"/>
      <c r="F141" s="272"/>
    </row>
    <row r="142" spans="1:6" ht="13.5" thickBot="1">
      <c r="A142" s="833" t="s">
        <v>523</v>
      </c>
      <c r="B142" s="856"/>
      <c r="C142" s="417"/>
      <c r="D142" s="865">
        <f>+D140+D82</f>
        <v>216705.81</v>
      </c>
    </row>
    <row r="147" spans="2:7">
      <c r="B147" s="421"/>
      <c r="C147" s="421"/>
      <c r="D147" s="421"/>
    </row>
    <row r="151" spans="2:7">
      <c r="E151" s="304"/>
      <c r="F151" s="304"/>
      <c r="G151" s="266"/>
    </row>
    <row r="152" spans="2:7">
      <c r="E152" s="304"/>
      <c r="F152" s="304"/>
      <c r="G152" s="266"/>
    </row>
    <row r="153" spans="2:7">
      <c r="E153" s="304"/>
      <c r="F153" s="304"/>
      <c r="G153" s="266"/>
    </row>
    <row r="154" spans="2:7">
      <c r="E154" s="304"/>
      <c r="F154" s="304"/>
      <c r="G154" s="266"/>
    </row>
    <row r="155" spans="2:7">
      <c r="E155" s="304"/>
      <c r="F155" s="304"/>
      <c r="G155" s="266"/>
    </row>
    <row r="156" spans="2:7">
      <c r="E156" s="304"/>
      <c r="F156" s="304"/>
      <c r="G156" s="266"/>
    </row>
    <row r="157" spans="2:7">
      <c r="E157" s="304"/>
      <c r="F157" s="304"/>
      <c r="G157" s="266"/>
    </row>
    <row r="158" spans="2:7">
      <c r="E158" s="304"/>
      <c r="F158" s="304"/>
      <c r="G158" s="266"/>
    </row>
  </sheetData>
  <mergeCells count="2">
    <mergeCell ref="B2:C2"/>
    <mergeCell ref="B1:D1"/>
  </mergeCells>
  <phoneticPr fontId="25" type="noConversion"/>
  <printOptions horizontalCentered="1"/>
  <pageMargins left="0.78740157480314965" right="0.78740157480314965" top="1.37" bottom="0.27559055118110237" header="0.51181102362204722" footer="0.43307086614173229"/>
  <pageSetup paperSize="8" scale="86" orientation="portrait" r:id="rId1"/>
  <headerFooter alignWithMargins="0">
    <oddHeader xml:space="preserve">&amp;L&amp;"Times New Roman,Normál"Szent László Völgye 
Kistérségi Szolgáltató Iroda&amp;C&amp;"Times New Roman,Félkövér"&amp;12 
2011. ÉVI NORMATÍVA&amp;"Arial,Félkövér"&amp;14
&amp;R&amp;"Times New Roman,Normál"10 sz. melléklet
&amp;"Times New Roman,Félkövér"&amp;A&amp;"Times New Roman,Normál"
</oddHeader>
    <oddFooter>&amp;L&amp;F&amp;C&amp;D</oddFooter>
  </headerFooter>
  <rowBreaks count="1" manualBreakCount="1">
    <brk id="82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Y100"/>
  <sheetViews>
    <sheetView topLeftCell="A53" zoomScale="76" zoomScaleNormal="76" zoomScaleSheetLayoutView="85" workbookViewId="0">
      <selection activeCell="A19" sqref="A19"/>
    </sheetView>
  </sheetViews>
  <sheetFormatPr defaultColWidth="8.85546875" defaultRowHeight="12.75"/>
  <cols>
    <col min="1" max="1" width="33.42578125" style="248" customWidth="1"/>
    <col min="2" max="2" width="15.28515625" style="252" customWidth="1"/>
    <col min="3" max="5" width="12.85546875" style="266" customWidth="1"/>
    <col min="6" max="6" width="12.85546875" style="426" customWidth="1"/>
    <col min="7" max="7" width="12.85546875" style="248" customWidth="1"/>
    <col min="8" max="8" width="13.42578125" style="248" customWidth="1"/>
    <col min="9" max="10" width="11.5703125" style="248" customWidth="1"/>
    <col min="11" max="13" width="10.5703125" style="427" customWidth="1"/>
    <col min="14" max="14" width="14.7109375" style="266" customWidth="1"/>
    <col min="15" max="15" width="13.28515625" style="266" customWidth="1"/>
    <col min="16" max="16" width="10.140625" style="248" bestFit="1" customWidth="1"/>
    <col min="17" max="17" width="3.5703125" style="248" customWidth="1"/>
    <col min="18" max="18" width="11.140625" style="248" bestFit="1" customWidth="1"/>
    <col min="19" max="19" width="10" style="248" bestFit="1" customWidth="1"/>
    <col min="20" max="20" width="8.85546875" style="248" customWidth="1"/>
    <col min="21" max="21" width="10.7109375" style="248" customWidth="1"/>
    <col min="22" max="16384" width="8.85546875" style="248"/>
  </cols>
  <sheetData>
    <row r="1" spans="1:24" ht="33.75">
      <c r="A1" s="42" t="s">
        <v>525</v>
      </c>
      <c r="B1" s="345"/>
      <c r="C1" s="50">
        <v>2350000</v>
      </c>
      <c r="D1" s="50"/>
      <c r="H1" s="424" t="s">
        <v>526</v>
      </c>
      <c r="I1" s="424"/>
      <c r="J1" s="424"/>
      <c r="K1" s="425" t="s">
        <v>321</v>
      </c>
      <c r="L1" s="425"/>
      <c r="M1" s="425"/>
      <c r="N1" s="423" t="s">
        <v>322</v>
      </c>
      <c r="O1" s="423" t="s">
        <v>321</v>
      </c>
      <c r="X1" s="266"/>
    </row>
    <row r="2" spans="1:24">
      <c r="A2" s="42" t="s">
        <v>527</v>
      </c>
      <c r="B2" s="345"/>
      <c r="C2" s="50"/>
      <c r="D2" s="50"/>
      <c r="E2" s="266">
        <v>397</v>
      </c>
      <c r="F2" s="266">
        <v>20</v>
      </c>
      <c r="G2" s="426">
        <v>1.62</v>
      </c>
      <c r="H2" s="248">
        <f>+E2/F2*G2</f>
        <v>32.157000000000004</v>
      </c>
      <c r="K2" s="427">
        <v>32.200000000000003</v>
      </c>
      <c r="N2" s="266">
        <f>+(K2*$C$1)/12*8</f>
        <v>50446666.666666664</v>
      </c>
      <c r="O2" s="266">
        <v>50447</v>
      </c>
      <c r="P2" s="266"/>
      <c r="Q2" s="266"/>
      <c r="R2" s="266"/>
    </row>
    <row r="3" spans="1:24" s="416" customFormat="1">
      <c r="A3" s="42" t="s">
        <v>528</v>
      </c>
      <c r="B3" s="345"/>
      <c r="C3" s="50"/>
      <c r="D3" s="50"/>
      <c r="E3" s="266">
        <v>410</v>
      </c>
      <c r="F3" s="266">
        <v>20</v>
      </c>
      <c r="G3" s="426">
        <v>1.62</v>
      </c>
      <c r="H3" s="248">
        <f>+E3/F3*G3</f>
        <v>33.21</v>
      </c>
      <c r="I3" s="248"/>
      <c r="J3" s="248"/>
      <c r="K3" s="427">
        <v>33.200000000000003</v>
      </c>
      <c r="L3" s="427"/>
      <c r="M3" s="427"/>
      <c r="N3" s="266">
        <f>+(K3*$C$1)/12*4</f>
        <v>26006666.666666668</v>
      </c>
      <c r="O3" s="415">
        <v>26007</v>
      </c>
      <c r="P3" s="415"/>
      <c r="Q3" s="415"/>
      <c r="R3" s="415"/>
    </row>
    <row r="4" spans="1:24" s="416" customFormat="1">
      <c r="A4" s="512"/>
      <c r="B4" s="346"/>
      <c r="C4" s="474"/>
      <c r="D4" s="474"/>
      <c r="G4" s="429"/>
      <c r="K4" s="430"/>
      <c r="L4" s="430"/>
      <c r="M4" s="430"/>
      <c r="N4" s="415">
        <f>SUM(N2:N3)</f>
        <v>76453333.333333328</v>
      </c>
      <c r="O4" s="415">
        <f>SUM(O2:O3)</f>
        <v>76454</v>
      </c>
      <c r="R4" s="415"/>
    </row>
    <row r="5" spans="1:24" s="416" customFormat="1">
      <c r="A5" s="431" t="s">
        <v>529</v>
      </c>
      <c r="B5" s="432"/>
      <c r="C5" s="415"/>
      <c r="D5" s="415"/>
      <c r="G5" s="429"/>
      <c r="K5" s="430"/>
      <c r="L5" s="430"/>
      <c r="M5" s="430"/>
      <c r="N5" s="415"/>
      <c r="O5" s="415"/>
    </row>
    <row r="6" spans="1:24" s="416" customFormat="1">
      <c r="A6" s="416" t="s">
        <v>530</v>
      </c>
      <c r="B6" s="428"/>
      <c r="C6" s="415"/>
      <c r="D6" s="415"/>
      <c r="E6" s="416">
        <v>49</v>
      </c>
      <c r="F6" s="416">
        <v>20</v>
      </c>
      <c r="G6" s="429">
        <v>1.62</v>
      </c>
      <c r="H6" s="416">
        <f t="shared" ref="H6:H11" si="0">+E6/F6*G6</f>
        <v>3.9690000000000007</v>
      </c>
      <c r="K6" s="430">
        <v>4</v>
      </c>
      <c r="L6" s="430"/>
      <c r="M6" s="430"/>
      <c r="N6" s="415">
        <f>+(K6*$C$1)/12*8</f>
        <v>6266666.666666667</v>
      </c>
      <c r="O6" s="415">
        <v>6267</v>
      </c>
    </row>
    <row r="7" spans="1:24" s="416" customFormat="1">
      <c r="A7" s="416" t="s">
        <v>531</v>
      </c>
      <c r="B7" s="428"/>
      <c r="C7" s="415"/>
      <c r="D7" s="415"/>
      <c r="E7" s="416">
        <v>100</v>
      </c>
      <c r="F7" s="416">
        <v>20</v>
      </c>
      <c r="G7" s="429">
        <v>1.62</v>
      </c>
      <c r="H7" s="416">
        <f t="shared" si="0"/>
        <v>8.1000000000000014</v>
      </c>
      <c r="K7" s="430">
        <v>8.1</v>
      </c>
      <c r="L7" s="430"/>
      <c r="M7" s="430"/>
      <c r="N7" s="415">
        <f>+(K7*$C$1)/12*8</f>
        <v>12690000</v>
      </c>
      <c r="O7" s="415">
        <v>12690</v>
      </c>
    </row>
    <row r="8" spans="1:24" s="416" customFormat="1">
      <c r="A8" s="416" t="s">
        <v>532</v>
      </c>
      <c r="B8" s="428"/>
      <c r="C8" s="415"/>
      <c r="D8" s="415"/>
      <c r="E8" s="416">
        <v>45</v>
      </c>
      <c r="F8" s="416">
        <v>20</v>
      </c>
      <c r="G8" s="429">
        <v>1.62</v>
      </c>
      <c r="H8" s="416">
        <f t="shared" si="0"/>
        <v>3.6450000000000005</v>
      </c>
      <c r="K8" s="430">
        <v>3.7</v>
      </c>
      <c r="L8" s="430"/>
      <c r="M8" s="430"/>
      <c r="N8" s="415">
        <f>+(K8*$C$1)/12*8</f>
        <v>5796666.666666667</v>
      </c>
      <c r="O8" s="415">
        <v>5796</v>
      </c>
    </row>
    <row r="9" spans="1:24" s="416" customFormat="1">
      <c r="A9" s="416" t="s">
        <v>533</v>
      </c>
      <c r="B9" s="428"/>
      <c r="C9" s="415"/>
      <c r="D9" s="415"/>
      <c r="E9" s="416">
        <v>124</v>
      </c>
      <c r="F9" s="416">
        <v>20</v>
      </c>
      <c r="G9" s="429">
        <v>1.62</v>
      </c>
      <c r="H9" s="416">
        <f t="shared" si="0"/>
        <v>10.044</v>
      </c>
      <c r="K9" s="430">
        <v>10</v>
      </c>
      <c r="L9" s="430"/>
      <c r="M9" s="430"/>
      <c r="N9" s="415">
        <f>+(K9*$C$1)/12*8</f>
        <v>15666666.666666666</v>
      </c>
      <c r="O9" s="415">
        <v>15667</v>
      </c>
    </row>
    <row r="10" spans="1:24" s="416" customFormat="1">
      <c r="A10" s="416" t="s">
        <v>534</v>
      </c>
      <c r="B10" s="428"/>
      <c r="C10" s="415"/>
      <c r="D10" s="415"/>
      <c r="E10" s="416">
        <v>79</v>
      </c>
      <c r="F10" s="416">
        <v>20</v>
      </c>
      <c r="G10" s="429">
        <v>1.62</v>
      </c>
      <c r="H10" s="416">
        <f t="shared" si="0"/>
        <v>6.3990000000000009</v>
      </c>
      <c r="K10" s="430">
        <v>6.4</v>
      </c>
      <c r="L10" s="430"/>
      <c r="M10" s="430"/>
      <c r="N10" s="415">
        <f>+(K10*$C$1)/12*8</f>
        <v>10026666.666666666</v>
      </c>
      <c r="O10" s="415">
        <v>10027</v>
      </c>
    </row>
    <row r="11" spans="1:24" s="416" customFormat="1">
      <c r="B11" s="428"/>
      <c r="C11" s="415"/>
      <c r="D11" s="415"/>
      <c r="E11" s="416">
        <f>SUM(E6:E10)</f>
        <v>397</v>
      </c>
      <c r="F11" s="416">
        <v>20</v>
      </c>
      <c r="G11" s="429">
        <v>1.62</v>
      </c>
      <c r="H11" s="416">
        <f t="shared" si="0"/>
        <v>32.157000000000004</v>
      </c>
      <c r="K11" s="430">
        <v>32.200000000000003</v>
      </c>
      <c r="L11" s="430"/>
      <c r="M11" s="430"/>
      <c r="N11" s="415">
        <f>+C1*K11/12*8</f>
        <v>50446666.666666664</v>
      </c>
      <c r="O11" s="415">
        <f>SUM(O6:O10)</f>
        <v>50447</v>
      </c>
      <c r="P11" s="415"/>
    </row>
    <row r="12" spans="1:24" s="416" customFormat="1">
      <c r="A12" s="431" t="s">
        <v>535</v>
      </c>
      <c r="B12" s="432"/>
      <c r="C12" s="415"/>
      <c r="D12" s="415"/>
      <c r="G12" s="429"/>
      <c r="K12" s="430"/>
      <c r="L12" s="430"/>
      <c r="M12" s="430"/>
      <c r="N12" s="415"/>
      <c r="O12" s="415"/>
    </row>
    <row r="13" spans="1:24" s="416" customFormat="1">
      <c r="A13" s="416" t="s">
        <v>530</v>
      </c>
      <c r="B13" s="428"/>
      <c r="C13" s="415"/>
      <c r="D13" s="415"/>
      <c r="E13" s="416">
        <v>50</v>
      </c>
      <c r="F13" s="416">
        <v>20</v>
      </c>
      <c r="G13" s="429">
        <v>1.62</v>
      </c>
      <c r="H13" s="416">
        <f t="shared" ref="H13:H18" si="1">+E13/F13*G13</f>
        <v>4.0500000000000007</v>
      </c>
      <c r="K13" s="430">
        <v>4.0999999999999996</v>
      </c>
      <c r="L13" s="430"/>
      <c r="M13" s="430"/>
      <c r="N13" s="415">
        <f>+(K13*$C$1)/12*4</f>
        <v>3211666.6666666665</v>
      </c>
      <c r="O13" s="415">
        <v>3212</v>
      </c>
    </row>
    <row r="14" spans="1:24" s="416" customFormat="1">
      <c r="A14" s="416" t="s">
        <v>531</v>
      </c>
      <c r="B14" s="428"/>
      <c r="C14" s="415"/>
      <c r="D14" s="415"/>
      <c r="E14" s="416">
        <v>105</v>
      </c>
      <c r="F14" s="416">
        <v>20</v>
      </c>
      <c r="G14" s="429">
        <v>1.62</v>
      </c>
      <c r="H14" s="416">
        <f t="shared" si="1"/>
        <v>8.5050000000000008</v>
      </c>
      <c r="K14" s="430">
        <v>8.5</v>
      </c>
      <c r="L14" s="430"/>
      <c r="M14" s="430"/>
      <c r="N14" s="415">
        <f>+(K14*$C$1)/12*4</f>
        <v>6658333.333333333</v>
      </c>
      <c r="O14" s="415">
        <v>6658</v>
      </c>
    </row>
    <row r="15" spans="1:24" s="416" customFormat="1">
      <c r="A15" s="416" t="s">
        <v>532</v>
      </c>
      <c r="B15" s="428"/>
      <c r="C15" s="415"/>
      <c r="D15" s="415"/>
      <c r="E15" s="416">
        <v>50</v>
      </c>
      <c r="F15" s="416">
        <v>20</v>
      </c>
      <c r="G15" s="429">
        <v>1.62</v>
      </c>
      <c r="H15" s="416">
        <f t="shared" si="1"/>
        <v>4.0500000000000007</v>
      </c>
      <c r="K15" s="430">
        <v>4</v>
      </c>
      <c r="L15" s="430"/>
      <c r="M15" s="430"/>
      <c r="N15" s="415">
        <f>+(K15*$C$1)/12*4</f>
        <v>3133333.3333333335</v>
      </c>
      <c r="O15" s="415">
        <v>3133</v>
      </c>
      <c r="S15" s="416">
        <f>127133870+46304167+34253640</f>
        <v>207691677</v>
      </c>
    </row>
    <row r="16" spans="1:24" s="416" customFormat="1">
      <c r="A16" s="416" t="s">
        <v>533</v>
      </c>
      <c r="B16" s="428"/>
      <c r="C16" s="415"/>
      <c r="D16" s="415"/>
      <c r="E16" s="416">
        <v>125</v>
      </c>
      <c r="F16" s="416">
        <v>20</v>
      </c>
      <c r="G16" s="429">
        <v>1.62</v>
      </c>
      <c r="H16" s="416">
        <f t="shared" si="1"/>
        <v>10.125</v>
      </c>
      <c r="K16" s="430">
        <v>10.1</v>
      </c>
      <c r="L16" s="430"/>
      <c r="M16" s="430"/>
      <c r="N16" s="415">
        <f>+(K16*$C$1)/12*4</f>
        <v>7911666.666666667</v>
      </c>
      <c r="O16" s="415">
        <v>7912</v>
      </c>
      <c r="S16" s="416">
        <v>211956176</v>
      </c>
    </row>
    <row r="17" spans="1:21" s="416" customFormat="1">
      <c r="A17" s="416" t="s">
        <v>534</v>
      </c>
      <c r="B17" s="428"/>
      <c r="C17" s="415"/>
      <c r="D17" s="415"/>
      <c r="E17" s="416">
        <v>80</v>
      </c>
      <c r="F17" s="416">
        <v>20</v>
      </c>
      <c r="G17" s="429">
        <v>1.62</v>
      </c>
      <c r="H17" s="416">
        <f t="shared" si="1"/>
        <v>6.48</v>
      </c>
      <c r="K17" s="430">
        <v>6.5</v>
      </c>
      <c r="L17" s="430"/>
      <c r="M17" s="430"/>
      <c r="N17" s="415">
        <f>+(K17*$C$1)/12*4</f>
        <v>5091666.666666667</v>
      </c>
      <c r="O17" s="415">
        <v>5092</v>
      </c>
      <c r="S17" s="416">
        <f>+S16-S15</f>
        <v>4264499</v>
      </c>
      <c r="U17" s="416">
        <f>7018+3586</f>
        <v>10604</v>
      </c>
    </row>
    <row r="18" spans="1:21" s="416" customFormat="1">
      <c r="B18" s="428"/>
      <c r="C18" s="415"/>
      <c r="D18" s="415"/>
      <c r="E18" s="416">
        <f>SUM(E13:E17)</f>
        <v>410</v>
      </c>
      <c r="F18" s="416">
        <v>20</v>
      </c>
      <c r="G18" s="429">
        <v>1.62</v>
      </c>
      <c r="H18" s="416">
        <f t="shared" si="1"/>
        <v>33.21</v>
      </c>
      <c r="K18" s="430">
        <v>33.200000000000003</v>
      </c>
      <c r="L18" s="430"/>
      <c r="M18" s="430"/>
      <c r="N18" s="415">
        <f>SUM(N13:N17)</f>
        <v>26006666.666666668</v>
      </c>
      <c r="O18" s="415">
        <f>SUM(O13:O17)</f>
        <v>26007</v>
      </c>
    </row>
    <row r="19" spans="1:21" s="416" customFormat="1">
      <c r="B19" s="428"/>
      <c r="C19" s="415"/>
      <c r="D19" s="415"/>
      <c r="G19" s="429"/>
      <c r="K19" s="430"/>
      <c r="L19" s="430"/>
      <c r="M19" s="430"/>
      <c r="N19" s="415"/>
      <c r="O19" s="415"/>
    </row>
    <row r="20" spans="1:21" s="416" customFormat="1" ht="10.15" customHeight="1" thickBot="1">
      <c r="B20" s="428"/>
      <c r="C20" s="415"/>
      <c r="D20" s="415"/>
      <c r="G20" s="429"/>
      <c r="K20" s="430"/>
      <c r="L20" s="430"/>
      <c r="M20" s="430"/>
      <c r="N20" s="415"/>
      <c r="O20" s="415"/>
    </row>
    <row r="21" spans="1:21" s="931" customFormat="1" ht="17.45" customHeight="1" thickBot="1">
      <c r="A21" s="927"/>
      <c r="B21" s="928" t="s">
        <v>536</v>
      </c>
      <c r="C21" s="433" t="s">
        <v>530</v>
      </c>
      <c r="D21" s="434" t="s">
        <v>531</v>
      </c>
      <c r="E21" s="433" t="s">
        <v>532</v>
      </c>
      <c r="F21" s="433" t="s">
        <v>533</v>
      </c>
      <c r="G21" s="433" t="s">
        <v>534</v>
      </c>
      <c r="H21" s="435" t="s">
        <v>537</v>
      </c>
      <c r="I21" s="436"/>
      <c r="J21" s="436"/>
      <c r="K21" s="929"/>
      <c r="L21" s="929"/>
      <c r="M21" s="929"/>
      <c r="N21" s="930"/>
      <c r="O21" s="930"/>
    </row>
    <row r="22" spans="1:21" ht="13.9" customHeight="1">
      <c r="A22" s="437" t="s">
        <v>529</v>
      </c>
      <c r="B22" s="438">
        <v>2350000</v>
      </c>
      <c r="C22" s="439">
        <f>+O6</f>
        <v>6267</v>
      </c>
      <c r="D22" s="439">
        <f>+O7</f>
        <v>12690</v>
      </c>
      <c r="E22" s="439">
        <f>+O8</f>
        <v>5796</v>
      </c>
      <c r="F22" s="439">
        <f>+O9</f>
        <v>15667</v>
      </c>
      <c r="G22" s="439">
        <f>+O10</f>
        <v>10027</v>
      </c>
      <c r="H22" s="44">
        <f>SUM(C22:G22)</f>
        <v>50447</v>
      </c>
      <c r="I22" s="50"/>
      <c r="J22" s="50"/>
    </row>
    <row r="23" spans="1:21" ht="13.9" customHeight="1">
      <c r="A23" s="440" t="s">
        <v>535</v>
      </c>
      <c r="B23" s="441">
        <v>2350000</v>
      </c>
      <c r="C23" s="442">
        <f>+O13</f>
        <v>3212</v>
      </c>
      <c r="D23" s="442">
        <f>+O14</f>
        <v>6658</v>
      </c>
      <c r="E23" s="442">
        <f>+O15</f>
        <v>3133</v>
      </c>
      <c r="F23" s="442">
        <f>+O16</f>
        <v>7912</v>
      </c>
      <c r="G23" s="442">
        <f>+O17</f>
        <v>5092</v>
      </c>
      <c r="H23" s="443">
        <f>SUM(C23:G23)</f>
        <v>26007</v>
      </c>
      <c r="I23" s="50"/>
      <c r="J23" s="50"/>
    </row>
    <row r="24" spans="1:21" ht="13.9" customHeight="1">
      <c r="A24" s="444" t="s">
        <v>538</v>
      </c>
      <c r="B24" s="445"/>
      <c r="C24" s="446">
        <f>SUM(C22:C23)</f>
        <v>9479</v>
      </c>
      <c r="D24" s="446">
        <f>SUM(D22:D23)</f>
        <v>19348</v>
      </c>
      <c r="E24" s="446">
        <f>SUM(E22:E23)</f>
        <v>8929</v>
      </c>
      <c r="F24" s="446">
        <f>SUM(F22:F23)</f>
        <v>23579</v>
      </c>
      <c r="G24" s="446">
        <f>SUM(G22:G23)</f>
        <v>15119</v>
      </c>
      <c r="H24" s="447">
        <f>SUM(C24:G24)</f>
        <v>76454</v>
      </c>
      <c r="I24" s="50"/>
      <c r="J24" s="50" t="s">
        <v>141</v>
      </c>
    </row>
    <row r="25" spans="1:21" ht="13.9" customHeight="1">
      <c r="A25" s="448" t="s">
        <v>529</v>
      </c>
      <c r="B25" s="449">
        <v>224000</v>
      </c>
      <c r="C25" s="450"/>
      <c r="D25" s="450"/>
      <c r="E25" s="450"/>
      <c r="F25" s="450">
        <f>+O25</f>
        <v>120</v>
      </c>
      <c r="G25" s="450"/>
      <c r="H25" s="451">
        <f>SUM(F25:G25)</f>
        <v>120</v>
      </c>
      <c r="I25" s="50"/>
      <c r="J25" s="427" t="s">
        <v>539</v>
      </c>
      <c r="K25" s="452">
        <v>1</v>
      </c>
      <c r="N25" s="453">
        <f>+((1*B25)/12*8)*0.8</f>
        <v>119466.66666666669</v>
      </c>
      <c r="O25" s="266">
        <v>120</v>
      </c>
    </row>
    <row r="26" spans="1:21" ht="13.9" customHeight="1">
      <c r="A26" s="440" t="s">
        <v>535</v>
      </c>
      <c r="B26" s="441">
        <v>224000</v>
      </c>
      <c r="C26" s="442"/>
      <c r="D26" s="442"/>
      <c r="E26" s="442"/>
      <c r="F26" s="442">
        <f>+O26/2</f>
        <v>60</v>
      </c>
      <c r="G26" s="442">
        <f>+O26/2</f>
        <v>60</v>
      </c>
      <c r="H26" s="443">
        <f>SUM(F26:G26)</f>
        <v>120</v>
      </c>
      <c r="I26" s="50"/>
      <c r="J26" s="427" t="s">
        <v>540</v>
      </c>
      <c r="K26" s="452">
        <v>2</v>
      </c>
      <c r="N26" s="453">
        <f>+((1*B26)/12*8)*0.4</f>
        <v>59733.333333333343</v>
      </c>
      <c r="O26" s="266">
        <v>120</v>
      </c>
    </row>
    <row r="27" spans="1:21" ht="13.9" customHeight="1">
      <c r="A27" s="444" t="s">
        <v>141</v>
      </c>
      <c r="B27" s="445"/>
      <c r="C27" s="446"/>
      <c r="D27" s="446"/>
      <c r="E27" s="446"/>
      <c r="F27" s="446">
        <f>SUM(F25:F26)</f>
        <v>180</v>
      </c>
      <c r="G27" s="446">
        <f>SUM(G25:G26)</f>
        <v>60</v>
      </c>
      <c r="H27" s="447">
        <f>SUM(F27:G27)</f>
        <v>240</v>
      </c>
      <c r="I27" s="50"/>
      <c r="J27" s="50"/>
    </row>
    <row r="28" spans="1:21" ht="13.9" customHeight="1">
      <c r="A28" s="454" t="s">
        <v>529</v>
      </c>
      <c r="B28" s="449">
        <v>68000</v>
      </c>
      <c r="C28" s="450">
        <f>+R32</f>
        <v>680</v>
      </c>
      <c r="D28" s="450">
        <f>+R33</f>
        <v>1768</v>
      </c>
      <c r="E28" s="450">
        <f>+R34</f>
        <v>476</v>
      </c>
      <c r="F28" s="450">
        <f>+R35</f>
        <v>3196</v>
      </c>
      <c r="G28" s="450">
        <f>+R36</f>
        <v>1020</v>
      </c>
      <c r="H28" s="451">
        <f t="shared" ref="H28:H33" si="2">SUM(C28:G28)</f>
        <v>7140</v>
      </c>
      <c r="I28" s="50"/>
      <c r="J28" s="50"/>
      <c r="S28" s="455"/>
    </row>
    <row r="29" spans="1:21" ht="13.9" customHeight="1">
      <c r="A29" s="440" t="s">
        <v>535</v>
      </c>
      <c r="B29" s="456">
        <v>68000</v>
      </c>
      <c r="C29" s="442">
        <f>+S32</f>
        <v>340</v>
      </c>
      <c r="D29" s="442">
        <f>+S33</f>
        <v>1020</v>
      </c>
      <c r="E29" s="442">
        <f>+S34</f>
        <v>340</v>
      </c>
      <c r="F29" s="442">
        <f>+S35</f>
        <v>1360</v>
      </c>
      <c r="G29" s="442">
        <f>+S36</f>
        <v>544</v>
      </c>
      <c r="H29" s="443">
        <f t="shared" si="2"/>
        <v>3604</v>
      </c>
      <c r="I29" s="50"/>
      <c r="J29" s="50"/>
      <c r="S29" s="455"/>
    </row>
    <row r="30" spans="1:21" ht="13.9" customHeight="1">
      <c r="A30" s="444" t="s">
        <v>541</v>
      </c>
      <c r="B30" s="445"/>
      <c r="C30" s="446">
        <f>SUM(C28:C29)</f>
        <v>1020</v>
      </c>
      <c r="D30" s="446">
        <f>SUM(D28:D29)</f>
        <v>2788</v>
      </c>
      <c r="E30" s="446">
        <f>SUM(E28:E29)</f>
        <v>816</v>
      </c>
      <c r="F30" s="446">
        <f>SUM(F28:F29)</f>
        <v>4556</v>
      </c>
      <c r="G30" s="446">
        <f>SUM(G28:G29)</f>
        <v>1564</v>
      </c>
      <c r="H30" s="447">
        <f t="shared" si="2"/>
        <v>10744</v>
      </c>
      <c r="I30" s="50"/>
      <c r="J30" s="427" t="s">
        <v>542</v>
      </c>
      <c r="M30" s="252" t="s">
        <v>543</v>
      </c>
      <c r="N30" s="250" t="s">
        <v>544</v>
      </c>
      <c r="O30" s="252" t="s">
        <v>543</v>
      </c>
      <c r="P30" s="250" t="s">
        <v>544</v>
      </c>
      <c r="Q30" s="252"/>
      <c r="R30" s="250" t="s">
        <v>543</v>
      </c>
      <c r="S30" s="252" t="s">
        <v>544</v>
      </c>
      <c r="T30" s="250"/>
      <c r="U30" s="252" t="s">
        <v>545</v>
      </c>
    </row>
    <row r="31" spans="1:21" ht="13.9" customHeight="1">
      <c r="A31" s="454" t="s">
        <v>529</v>
      </c>
      <c r="B31" s="449">
        <v>36300</v>
      </c>
      <c r="C31" s="450">
        <f>+P40</f>
        <v>0</v>
      </c>
      <c r="D31" s="450">
        <f>+P41</f>
        <v>2420</v>
      </c>
      <c r="E31" s="450">
        <f>+P42</f>
        <v>1089</v>
      </c>
      <c r="F31" s="450">
        <f>+P43</f>
        <v>3001</v>
      </c>
      <c r="G31" s="450">
        <f>+P44</f>
        <v>1912</v>
      </c>
      <c r="H31" s="451">
        <f t="shared" si="2"/>
        <v>8422</v>
      </c>
      <c r="I31" s="50"/>
      <c r="J31" s="50"/>
      <c r="M31" s="2487" t="s">
        <v>546</v>
      </c>
      <c r="N31" s="2416"/>
      <c r="O31" s="252" t="s">
        <v>322</v>
      </c>
      <c r="P31" s="252"/>
      <c r="Q31" s="2408" t="s">
        <v>323</v>
      </c>
      <c r="R31" s="2408"/>
      <c r="S31" s="2408"/>
      <c r="T31" s="2408"/>
    </row>
    <row r="32" spans="1:21" ht="13.9" customHeight="1">
      <c r="A32" s="440" t="s">
        <v>535</v>
      </c>
      <c r="B32" s="456">
        <v>32000</v>
      </c>
      <c r="C32" s="442">
        <f>+P49</f>
        <v>0</v>
      </c>
      <c r="D32" s="442">
        <f>+P50</f>
        <v>1120</v>
      </c>
      <c r="E32" s="442">
        <f>+P51</f>
        <v>534</v>
      </c>
      <c r="F32" s="442">
        <f>+P52</f>
        <v>1333</v>
      </c>
      <c r="G32" s="442">
        <f>+P53</f>
        <v>853</v>
      </c>
      <c r="H32" s="443">
        <f t="shared" si="2"/>
        <v>3840</v>
      </c>
      <c r="I32" s="458"/>
      <c r="L32" s="416" t="s">
        <v>530</v>
      </c>
      <c r="M32" s="266">
        <v>10</v>
      </c>
      <c r="N32" s="266">
        <v>5</v>
      </c>
      <c r="O32" s="266">
        <f>+(M32*B28)</f>
        <v>680000</v>
      </c>
      <c r="P32" s="266">
        <f>+(N32*B29)</f>
        <v>340000</v>
      </c>
      <c r="R32" s="459">
        <v>680</v>
      </c>
      <c r="S32" s="266">
        <v>340</v>
      </c>
      <c r="T32" s="248">
        <v>46</v>
      </c>
      <c r="U32" s="248">
        <v>23</v>
      </c>
    </row>
    <row r="33" spans="1:25" ht="13.9" customHeight="1" thickBot="1">
      <c r="A33" s="460" t="s">
        <v>547</v>
      </c>
      <c r="B33" s="461"/>
      <c r="C33" s="453">
        <f>SUM(C31:C32)</f>
        <v>0</v>
      </c>
      <c r="D33" s="453">
        <f>SUM(D31:D32)</f>
        <v>3540</v>
      </c>
      <c r="E33" s="453">
        <f>SUM(E31:E32)</f>
        <v>1623</v>
      </c>
      <c r="F33" s="453">
        <f>SUM(F31:F32)</f>
        <v>4334</v>
      </c>
      <c r="G33" s="453">
        <f>SUM(G31:G32)</f>
        <v>2765</v>
      </c>
      <c r="H33" s="462">
        <f t="shared" si="2"/>
        <v>12262</v>
      </c>
      <c r="I33" s="50"/>
      <c r="J33" s="266"/>
      <c r="K33" s="266"/>
      <c r="L33" s="416" t="s">
        <v>531</v>
      </c>
      <c r="M33" s="266">
        <v>26</v>
      </c>
      <c r="N33" s="266">
        <v>15</v>
      </c>
      <c r="O33" s="266">
        <f>+(M33*B28)</f>
        <v>1768000</v>
      </c>
      <c r="P33" s="266">
        <f>+(N33*B29)</f>
        <v>1020000</v>
      </c>
      <c r="R33" s="266">
        <v>1768</v>
      </c>
      <c r="S33" s="266">
        <v>1020</v>
      </c>
      <c r="T33" s="248">
        <f>+(T32*$B$30)</f>
        <v>0</v>
      </c>
      <c r="U33" s="248">
        <f>+(U32*$B$30)</f>
        <v>0</v>
      </c>
    </row>
    <row r="34" spans="1:25" s="997" customFormat="1" ht="15" customHeight="1" thickBot="1">
      <c r="A34" s="994" t="s">
        <v>277</v>
      </c>
      <c r="B34" s="995"/>
      <c r="C34" s="995">
        <f t="shared" ref="C34:H34" si="3">+C24+C27+C30+C33</f>
        <v>10499</v>
      </c>
      <c r="D34" s="995">
        <f t="shared" si="3"/>
        <v>25676</v>
      </c>
      <c r="E34" s="995">
        <f t="shared" si="3"/>
        <v>11368</v>
      </c>
      <c r="F34" s="995">
        <f t="shared" si="3"/>
        <v>32649</v>
      </c>
      <c r="G34" s="995">
        <f t="shared" si="3"/>
        <v>19508</v>
      </c>
      <c r="H34" s="995">
        <f t="shared" si="3"/>
        <v>99700</v>
      </c>
      <c r="I34" s="996"/>
      <c r="K34" s="998"/>
      <c r="L34" s="931" t="s">
        <v>532</v>
      </c>
      <c r="M34" s="999">
        <v>7</v>
      </c>
      <c r="N34" s="999">
        <v>5</v>
      </c>
      <c r="O34" s="999">
        <f>+(M34*B28)</f>
        <v>476000</v>
      </c>
      <c r="P34" s="999">
        <f>+(N34*B29)</f>
        <v>340000</v>
      </c>
      <c r="Q34" s="1000"/>
      <c r="R34" s="1001">
        <v>476</v>
      </c>
      <c r="S34" s="999">
        <v>340</v>
      </c>
    </row>
    <row r="35" spans="1:25" ht="13.9" customHeight="1">
      <c r="A35" s="465" t="s">
        <v>529</v>
      </c>
      <c r="B35" s="264">
        <v>65000</v>
      </c>
      <c r="C35" s="466">
        <f>+H35/5</f>
        <v>17.333333333333343</v>
      </c>
      <c r="D35" s="466">
        <f>+H35/5</f>
        <v>17.333333333333343</v>
      </c>
      <c r="E35" s="466">
        <f>+H35/5</f>
        <v>17.333333333333343</v>
      </c>
      <c r="F35" s="466">
        <f>+H35/5</f>
        <v>17.333333333333343</v>
      </c>
      <c r="G35" s="466">
        <f>+H35/5</f>
        <v>17.333333333333343</v>
      </c>
      <c r="H35" s="467">
        <f>+I35</f>
        <v>86.666666666666714</v>
      </c>
      <c r="I35" s="427">
        <f>2*5.41666666666667*8</f>
        <v>86.666666666666714</v>
      </c>
      <c r="L35" s="416" t="s">
        <v>533</v>
      </c>
      <c r="M35" s="415">
        <v>47</v>
      </c>
      <c r="N35" s="415">
        <v>20</v>
      </c>
      <c r="O35" s="266">
        <f>+(M35*B28)</f>
        <v>3196000</v>
      </c>
      <c r="P35" s="266">
        <f>+(N35*B29)</f>
        <v>1360000</v>
      </c>
      <c r="Q35" s="416"/>
      <c r="R35" s="415">
        <v>3196</v>
      </c>
      <c r="S35" s="415">
        <v>1360</v>
      </c>
      <c r="T35" s="416"/>
      <c r="U35" s="416"/>
    </row>
    <row r="36" spans="1:25" ht="13.9" customHeight="1">
      <c r="A36" s="468" t="s">
        <v>535</v>
      </c>
      <c r="B36" s="306">
        <v>65000</v>
      </c>
      <c r="C36" s="469">
        <f>+H36/5</f>
        <v>8.6666666666666714</v>
      </c>
      <c r="D36" s="469">
        <f>+H36/5</f>
        <v>8.6666666666666714</v>
      </c>
      <c r="E36" s="469">
        <f>+H36/5</f>
        <v>8.6666666666666714</v>
      </c>
      <c r="F36" s="469">
        <f>+H36/5</f>
        <v>8.6666666666666714</v>
      </c>
      <c r="G36" s="469">
        <f>+H36/5</f>
        <v>8.6666666666666714</v>
      </c>
      <c r="H36" s="470">
        <f>+I36</f>
        <v>43.333333333333357</v>
      </c>
      <c r="I36" s="427">
        <f>2*5.41666666666667*4</f>
        <v>43.333333333333357</v>
      </c>
      <c r="J36" s="427"/>
      <c r="L36" s="416" t="s">
        <v>534</v>
      </c>
      <c r="M36" s="415">
        <v>15</v>
      </c>
      <c r="N36" s="415">
        <v>8</v>
      </c>
      <c r="O36" s="266">
        <f>+(M36*B28)</f>
        <v>1020000</v>
      </c>
      <c r="P36" s="266">
        <f>+(N36*B29)</f>
        <v>544000</v>
      </c>
      <c r="Q36" s="416"/>
      <c r="R36" s="415">
        <v>1020</v>
      </c>
      <c r="S36" s="415">
        <v>544</v>
      </c>
      <c r="T36" s="416"/>
      <c r="U36" s="416"/>
    </row>
    <row r="37" spans="1:25" ht="13.9" customHeight="1">
      <c r="A37" s="317" t="s">
        <v>548</v>
      </c>
      <c r="B37" s="292"/>
      <c r="C37" s="471">
        <f t="shared" ref="C37:H37" si="4">SUM(C35:C36)</f>
        <v>26.000000000000014</v>
      </c>
      <c r="D37" s="471">
        <f t="shared" si="4"/>
        <v>26.000000000000014</v>
      </c>
      <c r="E37" s="471">
        <f t="shared" si="4"/>
        <v>26.000000000000014</v>
      </c>
      <c r="F37" s="471">
        <f t="shared" si="4"/>
        <v>26.000000000000014</v>
      </c>
      <c r="G37" s="471">
        <f t="shared" si="4"/>
        <v>26.000000000000014</v>
      </c>
      <c r="H37" s="472">
        <f t="shared" si="4"/>
        <v>130.00000000000006</v>
      </c>
      <c r="I37" s="50"/>
      <c r="J37" s="427"/>
      <c r="L37" s="430"/>
      <c r="M37" s="473">
        <f>SUM(M32:M36)</f>
        <v>105</v>
      </c>
      <c r="N37" s="415">
        <f>SUM(N32:N36)</f>
        <v>53</v>
      </c>
      <c r="O37" s="415">
        <f>SUM(O32:O36)</f>
        <v>7140000</v>
      </c>
      <c r="P37" s="415">
        <f>SUM(P32:P36)</f>
        <v>3604000</v>
      </c>
      <c r="Q37" s="416"/>
      <c r="R37" s="415">
        <f>SUM(R32:R36)</f>
        <v>7140</v>
      </c>
      <c r="S37" s="415">
        <f>SUM(S32:S36)</f>
        <v>3604</v>
      </c>
      <c r="T37" s="416">
        <v>3128</v>
      </c>
      <c r="U37" s="416">
        <v>1564</v>
      </c>
    </row>
    <row r="38" spans="1:25" s="416" customFormat="1" ht="13.9" customHeight="1">
      <c r="A38" s="454" t="s">
        <v>529</v>
      </c>
      <c r="B38" s="438">
        <v>98000</v>
      </c>
      <c r="C38" s="439">
        <f>+D74*B38/1000</f>
        <v>1862</v>
      </c>
      <c r="D38" s="439">
        <f>+D75*B38/1000</f>
        <v>588</v>
      </c>
      <c r="E38" s="439">
        <f>+D76*B38/1000</f>
        <v>294</v>
      </c>
      <c r="F38" s="439">
        <f>+D77*B38/1000</f>
        <v>0</v>
      </c>
      <c r="G38" s="439">
        <f>+B78*B38/1000</f>
        <v>0</v>
      </c>
      <c r="H38" s="49">
        <f t="shared" ref="H38:H58" si="5">SUM(C38:G38)</f>
        <v>2744</v>
      </c>
      <c r="I38" s="474"/>
      <c r="J38" s="474"/>
      <c r="K38" s="430"/>
      <c r="L38" s="430"/>
      <c r="M38" s="473"/>
      <c r="N38" s="415"/>
      <c r="O38" s="415"/>
      <c r="W38" s="248"/>
      <c r="X38" s="248"/>
      <c r="Y38" s="248"/>
    </row>
    <row r="39" spans="1:25" s="416" customFormat="1" ht="13.9" customHeight="1">
      <c r="A39" s="440" t="s">
        <v>535</v>
      </c>
      <c r="B39" s="441">
        <v>100000</v>
      </c>
      <c r="C39" s="442">
        <f>+D83*B39/1000</f>
        <v>800</v>
      </c>
      <c r="D39" s="442">
        <f>+D84*B39/1000</f>
        <v>300</v>
      </c>
      <c r="E39" s="442">
        <f>+D85*B39/1000</f>
        <v>200</v>
      </c>
      <c r="F39" s="442">
        <f>+D86*B39/1000</f>
        <v>0</v>
      </c>
      <c r="G39" s="442">
        <f>+D87*B39/1000</f>
        <v>0</v>
      </c>
      <c r="H39" s="475">
        <f t="shared" si="5"/>
        <v>1300</v>
      </c>
      <c r="I39" s="474"/>
      <c r="J39" s="474" t="s">
        <v>549</v>
      </c>
      <c r="K39" s="430"/>
      <c r="L39" s="430"/>
      <c r="M39" s="473" t="s">
        <v>546</v>
      </c>
      <c r="N39" s="428" t="s">
        <v>322</v>
      </c>
      <c r="O39" s="428" t="s">
        <v>550</v>
      </c>
      <c r="P39" s="322" t="s">
        <v>323</v>
      </c>
      <c r="W39" s="248"/>
      <c r="X39" s="248"/>
      <c r="Y39" s="248"/>
    </row>
    <row r="40" spans="1:25" s="416" customFormat="1" ht="13.9" customHeight="1">
      <c r="A40" s="476" t="s">
        <v>551</v>
      </c>
      <c r="B40" s="477"/>
      <c r="C40" s="478">
        <f>SUM(C38:C39)</f>
        <v>2662</v>
      </c>
      <c r="D40" s="478">
        <f>SUM(D38:D39)</f>
        <v>888</v>
      </c>
      <c r="E40" s="478">
        <f>SUM(E38:E39)</f>
        <v>494</v>
      </c>
      <c r="F40" s="478">
        <f>SUM(F38:F39)</f>
        <v>0</v>
      </c>
      <c r="G40" s="478">
        <f>SUM(G38:G39)</f>
        <v>0</v>
      </c>
      <c r="H40" s="479">
        <f t="shared" si="5"/>
        <v>4044</v>
      </c>
      <c r="I40" s="474"/>
      <c r="J40" s="474"/>
      <c r="K40" s="430"/>
      <c r="L40" s="416" t="s">
        <v>530</v>
      </c>
      <c r="M40" s="473">
        <v>0</v>
      </c>
      <c r="N40" s="415"/>
      <c r="O40" s="415"/>
      <c r="V40" s="415">
        <f>SUM(R37:U37)</f>
        <v>15436</v>
      </c>
    </row>
    <row r="41" spans="1:25" s="416" customFormat="1" ht="13.9" customHeight="1">
      <c r="A41" s="454" t="s">
        <v>529</v>
      </c>
      <c r="B41" s="480">
        <v>70000</v>
      </c>
      <c r="C41" s="481">
        <f>+P74*B41/1000</f>
        <v>0</v>
      </c>
      <c r="D41" s="481">
        <f>+P75*B41/1000</f>
        <v>4620</v>
      </c>
      <c r="E41" s="481">
        <f>+P76*B41/1000</f>
        <v>2100</v>
      </c>
      <c r="F41" s="481">
        <f>+P77*B41/1000</f>
        <v>5810</v>
      </c>
      <c r="G41" s="481">
        <f>+P78*B41/1000</f>
        <v>3640</v>
      </c>
      <c r="H41" s="482">
        <f t="shared" si="5"/>
        <v>16170</v>
      </c>
      <c r="I41" s="474"/>
      <c r="J41" s="474"/>
      <c r="K41" s="430"/>
      <c r="L41" s="416" t="s">
        <v>531</v>
      </c>
      <c r="M41" s="473">
        <f>+E7</f>
        <v>100</v>
      </c>
      <c r="N41" s="415">
        <f>M41*$B$31</f>
        <v>3630000</v>
      </c>
      <c r="O41" s="266">
        <f>+(N41/12*8)</f>
        <v>2420000</v>
      </c>
      <c r="P41" s="415">
        <v>2420</v>
      </c>
    </row>
    <row r="42" spans="1:25" s="416" customFormat="1" ht="13.9" customHeight="1">
      <c r="A42" s="440" t="s">
        <v>535</v>
      </c>
      <c r="B42" s="483">
        <v>90000</v>
      </c>
      <c r="C42" s="484">
        <f>+P83*B42/1000</f>
        <v>0</v>
      </c>
      <c r="D42" s="484">
        <f>+P84*B42/1000</f>
        <v>3060</v>
      </c>
      <c r="E42" s="484">
        <f>+P85*B42/1000</f>
        <v>1530</v>
      </c>
      <c r="F42" s="484">
        <f>+P86*B42/1000</f>
        <v>3780</v>
      </c>
      <c r="G42" s="484">
        <f>+P87*B42/1000</f>
        <v>2430</v>
      </c>
      <c r="H42" s="485">
        <f t="shared" si="5"/>
        <v>10800</v>
      </c>
      <c r="I42" s="474"/>
      <c r="J42" s="474"/>
      <c r="K42" s="430"/>
      <c r="L42" s="416" t="s">
        <v>532</v>
      </c>
      <c r="M42" s="473">
        <f>+E8</f>
        <v>45</v>
      </c>
      <c r="N42" s="415">
        <f>M42*$B$31</f>
        <v>1633500</v>
      </c>
      <c r="O42" s="266">
        <f>+(N42/12*8)</f>
        <v>1089000</v>
      </c>
      <c r="P42" s="416">
        <v>1089</v>
      </c>
    </row>
    <row r="43" spans="1:25" s="416" customFormat="1" ht="13.9" customHeight="1">
      <c r="A43" s="476" t="s">
        <v>552</v>
      </c>
      <c r="B43" s="477"/>
      <c r="C43" s="478">
        <f>SUM(C41:C42)</f>
        <v>0</v>
      </c>
      <c r="D43" s="478">
        <f>SUM(D41:D42)</f>
        <v>7680</v>
      </c>
      <c r="E43" s="478">
        <f>SUM(E41:E42)</f>
        <v>3630</v>
      </c>
      <c r="F43" s="478">
        <f>SUM(F41:F42)</f>
        <v>9590</v>
      </c>
      <c r="G43" s="478">
        <f>SUM(G41:G42)</f>
        <v>6070</v>
      </c>
      <c r="H43" s="479">
        <f t="shared" si="5"/>
        <v>26970</v>
      </c>
      <c r="I43" s="474"/>
      <c r="J43" s="474"/>
      <c r="K43" s="430"/>
      <c r="L43" s="416" t="s">
        <v>533</v>
      </c>
      <c r="M43" s="473">
        <f>+E9</f>
        <v>124</v>
      </c>
      <c r="N43" s="415">
        <f>M43*$B$31</f>
        <v>4501200</v>
      </c>
      <c r="O43" s="266">
        <f>+(N43/12*8)</f>
        <v>3000800</v>
      </c>
      <c r="P43" s="416">
        <v>3001</v>
      </c>
    </row>
    <row r="44" spans="1:25" s="416" customFormat="1" ht="13.9" customHeight="1">
      <c r="A44" s="454" t="s">
        <v>529</v>
      </c>
      <c r="B44" s="480">
        <v>49000</v>
      </c>
      <c r="C44" s="481">
        <f>+G74*B44/1000</f>
        <v>637</v>
      </c>
      <c r="D44" s="481">
        <f>+G75*B44/1000</f>
        <v>294</v>
      </c>
      <c r="E44" s="481">
        <f>+G76*B44/1000</f>
        <v>147</v>
      </c>
      <c r="F44" s="481">
        <f>+G77*B44/1000</f>
        <v>0</v>
      </c>
      <c r="G44" s="481">
        <f>+G78*B44/1000</f>
        <v>0</v>
      </c>
      <c r="H44" s="482">
        <f t="shared" si="5"/>
        <v>1078</v>
      </c>
      <c r="I44" s="474"/>
      <c r="J44" s="474"/>
      <c r="K44" s="430"/>
      <c r="L44" s="416" t="s">
        <v>534</v>
      </c>
      <c r="M44" s="473">
        <f>+E10</f>
        <v>79</v>
      </c>
      <c r="N44" s="415">
        <f>M44*$B$31</f>
        <v>2867700</v>
      </c>
      <c r="O44" s="266">
        <f>+(N44/12*8)</f>
        <v>1911800</v>
      </c>
      <c r="P44" s="416">
        <v>1912</v>
      </c>
    </row>
    <row r="45" spans="1:25" s="416" customFormat="1" ht="13.9" customHeight="1">
      <c r="A45" s="440" t="s">
        <v>535</v>
      </c>
      <c r="B45" s="483">
        <v>50000</v>
      </c>
      <c r="C45" s="484">
        <f>+G83*B45/1000</f>
        <v>400</v>
      </c>
      <c r="D45" s="484">
        <f>+G84*B45/1000</f>
        <v>150</v>
      </c>
      <c r="E45" s="484">
        <f>+G85*B45/1000</f>
        <v>100</v>
      </c>
      <c r="F45" s="484">
        <f>+G86*B45/1000</f>
        <v>0</v>
      </c>
      <c r="G45" s="484">
        <f>+G87*B45/1000</f>
        <v>0</v>
      </c>
      <c r="H45" s="485">
        <f t="shared" si="5"/>
        <v>650</v>
      </c>
      <c r="I45" s="474"/>
      <c r="J45" s="474"/>
      <c r="K45" s="430"/>
      <c r="L45" s="430"/>
      <c r="M45" s="473">
        <f>SUM(M40:M44)</f>
        <v>348</v>
      </c>
      <c r="N45" s="415">
        <f>M45*$B$31</f>
        <v>12632400</v>
      </c>
      <c r="O45" s="415"/>
      <c r="P45" s="415">
        <f>SUM(P41:P44)</f>
        <v>8422</v>
      </c>
    </row>
    <row r="46" spans="1:25" s="416" customFormat="1" ht="13.9" customHeight="1">
      <c r="A46" s="476" t="s">
        <v>553</v>
      </c>
      <c r="B46" s="486"/>
      <c r="C46" s="487">
        <f>SUM(C44:C45)</f>
        <v>1037</v>
      </c>
      <c r="D46" s="487">
        <f>SUM(D44:D45)</f>
        <v>444</v>
      </c>
      <c r="E46" s="487">
        <f>SUM(E44:E45)</f>
        <v>247</v>
      </c>
      <c r="F46" s="487">
        <f>SUM(F44:F45)</f>
        <v>0</v>
      </c>
      <c r="G46" s="487">
        <f>SUM(G44:G45)</f>
        <v>0</v>
      </c>
      <c r="H46" s="488">
        <f t="shared" si="5"/>
        <v>1728</v>
      </c>
      <c r="I46" s="474"/>
      <c r="J46" s="474"/>
      <c r="K46" s="430"/>
      <c r="L46" s="430"/>
      <c r="M46" s="473"/>
      <c r="N46" s="415"/>
      <c r="O46" s="415"/>
    </row>
    <row r="47" spans="1:25" s="416" customFormat="1" ht="13.9" customHeight="1">
      <c r="A47" s="454" t="s">
        <v>529</v>
      </c>
      <c r="B47" s="480">
        <v>16710</v>
      </c>
      <c r="C47" s="481">
        <f>+T74*B47/1000</f>
        <v>0</v>
      </c>
      <c r="D47" s="481">
        <f>+T75*B47/1000</f>
        <v>0</v>
      </c>
      <c r="E47" s="481">
        <f>+(T76*B47/1000)-0.3</f>
        <v>501</v>
      </c>
      <c r="F47" s="481">
        <f>+T77*B47/1000</f>
        <v>0</v>
      </c>
      <c r="G47" s="481">
        <f>+T78*B47/1000</f>
        <v>0</v>
      </c>
      <c r="H47" s="489">
        <f t="shared" si="5"/>
        <v>501</v>
      </c>
      <c r="I47" s="474"/>
      <c r="J47" s="474"/>
      <c r="K47" s="430"/>
      <c r="L47" s="430"/>
      <c r="M47" s="473"/>
      <c r="N47" s="415"/>
      <c r="O47" s="415"/>
    </row>
    <row r="48" spans="1:25" s="416" customFormat="1" ht="13.9" customHeight="1">
      <c r="A48" s="440" t="s">
        <v>535</v>
      </c>
      <c r="B48" s="483">
        <v>21000</v>
      </c>
      <c r="C48" s="484">
        <f>+T83*B48/1000</f>
        <v>0</v>
      </c>
      <c r="D48" s="484">
        <f>+T84*B48/1000</f>
        <v>0</v>
      </c>
      <c r="E48" s="484">
        <f>+T85*B48/1000</f>
        <v>357</v>
      </c>
      <c r="F48" s="484">
        <f>+T86*B48/1000</f>
        <v>0</v>
      </c>
      <c r="G48" s="484">
        <f>+T87*B48/1000</f>
        <v>0</v>
      </c>
      <c r="H48" s="490">
        <f t="shared" si="5"/>
        <v>357</v>
      </c>
      <c r="I48" s="474"/>
      <c r="J48" s="474" t="s">
        <v>554</v>
      </c>
      <c r="K48" s="430"/>
      <c r="L48" s="430"/>
      <c r="M48" s="473" t="s">
        <v>546</v>
      </c>
      <c r="N48" s="428" t="s">
        <v>322</v>
      </c>
      <c r="O48" s="428"/>
      <c r="P48" s="322" t="s">
        <v>321</v>
      </c>
    </row>
    <row r="49" spans="1:25" s="416" customFormat="1" ht="13.9" customHeight="1">
      <c r="A49" s="476" t="s">
        <v>555</v>
      </c>
      <c r="B49" s="477"/>
      <c r="C49" s="478">
        <f>SUM(C47:C48)</f>
        <v>0</v>
      </c>
      <c r="D49" s="478">
        <f>SUM(D47:D48)</f>
        <v>0</v>
      </c>
      <c r="E49" s="478">
        <f>SUM(E47:E48)</f>
        <v>858</v>
      </c>
      <c r="F49" s="478">
        <f>SUM(F47:F48)</f>
        <v>0</v>
      </c>
      <c r="G49" s="478">
        <f>SUM(G47:G48)</f>
        <v>0</v>
      </c>
      <c r="H49" s="491">
        <f t="shared" si="5"/>
        <v>858</v>
      </c>
      <c r="I49" s="474"/>
      <c r="J49" s="474"/>
      <c r="K49" s="430"/>
      <c r="L49" s="416" t="s">
        <v>530</v>
      </c>
      <c r="M49" s="473">
        <v>0</v>
      </c>
      <c r="N49" s="415"/>
      <c r="O49" s="415"/>
    </row>
    <row r="50" spans="1:25" s="416" customFormat="1" ht="13.9" customHeight="1">
      <c r="A50" s="454" t="s">
        <v>529</v>
      </c>
      <c r="B50" s="480">
        <v>70000</v>
      </c>
      <c r="C50" s="481">
        <f>+J74*B50/1000</f>
        <v>0</v>
      </c>
      <c r="D50" s="481">
        <f>+J75*B50/1000</f>
        <v>350</v>
      </c>
      <c r="E50" s="481">
        <f>+J76*B50/1000</f>
        <v>0</v>
      </c>
      <c r="F50" s="481">
        <f>+J77*B50/1000</f>
        <v>0</v>
      </c>
      <c r="G50" s="481">
        <f>+J78*B50/1000</f>
        <v>0</v>
      </c>
      <c r="H50" s="482">
        <f t="shared" si="5"/>
        <v>350</v>
      </c>
      <c r="I50" s="474"/>
      <c r="J50" s="474"/>
      <c r="K50" s="430"/>
      <c r="L50" s="416" t="s">
        <v>531</v>
      </c>
      <c r="M50" s="473">
        <f>+E14</f>
        <v>105</v>
      </c>
      <c r="N50" s="415">
        <f>M50*$B$32</f>
        <v>3360000</v>
      </c>
      <c r="O50" s="266">
        <f>+(N50/12*4)</f>
        <v>1120000</v>
      </c>
      <c r="P50" s="415">
        <v>1120</v>
      </c>
    </row>
    <row r="51" spans="1:25" s="416" customFormat="1" ht="13.9" customHeight="1">
      <c r="A51" s="440" t="s">
        <v>535</v>
      </c>
      <c r="B51" s="492">
        <v>80000</v>
      </c>
      <c r="C51" s="493">
        <f>+J83*B51/1000</f>
        <v>0</v>
      </c>
      <c r="D51" s="493">
        <f>+J84*B51/1000</f>
        <v>240</v>
      </c>
      <c r="E51" s="493">
        <f>+J85*B51/1000</f>
        <v>0</v>
      </c>
      <c r="F51" s="493">
        <f>+J86*B51/1000</f>
        <v>0</v>
      </c>
      <c r="G51" s="493">
        <f>+J87*B51/1000</f>
        <v>0</v>
      </c>
      <c r="H51" s="494">
        <f t="shared" si="5"/>
        <v>240</v>
      </c>
      <c r="I51" s="474"/>
      <c r="J51" s="474"/>
      <c r="K51" s="430"/>
      <c r="L51" s="416" t="s">
        <v>532</v>
      </c>
      <c r="M51" s="473">
        <v>50</v>
      </c>
      <c r="N51" s="415">
        <f>M51*$B$32</f>
        <v>1600000</v>
      </c>
      <c r="O51" s="266">
        <f>+(N51/12*4)</f>
        <v>533333.33333333337</v>
      </c>
      <c r="P51" s="415">
        <f>533+1</f>
        <v>534</v>
      </c>
    </row>
    <row r="52" spans="1:25" s="416" customFormat="1" ht="13.9" customHeight="1">
      <c r="A52" s="476" t="s">
        <v>556</v>
      </c>
      <c r="B52" s="477"/>
      <c r="C52" s="478">
        <f>SUM(C50:C51)</f>
        <v>0</v>
      </c>
      <c r="D52" s="478">
        <f>SUM(D50:D51)</f>
        <v>590</v>
      </c>
      <c r="E52" s="478">
        <f>SUM(E50:E51)</f>
        <v>0</v>
      </c>
      <c r="F52" s="478">
        <f>SUM(F50:F51)</f>
        <v>0</v>
      </c>
      <c r="G52" s="478">
        <f>SUM(G50:G51)</f>
        <v>0</v>
      </c>
      <c r="H52" s="479">
        <f t="shared" si="5"/>
        <v>590</v>
      </c>
      <c r="I52" s="474"/>
      <c r="J52" s="474"/>
      <c r="K52" s="430"/>
      <c r="L52" s="416" t="s">
        <v>533</v>
      </c>
      <c r="M52" s="473">
        <f>+E16</f>
        <v>125</v>
      </c>
      <c r="N52" s="415">
        <f>M52*$B$32</f>
        <v>4000000</v>
      </c>
      <c r="O52" s="266">
        <f>+(N52/12*4)</f>
        <v>1333333.3333333333</v>
      </c>
      <c r="P52" s="416">
        <v>1333</v>
      </c>
    </row>
    <row r="53" spans="1:25" s="416" customFormat="1" ht="13.9" customHeight="1">
      <c r="A53" s="448" t="s">
        <v>529</v>
      </c>
      <c r="B53" s="480">
        <f>+B50*15%</f>
        <v>10500</v>
      </c>
      <c r="C53" s="481">
        <f>+M74*B53/1000</f>
        <v>0</v>
      </c>
      <c r="D53" s="481">
        <f>+M75*B53/1000</f>
        <v>0</v>
      </c>
      <c r="E53" s="481">
        <f>+M76*B53/1000</f>
        <v>0</v>
      </c>
      <c r="F53" s="481">
        <f>+M77*B53/1000</f>
        <v>0</v>
      </c>
      <c r="G53" s="481">
        <f>+M78*B53/1000</f>
        <v>0</v>
      </c>
      <c r="H53" s="482">
        <f t="shared" si="5"/>
        <v>0</v>
      </c>
      <c r="I53" s="474"/>
      <c r="J53" s="474"/>
      <c r="K53" s="430"/>
      <c r="L53" s="416" t="s">
        <v>534</v>
      </c>
      <c r="M53" s="473">
        <f>+E17</f>
        <v>80</v>
      </c>
      <c r="N53" s="415">
        <f>M53*$B$32</f>
        <v>2560000</v>
      </c>
      <c r="O53" s="266">
        <f>+(N53/12*4)</f>
        <v>853333.33333333337</v>
      </c>
      <c r="P53" s="416">
        <v>853</v>
      </c>
    </row>
    <row r="54" spans="1:25" s="416" customFormat="1" ht="13.9" customHeight="1">
      <c r="A54" s="440" t="s">
        <v>535</v>
      </c>
      <c r="B54" s="483">
        <f>+B51*15%</f>
        <v>12000</v>
      </c>
      <c r="C54" s="484">
        <f>+M83*B54/1000</f>
        <v>0</v>
      </c>
      <c r="D54" s="484">
        <f>+M84*B54/1000</f>
        <v>0</v>
      </c>
      <c r="E54" s="484">
        <f>+M85*B54/1000</f>
        <v>0</v>
      </c>
      <c r="F54" s="484">
        <f>+M86*B54/1000</f>
        <v>0</v>
      </c>
      <c r="G54" s="484">
        <f>+J87*B54/1000</f>
        <v>0</v>
      </c>
      <c r="H54" s="485">
        <f t="shared" si="5"/>
        <v>0</v>
      </c>
      <c r="I54" s="474"/>
      <c r="J54" s="474"/>
      <c r="K54" s="430"/>
      <c r="L54" s="430"/>
      <c r="M54" s="473">
        <f>SUM(M49:M53)</f>
        <v>360</v>
      </c>
      <c r="N54" s="415">
        <f>M54*$B$32</f>
        <v>11520000</v>
      </c>
      <c r="O54" s="266">
        <f>+(N54/12*4)</f>
        <v>3840000</v>
      </c>
      <c r="P54" s="415">
        <f>SUM(P50:P53)</f>
        <v>3840</v>
      </c>
    </row>
    <row r="55" spans="1:25" s="416" customFormat="1" ht="13.9" customHeight="1">
      <c r="A55" s="495" t="s">
        <v>557</v>
      </c>
      <c r="B55" s="496"/>
      <c r="C55" s="497">
        <f>SUM(C53:C54)</f>
        <v>0</v>
      </c>
      <c r="D55" s="497">
        <f>SUM(D53:D54)</f>
        <v>0</v>
      </c>
      <c r="E55" s="497">
        <f>SUM(E53:E54)</f>
        <v>0</v>
      </c>
      <c r="F55" s="497">
        <f>SUM(F53:F54)</f>
        <v>0</v>
      </c>
      <c r="G55" s="497">
        <f>SUM(G53:G54)</f>
        <v>0</v>
      </c>
      <c r="H55" s="498">
        <f t="shared" si="5"/>
        <v>0</v>
      </c>
      <c r="I55" s="474"/>
      <c r="J55" s="499"/>
      <c r="K55" s="430"/>
      <c r="L55" s="500"/>
      <c r="M55" s="500"/>
      <c r="N55" s="501"/>
      <c r="O55" s="431"/>
      <c r="Q55" s="431"/>
    </row>
    <row r="56" spans="1:25" s="416" customFormat="1" ht="13.9" customHeight="1">
      <c r="A56" s="448" t="s">
        <v>529</v>
      </c>
      <c r="B56" s="480">
        <v>22000</v>
      </c>
      <c r="C56" s="502">
        <f>+SZAKFELADATOS!C22</f>
        <v>160.6</v>
      </c>
      <c r="D56" s="502">
        <f>+SZAKFELADATOS!C17</f>
        <v>204.81000000000003</v>
      </c>
      <c r="E56" s="502">
        <f>+SZAKFELADATOS!C21</f>
        <v>88</v>
      </c>
      <c r="F56" s="502">
        <f>+SZAKFELADATOS!C24</f>
        <v>160.6</v>
      </c>
      <c r="G56" s="502">
        <f>+SZAKFELADATOS!C25</f>
        <v>160.6</v>
      </c>
      <c r="H56" s="489">
        <f t="shared" si="5"/>
        <v>774.61</v>
      </c>
      <c r="I56" s="474"/>
      <c r="J56" s="499"/>
      <c r="K56" s="430"/>
      <c r="L56" s="500"/>
      <c r="M56" s="500"/>
      <c r="N56" s="501"/>
      <c r="O56" s="501"/>
      <c r="P56" s="431"/>
      <c r="R56" s="431"/>
    </row>
    <row r="57" spans="1:25" s="416" customFormat="1" ht="13.9" customHeight="1">
      <c r="A57" s="440" t="s">
        <v>535</v>
      </c>
      <c r="B57" s="483">
        <v>28000</v>
      </c>
      <c r="C57" s="503">
        <f>+SZAKFELADATOS!E22</f>
        <v>103.60000000000001</v>
      </c>
      <c r="D57" s="503">
        <f>+SZAKFELADATOS!E17</f>
        <v>131.6</v>
      </c>
      <c r="E57" s="503">
        <f>+SZAKFELADATOS!E21</f>
        <v>56</v>
      </c>
      <c r="F57" s="503">
        <f>+SZAKFELADATOS!E24</f>
        <v>140</v>
      </c>
      <c r="G57" s="503">
        <f>+SZAKFELADATOS!E25</f>
        <v>140</v>
      </c>
      <c r="H57" s="490">
        <f t="shared" si="5"/>
        <v>571.20000000000005</v>
      </c>
      <c r="I57" s="474"/>
      <c r="J57" s="499"/>
      <c r="K57" s="430"/>
      <c r="L57" s="500"/>
      <c r="M57" s="500"/>
      <c r="N57" s="501"/>
      <c r="O57" s="501"/>
      <c r="P57" s="431"/>
      <c r="R57" s="431"/>
    </row>
    <row r="58" spans="1:25" s="416" customFormat="1" ht="13.9" customHeight="1">
      <c r="A58" s="504" t="s">
        <v>558</v>
      </c>
      <c r="B58" s="486"/>
      <c r="C58" s="505">
        <f>SUM(C56:C57)</f>
        <v>264.2</v>
      </c>
      <c r="D58" s="505">
        <f>SUM(D56:D57)</f>
        <v>336.41</v>
      </c>
      <c r="E58" s="505">
        <f>SUM(E56:E57)</f>
        <v>144</v>
      </c>
      <c r="F58" s="505">
        <f>SUM(F56:F57)</f>
        <v>300.60000000000002</v>
      </c>
      <c r="G58" s="505">
        <f>SUM(G56:G57)</f>
        <v>300.60000000000002</v>
      </c>
      <c r="H58" s="506">
        <f t="shared" si="5"/>
        <v>1345.81</v>
      </c>
      <c r="I58" s="499"/>
      <c r="J58" s="499"/>
      <c r="K58" s="430"/>
      <c r="L58" s="430"/>
      <c r="M58" s="430"/>
      <c r="N58" s="415"/>
      <c r="O58" s="415"/>
      <c r="Q58" s="431"/>
      <c r="R58" s="431"/>
    </row>
    <row r="59" spans="1:25" s="416" customFormat="1" ht="13.9" customHeight="1">
      <c r="A59" s="448" t="s">
        <v>529</v>
      </c>
      <c r="B59" s="480">
        <v>22000</v>
      </c>
      <c r="C59" s="481"/>
      <c r="D59" s="481"/>
      <c r="E59" s="481"/>
      <c r="F59" s="481">
        <f>+SZAKFELADATOS!H24</f>
        <v>116.6</v>
      </c>
      <c r="G59" s="481">
        <f>+SZAKFELADATOS!H25</f>
        <v>59.400000000000006</v>
      </c>
      <c r="H59" s="482">
        <f>SUM(F59:G59)</f>
        <v>176</v>
      </c>
      <c r="I59" s="499"/>
      <c r="J59" s="415"/>
      <c r="K59" s="500"/>
      <c r="L59" s="430"/>
      <c r="M59" s="430"/>
      <c r="N59" s="415">
        <v>211406576</v>
      </c>
      <c r="O59" s="415"/>
      <c r="S59" s="431"/>
      <c r="T59" s="431"/>
      <c r="U59" s="431"/>
    </row>
    <row r="60" spans="1:25" s="416" customFormat="1" ht="13.9" customHeight="1">
      <c r="A60" s="440" t="s">
        <v>535</v>
      </c>
      <c r="B60" s="483">
        <v>28000</v>
      </c>
      <c r="C60" s="484"/>
      <c r="D60" s="484"/>
      <c r="E60" s="484"/>
      <c r="F60" s="484">
        <f>+SZAKFELADATOS!J24</f>
        <v>92.399999999999991</v>
      </c>
      <c r="G60" s="484">
        <f>+SZAKFELADATOS!J25</f>
        <v>36.4</v>
      </c>
      <c r="H60" s="485">
        <f>SUM(F60:G60)</f>
        <v>128.79999999999998</v>
      </c>
      <c r="I60" s="499"/>
      <c r="J60" s="415"/>
      <c r="K60" s="500"/>
      <c r="L60" s="430"/>
      <c r="M60" s="430"/>
      <c r="N60" s="415"/>
      <c r="O60" s="415"/>
      <c r="S60" s="431"/>
      <c r="T60" s="431"/>
      <c r="U60" s="431"/>
    </row>
    <row r="61" spans="1:25" s="416" customFormat="1" ht="13.9" customHeight="1" thickBot="1">
      <c r="A61" s="504" t="s">
        <v>559</v>
      </c>
      <c r="B61" s="486"/>
      <c r="C61" s="487"/>
      <c r="D61" s="487"/>
      <c r="E61" s="487"/>
      <c r="F61" s="487">
        <f>SUM(F59:F60)</f>
        <v>209</v>
      </c>
      <c r="G61" s="487">
        <f>SUM(G59:G60)</f>
        <v>95.800000000000011</v>
      </c>
      <c r="H61" s="488">
        <f>SUM(H59:H60)</f>
        <v>304.79999999999995</v>
      </c>
      <c r="I61" s="499"/>
      <c r="J61" s="415"/>
      <c r="K61" s="430"/>
      <c r="L61" s="427"/>
      <c r="M61" s="427"/>
      <c r="N61" s="266"/>
      <c r="O61" s="266"/>
      <c r="P61" s="248"/>
    </row>
    <row r="62" spans="1:25" s="431" customFormat="1" ht="15" customHeight="1" thickBot="1">
      <c r="A62" s="463" t="s">
        <v>287</v>
      </c>
      <c r="B62" s="507"/>
      <c r="C62" s="464">
        <f t="shared" ref="C62:H62" si="6">+C37+C40+C43+C46+C49+C52+C55+C58+C61</f>
        <v>3989.2</v>
      </c>
      <c r="D62" s="464">
        <f t="shared" si="6"/>
        <v>9964.41</v>
      </c>
      <c r="E62" s="464">
        <f t="shared" si="6"/>
        <v>5399</v>
      </c>
      <c r="F62" s="464">
        <f t="shared" si="6"/>
        <v>10125.6</v>
      </c>
      <c r="G62" s="464">
        <f t="shared" si="6"/>
        <v>6492.4000000000005</v>
      </c>
      <c r="H62" s="464">
        <f t="shared" si="6"/>
        <v>35970.61</v>
      </c>
      <c r="I62" s="415"/>
      <c r="J62" s="266"/>
      <c r="K62" s="430"/>
      <c r="L62" s="427"/>
      <c r="M62" s="427"/>
      <c r="N62" s="266"/>
      <c r="O62" s="266"/>
      <c r="P62" s="248"/>
      <c r="Q62" s="248"/>
      <c r="R62" s="248"/>
      <c r="S62" s="416"/>
      <c r="T62" s="416"/>
      <c r="U62" s="416"/>
      <c r="W62" s="416"/>
      <c r="X62" s="416"/>
      <c r="Y62" s="416"/>
    </row>
    <row r="63" spans="1:25" s="431" customFormat="1" ht="15" customHeight="1" thickBot="1">
      <c r="A63" s="508" t="s">
        <v>560</v>
      </c>
      <c r="B63" s="509"/>
      <c r="C63" s="510">
        <f t="shared" ref="C63:H63" si="7">+C34+C62</f>
        <v>14488.2</v>
      </c>
      <c r="D63" s="510">
        <f t="shared" si="7"/>
        <v>35640.410000000003</v>
      </c>
      <c r="E63" s="510">
        <f t="shared" si="7"/>
        <v>16767</v>
      </c>
      <c r="F63" s="510">
        <f t="shared" si="7"/>
        <v>42774.6</v>
      </c>
      <c r="G63" s="510">
        <f t="shared" si="7"/>
        <v>26000.400000000001</v>
      </c>
      <c r="H63" s="511">
        <f t="shared" si="7"/>
        <v>135670.60999999999</v>
      </c>
      <c r="I63" s="415"/>
      <c r="J63" s="266"/>
      <c r="K63" s="430"/>
      <c r="L63" s="427"/>
      <c r="M63" s="427"/>
      <c r="N63" s="266"/>
      <c r="O63" s="266"/>
      <c r="P63" s="248"/>
      <c r="Q63" s="248"/>
      <c r="R63" s="248"/>
      <c r="S63" s="416"/>
      <c r="T63" s="416"/>
      <c r="U63" s="416"/>
      <c r="W63" s="416"/>
      <c r="X63" s="416"/>
      <c r="Y63" s="416"/>
    </row>
    <row r="64" spans="1:25" s="416" customFormat="1">
      <c r="B64" s="428"/>
      <c r="C64" s="415"/>
      <c r="D64" s="415"/>
      <c r="E64" s="415"/>
      <c r="F64" s="415"/>
      <c r="G64" s="415"/>
      <c r="H64" s="415"/>
      <c r="I64" s="415"/>
      <c r="J64" s="266"/>
      <c r="K64" s="430"/>
      <c r="L64" s="427"/>
      <c r="M64" s="427"/>
      <c r="N64" s="266"/>
      <c r="O64" s="266"/>
      <c r="P64" s="248"/>
      <c r="Q64" s="248"/>
      <c r="R64" s="248"/>
      <c r="U64" s="248"/>
      <c r="W64" s="431"/>
      <c r="X64" s="431"/>
      <c r="Y64" s="431"/>
    </row>
    <row r="65" spans="1:25" s="416" customFormat="1">
      <c r="A65" s="512" t="s">
        <v>561</v>
      </c>
      <c r="B65" s="428"/>
      <c r="C65" s="415">
        <f t="shared" ref="C65:H65" si="8">+C63-(C37+C58+C61)</f>
        <v>14198</v>
      </c>
      <c r="D65" s="415">
        <f t="shared" si="8"/>
        <v>35278</v>
      </c>
      <c r="E65" s="415">
        <f t="shared" si="8"/>
        <v>16597</v>
      </c>
      <c r="F65" s="415">
        <f t="shared" si="8"/>
        <v>42239</v>
      </c>
      <c r="G65" s="415">
        <f t="shared" si="8"/>
        <v>25578</v>
      </c>
      <c r="H65" s="415">
        <f t="shared" si="8"/>
        <v>133890</v>
      </c>
      <c r="I65" s="266"/>
      <c r="J65" s="266"/>
      <c r="K65" s="430"/>
      <c r="L65" s="427"/>
      <c r="M65" s="427"/>
      <c r="N65" s="266"/>
      <c r="O65" s="266"/>
      <c r="P65" s="248"/>
      <c r="Q65" s="248"/>
      <c r="R65" s="248"/>
      <c r="U65" s="248"/>
      <c r="W65" s="431"/>
      <c r="X65" s="431"/>
      <c r="Y65" s="431"/>
    </row>
    <row r="66" spans="1:25" s="416" customFormat="1">
      <c r="B66" s="428"/>
      <c r="C66" s="415"/>
      <c r="D66" s="415"/>
      <c r="E66" s="415"/>
      <c r="F66" s="415"/>
      <c r="G66" s="415"/>
      <c r="H66" s="415"/>
      <c r="I66" s="266"/>
      <c r="J66" s="266"/>
      <c r="K66" s="430">
        <f>0.583333333333333*8</f>
        <v>4.6666666666666643</v>
      </c>
      <c r="L66" s="427"/>
      <c r="M66" s="427"/>
      <c r="N66" s="266"/>
      <c r="O66" s="266"/>
      <c r="P66" s="248"/>
      <c r="Q66" s="248"/>
      <c r="R66" s="248"/>
      <c r="U66" s="248"/>
    </row>
    <row r="67" spans="1:25">
      <c r="A67" s="512" t="s">
        <v>562</v>
      </c>
      <c r="B67" s="513"/>
      <c r="C67" s="426"/>
      <c r="D67" s="426"/>
      <c r="E67" s="426"/>
      <c r="G67" s="266"/>
      <c r="H67" s="266">
        <f>+H63-H65</f>
        <v>1780.609999999986</v>
      </c>
      <c r="I67" s="266"/>
      <c r="J67" s="266"/>
      <c r="W67" s="416"/>
      <c r="X67" s="416"/>
      <c r="Y67" s="416"/>
    </row>
    <row r="68" spans="1:25">
      <c r="C68" s="426"/>
      <c r="F68" s="266"/>
      <c r="G68" s="266"/>
      <c r="H68" s="266"/>
      <c r="I68" s="266"/>
      <c r="J68" s="266"/>
      <c r="W68" s="416"/>
      <c r="X68" s="416"/>
      <c r="Y68" s="416"/>
    </row>
    <row r="69" spans="1:25">
      <c r="F69" s="266"/>
      <c r="G69" s="266"/>
      <c r="H69" s="266"/>
      <c r="I69" s="266"/>
      <c r="J69" s="266"/>
    </row>
    <row r="70" spans="1:25">
      <c r="F70" s="266"/>
      <c r="G70" s="426"/>
      <c r="H70" s="266"/>
      <c r="R70" s="418"/>
    </row>
    <row r="71" spans="1:25">
      <c r="L71" s="252"/>
      <c r="M71" s="252"/>
      <c r="N71" s="514"/>
      <c r="P71" s="426"/>
      <c r="Q71" s="266"/>
      <c r="R71" s="266"/>
    </row>
    <row r="72" spans="1:25">
      <c r="B72" s="422" t="s">
        <v>551</v>
      </c>
      <c r="C72" s="252" t="s">
        <v>563</v>
      </c>
      <c r="D72" s="252" t="s">
        <v>321</v>
      </c>
      <c r="E72" s="272" t="s">
        <v>564</v>
      </c>
      <c r="F72" s="252" t="s">
        <v>563</v>
      </c>
      <c r="G72" s="252" t="s">
        <v>321</v>
      </c>
      <c r="H72" s="272" t="s">
        <v>565</v>
      </c>
      <c r="I72" s="252" t="s">
        <v>563</v>
      </c>
      <c r="J72" s="252" t="s">
        <v>321</v>
      </c>
      <c r="K72" s="272" t="s">
        <v>566</v>
      </c>
      <c r="L72" s="252" t="s">
        <v>563</v>
      </c>
      <c r="M72" s="252" t="s">
        <v>321</v>
      </c>
      <c r="N72" s="514" t="s">
        <v>552</v>
      </c>
      <c r="O72" s="266" t="s">
        <v>320</v>
      </c>
      <c r="P72" s="426" t="s">
        <v>321</v>
      </c>
      <c r="Q72" s="266"/>
      <c r="R72" s="272" t="s">
        <v>555</v>
      </c>
      <c r="S72" s="426" t="s">
        <v>320</v>
      </c>
      <c r="T72" s="426" t="s">
        <v>321</v>
      </c>
    </row>
    <row r="73" spans="1:25">
      <c r="A73" s="515" t="s">
        <v>567</v>
      </c>
      <c r="B73" s="422"/>
      <c r="C73" s="252"/>
      <c r="D73" s="252"/>
      <c r="E73" s="272"/>
      <c r="F73" s="252"/>
      <c r="G73" s="252"/>
      <c r="H73" s="272"/>
      <c r="I73" s="252"/>
      <c r="J73" s="252"/>
      <c r="K73" s="272"/>
      <c r="L73" s="516"/>
      <c r="M73" s="266"/>
      <c r="P73" s="266"/>
      <c r="Q73" s="266"/>
      <c r="R73" s="272"/>
      <c r="S73" s="426"/>
      <c r="T73" s="426"/>
    </row>
    <row r="74" spans="1:25">
      <c r="A74" s="248" t="s">
        <v>530</v>
      </c>
      <c r="B74" s="517">
        <v>29</v>
      </c>
      <c r="C74" s="518">
        <f>+B74/12*8</f>
        <v>19.333333333333332</v>
      </c>
      <c r="D74" s="517">
        <v>19</v>
      </c>
      <c r="E74" s="266">
        <v>20</v>
      </c>
      <c r="F74" s="315">
        <f>+E74/12*8</f>
        <v>13.333333333333334</v>
      </c>
      <c r="G74" s="266">
        <v>13</v>
      </c>
      <c r="H74" s="266">
        <v>0</v>
      </c>
      <c r="I74" s="266">
        <v>0</v>
      </c>
      <c r="J74" s="266">
        <v>0</v>
      </c>
      <c r="K74" s="266">
        <v>0</v>
      </c>
      <c r="L74" s="516">
        <v>0</v>
      </c>
      <c r="M74" s="266">
        <v>0</v>
      </c>
      <c r="N74" s="266">
        <v>0</v>
      </c>
      <c r="O74" s="266">
        <v>0</v>
      </c>
      <c r="P74" s="266">
        <v>0</v>
      </c>
      <c r="Q74" s="266"/>
      <c r="R74" s="272">
        <v>0</v>
      </c>
      <c r="S74" s="426">
        <v>0</v>
      </c>
      <c r="T74" s="426">
        <v>0</v>
      </c>
    </row>
    <row r="75" spans="1:25">
      <c r="A75" s="248" t="s">
        <v>531</v>
      </c>
      <c r="B75" s="517">
        <v>8</v>
      </c>
      <c r="C75" s="518">
        <f>+B75/12*8</f>
        <v>5.333333333333333</v>
      </c>
      <c r="D75" s="517">
        <v>6</v>
      </c>
      <c r="E75" s="266">
        <v>8</v>
      </c>
      <c r="F75" s="315">
        <f>+E75/12*8</f>
        <v>5.333333333333333</v>
      </c>
      <c r="G75" s="266">
        <v>6</v>
      </c>
      <c r="H75" s="266">
        <v>8</v>
      </c>
      <c r="I75" s="516">
        <f>+H75/12*8</f>
        <v>5.333333333333333</v>
      </c>
      <c r="J75" s="266">
        <v>5</v>
      </c>
      <c r="K75" s="266">
        <v>0</v>
      </c>
      <c r="L75" s="516">
        <f>+K75/12*8</f>
        <v>0</v>
      </c>
      <c r="M75" s="266"/>
      <c r="N75" s="266">
        <v>100</v>
      </c>
      <c r="O75" s="426">
        <f>+N75/12*8</f>
        <v>66.666666666666671</v>
      </c>
      <c r="P75" s="266">
        <v>66</v>
      </c>
      <c r="Q75" s="266"/>
      <c r="R75" s="266">
        <v>0</v>
      </c>
      <c r="S75" s="427">
        <v>0</v>
      </c>
      <c r="T75" s="266">
        <v>0</v>
      </c>
    </row>
    <row r="76" spans="1:25">
      <c r="A76" s="248" t="s">
        <v>532</v>
      </c>
      <c r="B76" s="517">
        <v>5</v>
      </c>
      <c r="C76" s="518">
        <f>+B76/12*8</f>
        <v>3.3333333333333335</v>
      </c>
      <c r="D76" s="517">
        <v>3</v>
      </c>
      <c r="E76" s="266">
        <v>5</v>
      </c>
      <c r="F76" s="315">
        <f>+E76/12*8</f>
        <v>3.3333333333333335</v>
      </c>
      <c r="G76" s="266">
        <v>3</v>
      </c>
      <c r="H76" s="266">
        <v>0</v>
      </c>
      <c r="I76" s="516"/>
      <c r="J76" s="266"/>
      <c r="K76" s="266">
        <v>0</v>
      </c>
      <c r="L76" s="516">
        <f>+K76/12*8</f>
        <v>0</v>
      </c>
      <c r="M76" s="266"/>
      <c r="N76" s="266">
        <v>45</v>
      </c>
      <c r="O76" s="426">
        <f>+N76/12*8</f>
        <v>30</v>
      </c>
      <c r="P76" s="266">
        <v>30</v>
      </c>
      <c r="Q76" s="266"/>
      <c r="R76" s="266">
        <v>45</v>
      </c>
      <c r="S76" s="427">
        <f>+R76/12*8</f>
        <v>30</v>
      </c>
      <c r="T76" s="266">
        <v>30</v>
      </c>
    </row>
    <row r="77" spans="1:25">
      <c r="A77" s="248" t="s">
        <v>533</v>
      </c>
      <c r="B77" s="517">
        <v>0</v>
      </c>
      <c r="C77" s="518">
        <f>+B77/12*8</f>
        <v>0</v>
      </c>
      <c r="D77" s="517">
        <v>0</v>
      </c>
      <c r="E77" s="266">
        <v>0</v>
      </c>
      <c r="F77" s="315">
        <f>+E77/12*8</f>
        <v>0</v>
      </c>
      <c r="G77" s="266">
        <v>0</v>
      </c>
      <c r="H77" s="266">
        <v>0</v>
      </c>
      <c r="I77" s="516"/>
      <c r="J77" s="266"/>
      <c r="K77" s="266">
        <v>0</v>
      </c>
      <c r="L77" s="516">
        <f>+K77/12*8</f>
        <v>0</v>
      </c>
      <c r="M77" s="266"/>
      <c r="N77" s="266">
        <v>125</v>
      </c>
      <c r="O77" s="426">
        <f>+N77/12*8</f>
        <v>83.333333333333329</v>
      </c>
      <c r="P77" s="266">
        <v>83</v>
      </c>
      <c r="Q77" s="266"/>
      <c r="R77" s="266">
        <v>0</v>
      </c>
      <c r="S77" s="427">
        <f>+R77/12*8</f>
        <v>0</v>
      </c>
      <c r="T77" s="266">
        <v>0</v>
      </c>
    </row>
    <row r="78" spans="1:25">
      <c r="A78" s="248" t="s">
        <v>534</v>
      </c>
      <c r="B78" s="517">
        <v>0</v>
      </c>
      <c r="C78" s="518"/>
      <c r="D78" s="517"/>
      <c r="E78" s="266">
        <v>0</v>
      </c>
      <c r="F78" s="315">
        <f>+E78/12*8</f>
        <v>0</v>
      </c>
      <c r="G78" s="266">
        <v>0</v>
      </c>
      <c r="H78" s="266">
        <v>0</v>
      </c>
      <c r="I78" s="516"/>
      <c r="J78" s="266"/>
      <c r="K78" s="266">
        <v>0</v>
      </c>
      <c r="L78" s="516">
        <f>+K78/12*8</f>
        <v>0</v>
      </c>
      <c r="M78" s="266"/>
      <c r="N78" s="266">
        <v>79</v>
      </c>
      <c r="O78" s="426">
        <f>+N78/12*8</f>
        <v>52.666666666666664</v>
      </c>
      <c r="P78" s="266">
        <v>52</v>
      </c>
      <c r="Q78" s="266"/>
      <c r="R78" s="266">
        <v>0</v>
      </c>
      <c r="S78" s="427">
        <f>+R78/12*8</f>
        <v>0</v>
      </c>
      <c r="T78" s="266">
        <v>0</v>
      </c>
    </row>
    <row r="79" spans="1:25">
      <c r="A79" s="519" t="s">
        <v>568</v>
      </c>
      <c r="B79" s="517">
        <f t="shared" ref="B79:P79" si="9">SUM(B74:B78)</f>
        <v>42</v>
      </c>
      <c r="C79" s="518">
        <f t="shared" si="9"/>
        <v>27.999999999999996</v>
      </c>
      <c r="D79" s="517">
        <f t="shared" si="9"/>
        <v>28</v>
      </c>
      <c r="E79" s="304">
        <f t="shared" si="9"/>
        <v>33</v>
      </c>
      <c r="F79" s="520">
        <f t="shared" si="9"/>
        <v>22</v>
      </c>
      <c r="G79" s="304">
        <f t="shared" si="9"/>
        <v>22</v>
      </c>
      <c r="H79" s="304">
        <f t="shared" si="9"/>
        <v>8</v>
      </c>
      <c r="I79" s="520">
        <f t="shared" si="9"/>
        <v>5.333333333333333</v>
      </c>
      <c r="J79" s="304">
        <f t="shared" si="9"/>
        <v>5</v>
      </c>
      <c r="K79" s="304">
        <f t="shared" si="9"/>
        <v>0</v>
      </c>
      <c r="L79" s="520">
        <f t="shared" si="9"/>
        <v>0</v>
      </c>
      <c r="M79" s="304">
        <f t="shared" si="9"/>
        <v>0</v>
      </c>
      <c r="N79" s="304">
        <f t="shared" si="9"/>
        <v>349</v>
      </c>
      <c r="O79" s="520">
        <f t="shared" si="9"/>
        <v>232.66666666666666</v>
      </c>
      <c r="P79" s="304">
        <f t="shared" si="9"/>
        <v>231</v>
      </c>
      <c r="Q79" s="304"/>
      <c r="R79" s="520">
        <f>SUM(R74:R78)</f>
        <v>45</v>
      </c>
      <c r="S79" s="304">
        <f>+R79/12*8</f>
        <v>30</v>
      </c>
      <c r="T79" s="304">
        <v>30</v>
      </c>
    </row>
    <row r="80" spans="1:25">
      <c r="A80" s="248" t="s">
        <v>545</v>
      </c>
      <c r="B80" s="517">
        <v>25</v>
      </c>
      <c r="C80" s="518">
        <f>+B80/12*8</f>
        <v>16.666666666666668</v>
      </c>
      <c r="D80" s="517">
        <v>17</v>
      </c>
      <c r="E80" s="266">
        <v>25</v>
      </c>
      <c r="F80" s="315">
        <f>+E80/12*8</f>
        <v>16.666666666666668</v>
      </c>
      <c r="G80" s="266">
        <v>17</v>
      </c>
      <c r="H80" s="266">
        <v>7</v>
      </c>
      <c r="I80" s="516">
        <f>+H80/12*8</f>
        <v>4.666666666666667</v>
      </c>
      <c r="J80" s="266">
        <v>5</v>
      </c>
      <c r="K80" s="266">
        <v>18</v>
      </c>
      <c r="L80" s="516">
        <f>+K80/12*8</f>
        <v>12</v>
      </c>
      <c r="M80" s="266">
        <v>12</v>
      </c>
      <c r="N80" s="266">
        <v>0</v>
      </c>
      <c r="O80" s="426">
        <f>+N80/12*8</f>
        <v>0</v>
      </c>
      <c r="P80" s="266"/>
      <c r="Q80" s="304"/>
      <c r="R80" s="266">
        <v>0</v>
      </c>
      <c r="S80" s="427">
        <f>+R80/12*8</f>
        <v>0</v>
      </c>
      <c r="T80" s="266">
        <v>0</v>
      </c>
      <c r="U80" s="418"/>
    </row>
    <row r="81" spans="1:25">
      <c r="A81" s="519" t="s">
        <v>569</v>
      </c>
      <c r="B81" s="517">
        <f t="shared" ref="B81:P81" si="10">SUM(B79:B80)</f>
        <v>67</v>
      </c>
      <c r="C81" s="518">
        <f t="shared" si="10"/>
        <v>44.666666666666664</v>
      </c>
      <c r="D81" s="517">
        <f t="shared" si="10"/>
        <v>45</v>
      </c>
      <c r="E81" s="304">
        <f t="shared" si="10"/>
        <v>58</v>
      </c>
      <c r="F81" s="520">
        <f t="shared" si="10"/>
        <v>38.666666666666671</v>
      </c>
      <c r="G81" s="304">
        <f t="shared" si="10"/>
        <v>39</v>
      </c>
      <c r="H81" s="304">
        <f t="shared" si="10"/>
        <v>15</v>
      </c>
      <c r="I81" s="521">
        <f t="shared" si="10"/>
        <v>10</v>
      </c>
      <c r="J81" s="304">
        <f t="shared" si="10"/>
        <v>10</v>
      </c>
      <c r="K81" s="304">
        <f t="shared" si="10"/>
        <v>18</v>
      </c>
      <c r="L81" s="516">
        <f t="shared" si="10"/>
        <v>12</v>
      </c>
      <c r="M81" s="304">
        <f t="shared" si="10"/>
        <v>12</v>
      </c>
      <c r="N81" s="304">
        <f t="shared" si="10"/>
        <v>349</v>
      </c>
      <c r="O81" s="304">
        <f t="shared" si="10"/>
        <v>232.66666666666666</v>
      </c>
      <c r="P81" s="304">
        <f t="shared" si="10"/>
        <v>231</v>
      </c>
      <c r="Q81" s="266"/>
      <c r="R81" s="266">
        <f>SUM(R79:R80)</f>
        <v>45</v>
      </c>
      <c r="S81" s="427">
        <f>SUM(S79:S80)</f>
        <v>30</v>
      </c>
      <c r="T81" s="266"/>
    </row>
    <row r="82" spans="1:25" s="418" customFormat="1">
      <c r="A82" s="418" t="s">
        <v>570</v>
      </c>
      <c r="B82" s="517"/>
      <c r="C82" s="518"/>
      <c r="D82" s="517"/>
      <c r="E82" s="266"/>
      <c r="F82" s="315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R82" s="248"/>
      <c r="S82" s="427"/>
      <c r="T82" s="266"/>
      <c r="U82" s="248"/>
      <c r="W82" s="248"/>
      <c r="X82" s="248"/>
      <c r="Y82" s="248"/>
    </row>
    <row r="83" spans="1:25">
      <c r="A83" s="42" t="s">
        <v>530</v>
      </c>
      <c r="B83" s="818">
        <v>25</v>
      </c>
      <c r="C83" s="819">
        <f>+B83/12*4</f>
        <v>8.3333333333333339</v>
      </c>
      <c r="D83" s="818">
        <v>8</v>
      </c>
      <c r="E83" s="266">
        <v>25</v>
      </c>
      <c r="F83" s="426">
        <f>+E83/12*4</f>
        <v>8.3333333333333339</v>
      </c>
      <c r="G83" s="266">
        <v>8</v>
      </c>
      <c r="H83" s="272">
        <v>0</v>
      </c>
      <c r="I83" s="272"/>
      <c r="J83" s="272"/>
      <c r="K83" s="272">
        <v>0</v>
      </c>
      <c r="L83" s="272"/>
      <c r="M83" s="272"/>
      <c r="N83" s="272">
        <v>0</v>
      </c>
      <c r="O83" s="272"/>
      <c r="P83" s="272"/>
      <c r="Q83" s="266"/>
      <c r="R83" s="418">
        <v>0</v>
      </c>
      <c r="S83" s="427"/>
      <c r="T83" s="266"/>
    </row>
    <row r="84" spans="1:25">
      <c r="A84" s="248" t="s">
        <v>531</v>
      </c>
      <c r="B84" s="517">
        <v>8</v>
      </c>
      <c r="C84" s="518">
        <f>+B84/12*4</f>
        <v>2.6666666666666665</v>
      </c>
      <c r="D84" s="517">
        <v>3</v>
      </c>
      <c r="E84" s="266">
        <v>8</v>
      </c>
      <c r="F84" s="426">
        <f>+E84/12*4</f>
        <v>2.6666666666666665</v>
      </c>
      <c r="G84" s="266">
        <v>3</v>
      </c>
      <c r="H84" s="266">
        <v>8</v>
      </c>
      <c r="I84" s="426">
        <f>+H84/12*4</f>
        <v>2.6666666666666665</v>
      </c>
      <c r="J84" s="266">
        <v>3</v>
      </c>
      <c r="K84" s="266">
        <v>0</v>
      </c>
      <c r="L84" s="516">
        <f>+K84/12*4</f>
        <v>0</v>
      </c>
      <c r="M84" s="266"/>
      <c r="N84" s="266">
        <v>105</v>
      </c>
      <c r="O84" s="315">
        <f>+N84/12*4</f>
        <v>35</v>
      </c>
      <c r="P84" s="266">
        <v>34</v>
      </c>
      <c r="Q84" s="266"/>
      <c r="R84" s="266">
        <v>0</v>
      </c>
      <c r="S84" s="427"/>
      <c r="T84" s="266"/>
      <c r="W84" s="418"/>
      <c r="X84" s="418"/>
      <c r="Y84" s="418"/>
    </row>
    <row r="85" spans="1:25">
      <c r="A85" s="248" t="s">
        <v>532</v>
      </c>
      <c r="B85" s="517">
        <v>5</v>
      </c>
      <c r="C85" s="518">
        <f>+B85/12*4</f>
        <v>1.6666666666666667</v>
      </c>
      <c r="D85" s="517">
        <v>2</v>
      </c>
      <c r="E85" s="266">
        <v>5</v>
      </c>
      <c r="F85" s="426">
        <f>+E85/12*4</f>
        <v>1.6666666666666667</v>
      </c>
      <c r="G85" s="266">
        <v>2</v>
      </c>
      <c r="H85" s="266">
        <v>0</v>
      </c>
      <c r="I85" s="266"/>
      <c r="J85" s="266"/>
      <c r="K85" s="266">
        <v>0</v>
      </c>
      <c r="L85" s="516">
        <f>+K85/12*4</f>
        <v>0</v>
      </c>
      <c r="M85" s="266"/>
      <c r="N85" s="266">
        <v>50</v>
      </c>
      <c r="O85" s="315">
        <f>+N85/12*4</f>
        <v>16.666666666666668</v>
      </c>
      <c r="P85" s="266">
        <v>17</v>
      </c>
      <c r="Q85" s="266"/>
      <c r="R85" s="266">
        <v>50</v>
      </c>
      <c r="S85" s="427">
        <f>+R85/12*4</f>
        <v>16.666666666666668</v>
      </c>
      <c r="T85" s="266">
        <v>17</v>
      </c>
      <c r="U85" s="519"/>
    </row>
    <row r="86" spans="1:25">
      <c r="A86" s="248" t="s">
        <v>533</v>
      </c>
      <c r="B86" s="517">
        <v>0</v>
      </c>
      <c r="C86" s="518"/>
      <c r="D86" s="517"/>
      <c r="E86" s="266">
        <v>0</v>
      </c>
      <c r="F86" s="426">
        <f>+E86/12*4</f>
        <v>0</v>
      </c>
      <c r="G86" s="266"/>
      <c r="H86" s="266">
        <v>0</v>
      </c>
      <c r="I86" s="266"/>
      <c r="J86" s="266"/>
      <c r="K86" s="266">
        <v>0</v>
      </c>
      <c r="L86" s="516">
        <f>+K86/12*4</f>
        <v>0</v>
      </c>
      <c r="M86" s="266"/>
      <c r="N86" s="266">
        <v>126</v>
      </c>
      <c r="O86" s="315">
        <f>+N86/12*4</f>
        <v>42</v>
      </c>
      <c r="P86" s="266">
        <v>42</v>
      </c>
      <c r="Q86" s="266"/>
      <c r="R86" s="266">
        <v>0</v>
      </c>
      <c r="S86" s="427"/>
      <c r="T86" s="266"/>
    </row>
    <row r="87" spans="1:25">
      <c r="A87" s="248" t="s">
        <v>534</v>
      </c>
      <c r="B87" s="517">
        <v>0</v>
      </c>
      <c r="C87" s="518"/>
      <c r="D87" s="517"/>
      <c r="E87" s="266">
        <v>0</v>
      </c>
      <c r="F87" s="426">
        <f>+E87/12*4</f>
        <v>0</v>
      </c>
      <c r="G87" s="266"/>
      <c r="H87" s="266">
        <v>0</v>
      </c>
      <c r="I87" s="266"/>
      <c r="J87" s="266"/>
      <c r="K87" s="266">
        <v>0</v>
      </c>
      <c r="L87" s="516">
        <f>+K87/12*4</f>
        <v>0</v>
      </c>
      <c r="M87" s="266"/>
      <c r="N87" s="266">
        <v>81</v>
      </c>
      <c r="O87" s="315">
        <f>+N87/12*4</f>
        <v>27</v>
      </c>
      <c r="P87" s="266">
        <v>27</v>
      </c>
      <c r="Q87" s="266"/>
      <c r="R87" s="266">
        <v>0</v>
      </c>
      <c r="S87" s="427"/>
      <c r="T87" s="266"/>
    </row>
    <row r="88" spans="1:25" s="519" customFormat="1">
      <c r="A88" s="519" t="s">
        <v>568</v>
      </c>
      <c r="B88" s="517">
        <f t="shared" ref="B88:T88" si="11">SUM(B83:B87)</f>
        <v>38</v>
      </c>
      <c r="C88" s="518">
        <f t="shared" si="11"/>
        <v>12.666666666666666</v>
      </c>
      <c r="D88" s="517">
        <f t="shared" si="11"/>
        <v>13</v>
      </c>
      <c r="E88" s="304">
        <f t="shared" si="11"/>
        <v>38</v>
      </c>
      <c r="F88" s="522">
        <f t="shared" si="11"/>
        <v>12.666666666666666</v>
      </c>
      <c r="G88" s="304">
        <f t="shared" si="11"/>
        <v>13</v>
      </c>
      <c r="H88" s="304">
        <f t="shared" si="11"/>
        <v>8</v>
      </c>
      <c r="I88" s="522">
        <f t="shared" si="11"/>
        <v>2.6666666666666665</v>
      </c>
      <c r="J88" s="522">
        <f t="shared" si="11"/>
        <v>3</v>
      </c>
      <c r="K88" s="304">
        <f t="shared" si="11"/>
        <v>0</v>
      </c>
      <c r="L88" s="522">
        <f t="shared" si="11"/>
        <v>0</v>
      </c>
      <c r="M88" s="304">
        <f t="shared" si="11"/>
        <v>0</v>
      </c>
      <c r="N88" s="304">
        <f t="shared" si="11"/>
        <v>362</v>
      </c>
      <c r="O88" s="520">
        <f t="shared" si="11"/>
        <v>120.66666666666667</v>
      </c>
      <c r="P88" s="304">
        <f t="shared" si="11"/>
        <v>120</v>
      </c>
      <c r="Q88" s="304">
        <f t="shared" si="11"/>
        <v>0</v>
      </c>
      <c r="R88" s="522">
        <f t="shared" si="11"/>
        <v>50</v>
      </c>
      <c r="S88" s="304">
        <f t="shared" si="11"/>
        <v>16.666666666666668</v>
      </c>
      <c r="T88" s="304">
        <f t="shared" si="11"/>
        <v>17</v>
      </c>
      <c r="U88" s="248"/>
      <c r="W88" s="248"/>
      <c r="X88" s="248"/>
      <c r="Y88" s="248"/>
    </row>
    <row r="89" spans="1:25">
      <c r="A89" s="248" t="s">
        <v>545</v>
      </c>
      <c r="B89" s="517">
        <v>25</v>
      </c>
      <c r="C89" s="518">
        <f>+B89/12*4</f>
        <v>8.3333333333333339</v>
      </c>
      <c r="D89" s="517">
        <v>8</v>
      </c>
      <c r="E89" s="266">
        <v>25</v>
      </c>
      <c r="F89" s="426">
        <f>+E89/12*4</f>
        <v>8.3333333333333339</v>
      </c>
      <c r="G89" s="266">
        <v>8</v>
      </c>
      <c r="H89" s="266">
        <v>7</v>
      </c>
      <c r="I89" s="426">
        <f>+H89/12*4</f>
        <v>2.3333333333333335</v>
      </c>
      <c r="J89" s="266">
        <v>2</v>
      </c>
      <c r="K89" s="266">
        <v>18</v>
      </c>
      <c r="L89" s="516">
        <f>+K89/12*4</f>
        <v>6</v>
      </c>
      <c r="M89" s="266">
        <v>6</v>
      </c>
      <c r="N89" s="266">
        <v>0</v>
      </c>
      <c r="O89" s="266">
        <f>+N89/12*4</f>
        <v>0</v>
      </c>
      <c r="P89" s="266"/>
      <c r="Q89" s="266"/>
      <c r="R89" s="266">
        <v>0</v>
      </c>
      <c r="S89" s="427"/>
      <c r="T89" s="272"/>
    </row>
    <row r="90" spans="1:25">
      <c r="A90" s="519" t="s">
        <v>569</v>
      </c>
      <c r="B90" s="517">
        <f t="shared" ref="B90:T90" si="12">SUM(B88:B89)</f>
        <v>63</v>
      </c>
      <c r="C90" s="518">
        <f t="shared" si="12"/>
        <v>21</v>
      </c>
      <c r="D90" s="517">
        <f t="shared" si="12"/>
        <v>21</v>
      </c>
      <c r="E90" s="304">
        <f t="shared" si="12"/>
        <v>63</v>
      </c>
      <c r="F90" s="522">
        <f t="shared" si="12"/>
        <v>21</v>
      </c>
      <c r="G90" s="304">
        <f t="shared" si="12"/>
        <v>21</v>
      </c>
      <c r="H90" s="304">
        <f t="shared" si="12"/>
        <v>15</v>
      </c>
      <c r="I90" s="522">
        <f t="shared" si="12"/>
        <v>5</v>
      </c>
      <c r="J90" s="304">
        <f t="shared" si="12"/>
        <v>5</v>
      </c>
      <c r="K90" s="304">
        <f t="shared" si="12"/>
        <v>18</v>
      </c>
      <c r="L90" s="522">
        <f t="shared" si="12"/>
        <v>6</v>
      </c>
      <c r="M90" s="304">
        <f t="shared" si="12"/>
        <v>6</v>
      </c>
      <c r="N90" s="304">
        <f t="shared" si="12"/>
        <v>362</v>
      </c>
      <c r="O90" s="522">
        <f t="shared" si="12"/>
        <v>120.66666666666667</v>
      </c>
      <c r="P90" s="304">
        <f t="shared" si="12"/>
        <v>120</v>
      </c>
      <c r="Q90" s="304">
        <f t="shared" si="12"/>
        <v>0</v>
      </c>
      <c r="R90" s="522">
        <f t="shared" si="12"/>
        <v>50</v>
      </c>
      <c r="S90" s="304">
        <f t="shared" si="12"/>
        <v>16.666666666666668</v>
      </c>
      <c r="T90" s="304">
        <f t="shared" si="12"/>
        <v>17</v>
      </c>
      <c r="W90" s="519"/>
      <c r="X90" s="519"/>
      <c r="Y90" s="519"/>
    </row>
    <row r="91" spans="1:25">
      <c r="D91" s="252"/>
      <c r="F91" s="266"/>
      <c r="G91" s="266"/>
      <c r="H91" s="426"/>
      <c r="I91" s="426"/>
      <c r="J91" s="426"/>
      <c r="K91" s="248"/>
      <c r="L91" s="248"/>
      <c r="M91" s="248"/>
      <c r="N91" s="248"/>
      <c r="P91" s="266"/>
    </row>
    <row r="96" spans="1:25">
      <c r="A96" s="723"/>
      <c r="B96" s="758"/>
      <c r="C96" s="744"/>
      <c r="D96" s="744"/>
      <c r="E96" s="744"/>
      <c r="F96" s="759"/>
      <c r="G96" s="723"/>
      <c r="H96" s="723"/>
      <c r="I96" s="723"/>
    </row>
    <row r="97" spans="1:9">
      <c r="A97" s="51"/>
      <c r="B97" s="760"/>
      <c r="C97" s="47"/>
      <c r="D97" s="47"/>
      <c r="E97" s="47"/>
      <c r="F97" s="761"/>
      <c r="G97" s="51"/>
      <c r="H97" s="51"/>
      <c r="I97" s="51"/>
    </row>
    <row r="98" spans="1:9">
      <c r="A98" s="51"/>
      <c r="B98" s="760"/>
      <c r="C98" s="47"/>
      <c r="D98" s="47"/>
      <c r="E98" s="47"/>
      <c r="F98" s="761"/>
      <c r="G98" s="51"/>
      <c r="H98" s="51"/>
      <c r="I98" s="51"/>
    </row>
    <row r="99" spans="1:9">
      <c r="A99" s="51"/>
      <c r="B99" s="760"/>
      <c r="C99" s="47"/>
      <c r="D99" s="47"/>
      <c r="E99" s="47"/>
      <c r="F99" s="761"/>
      <c r="G99" s="51"/>
      <c r="H99" s="51"/>
      <c r="I99" s="51"/>
    </row>
    <row r="100" spans="1:9">
      <c r="A100" s="725"/>
      <c r="B100" s="762"/>
      <c r="C100" s="745"/>
      <c r="D100" s="745"/>
      <c r="E100" s="745"/>
      <c r="F100" s="763"/>
      <c r="G100" s="725"/>
      <c r="H100" s="725"/>
      <c r="I100" s="725"/>
    </row>
  </sheetData>
  <mergeCells count="2">
    <mergeCell ref="M31:N31"/>
    <mergeCell ref="Q31:T31"/>
  </mergeCells>
  <phoneticPr fontId="25" type="noConversion"/>
  <printOptions horizontalCentered="1" gridLines="1"/>
  <pageMargins left="0.78740157480314965" right="0.78740157480314965" top="0.96" bottom="0.33" header="0.3" footer="0.17"/>
  <pageSetup paperSize="9" scale="85" orientation="landscape" r:id="rId1"/>
  <headerFooter alignWithMargins="0">
    <oddHeader>&amp;LSzent László Völgye
Kistérségi Szolgáltató Iroda&amp;C&amp;"Arial,Félkövér"&amp;14 ÓVODAI NORMATÍVA
2011&amp;R
10/A sz. melléklet
Adatok: Ft-ban</oddHeader>
    <oddFooter>&amp;L&amp;F/&amp;A&amp;C&amp;D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T100"/>
  <sheetViews>
    <sheetView topLeftCell="A46" zoomScaleSheetLayoutView="100" workbookViewId="0">
      <selection activeCell="E62" sqref="E62"/>
    </sheetView>
  </sheetViews>
  <sheetFormatPr defaultColWidth="8.85546875" defaultRowHeight="12.75"/>
  <cols>
    <col min="1" max="1" width="33.42578125" style="329" customWidth="1"/>
    <col min="2" max="2" width="10.140625" style="523" customWidth="1"/>
    <col min="3" max="3" width="16.7109375" style="326" customWidth="1"/>
    <col min="4" max="4" width="13.42578125" style="329" customWidth="1"/>
    <col min="5" max="5" width="9.140625" style="329" bestFit="1" customWidth="1"/>
    <col min="6" max="6" width="13.7109375" style="327" bestFit="1" customWidth="1"/>
    <col min="7" max="7" width="8.85546875" style="329" customWidth="1"/>
    <col min="8" max="8" width="10.5703125" style="329" customWidth="1"/>
    <col min="9" max="11" width="8.85546875" style="329" customWidth="1"/>
    <col min="12" max="12" width="8.85546875" style="524" customWidth="1"/>
    <col min="13" max="13" width="8.85546875" style="329" customWidth="1"/>
    <col min="14" max="15" width="11.5703125" style="326" customWidth="1"/>
    <col min="16" max="16" width="10.140625" style="329" bestFit="1" customWidth="1"/>
    <col min="17" max="17" width="10" style="329" bestFit="1" customWidth="1"/>
    <col min="18" max="18" width="8.85546875" style="329" customWidth="1"/>
    <col min="19" max="19" width="10.7109375" style="329" customWidth="1"/>
    <col min="20" max="16384" width="8.85546875" style="329"/>
  </cols>
  <sheetData>
    <row r="1" spans="1:16">
      <c r="A1" s="326">
        <v>2350000</v>
      </c>
      <c r="B1" s="814" t="s">
        <v>265</v>
      </c>
      <c r="C1" s="590" t="s">
        <v>571</v>
      </c>
      <c r="D1" s="589" t="s">
        <v>572</v>
      </c>
      <c r="E1" s="333" t="s">
        <v>524</v>
      </c>
    </row>
    <row r="2" spans="1:16">
      <c r="A2" s="525" t="s">
        <v>573</v>
      </c>
      <c r="B2" s="814">
        <v>62</v>
      </c>
      <c r="C2" s="590">
        <v>21</v>
      </c>
      <c r="D2" s="815">
        <v>1</v>
      </c>
      <c r="E2" s="332">
        <v>1.2</v>
      </c>
      <c r="F2" s="327">
        <f t="shared" ref="F2:F7" si="0">+B2/C2*E2</f>
        <v>3.5428571428571431</v>
      </c>
      <c r="G2" s="329">
        <v>3.5</v>
      </c>
      <c r="H2" s="326">
        <f t="shared" ref="H2:H7" si="1">+$A$1*G2/12*8</f>
        <v>5483333.333333333</v>
      </c>
      <c r="I2" s="326">
        <v>5483</v>
      </c>
      <c r="K2" s="329">
        <v>56</v>
      </c>
      <c r="L2" s="524">
        <f t="shared" ref="L2:L7" si="2">K2/C2*E2</f>
        <v>3.1999999999999997</v>
      </c>
      <c r="M2" s="329">
        <v>3.2</v>
      </c>
      <c r="N2" s="326">
        <f t="shared" ref="N2:N7" si="3">$A$1*M2/12*4</f>
        <v>2506666.6666666665</v>
      </c>
      <c r="O2" s="326">
        <v>2507</v>
      </c>
    </row>
    <row r="3" spans="1:16">
      <c r="A3" s="329" t="s">
        <v>574</v>
      </c>
      <c r="B3" s="814">
        <v>17</v>
      </c>
      <c r="C3" s="590">
        <v>21</v>
      </c>
      <c r="D3" s="815">
        <v>1</v>
      </c>
      <c r="E3" s="332">
        <v>1.22</v>
      </c>
      <c r="F3" s="327">
        <f t="shared" si="0"/>
        <v>0.98761904761904762</v>
      </c>
      <c r="G3" s="329">
        <v>1</v>
      </c>
      <c r="H3" s="326">
        <f t="shared" si="1"/>
        <v>1566666.6666666667</v>
      </c>
      <c r="I3" s="326">
        <v>1567</v>
      </c>
      <c r="K3" s="329">
        <v>36</v>
      </c>
      <c r="L3" s="524">
        <f t="shared" si="2"/>
        <v>2.0914285714285712</v>
      </c>
      <c r="M3" s="329">
        <v>2.1</v>
      </c>
      <c r="N3" s="326">
        <f t="shared" si="3"/>
        <v>1645000</v>
      </c>
      <c r="O3" s="326">
        <v>1645</v>
      </c>
    </row>
    <row r="4" spans="1:16">
      <c r="A4" s="813" t="s">
        <v>575</v>
      </c>
      <c r="B4" s="814">
        <v>18</v>
      </c>
      <c r="C4" s="590">
        <v>21</v>
      </c>
      <c r="D4" s="815">
        <v>1</v>
      </c>
      <c r="E4" s="332">
        <v>1.39</v>
      </c>
      <c r="F4" s="327">
        <f t="shared" si="0"/>
        <v>1.1914285714285713</v>
      </c>
      <c r="G4" s="329">
        <v>1.2</v>
      </c>
      <c r="H4" s="326">
        <f t="shared" si="1"/>
        <v>1880000</v>
      </c>
      <c r="I4" s="326">
        <v>1880</v>
      </c>
      <c r="J4" s="326">
        <f>+I2+I3+I4</f>
        <v>8930</v>
      </c>
      <c r="K4" s="329">
        <v>17</v>
      </c>
      <c r="L4" s="524">
        <f t="shared" si="2"/>
        <v>1.1252380952380951</v>
      </c>
      <c r="M4" s="329">
        <v>1.1000000000000001</v>
      </c>
      <c r="N4" s="326">
        <f t="shared" si="3"/>
        <v>861666.66666666663</v>
      </c>
      <c r="O4" s="326">
        <v>862</v>
      </c>
      <c r="P4" s="326">
        <f>+O2+O3+O4</f>
        <v>5014</v>
      </c>
    </row>
    <row r="5" spans="1:16">
      <c r="A5" s="329" t="s">
        <v>576</v>
      </c>
      <c r="B5" s="523">
        <v>42</v>
      </c>
      <c r="C5" s="326">
        <v>23</v>
      </c>
      <c r="D5" s="332">
        <v>1</v>
      </c>
      <c r="E5" s="332">
        <v>1.55</v>
      </c>
      <c r="F5" s="327">
        <f t="shared" si="0"/>
        <v>2.8304347826086955</v>
      </c>
      <c r="G5" s="329">
        <v>2.8</v>
      </c>
      <c r="H5" s="326">
        <f t="shared" si="1"/>
        <v>4386666.666666667</v>
      </c>
      <c r="I5" s="326">
        <v>4387</v>
      </c>
      <c r="J5" s="326"/>
      <c r="K5" s="329">
        <v>35</v>
      </c>
      <c r="L5" s="524">
        <f t="shared" si="2"/>
        <v>2.3586956521739131</v>
      </c>
      <c r="M5" s="329">
        <v>2.4</v>
      </c>
      <c r="N5" s="326">
        <f t="shared" si="3"/>
        <v>1880000</v>
      </c>
      <c r="O5" s="326">
        <v>1880</v>
      </c>
    </row>
    <row r="6" spans="1:16">
      <c r="A6" s="525" t="s">
        <v>577</v>
      </c>
      <c r="B6" s="523">
        <v>20</v>
      </c>
      <c r="C6" s="326">
        <v>23</v>
      </c>
      <c r="D6" s="332">
        <v>1</v>
      </c>
      <c r="E6" s="332">
        <v>1.76</v>
      </c>
      <c r="F6" s="327">
        <f t="shared" si="0"/>
        <v>1.5304347826086957</v>
      </c>
      <c r="G6" s="329">
        <v>1.5</v>
      </c>
      <c r="H6" s="326">
        <f t="shared" si="1"/>
        <v>2350000</v>
      </c>
      <c r="I6" s="326">
        <v>2350</v>
      </c>
      <c r="J6" s="326"/>
      <c r="K6" s="329">
        <v>25</v>
      </c>
      <c r="L6" s="524">
        <f t="shared" si="2"/>
        <v>1.9130434782608694</v>
      </c>
      <c r="M6" s="329">
        <v>1.9</v>
      </c>
      <c r="N6" s="326">
        <f t="shared" si="3"/>
        <v>1488333.3333333333</v>
      </c>
      <c r="O6" s="326">
        <v>1488</v>
      </c>
    </row>
    <row r="7" spans="1:16">
      <c r="A7" s="329" t="s">
        <v>578</v>
      </c>
      <c r="B7" s="523">
        <v>24</v>
      </c>
      <c r="C7" s="326">
        <v>23</v>
      </c>
      <c r="D7" s="332">
        <v>1</v>
      </c>
      <c r="E7" s="332">
        <v>1.76</v>
      </c>
      <c r="F7" s="327">
        <f t="shared" si="0"/>
        <v>1.8365217391304347</v>
      </c>
      <c r="G7" s="329">
        <v>1.9</v>
      </c>
      <c r="H7" s="326">
        <f t="shared" si="1"/>
        <v>2976666.6666666665</v>
      </c>
      <c r="I7" s="326">
        <v>2977</v>
      </c>
      <c r="J7" s="326">
        <f>+I5+I6+I7</f>
        <v>9714</v>
      </c>
      <c r="K7" s="329">
        <v>20</v>
      </c>
      <c r="L7" s="524">
        <f t="shared" si="2"/>
        <v>1.5304347826086957</v>
      </c>
      <c r="M7" s="329">
        <v>1.5</v>
      </c>
      <c r="N7" s="326">
        <f t="shared" si="3"/>
        <v>1175000</v>
      </c>
      <c r="O7" s="326">
        <v>1175</v>
      </c>
      <c r="P7" s="326">
        <f>+O5+O6+O7</f>
        <v>4543</v>
      </c>
    </row>
    <row r="8" spans="1:16">
      <c r="B8" s="523">
        <f>SUM(B2:B7)</f>
        <v>183</v>
      </c>
      <c r="H8" s="326">
        <f>SUM(H2:H7)</f>
        <v>18643333.333333336</v>
      </c>
      <c r="I8" s="326">
        <f>SUM(I2:I7)</f>
        <v>18644</v>
      </c>
      <c r="J8" s="326">
        <f>SUM(J4:J7)</f>
        <v>18644</v>
      </c>
      <c r="K8" s="329">
        <f>SUM(K2:K7)</f>
        <v>189</v>
      </c>
      <c r="N8" s="326">
        <f>SUM(N2:N7)</f>
        <v>9556666.666666666</v>
      </c>
      <c r="O8" s="326">
        <f>SUM(O2:O7)</f>
        <v>9557</v>
      </c>
      <c r="P8" s="326">
        <f>SUM(P4:P7)</f>
        <v>9557</v>
      </c>
    </row>
    <row r="9" spans="1:16">
      <c r="A9" s="340" t="s">
        <v>579</v>
      </c>
      <c r="H9" s="326"/>
      <c r="I9" s="326"/>
      <c r="J9" s="326"/>
      <c r="P9" s="326"/>
    </row>
    <row r="10" spans="1:16">
      <c r="A10" s="526" t="s">
        <v>580</v>
      </c>
      <c r="B10" s="523">
        <v>47</v>
      </c>
      <c r="C10" s="326">
        <v>25</v>
      </c>
      <c r="D10" s="332">
        <v>0.25</v>
      </c>
      <c r="E10" s="332">
        <v>0.24</v>
      </c>
      <c r="F10" s="327">
        <f>+B10/C10*E10</f>
        <v>0.45119999999999993</v>
      </c>
      <c r="G10" s="329">
        <v>0.5</v>
      </c>
      <c r="H10" s="326">
        <f>+G10*$A$1/12*8</f>
        <v>783333.33333333337</v>
      </c>
      <c r="I10" s="326">
        <v>783</v>
      </c>
      <c r="J10" s="326"/>
      <c r="K10" s="329">
        <v>50</v>
      </c>
      <c r="L10" s="524">
        <f>K10/C10*E10</f>
        <v>0.48</v>
      </c>
      <c r="M10" s="329">
        <v>0.5</v>
      </c>
      <c r="N10" s="326">
        <f>$A$1*M10/12*4</f>
        <v>391666.66666666669</v>
      </c>
      <c r="O10" s="326">
        <v>392</v>
      </c>
      <c r="P10" s="326"/>
    </row>
    <row r="11" spans="1:16">
      <c r="A11" s="527" t="s">
        <v>581</v>
      </c>
      <c r="B11" s="523">
        <v>25</v>
      </c>
      <c r="C11" s="326">
        <v>25</v>
      </c>
      <c r="D11" s="332">
        <v>0.25</v>
      </c>
      <c r="E11" s="332">
        <v>0.16</v>
      </c>
      <c r="F11" s="327">
        <f>+B11/C11*E11</f>
        <v>0.16</v>
      </c>
      <c r="G11" s="329">
        <v>0.2</v>
      </c>
      <c r="H11" s="326">
        <f>+G11*$A$1/12*8</f>
        <v>313333.33333333331</v>
      </c>
      <c r="I11" s="326">
        <v>313</v>
      </c>
      <c r="J11" s="326"/>
      <c r="K11" s="329">
        <v>25</v>
      </c>
      <c r="L11" s="524">
        <f>K11/C11*E11</f>
        <v>0.16</v>
      </c>
      <c r="M11" s="329">
        <v>0.2</v>
      </c>
      <c r="N11" s="326">
        <f>$A$1*M11/12*4</f>
        <v>156666.66666666666</v>
      </c>
      <c r="O11" s="326">
        <v>157</v>
      </c>
      <c r="P11" s="326"/>
    </row>
    <row r="12" spans="1:16">
      <c r="B12" s="523">
        <f>SUM(B10:B11)</f>
        <v>72</v>
      </c>
      <c r="H12" s="326"/>
      <c r="I12" s="326">
        <f>SUM(I10:I11)</f>
        <v>1096</v>
      </c>
      <c r="J12" s="326"/>
      <c r="K12" s="329">
        <f>SUM(K10:K11)</f>
        <v>75</v>
      </c>
      <c r="O12" s="326">
        <f>SUM(O10:O11)</f>
        <v>549</v>
      </c>
      <c r="P12" s="326"/>
    </row>
    <row r="13" spans="1:16">
      <c r="A13" s="340" t="s">
        <v>141</v>
      </c>
      <c r="H13" s="326"/>
      <c r="I13" s="326"/>
      <c r="J13" s="326"/>
      <c r="P13" s="326"/>
    </row>
    <row r="14" spans="1:16">
      <c r="A14" s="329" t="s">
        <v>543</v>
      </c>
      <c r="B14" s="523">
        <v>11</v>
      </c>
      <c r="C14" s="326">
        <f>+C36</f>
        <v>224000</v>
      </c>
      <c r="D14" s="326">
        <f>+C14*0.6</f>
        <v>134400</v>
      </c>
      <c r="E14" s="326">
        <f>+D14*B14</f>
        <v>1478400</v>
      </c>
      <c r="F14" s="326">
        <f>+E14/12*8</f>
        <v>985600</v>
      </c>
      <c r="G14" s="326">
        <v>986</v>
      </c>
      <c r="H14" s="326"/>
      <c r="I14" s="326"/>
      <c r="J14" s="326"/>
      <c r="P14" s="326"/>
    </row>
    <row r="15" spans="1:16">
      <c r="A15" s="329" t="s">
        <v>544</v>
      </c>
      <c r="B15" s="523">
        <v>11</v>
      </c>
      <c r="C15" s="326">
        <v>224000</v>
      </c>
      <c r="D15" s="326">
        <f>+C15*0.7</f>
        <v>156800</v>
      </c>
      <c r="E15" s="326">
        <f>+D15*B15</f>
        <v>1724800</v>
      </c>
      <c r="F15" s="326">
        <f>+E15/12*4</f>
        <v>574933.33333333337</v>
      </c>
      <c r="G15" s="326">
        <v>575</v>
      </c>
      <c r="H15" s="326"/>
      <c r="I15" s="326"/>
      <c r="J15" s="326"/>
      <c r="P15" s="326"/>
    </row>
    <row r="16" spans="1:16">
      <c r="D16" s="326"/>
      <c r="E16" s="326"/>
      <c r="F16" s="326"/>
      <c r="G16" s="326"/>
      <c r="H16" s="326"/>
      <c r="I16" s="326"/>
      <c r="J16" s="326"/>
      <c r="P16" s="326"/>
    </row>
    <row r="17" spans="1:18">
      <c r="A17" s="340" t="s">
        <v>582</v>
      </c>
      <c r="B17" s="2488" t="s">
        <v>543</v>
      </c>
      <c r="C17" s="2488"/>
      <c r="D17" s="2488"/>
      <c r="E17" s="2489" t="s">
        <v>544</v>
      </c>
      <c r="F17" s="2489"/>
      <c r="G17" s="2489"/>
      <c r="H17" s="326"/>
      <c r="I17" s="326"/>
      <c r="J17" s="326"/>
      <c r="K17" s="326"/>
      <c r="L17" s="326"/>
      <c r="N17" s="524"/>
      <c r="O17" s="329"/>
      <c r="P17" s="326"/>
      <c r="Q17" s="326"/>
      <c r="R17" s="326"/>
    </row>
    <row r="18" spans="1:18">
      <c r="A18" s="329" t="s">
        <v>583</v>
      </c>
      <c r="B18" s="523">
        <v>97</v>
      </c>
      <c r="C18" s="334">
        <f>+B18*$C$40/12*8</f>
        <v>2347400</v>
      </c>
      <c r="D18" s="334">
        <v>2347</v>
      </c>
      <c r="E18" s="326">
        <v>109</v>
      </c>
      <c r="F18" s="326">
        <f>+E18*$C$41/12*4</f>
        <v>1162666.6666666667</v>
      </c>
      <c r="G18" s="326">
        <v>1163</v>
      </c>
      <c r="H18" s="326">
        <f>+G18+D18</f>
        <v>3510</v>
      </c>
      <c r="I18" s="326"/>
      <c r="J18" s="326"/>
      <c r="K18" s="326"/>
      <c r="L18" s="326"/>
      <c r="N18" s="524"/>
      <c r="O18" s="329"/>
      <c r="P18" s="326"/>
      <c r="Q18" s="326"/>
      <c r="R18" s="326"/>
    </row>
    <row r="19" spans="1:18">
      <c r="A19" s="526" t="s">
        <v>584</v>
      </c>
      <c r="B19" s="523">
        <v>62</v>
      </c>
      <c r="C19" s="334">
        <f>+B19*$C$40/12*8</f>
        <v>1500400</v>
      </c>
      <c r="D19" s="334">
        <v>1501</v>
      </c>
      <c r="E19" s="326">
        <f>35+25</f>
        <v>60</v>
      </c>
      <c r="F19" s="326">
        <f>+E19*$C$41/12*4</f>
        <v>640000</v>
      </c>
      <c r="G19" s="326">
        <v>640</v>
      </c>
      <c r="H19" s="326">
        <f>+G19+D19</f>
        <v>2141</v>
      </c>
      <c r="I19" s="326"/>
      <c r="J19" s="326"/>
      <c r="K19" s="326"/>
      <c r="L19" s="326"/>
      <c r="N19" s="524"/>
      <c r="O19" s="329"/>
      <c r="P19" s="326"/>
      <c r="Q19" s="326"/>
      <c r="R19" s="326"/>
    </row>
    <row r="20" spans="1:18" ht="14.45" customHeight="1">
      <c r="A20" s="526" t="s">
        <v>585</v>
      </c>
      <c r="B20" s="523">
        <v>24</v>
      </c>
      <c r="C20" s="334">
        <f>+B20*$C$40/12*8</f>
        <v>580800</v>
      </c>
      <c r="D20" s="334">
        <v>581</v>
      </c>
      <c r="E20" s="326">
        <v>20</v>
      </c>
      <c r="F20" s="326">
        <f>+E20*$C$41/12*4</f>
        <v>213333.33333333334</v>
      </c>
      <c r="G20" s="326">
        <v>213</v>
      </c>
      <c r="H20" s="326">
        <f>+G20+D20</f>
        <v>794</v>
      </c>
      <c r="L20" s="329"/>
      <c r="N20" s="524"/>
      <c r="O20" s="329"/>
      <c r="P20" s="326"/>
      <c r="Q20" s="326"/>
    </row>
    <row r="21" spans="1:18" ht="14.45" customHeight="1">
      <c r="A21" s="526"/>
      <c r="B21" s="523">
        <f t="shared" ref="B21:H21" si="4">SUM(B18:B20)</f>
        <v>183</v>
      </c>
      <c r="C21" s="334">
        <f t="shared" si="4"/>
        <v>4428600</v>
      </c>
      <c r="D21" s="334">
        <f t="shared" si="4"/>
        <v>4429</v>
      </c>
      <c r="E21" s="326">
        <f t="shared" si="4"/>
        <v>189</v>
      </c>
      <c r="F21" s="326">
        <f t="shared" si="4"/>
        <v>2016000</v>
      </c>
      <c r="G21" s="326">
        <f t="shared" si="4"/>
        <v>2016</v>
      </c>
      <c r="H21" s="326">
        <f t="shared" si="4"/>
        <v>6445</v>
      </c>
      <c r="L21" s="329"/>
      <c r="N21" s="524"/>
      <c r="O21" s="329"/>
      <c r="P21" s="326"/>
      <c r="Q21" s="326"/>
    </row>
    <row r="22" spans="1:18" ht="14.45" customHeight="1">
      <c r="A22" s="526"/>
    </row>
    <row r="23" spans="1:18" ht="14.45" customHeight="1">
      <c r="A23" s="340" t="s">
        <v>586</v>
      </c>
    </row>
    <row r="24" spans="1:18" ht="14.45" customHeight="1"/>
    <row r="25" spans="1:18" ht="14.45" customHeight="1"/>
    <row r="26" spans="1:18" ht="14.45" customHeight="1"/>
    <row r="27" spans="1:18" ht="14.45" customHeight="1"/>
    <row r="28" spans="1:18" ht="14.45" customHeight="1" thickBot="1">
      <c r="A28" s="526"/>
    </row>
    <row r="29" spans="1:18" s="528" customFormat="1" ht="18" customHeight="1" thickBot="1">
      <c r="B29" s="529" t="s">
        <v>546</v>
      </c>
      <c r="C29" s="530" t="s">
        <v>536</v>
      </c>
      <c r="D29" s="531" t="s">
        <v>319</v>
      </c>
      <c r="F29" s="532"/>
      <c r="L29" s="533"/>
      <c r="P29" s="534"/>
    </row>
    <row r="30" spans="1:18" ht="15" customHeight="1">
      <c r="A30" s="535" t="s">
        <v>529</v>
      </c>
      <c r="B30" s="536">
        <v>183</v>
      </c>
      <c r="C30" s="537">
        <v>2350000</v>
      </c>
      <c r="D30" s="538">
        <f>+I8</f>
        <v>18644</v>
      </c>
      <c r="N30" s="329"/>
      <c r="O30" s="329"/>
      <c r="P30" s="326"/>
    </row>
    <row r="31" spans="1:18" ht="15" customHeight="1">
      <c r="A31" s="539" t="s">
        <v>535</v>
      </c>
      <c r="B31" s="540">
        <v>189</v>
      </c>
      <c r="C31" s="541">
        <v>2350000</v>
      </c>
      <c r="D31" s="542">
        <f>+O8</f>
        <v>9557</v>
      </c>
      <c r="N31" s="329"/>
      <c r="O31" s="329"/>
      <c r="P31" s="326"/>
    </row>
    <row r="32" spans="1:18" ht="15" customHeight="1">
      <c r="A32" s="543" t="s">
        <v>538</v>
      </c>
      <c r="B32" s="544"/>
      <c r="C32" s="545"/>
      <c r="D32" s="546">
        <f>SUM(D30:D31)</f>
        <v>28201</v>
      </c>
      <c r="N32" s="329"/>
      <c r="O32" s="329"/>
      <c r="P32" s="326"/>
    </row>
    <row r="33" spans="1:20" ht="15" customHeight="1">
      <c r="A33" s="547" t="s">
        <v>529</v>
      </c>
      <c r="B33" s="548">
        <v>72</v>
      </c>
      <c r="C33" s="549">
        <v>2350000</v>
      </c>
      <c r="D33" s="550">
        <f>+I12</f>
        <v>1096</v>
      </c>
      <c r="N33" s="329"/>
      <c r="O33" s="329"/>
      <c r="P33" s="326"/>
    </row>
    <row r="34" spans="1:20" ht="15" customHeight="1">
      <c r="A34" s="539" t="s">
        <v>535</v>
      </c>
      <c r="B34" s="540">
        <v>75</v>
      </c>
      <c r="C34" s="551">
        <v>2350000</v>
      </c>
      <c r="D34" s="542">
        <f>+O12</f>
        <v>549</v>
      </c>
      <c r="F34" s="326"/>
      <c r="N34" s="329"/>
      <c r="O34" s="329"/>
      <c r="P34" s="326"/>
    </row>
    <row r="35" spans="1:20" ht="15" customHeight="1">
      <c r="A35" s="552" t="s">
        <v>587</v>
      </c>
      <c r="B35" s="553"/>
      <c r="C35" s="554"/>
      <c r="D35" s="546">
        <f>SUM(D33:D34)</f>
        <v>1645</v>
      </c>
      <c r="F35" s="326"/>
      <c r="N35" s="329"/>
      <c r="O35" s="329"/>
      <c r="P35" s="326"/>
    </row>
    <row r="36" spans="1:20" ht="15" customHeight="1">
      <c r="A36" s="547" t="s">
        <v>529</v>
      </c>
      <c r="B36" s="548">
        <v>11</v>
      </c>
      <c r="C36" s="555">
        <v>224000</v>
      </c>
      <c r="D36" s="550">
        <f>+G14</f>
        <v>986</v>
      </c>
      <c r="F36" s="326"/>
      <c r="N36" s="329"/>
      <c r="O36" s="329"/>
      <c r="P36" s="326"/>
      <c r="T36" s="329">
        <f>7018+3586</f>
        <v>10604</v>
      </c>
    </row>
    <row r="37" spans="1:20" ht="15" customHeight="1">
      <c r="A37" s="539" t="s">
        <v>535</v>
      </c>
      <c r="B37" s="540">
        <v>11</v>
      </c>
      <c r="C37" s="551">
        <v>224000</v>
      </c>
      <c r="D37" s="556">
        <f>+G15</f>
        <v>575</v>
      </c>
      <c r="F37" s="329"/>
      <c r="N37" s="329"/>
      <c r="O37" s="329"/>
      <c r="P37" s="326"/>
    </row>
    <row r="38" spans="1:20" ht="15" customHeight="1">
      <c r="A38" s="543" t="s">
        <v>141</v>
      </c>
      <c r="B38" s="553"/>
      <c r="C38" s="545"/>
      <c r="D38" s="546">
        <f>SUM(D36:D37)</f>
        <v>1561</v>
      </c>
      <c r="E38" s="326"/>
      <c r="F38" s="326"/>
      <c r="N38" s="329"/>
      <c r="O38" s="329"/>
      <c r="P38" s="326"/>
    </row>
    <row r="39" spans="1:20" ht="15" customHeight="1">
      <c r="A39" s="557" t="s">
        <v>588</v>
      </c>
      <c r="B39" s="558">
        <v>69</v>
      </c>
      <c r="C39" s="549">
        <v>68000</v>
      </c>
      <c r="D39" s="550">
        <f>+G39</f>
        <v>4692</v>
      </c>
      <c r="F39" s="326">
        <f>+B39*C39</f>
        <v>4692000</v>
      </c>
      <c r="G39" s="329">
        <v>4692</v>
      </c>
      <c r="N39" s="329"/>
      <c r="O39" s="329"/>
      <c r="P39" s="326"/>
    </row>
    <row r="40" spans="1:20" ht="15" customHeight="1">
      <c r="A40" s="559" t="s">
        <v>529</v>
      </c>
      <c r="B40" s="560">
        <f>+B21</f>
        <v>183</v>
      </c>
      <c r="C40" s="561">
        <v>36300</v>
      </c>
      <c r="D40" s="562">
        <f>+D21</f>
        <v>4429</v>
      </c>
      <c r="F40" s="326"/>
      <c r="N40" s="329"/>
      <c r="O40" s="329"/>
      <c r="P40" s="326"/>
    </row>
    <row r="41" spans="1:20" ht="15" customHeight="1">
      <c r="A41" s="563" t="s">
        <v>535</v>
      </c>
      <c r="B41" s="564">
        <f>+E21</f>
        <v>189</v>
      </c>
      <c r="C41" s="565">
        <v>32000</v>
      </c>
      <c r="D41" s="566">
        <f>+G21</f>
        <v>2016</v>
      </c>
      <c r="F41" s="326"/>
      <c r="N41" s="329"/>
      <c r="O41" s="329"/>
      <c r="P41" s="326"/>
    </row>
    <row r="42" spans="1:20" ht="15" customHeight="1">
      <c r="A42" s="543" t="s">
        <v>547</v>
      </c>
      <c r="B42" s="553"/>
      <c r="C42" s="545"/>
      <c r="D42" s="546">
        <f>SUM(D40:D41)</f>
        <v>6445</v>
      </c>
      <c r="F42" s="326"/>
      <c r="N42" s="329"/>
      <c r="O42" s="329"/>
      <c r="P42" s="326"/>
    </row>
    <row r="43" spans="1:20" ht="15" customHeight="1">
      <c r="A43" s="559" t="s">
        <v>586</v>
      </c>
      <c r="B43" s="560">
        <v>104</v>
      </c>
      <c r="C43" s="561">
        <v>12000</v>
      </c>
      <c r="D43" s="562">
        <f>+G43</f>
        <v>1248</v>
      </c>
      <c r="F43" s="326">
        <f>+B43*C43</f>
        <v>1248000</v>
      </c>
      <c r="G43" s="329">
        <v>1248</v>
      </c>
      <c r="N43" s="329"/>
      <c r="O43" s="329"/>
      <c r="P43" s="326"/>
    </row>
    <row r="44" spans="1:20" ht="15" customHeight="1" thickBot="1">
      <c r="A44" s="567" t="s">
        <v>589</v>
      </c>
      <c r="B44" s="568">
        <v>183</v>
      </c>
      <c r="C44" s="569">
        <v>1750</v>
      </c>
      <c r="D44" s="570">
        <f>+G44</f>
        <v>320</v>
      </c>
      <c r="F44" s="326">
        <f>+B44*C44</f>
        <v>320250</v>
      </c>
      <c r="G44" s="329">
        <v>320</v>
      </c>
      <c r="N44" s="329"/>
      <c r="O44" s="329"/>
      <c r="P44" s="326"/>
    </row>
    <row r="45" spans="1:20" ht="15" customHeight="1" thickBot="1">
      <c r="A45" s="571" t="s">
        <v>277</v>
      </c>
      <c r="B45" s="572"/>
      <c r="C45" s="573"/>
      <c r="D45" s="574">
        <f>+D32+D35+D38+D39+D42+D43+D44</f>
        <v>44112</v>
      </c>
      <c r="F45" s="326"/>
      <c r="N45" s="329"/>
      <c r="O45" s="329"/>
      <c r="P45" s="326"/>
    </row>
    <row r="46" spans="1:20" ht="15" customHeight="1">
      <c r="A46" s="559" t="s">
        <v>529</v>
      </c>
      <c r="B46" s="575">
        <v>19</v>
      </c>
      <c r="C46" s="576">
        <v>10500</v>
      </c>
      <c r="D46" s="577">
        <f>+G46</f>
        <v>133</v>
      </c>
      <c r="F46" s="326">
        <f>+B46*C46/12*8</f>
        <v>133000</v>
      </c>
      <c r="G46" s="329">
        <v>133</v>
      </c>
      <c r="N46" s="329"/>
      <c r="O46" s="329"/>
      <c r="P46" s="326"/>
    </row>
    <row r="47" spans="1:20" ht="15" customHeight="1">
      <c r="A47" s="563" t="s">
        <v>535</v>
      </c>
      <c r="B47" s="578">
        <v>19</v>
      </c>
      <c r="C47" s="579">
        <v>10500</v>
      </c>
      <c r="D47" s="580">
        <f>+G47</f>
        <v>67</v>
      </c>
      <c r="F47" s="326">
        <f>+B47*C47/12*4</f>
        <v>66500</v>
      </c>
      <c r="G47" s="329">
        <v>67</v>
      </c>
      <c r="N47" s="329"/>
      <c r="O47" s="329"/>
      <c r="P47" s="326"/>
    </row>
    <row r="48" spans="1:20" ht="15" customHeight="1">
      <c r="A48" s="581" t="s">
        <v>590</v>
      </c>
      <c r="B48" s="582"/>
      <c r="C48" s="583"/>
      <c r="D48" s="584">
        <f>SUM(D46:D47)</f>
        <v>200</v>
      </c>
      <c r="F48" s="326"/>
      <c r="N48" s="329"/>
      <c r="O48" s="329"/>
      <c r="P48" s="326"/>
    </row>
    <row r="49" spans="1:16" ht="15" customHeight="1">
      <c r="A49" s="559" t="s">
        <v>529</v>
      </c>
      <c r="B49" s="560">
        <v>10</v>
      </c>
      <c r="C49" s="1002">
        <v>26000</v>
      </c>
      <c r="D49" s="1003">
        <f>+G49</f>
        <v>173</v>
      </c>
      <c r="F49" s="326">
        <f>+B49*C49/12*8</f>
        <v>173333.33333333334</v>
      </c>
      <c r="G49" s="329">
        <v>173</v>
      </c>
      <c r="N49" s="329"/>
      <c r="O49" s="329"/>
      <c r="P49" s="326"/>
    </row>
    <row r="50" spans="1:16" ht="15" customHeight="1">
      <c r="A50" s="563" t="s">
        <v>535</v>
      </c>
      <c r="B50" s="564">
        <v>11</v>
      </c>
      <c r="C50" s="1004">
        <v>26000</v>
      </c>
      <c r="D50" s="1005">
        <f>+G50</f>
        <v>95</v>
      </c>
      <c r="F50" s="326">
        <f>+B50*C50/12*4</f>
        <v>95333.333333333328</v>
      </c>
      <c r="G50" s="329">
        <v>95</v>
      </c>
      <c r="N50" s="329"/>
      <c r="O50" s="329"/>
      <c r="P50" s="326"/>
    </row>
    <row r="51" spans="1:16" ht="15" customHeight="1">
      <c r="A51" s="581" t="s">
        <v>591</v>
      </c>
      <c r="B51" s="582"/>
      <c r="C51" s="583"/>
      <c r="D51" s="584">
        <f>SUM(D49:D50)</f>
        <v>268</v>
      </c>
      <c r="F51" s="326"/>
      <c r="N51" s="329"/>
      <c r="O51" s="329"/>
      <c r="P51" s="326"/>
    </row>
    <row r="52" spans="1:16" ht="15" customHeight="1">
      <c r="A52" s="559" t="s">
        <v>529</v>
      </c>
      <c r="B52" s="560">
        <f>+ÓVODAINORMATÍVA!D80</f>
        <v>17</v>
      </c>
      <c r="C52" s="561">
        <v>98000</v>
      </c>
      <c r="D52" s="562">
        <f>+B52*C52/1000</f>
        <v>1666</v>
      </c>
      <c r="F52" s="326"/>
      <c r="N52" s="329"/>
      <c r="O52" s="329"/>
      <c r="P52" s="326"/>
    </row>
    <row r="53" spans="1:16" ht="15" customHeight="1">
      <c r="A53" s="563" t="s">
        <v>535</v>
      </c>
      <c r="B53" s="564">
        <f>+ÓVODAINORMATÍVA!D89</f>
        <v>8</v>
      </c>
      <c r="C53" s="541">
        <v>100000</v>
      </c>
      <c r="D53" s="566">
        <f>+B53*C53/1000</f>
        <v>800</v>
      </c>
      <c r="F53" s="326"/>
      <c r="G53" s="326"/>
      <c r="H53" s="326"/>
      <c r="I53" s="326"/>
      <c r="N53" s="329"/>
      <c r="O53" s="329"/>
      <c r="P53" s="326"/>
    </row>
    <row r="54" spans="1:16" ht="15" customHeight="1">
      <c r="A54" s="581" t="s">
        <v>551</v>
      </c>
      <c r="B54" s="582"/>
      <c r="C54" s="583"/>
      <c r="D54" s="585">
        <f>SUM(D52:D53)</f>
        <v>2466</v>
      </c>
      <c r="F54" s="326"/>
      <c r="N54" s="329"/>
      <c r="O54" s="329"/>
      <c r="P54" s="326"/>
    </row>
    <row r="55" spans="1:16" ht="15" customHeight="1">
      <c r="A55" s="559" t="s">
        <v>529</v>
      </c>
      <c r="B55" s="560">
        <f>+ÓVODAINORMATÍVA!G80</f>
        <v>17</v>
      </c>
      <c r="C55" s="1002">
        <v>49000</v>
      </c>
      <c r="D55" s="562">
        <f>+G55</f>
        <v>833</v>
      </c>
      <c r="F55" s="326">
        <f>+B55*C55</f>
        <v>833000</v>
      </c>
      <c r="G55" s="329">
        <v>833</v>
      </c>
      <c r="N55" s="329"/>
      <c r="O55" s="329"/>
      <c r="P55" s="326"/>
    </row>
    <row r="56" spans="1:16" ht="15" customHeight="1">
      <c r="A56" s="563" t="s">
        <v>535</v>
      </c>
      <c r="B56" s="564">
        <f>+ÓVODAINORMATÍVA!G89</f>
        <v>8</v>
      </c>
      <c r="C56" s="1004">
        <v>50000</v>
      </c>
      <c r="D56" s="566">
        <f>+G56</f>
        <v>400</v>
      </c>
      <c r="F56" s="326">
        <f>+B56*C56</f>
        <v>400000</v>
      </c>
      <c r="G56" s="329">
        <v>400</v>
      </c>
      <c r="N56" s="329"/>
      <c r="O56" s="329"/>
      <c r="P56" s="326"/>
    </row>
    <row r="57" spans="1:16" ht="15" customHeight="1">
      <c r="A57" s="581" t="s">
        <v>564</v>
      </c>
      <c r="B57" s="582"/>
      <c r="C57" s="583"/>
      <c r="D57" s="546">
        <f>SUM(D55:D56)</f>
        <v>1233</v>
      </c>
      <c r="F57" s="326"/>
      <c r="N57" s="329"/>
      <c r="O57" s="329"/>
      <c r="P57" s="326"/>
    </row>
    <row r="58" spans="1:16" ht="15" customHeight="1">
      <c r="A58" s="559" t="s">
        <v>529</v>
      </c>
      <c r="B58" s="560">
        <f>+ÓVODAINORMATÍVA!J80</f>
        <v>5</v>
      </c>
      <c r="C58" s="1002">
        <v>70000</v>
      </c>
      <c r="D58" s="562">
        <f>+G58</f>
        <v>350</v>
      </c>
      <c r="F58" s="326">
        <f>+B58*C58</f>
        <v>350000</v>
      </c>
      <c r="G58" s="329">
        <v>350</v>
      </c>
      <c r="N58" s="329"/>
      <c r="O58" s="329"/>
      <c r="P58" s="326"/>
    </row>
    <row r="59" spans="1:16" ht="15" customHeight="1">
      <c r="A59" s="563" t="s">
        <v>535</v>
      </c>
      <c r="B59" s="564">
        <f>+ÓVODAINORMATÍVA!J89</f>
        <v>2</v>
      </c>
      <c r="C59" s="1004">
        <v>80000</v>
      </c>
      <c r="D59" s="566">
        <f>+G59</f>
        <v>160</v>
      </c>
      <c r="F59" s="326">
        <f>+B59*C59</f>
        <v>160000</v>
      </c>
      <c r="G59" s="329">
        <v>160</v>
      </c>
      <c r="N59" s="329"/>
      <c r="O59" s="329"/>
      <c r="P59" s="326"/>
    </row>
    <row r="60" spans="1:16" ht="15" customHeight="1">
      <c r="A60" s="581" t="s">
        <v>153</v>
      </c>
      <c r="B60" s="582"/>
      <c r="C60" s="583"/>
      <c r="D60" s="585">
        <f>SUM(D58:D59)</f>
        <v>510</v>
      </c>
      <c r="F60" s="326"/>
      <c r="N60" s="329"/>
      <c r="O60" s="329"/>
      <c r="P60" s="326"/>
    </row>
    <row r="61" spans="1:16" ht="15" customHeight="1">
      <c r="A61" s="559" t="s">
        <v>529</v>
      </c>
      <c r="B61" s="560">
        <f>+ÓVODAINORMATÍVA!M80</f>
        <v>12</v>
      </c>
      <c r="C61" s="1002">
        <f>+C58*0.15</f>
        <v>10500</v>
      </c>
      <c r="D61" s="1006">
        <f>+G61</f>
        <v>126</v>
      </c>
      <c r="F61" s="326">
        <f>+B61*C61</f>
        <v>126000</v>
      </c>
      <c r="G61" s="329">
        <v>126</v>
      </c>
      <c r="N61" s="329"/>
      <c r="O61" s="329"/>
      <c r="P61" s="326"/>
    </row>
    <row r="62" spans="1:16" ht="15" customHeight="1">
      <c r="A62" s="563" t="s">
        <v>535</v>
      </c>
      <c r="B62" s="1007">
        <f>+ÓVODAINORMATÍVA!M89</f>
        <v>6</v>
      </c>
      <c r="C62" s="1004">
        <f>+C59*0.15</f>
        <v>12000</v>
      </c>
      <c r="D62" s="1008">
        <f>+G62</f>
        <v>72</v>
      </c>
      <c r="F62" s="326">
        <f>+B62*C62</f>
        <v>72000</v>
      </c>
      <c r="G62" s="329">
        <v>72</v>
      </c>
      <c r="N62" s="329"/>
      <c r="O62" s="329"/>
      <c r="P62" s="326"/>
    </row>
    <row r="63" spans="1:16" ht="15" customHeight="1">
      <c r="A63" s="581" t="s">
        <v>566</v>
      </c>
      <c r="B63" s="588"/>
      <c r="C63" s="586"/>
      <c r="D63" s="587">
        <f>SUM(D61:D62)</f>
        <v>198</v>
      </c>
      <c r="F63" s="326"/>
      <c r="N63" s="329"/>
      <c r="O63" s="329"/>
      <c r="P63" s="326"/>
    </row>
    <row r="64" spans="1:16" s="589" customFormat="1" ht="15" customHeight="1">
      <c r="A64" s="559" t="s">
        <v>529</v>
      </c>
      <c r="B64" s="560">
        <f>+SZAKFELADATOS!B18</f>
        <v>4.7</v>
      </c>
      <c r="C64" s="1002">
        <v>22000</v>
      </c>
      <c r="D64" s="1006">
        <f>+SZAKFELADATOS!C18</f>
        <v>103.2</v>
      </c>
      <c r="F64" s="590"/>
      <c r="L64" s="591"/>
      <c r="P64" s="590"/>
    </row>
    <row r="65" spans="1:16" s="589" customFormat="1" ht="15" customHeight="1">
      <c r="A65" s="563" t="s">
        <v>535</v>
      </c>
      <c r="B65" s="564">
        <f>+SZAKFELADATOS!D18</f>
        <v>2.2999999999999998</v>
      </c>
      <c r="C65" s="1004">
        <v>28000</v>
      </c>
      <c r="D65" s="1008">
        <f>+SZAKFELADATOS!E18</f>
        <v>63.999999999999993</v>
      </c>
      <c r="E65" s="590"/>
      <c r="F65" s="590"/>
      <c r="L65" s="591"/>
      <c r="P65" s="590"/>
    </row>
    <row r="66" spans="1:16" ht="15" customHeight="1">
      <c r="A66" s="581" t="s">
        <v>592</v>
      </c>
      <c r="B66" s="582"/>
      <c r="C66" s="583"/>
      <c r="D66" s="585">
        <f>SUM(D64:D65)</f>
        <v>167.2</v>
      </c>
      <c r="F66" s="326"/>
      <c r="N66" s="329"/>
      <c r="O66" s="329"/>
      <c r="P66" s="326"/>
    </row>
    <row r="67" spans="1:16" ht="15" customHeight="1">
      <c r="A67" s="559" t="s">
        <v>529</v>
      </c>
      <c r="B67" s="560">
        <f>+SZAKFELADATOS!G18</f>
        <v>12</v>
      </c>
      <c r="C67" s="1002">
        <v>22000</v>
      </c>
      <c r="D67" s="1006">
        <f>+SZAKFELADATOS!H18</f>
        <v>264</v>
      </c>
      <c r="F67" s="326"/>
      <c r="N67" s="329"/>
      <c r="O67" s="329"/>
      <c r="P67" s="326"/>
    </row>
    <row r="68" spans="1:16" ht="15" customHeight="1">
      <c r="A68" s="563" t="s">
        <v>535</v>
      </c>
      <c r="B68" s="564">
        <f>+SZAKFELADATOS!I18</f>
        <v>6</v>
      </c>
      <c r="C68" s="1004">
        <v>28000</v>
      </c>
      <c r="D68" s="1008">
        <f>+SZAKFELADATOS!J18</f>
        <v>168</v>
      </c>
      <c r="F68" s="326"/>
      <c r="N68" s="329"/>
      <c r="O68" s="329"/>
      <c r="P68" s="326"/>
    </row>
    <row r="69" spans="1:16" ht="15" customHeight="1">
      <c r="A69" s="581" t="s">
        <v>593</v>
      </c>
      <c r="B69" s="582"/>
      <c r="C69" s="583"/>
      <c r="D69" s="585">
        <f>SUM(D67:D68)</f>
        <v>432</v>
      </c>
      <c r="F69" s="326"/>
      <c r="N69" s="329"/>
      <c r="O69" s="329"/>
      <c r="P69" s="326"/>
    </row>
    <row r="70" spans="1:16" ht="13.5" thickBot="1">
      <c r="A70" s="592" t="s">
        <v>287</v>
      </c>
      <c r="B70" s="593"/>
      <c r="C70" s="594"/>
      <c r="D70" s="595">
        <f>+D48+D51+D54+D57+D60+D63+D66+D69</f>
        <v>5474.2</v>
      </c>
      <c r="F70" s="326"/>
      <c r="N70" s="329"/>
      <c r="O70" s="329"/>
      <c r="P70" s="326"/>
    </row>
    <row r="71" spans="1:16" ht="18.600000000000001" customHeight="1" thickBot="1">
      <c r="A71" s="596" t="s">
        <v>560</v>
      </c>
      <c r="B71" s="597"/>
      <c r="C71" s="598"/>
      <c r="D71" s="599">
        <f>+D45+D70</f>
        <v>49586.2</v>
      </c>
      <c r="F71" s="326"/>
      <c r="N71" s="329"/>
      <c r="O71" s="329"/>
      <c r="P71" s="326"/>
    </row>
    <row r="76" spans="1:16">
      <c r="D76" s="326"/>
      <c r="E76" s="326"/>
      <c r="G76" s="326"/>
    </row>
    <row r="77" spans="1:16">
      <c r="A77" s="600"/>
      <c r="D77" s="326"/>
      <c r="E77" s="326"/>
      <c r="G77" s="326"/>
    </row>
    <row r="78" spans="1:16">
      <c r="A78" s="526"/>
      <c r="D78" s="326"/>
      <c r="E78" s="326"/>
      <c r="G78" s="326"/>
    </row>
    <row r="83" spans="1:9">
      <c r="A83" s="589"/>
      <c r="B83" s="814"/>
      <c r="C83" s="590"/>
      <c r="D83" s="589"/>
    </row>
    <row r="96" spans="1:9">
      <c r="A96" s="746"/>
      <c r="B96" s="747"/>
      <c r="C96" s="748"/>
      <c r="D96" s="746"/>
      <c r="E96" s="746"/>
      <c r="F96" s="749"/>
      <c r="G96" s="746"/>
      <c r="H96" s="746"/>
      <c r="I96" s="746"/>
    </row>
    <row r="97" spans="1:9">
      <c r="A97" s="750"/>
      <c r="B97" s="751"/>
      <c r="C97" s="752"/>
      <c r="D97" s="750"/>
      <c r="E97" s="750"/>
      <c r="F97" s="753"/>
      <c r="G97" s="750"/>
      <c r="H97" s="750"/>
      <c r="I97" s="750"/>
    </row>
    <row r="98" spans="1:9">
      <c r="A98" s="750"/>
      <c r="B98" s="751"/>
      <c r="C98" s="752"/>
      <c r="D98" s="750"/>
      <c r="E98" s="750"/>
      <c r="F98" s="753"/>
      <c r="G98" s="750"/>
      <c r="H98" s="750"/>
      <c r="I98" s="750"/>
    </row>
    <row r="99" spans="1:9">
      <c r="A99" s="750"/>
      <c r="B99" s="751"/>
      <c r="C99" s="752"/>
      <c r="D99" s="750"/>
      <c r="E99" s="750"/>
      <c r="F99" s="753"/>
      <c r="G99" s="750"/>
      <c r="H99" s="750"/>
      <c r="I99" s="750"/>
    </row>
    <row r="100" spans="1:9">
      <c r="A100" s="754"/>
      <c r="B100" s="755"/>
      <c r="C100" s="756"/>
      <c r="D100" s="754"/>
      <c r="E100" s="754"/>
      <c r="F100" s="757"/>
      <c r="G100" s="754"/>
      <c r="H100" s="754"/>
      <c r="I100" s="754"/>
    </row>
  </sheetData>
  <mergeCells count="2">
    <mergeCell ref="B17:D17"/>
    <mergeCell ref="E17:G17"/>
  </mergeCells>
  <phoneticPr fontId="25" type="noConversion"/>
  <printOptions horizontalCentered="1"/>
  <pageMargins left="0.78740157480314965" right="0.78740157480314965" top="1.76" bottom="0.98425196850393704" header="0.51181102362204722" footer="0.51181102362204722"/>
  <pageSetup paperSize="9" orientation="portrait" horizontalDpi="300" verticalDpi="300" r:id="rId1"/>
  <headerFooter alignWithMargins="0">
    <oddHeader>&amp;LSzent László Völgye
Kistérségi Szolgáltató Iroda&amp;C&amp;"Arial,Félkövér"&amp;14ISKOLAI  NORMATÍVA
2011&amp;R
10/B sz. melléklet
Adatok: eFt-ban</oddHeader>
    <oddFooter>&amp;L&amp;A&amp;C&amp;D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T100"/>
  <sheetViews>
    <sheetView topLeftCell="F1" workbookViewId="0">
      <selection activeCell="A19" sqref="A19"/>
    </sheetView>
  </sheetViews>
  <sheetFormatPr defaultColWidth="8.85546875" defaultRowHeight="12.75"/>
  <cols>
    <col min="1" max="1" width="12.7109375" style="248" customWidth="1"/>
    <col min="2" max="2" width="7" style="250" customWidth="1"/>
    <col min="3" max="3" width="10.28515625" style="266" customWidth="1"/>
    <col min="4" max="4" width="8.28515625" style="250" customWidth="1"/>
    <col min="5" max="5" width="10.5703125" style="266" customWidth="1"/>
    <col min="6" max="6" width="3.28515625" style="248" customWidth="1"/>
    <col min="7" max="7" width="7" style="248" customWidth="1"/>
    <col min="8" max="8" width="9.140625" style="248" bestFit="1" customWidth="1"/>
    <col min="9" max="9" width="7" style="248" customWidth="1"/>
    <col min="10" max="10" width="8.85546875" style="248" customWidth="1"/>
    <col min="11" max="11" width="3.28515625" style="248" customWidth="1"/>
    <col min="12" max="12" width="7.42578125" style="248" customWidth="1"/>
    <col min="13" max="13" width="9.7109375" style="248" customWidth="1"/>
    <col min="14" max="14" width="7.28515625" style="248" customWidth="1"/>
    <col min="15" max="15" width="9.5703125" style="248" customWidth="1"/>
    <col min="16" max="16" width="2.7109375" style="248" customWidth="1"/>
    <col min="17" max="17" width="11" style="248" customWidth="1"/>
    <col min="18" max="18" width="11.140625" style="248" customWidth="1"/>
    <col min="19" max="19" width="10.140625" style="248" customWidth="1"/>
    <col min="20" max="20" width="11.42578125" style="248" customWidth="1"/>
    <col min="21" max="16384" width="8.85546875" style="248"/>
  </cols>
  <sheetData>
    <row r="1" spans="1:20">
      <c r="B1" s="2499" t="s">
        <v>461</v>
      </c>
      <c r="C1" s="2500"/>
      <c r="D1" s="2502" t="s">
        <v>462</v>
      </c>
      <c r="E1" s="2491"/>
      <c r="G1" s="2499" t="s">
        <v>461</v>
      </c>
      <c r="H1" s="2500"/>
      <c r="I1" s="2490" t="s">
        <v>462</v>
      </c>
      <c r="J1" s="2491"/>
      <c r="L1" s="2499" t="s">
        <v>461</v>
      </c>
      <c r="M1" s="2500"/>
      <c r="N1" s="2490" t="s">
        <v>462</v>
      </c>
      <c r="O1" s="2491"/>
      <c r="Q1" s="2492" t="s">
        <v>461</v>
      </c>
      <c r="R1" s="2494" t="s">
        <v>594</v>
      </c>
      <c r="S1" s="2496" t="s">
        <v>537</v>
      </c>
      <c r="T1" s="601"/>
    </row>
    <row r="2" spans="1:20" ht="13.5" thickBot="1">
      <c r="B2" s="602" t="s">
        <v>459</v>
      </c>
      <c r="C2" s="603" t="s">
        <v>319</v>
      </c>
      <c r="D2" s="604" t="s">
        <v>459</v>
      </c>
      <c r="E2" s="917" t="s">
        <v>319</v>
      </c>
      <c r="G2" s="602" t="s">
        <v>459</v>
      </c>
      <c r="H2" s="603" t="s">
        <v>319</v>
      </c>
      <c r="I2" s="604" t="s">
        <v>459</v>
      </c>
      <c r="J2" s="605" t="s">
        <v>319</v>
      </c>
      <c r="L2" s="602" t="s">
        <v>459</v>
      </c>
      <c r="M2" s="603" t="s">
        <v>319</v>
      </c>
      <c r="N2" s="604" t="s">
        <v>459</v>
      </c>
      <c r="O2" s="605" t="s">
        <v>319</v>
      </c>
      <c r="Q2" s="2493"/>
      <c r="R2" s="2495"/>
      <c r="S2" s="2497"/>
      <c r="T2" s="48"/>
    </row>
    <row r="3" spans="1:20" ht="19.149999999999999" customHeight="1">
      <c r="A3" s="919" t="s">
        <v>202</v>
      </c>
      <c r="B3" s="606">
        <f>+B17+B18</f>
        <v>14</v>
      </c>
      <c r="C3" s="607">
        <f>+C17+C18</f>
        <v>308.01000000000005</v>
      </c>
      <c r="D3" s="608">
        <f>+D17+D18</f>
        <v>7</v>
      </c>
      <c r="E3" s="918">
        <f>+E17+E18</f>
        <v>195.6</v>
      </c>
      <c r="G3" s="609">
        <f>+G17+G18</f>
        <v>12</v>
      </c>
      <c r="H3" s="249">
        <f>+H17+H18</f>
        <v>264</v>
      </c>
      <c r="I3" s="610">
        <f>+I17+I18</f>
        <v>6</v>
      </c>
      <c r="J3" s="611">
        <f>+J17+J18</f>
        <v>168</v>
      </c>
      <c r="L3" s="612"/>
      <c r="M3" s="613"/>
      <c r="N3" s="614"/>
      <c r="O3" s="615"/>
      <c r="Q3" s="616">
        <f t="shared" ref="Q3:Q11" si="0">+C3+H3+M3</f>
        <v>572.01</v>
      </c>
      <c r="R3" s="354">
        <f t="shared" ref="R3:R11" si="1">+E3+J3+O3</f>
        <v>363.6</v>
      </c>
      <c r="S3" s="617">
        <f t="shared" ref="S3:S11" si="2">SUM(Q3:R3)</f>
        <v>935.61</v>
      </c>
      <c r="T3" s="266">
        <f>SUM(Q3:S3)</f>
        <v>1871.22</v>
      </c>
    </row>
    <row r="4" spans="1:20">
      <c r="A4" s="920" t="s">
        <v>204</v>
      </c>
      <c r="B4" s="810">
        <f>+B19</f>
        <v>15.3</v>
      </c>
      <c r="C4" s="811">
        <f>+C19</f>
        <v>336.6</v>
      </c>
      <c r="D4" s="812">
        <f>+D19</f>
        <v>7.7</v>
      </c>
      <c r="E4" s="621">
        <f>+E19</f>
        <v>215.6</v>
      </c>
      <c r="G4" s="618"/>
      <c r="H4" s="622"/>
      <c r="I4" s="623"/>
      <c r="J4" s="624"/>
      <c r="L4" s="625"/>
      <c r="M4" s="626"/>
      <c r="N4" s="627"/>
      <c r="O4" s="628"/>
      <c r="Q4" s="629">
        <f t="shared" si="0"/>
        <v>336.6</v>
      </c>
      <c r="R4" s="626">
        <f t="shared" si="1"/>
        <v>215.6</v>
      </c>
      <c r="S4" s="628">
        <f t="shared" si="2"/>
        <v>552.20000000000005</v>
      </c>
      <c r="T4" s="266"/>
    </row>
    <row r="5" spans="1:20">
      <c r="A5" s="920" t="s">
        <v>206</v>
      </c>
      <c r="B5" s="606">
        <f t="shared" ref="B5:E9" si="3">+B21</f>
        <v>4</v>
      </c>
      <c r="C5" s="607">
        <f t="shared" si="3"/>
        <v>88</v>
      </c>
      <c r="D5" s="608">
        <f t="shared" si="3"/>
        <v>2</v>
      </c>
      <c r="E5" s="621">
        <f t="shared" si="3"/>
        <v>56</v>
      </c>
      <c r="G5" s="618"/>
      <c r="H5" s="622"/>
      <c r="I5" s="623"/>
      <c r="J5" s="624"/>
      <c r="L5" s="625"/>
      <c r="M5" s="626"/>
      <c r="N5" s="627"/>
      <c r="O5" s="628"/>
      <c r="Q5" s="629">
        <f t="shared" si="0"/>
        <v>88</v>
      </c>
      <c r="R5" s="626">
        <f t="shared" si="1"/>
        <v>56</v>
      </c>
      <c r="S5" s="628">
        <f t="shared" si="2"/>
        <v>144</v>
      </c>
      <c r="T5" s="266"/>
    </row>
    <row r="6" spans="1:20">
      <c r="A6" s="920" t="s">
        <v>210</v>
      </c>
      <c r="B6" s="618">
        <f t="shared" si="3"/>
        <v>7.3</v>
      </c>
      <c r="C6" s="619">
        <f t="shared" si="3"/>
        <v>160.6</v>
      </c>
      <c r="D6" s="620">
        <f t="shared" si="3"/>
        <v>3.7</v>
      </c>
      <c r="E6" s="621">
        <f t="shared" si="3"/>
        <v>103.60000000000001</v>
      </c>
      <c r="G6" s="618"/>
      <c r="H6" s="622"/>
      <c r="I6" s="623"/>
      <c r="J6" s="624"/>
      <c r="L6" s="625"/>
      <c r="M6" s="626"/>
      <c r="N6" s="627"/>
      <c r="O6" s="628"/>
      <c r="Q6" s="629">
        <f t="shared" si="0"/>
        <v>160.6</v>
      </c>
      <c r="R6" s="626">
        <f t="shared" si="1"/>
        <v>103.60000000000001</v>
      </c>
      <c r="S6" s="628">
        <f t="shared" si="2"/>
        <v>264.2</v>
      </c>
      <c r="T6" s="266"/>
    </row>
    <row r="7" spans="1:20">
      <c r="A7" s="920" t="s">
        <v>595</v>
      </c>
      <c r="B7" s="618">
        <f t="shared" si="3"/>
        <v>16</v>
      </c>
      <c r="C7" s="619">
        <f t="shared" si="3"/>
        <v>352</v>
      </c>
      <c r="D7" s="620">
        <f t="shared" si="3"/>
        <v>8</v>
      </c>
      <c r="E7" s="621">
        <f t="shared" si="3"/>
        <v>224</v>
      </c>
      <c r="G7" s="618">
        <f t="shared" ref="G7:J9" si="4">+G23</f>
        <v>18</v>
      </c>
      <c r="H7" s="627">
        <f t="shared" si="4"/>
        <v>396</v>
      </c>
      <c r="I7" s="627">
        <f t="shared" si="4"/>
        <v>9</v>
      </c>
      <c r="J7" s="630">
        <f t="shared" si="4"/>
        <v>252</v>
      </c>
      <c r="L7" s="625">
        <f>+L23</f>
        <v>12.7</v>
      </c>
      <c r="M7" s="626">
        <f>+M23</f>
        <v>279.39999999999998</v>
      </c>
      <c r="N7" s="623">
        <f>+N23</f>
        <v>6.3</v>
      </c>
      <c r="O7" s="628">
        <f>+O23</f>
        <v>176.4</v>
      </c>
      <c r="Q7" s="629">
        <f t="shared" si="0"/>
        <v>1027.4000000000001</v>
      </c>
      <c r="R7" s="626">
        <f t="shared" si="1"/>
        <v>652.4</v>
      </c>
      <c r="S7" s="628">
        <f t="shared" si="2"/>
        <v>1679.8000000000002</v>
      </c>
      <c r="T7" s="266"/>
    </row>
    <row r="8" spans="1:20">
      <c r="A8" s="920" t="s">
        <v>212</v>
      </c>
      <c r="B8" s="618">
        <f t="shared" si="3"/>
        <v>7.3</v>
      </c>
      <c r="C8" s="619">
        <f t="shared" si="3"/>
        <v>160.6</v>
      </c>
      <c r="D8" s="620">
        <f t="shared" si="3"/>
        <v>5</v>
      </c>
      <c r="E8" s="621">
        <f t="shared" si="3"/>
        <v>140</v>
      </c>
      <c r="G8" s="618">
        <f t="shared" si="4"/>
        <v>5.3</v>
      </c>
      <c r="H8" s="627">
        <f t="shared" si="4"/>
        <v>116.6</v>
      </c>
      <c r="I8" s="627">
        <f t="shared" si="4"/>
        <v>3.3</v>
      </c>
      <c r="J8" s="630">
        <f t="shared" si="4"/>
        <v>92.399999999999991</v>
      </c>
      <c r="L8" s="625"/>
      <c r="M8" s="626"/>
      <c r="N8" s="623"/>
      <c r="O8" s="628"/>
      <c r="Q8" s="629">
        <f t="shared" si="0"/>
        <v>277.2</v>
      </c>
      <c r="R8" s="626">
        <f t="shared" si="1"/>
        <v>232.39999999999998</v>
      </c>
      <c r="S8" s="628">
        <f t="shared" si="2"/>
        <v>509.59999999999997</v>
      </c>
      <c r="T8" s="266"/>
    </row>
    <row r="9" spans="1:20">
      <c r="A9" s="920" t="s">
        <v>214</v>
      </c>
      <c r="B9" s="631">
        <f t="shared" si="3"/>
        <v>7.3</v>
      </c>
      <c r="C9" s="632">
        <f t="shared" si="3"/>
        <v>160.6</v>
      </c>
      <c r="D9" s="633">
        <f t="shared" si="3"/>
        <v>5</v>
      </c>
      <c r="E9" s="634">
        <f t="shared" si="3"/>
        <v>140</v>
      </c>
      <c r="G9" s="618">
        <f t="shared" si="4"/>
        <v>2.7</v>
      </c>
      <c r="H9" s="627">
        <f t="shared" si="4"/>
        <v>59.400000000000006</v>
      </c>
      <c r="I9" s="627">
        <f t="shared" si="4"/>
        <v>1.3</v>
      </c>
      <c r="J9" s="630">
        <f t="shared" si="4"/>
        <v>36.4</v>
      </c>
      <c r="L9" s="635"/>
      <c r="M9" s="352"/>
      <c r="N9" s="636"/>
      <c r="O9" s="637"/>
      <c r="Q9" s="629">
        <f t="shared" si="0"/>
        <v>220</v>
      </c>
      <c r="R9" s="626">
        <f t="shared" si="1"/>
        <v>176.4</v>
      </c>
      <c r="S9" s="628">
        <f t="shared" si="2"/>
        <v>396.4</v>
      </c>
      <c r="T9" s="266"/>
    </row>
    <row r="10" spans="1:20">
      <c r="A10" s="920" t="s">
        <v>596</v>
      </c>
      <c r="B10" s="631"/>
      <c r="C10" s="352"/>
      <c r="D10" s="636"/>
      <c r="E10" s="637"/>
      <c r="G10" s="618"/>
      <c r="H10" s="622"/>
      <c r="I10" s="623"/>
      <c r="J10" s="624"/>
      <c r="L10" s="635"/>
      <c r="M10" s="352"/>
      <c r="N10" s="636"/>
      <c r="O10" s="637"/>
      <c r="Q10" s="629">
        <f t="shared" si="0"/>
        <v>0</v>
      </c>
      <c r="R10" s="626">
        <f t="shared" si="1"/>
        <v>0</v>
      </c>
      <c r="S10" s="628">
        <f t="shared" si="2"/>
        <v>0</v>
      </c>
      <c r="T10" s="266"/>
    </row>
    <row r="11" spans="1:20" ht="13.5" thickBot="1">
      <c r="A11" s="921"/>
      <c r="B11" s="631"/>
      <c r="C11" s="352"/>
      <c r="D11" s="636"/>
      <c r="E11" s="637"/>
      <c r="G11" s="638"/>
      <c r="H11" s="639"/>
      <c r="I11" s="640"/>
      <c r="J11" s="641"/>
      <c r="L11" s="635"/>
      <c r="M11" s="352"/>
      <c r="N11" s="636"/>
      <c r="O11" s="637"/>
      <c r="Q11" s="642">
        <f t="shared" si="0"/>
        <v>0</v>
      </c>
      <c r="R11" s="352">
        <f t="shared" si="1"/>
        <v>0</v>
      </c>
      <c r="S11" s="637">
        <f t="shared" si="2"/>
        <v>0</v>
      </c>
      <c r="T11" s="266"/>
    </row>
    <row r="12" spans="1:20" s="418" customFormat="1" ht="13.5" thickBot="1">
      <c r="A12" s="643"/>
      <c r="B12" s="644">
        <f>SUM(B3:B11)</f>
        <v>71.199999999999989</v>
      </c>
      <c r="C12" s="645">
        <f>SUM(C3:C11)</f>
        <v>1566.4099999999999</v>
      </c>
      <c r="D12" s="646">
        <f>SUM(D3:D11)</f>
        <v>38.4</v>
      </c>
      <c r="E12" s="647">
        <f>SUM(E3:E11)</f>
        <v>1074.8</v>
      </c>
      <c r="G12" s="644">
        <f>SUM(G3:G11)</f>
        <v>38</v>
      </c>
      <c r="H12" s="648">
        <f>SUM(H3:H11)</f>
        <v>836</v>
      </c>
      <c r="I12" s="646">
        <f>SUM(I3:I11)</f>
        <v>19.600000000000001</v>
      </c>
      <c r="J12" s="649">
        <f>SUM(J3:J11)</f>
        <v>548.79999999999995</v>
      </c>
      <c r="L12" s="644">
        <f>SUM(L3:L11)</f>
        <v>12.7</v>
      </c>
      <c r="M12" s="648">
        <f>SUM(M6:M11)</f>
        <v>279.39999999999998</v>
      </c>
      <c r="N12" s="646">
        <f>SUM(N3:N11)</f>
        <v>6.3</v>
      </c>
      <c r="O12" s="649">
        <f>SUM(O6:O11)</f>
        <v>176.4</v>
      </c>
      <c r="Q12" s="650">
        <f>SUM(Q3:Q11)</f>
        <v>2681.81</v>
      </c>
      <c r="R12" s="648">
        <f>SUM(R3:R11)</f>
        <v>1800</v>
      </c>
      <c r="S12" s="649">
        <f>SUM(S3:S11)</f>
        <v>4481.8100000000004</v>
      </c>
    </row>
    <row r="14" spans="1:20">
      <c r="C14" s="266">
        <v>22</v>
      </c>
      <c r="E14" s="266">
        <v>28</v>
      </c>
      <c r="I14" s="248">
        <f>9*22</f>
        <v>198</v>
      </c>
    </row>
    <row r="16" spans="1:20">
      <c r="B16" s="2498" t="s">
        <v>461</v>
      </c>
      <c r="C16" s="2498"/>
      <c r="D16" s="2501" t="s">
        <v>462</v>
      </c>
      <c r="E16" s="2501"/>
    </row>
    <row r="17" spans="1:15">
      <c r="A17" s="248" t="s">
        <v>597</v>
      </c>
      <c r="B17" s="250">
        <v>9.3000000000000007</v>
      </c>
      <c r="C17" s="651">
        <f>+(B17*C14)+0.21</f>
        <v>204.81000000000003</v>
      </c>
      <c r="D17" s="457">
        <v>4.7</v>
      </c>
      <c r="E17" s="651">
        <f>+D17*E14</f>
        <v>131.6</v>
      </c>
      <c r="G17" s="427"/>
      <c r="H17" s="315">
        <f t="shared" ref="H17:H25" si="5">+G17*$C$14</f>
        <v>0</v>
      </c>
    </row>
    <row r="18" spans="1:15">
      <c r="A18" s="248" t="s">
        <v>598</v>
      </c>
      <c r="B18" s="250">
        <v>4.7</v>
      </c>
      <c r="C18" s="651">
        <f>+(B18*C14)-0.2</f>
        <v>103.2</v>
      </c>
      <c r="D18" s="457">
        <v>2.2999999999999998</v>
      </c>
      <c r="E18" s="651">
        <f>+(D18*E14)-0.4</f>
        <v>63.999999999999993</v>
      </c>
      <c r="G18" s="427">
        <v>12</v>
      </c>
      <c r="H18" s="315">
        <f t="shared" si="5"/>
        <v>264</v>
      </c>
      <c r="I18" s="248">
        <v>6</v>
      </c>
      <c r="J18" s="248">
        <f t="shared" ref="J18:J25" si="6">+I18*$E$14</f>
        <v>168</v>
      </c>
    </row>
    <row r="19" spans="1:15">
      <c r="A19" s="248" t="s">
        <v>599</v>
      </c>
      <c r="B19" s="250">
        <v>15.3</v>
      </c>
      <c r="C19" s="651">
        <f>+B19*C14</f>
        <v>336.6</v>
      </c>
      <c r="D19" s="652">
        <v>7.7</v>
      </c>
      <c r="E19" s="651">
        <f>+(D19*E14)</f>
        <v>215.6</v>
      </c>
      <c r="G19" s="427"/>
      <c r="H19" s="315">
        <f t="shared" si="5"/>
        <v>0</v>
      </c>
      <c r="J19" s="248">
        <f t="shared" si="6"/>
        <v>0</v>
      </c>
      <c r="M19" s="266"/>
    </row>
    <row r="20" spans="1:15">
      <c r="A20" s="248" t="s">
        <v>600</v>
      </c>
      <c r="C20" s="651">
        <f>+B20*C14</f>
        <v>0</v>
      </c>
      <c r="D20" s="652"/>
      <c r="E20" s="651">
        <f>+D20*E14</f>
        <v>0</v>
      </c>
      <c r="G20" s="427"/>
      <c r="H20" s="315">
        <f t="shared" si="5"/>
        <v>0</v>
      </c>
      <c r="J20" s="248">
        <f t="shared" si="6"/>
        <v>0</v>
      </c>
      <c r="M20" s="266"/>
    </row>
    <row r="21" spans="1:15">
      <c r="A21" s="248" t="s">
        <v>601</v>
      </c>
      <c r="B21" s="250">
        <v>4</v>
      </c>
      <c r="C21" s="651">
        <f>+B21*C14</f>
        <v>88</v>
      </c>
      <c r="D21" s="652">
        <v>2</v>
      </c>
      <c r="E21" s="651">
        <f>+D21*E14</f>
        <v>56</v>
      </c>
      <c r="G21" s="427"/>
      <c r="H21" s="315">
        <f t="shared" si="5"/>
        <v>0</v>
      </c>
      <c r="J21" s="248">
        <f t="shared" si="6"/>
        <v>0</v>
      </c>
    </row>
    <row r="22" spans="1:15">
      <c r="A22" s="248" t="s">
        <v>602</v>
      </c>
      <c r="B22" s="250">
        <v>7.3</v>
      </c>
      <c r="C22" s="651">
        <f>+B22*C14</f>
        <v>160.6</v>
      </c>
      <c r="D22" s="652">
        <v>3.7</v>
      </c>
      <c r="E22" s="651">
        <f>+(D22*E14)</f>
        <v>103.60000000000001</v>
      </c>
      <c r="G22" s="427"/>
      <c r="H22" s="315">
        <f t="shared" si="5"/>
        <v>0</v>
      </c>
      <c r="J22" s="248">
        <f t="shared" si="6"/>
        <v>0</v>
      </c>
    </row>
    <row r="23" spans="1:15">
      <c r="A23" s="248" t="s">
        <v>603</v>
      </c>
      <c r="B23" s="250">
        <v>16</v>
      </c>
      <c r="C23" s="651">
        <f>+B23*C14</f>
        <v>352</v>
      </c>
      <c r="D23" s="652">
        <v>8</v>
      </c>
      <c r="E23" s="651">
        <f>+D23*E14</f>
        <v>224</v>
      </c>
      <c r="G23" s="427">
        <v>18</v>
      </c>
      <c r="H23" s="315">
        <f t="shared" si="5"/>
        <v>396</v>
      </c>
      <c r="I23" s="248">
        <v>9</v>
      </c>
      <c r="J23" s="248">
        <f t="shared" si="6"/>
        <v>252</v>
      </c>
      <c r="L23" s="248">
        <v>12.7</v>
      </c>
      <c r="M23" s="266">
        <f>+L23*C14</f>
        <v>279.39999999999998</v>
      </c>
      <c r="N23" s="248">
        <v>6.3</v>
      </c>
      <c r="O23" s="427">
        <f>+N23*E14</f>
        <v>176.4</v>
      </c>
    </row>
    <row r="24" spans="1:15">
      <c r="A24" s="248" t="s">
        <v>604</v>
      </c>
      <c r="B24" s="250">
        <v>7.3</v>
      </c>
      <c r="C24" s="651">
        <f>+B24*C14</f>
        <v>160.6</v>
      </c>
      <c r="D24" s="652">
        <v>5</v>
      </c>
      <c r="E24" s="651">
        <f>+D24*E14</f>
        <v>140</v>
      </c>
      <c r="G24" s="427">
        <v>5.3</v>
      </c>
      <c r="H24" s="315">
        <f t="shared" si="5"/>
        <v>116.6</v>
      </c>
      <c r="I24" s="248">
        <v>3.3</v>
      </c>
      <c r="J24" s="248">
        <f t="shared" si="6"/>
        <v>92.399999999999991</v>
      </c>
      <c r="M24" s="266"/>
    </row>
    <row r="25" spans="1:15">
      <c r="A25" s="248" t="s">
        <v>605</v>
      </c>
      <c r="B25" s="250">
        <v>7.3</v>
      </c>
      <c r="C25" s="651">
        <f>+B25*C14</f>
        <v>160.6</v>
      </c>
      <c r="D25" s="652">
        <v>5</v>
      </c>
      <c r="E25" s="651">
        <f>+D25*E14</f>
        <v>140</v>
      </c>
      <c r="G25" s="427">
        <v>2.7</v>
      </c>
      <c r="H25" s="315">
        <f t="shared" si="5"/>
        <v>59.400000000000006</v>
      </c>
      <c r="I25" s="248">
        <v>1.3</v>
      </c>
      <c r="J25" s="248">
        <f t="shared" si="6"/>
        <v>36.4</v>
      </c>
    </row>
    <row r="26" spans="1:15">
      <c r="B26" s="250">
        <f>SUM(B17:B25)</f>
        <v>71.199999999999989</v>
      </c>
      <c r="C26" s="651">
        <f>SUM(C17:C25)</f>
        <v>1566.4099999999999</v>
      </c>
      <c r="D26" s="652">
        <f>SUM(D17:D25)</f>
        <v>38.4</v>
      </c>
      <c r="E26" s="651">
        <f>SUM(E17:E25)</f>
        <v>1074.8</v>
      </c>
      <c r="G26" s="427">
        <f>SUM(G17:G25)</f>
        <v>38</v>
      </c>
      <c r="H26" s="315">
        <f>SUM(H17:H25)</f>
        <v>836</v>
      </c>
      <c r="J26" s="248">
        <f>SUM(J18:J25)</f>
        <v>548.79999999999995</v>
      </c>
    </row>
    <row r="28" spans="1:15">
      <c r="A28" s="248" t="s">
        <v>606</v>
      </c>
      <c r="M28" s="266"/>
    </row>
    <row r="32" spans="1:15">
      <c r="C32" s="516">
        <f>15.3+16+4.7+7.3+9.3+4+7.3+7.3</f>
        <v>71.199999999999989</v>
      </c>
    </row>
    <row r="33" spans="3:3">
      <c r="C33" s="516">
        <f>7.7+8+2.3+3.7+4.7+2+5+5</f>
        <v>38.4</v>
      </c>
    </row>
    <row r="37" spans="3:3">
      <c r="C37" s="266">
        <v>23</v>
      </c>
    </row>
    <row r="83" spans="1:9">
      <c r="A83" s="42"/>
      <c r="B83" s="40"/>
      <c r="C83" s="50"/>
      <c r="D83" s="40"/>
    </row>
    <row r="96" spans="1:9">
      <c r="A96" s="723"/>
      <c r="B96" s="43"/>
      <c r="C96" s="744"/>
      <c r="D96" s="43"/>
      <c r="E96" s="744"/>
      <c r="F96" s="723"/>
      <c r="G96" s="723"/>
      <c r="H96" s="723"/>
      <c r="I96" s="723"/>
    </row>
    <row r="97" spans="1:9">
      <c r="A97" s="51"/>
      <c r="B97" s="45"/>
      <c r="C97" s="47"/>
      <c r="D97" s="45"/>
      <c r="E97" s="47"/>
      <c r="F97" s="51"/>
      <c r="G97" s="51"/>
      <c r="H97" s="51"/>
      <c r="I97" s="51"/>
    </row>
    <row r="98" spans="1:9">
      <c r="A98" s="51"/>
      <c r="B98" s="45"/>
      <c r="C98" s="47"/>
      <c r="D98" s="45"/>
      <c r="E98" s="47"/>
      <c r="F98" s="51"/>
      <c r="G98" s="51"/>
      <c r="H98" s="51"/>
      <c r="I98" s="51"/>
    </row>
    <row r="99" spans="1:9">
      <c r="A99" s="51"/>
      <c r="B99" s="45"/>
      <c r="C99" s="47"/>
      <c r="D99" s="45"/>
      <c r="E99" s="47"/>
      <c r="F99" s="51"/>
      <c r="G99" s="51"/>
      <c r="H99" s="51"/>
      <c r="I99" s="51"/>
    </row>
    <row r="100" spans="1:9">
      <c r="A100" s="725"/>
      <c r="B100" s="46"/>
      <c r="C100" s="745"/>
      <c r="D100" s="46"/>
      <c r="E100" s="745"/>
      <c r="F100" s="725"/>
      <c r="G100" s="725"/>
      <c r="H100" s="725"/>
      <c r="I100" s="725"/>
    </row>
  </sheetData>
  <mergeCells count="11">
    <mergeCell ref="I1:J1"/>
    <mergeCell ref="Q1:Q2"/>
    <mergeCell ref="R1:R2"/>
    <mergeCell ref="S1:S2"/>
    <mergeCell ref="B16:C16"/>
    <mergeCell ref="B1:C1"/>
    <mergeCell ref="L1:M1"/>
    <mergeCell ref="N1:O1"/>
    <mergeCell ref="D16:E16"/>
    <mergeCell ref="D1:E1"/>
    <mergeCell ref="G1:H1"/>
  </mergeCells>
  <phoneticPr fontId="25" type="noConversion"/>
  <printOptions horizontalCentered="1"/>
  <pageMargins left="0.17" right="0.44" top="2.1653543307086616" bottom="0.98425196850393704" header="0.98425196850393704" footer="0.51181102362204722"/>
  <pageSetup paperSize="9" scale="80" orientation="landscape" r:id="rId1"/>
  <headerFooter alignWithMargins="0">
    <oddHeader>&amp;LSzent László Völgye
Kistérségi Szolgáltató Iroda&amp;C&amp;"Arial,Félkövér"&amp;14SZAKSZOLGÁLATI NORMATÍVÁK
2011&amp;R
10/C sz. melléklet
Adatok: eFt-ban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U130"/>
  <sheetViews>
    <sheetView zoomScale="70" zoomScaleNormal="85" workbookViewId="0">
      <selection activeCell="H50" sqref="H50"/>
    </sheetView>
  </sheetViews>
  <sheetFormatPr defaultColWidth="8.85546875" defaultRowHeight="12.95" customHeight="1"/>
  <cols>
    <col min="1" max="1" width="3" style="347" customWidth="1"/>
    <col min="2" max="3" width="3.140625" style="347" customWidth="1"/>
    <col min="4" max="4" width="3.42578125" style="347" customWidth="1"/>
    <col min="5" max="5" width="48.140625" style="1" customWidth="1"/>
    <col min="6" max="6" width="12.28515625" style="1712" customWidth="1"/>
    <col min="7" max="8" width="12.28515625" style="474" customWidth="1"/>
    <col min="9" max="9" width="8.5703125" style="474" customWidth="1"/>
    <col min="10" max="10" width="8.85546875" style="512" customWidth="1"/>
    <col min="11" max="11" width="13.42578125" style="512" customWidth="1"/>
    <col min="12" max="12" width="12.28515625" style="512" bestFit="1" customWidth="1"/>
    <col min="13" max="13" width="24.85546875" style="512" customWidth="1"/>
    <col min="14" max="14" width="13.5703125" style="512" customWidth="1"/>
    <col min="15" max="15" width="8.85546875" style="512" customWidth="1"/>
    <col min="16" max="16" width="9.28515625" style="512" customWidth="1"/>
    <col min="17" max="16384" width="8.85546875" style="512"/>
  </cols>
  <sheetData>
    <row r="1" spans="1:11" ht="16.899999999999999" customHeight="1">
      <c r="F1" s="1828" t="s">
        <v>126</v>
      </c>
      <c r="G1" s="1829" t="s">
        <v>691</v>
      </c>
      <c r="H1" s="2316" t="s">
        <v>710</v>
      </c>
      <c r="I1" s="2304" t="s">
        <v>127</v>
      </c>
    </row>
    <row r="2" spans="1:11" ht="19.149999999999999" customHeight="1" thickBot="1">
      <c r="F2" s="1830" t="s">
        <v>128</v>
      </c>
      <c r="G2" s="1831"/>
      <c r="H2" s="2276"/>
      <c r="I2" s="2305"/>
    </row>
    <row r="3" spans="1:11" ht="12.95" customHeight="1">
      <c r="A3" s="1672" t="s">
        <v>129</v>
      </c>
      <c r="B3" s="2312" t="s">
        <v>130</v>
      </c>
      <c r="C3" s="2313"/>
      <c r="D3" s="2313"/>
      <c r="E3" s="2313"/>
      <c r="F3" s="1832"/>
      <c r="G3" s="1761"/>
      <c r="H3" s="1761"/>
      <c r="I3" s="1833"/>
    </row>
    <row r="4" spans="1:11" s="1674" customFormat="1" ht="12.95" customHeight="1">
      <c r="A4" s="1673"/>
      <c r="B4" s="776" t="s">
        <v>131</v>
      </c>
      <c r="C4" s="2314" t="s">
        <v>132</v>
      </c>
      <c r="D4" s="2315"/>
      <c r="E4" s="2315"/>
      <c r="F4" s="1834"/>
      <c r="G4" s="1746"/>
      <c r="H4" s="1746"/>
      <c r="I4" s="1835"/>
    </row>
    <row r="5" spans="1:11" ht="12.95" customHeight="1">
      <c r="A5" s="1675"/>
      <c r="B5" s="1676"/>
      <c r="C5" s="1676">
        <v>1</v>
      </c>
      <c r="D5" s="2306" t="s">
        <v>133</v>
      </c>
      <c r="E5" s="2307"/>
      <c r="F5" s="1836"/>
      <c r="G5" s="1837"/>
      <c r="H5" s="1837"/>
      <c r="I5" s="1838"/>
    </row>
    <row r="6" spans="1:11" ht="12.95" customHeight="1">
      <c r="A6" s="1678"/>
      <c r="B6" s="777"/>
      <c r="C6" s="777"/>
      <c r="D6" s="777" t="s">
        <v>134</v>
      </c>
      <c r="E6" s="1679" t="s">
        <v>135</v>
      </c>
      <c r="F6" s="1839">
        <f>+KÖZOKTATÁS!D8</f>
        <v>76454</v>
      </c>
      <c r="G6" s="1750"/>
      <c r="H6" s="1750">
        <f>SUM(F6:G6)</f>
        <v>76454</v>
      </c>
      <c r="I6" s="1840">
        <f>+H6/F6</f>
        <v>1</v>
      </c>
    </row>
    <row r="7" spans="1:11" ht="12.95" customHeight="1">
      <c r="A7" s="1678"/>
      <c r="B7" s="777"/>
      <c r="C7" s="777"/>
      <c r="D7" s="777" t="s">
        <v>136</v>
      </c>
      <c r="E7" s="1679" t="s">
        <v>137</v>
      </c>
      <c r="F7" s="1839">
        <f>+KÖZOKTATÁS!D28-1</f>
        <v>28200</v>
      </c>
      <c r="G7" s="1750"/>
      <c r="H7" s="1750">
        <f t="shared" ref="H7:H24" si="0">SUM(F7:G7)</f>
        <v>28200</v>
      </c>
      <c r="I7" s="1840">
        <f t="shared" ref="I7:I25" si="1">+H7/F7</f>
        <v>1</v>
      </c>
    </row>
    <row r="8" spans="1:11" ht="12.95" customHeight="1">
      <c r="A8" s="1678"/>
      <c r="B8" s="777"/>
      <c r="C8" s="777"/>
      <c r="D8" s="777" t="s">
        <v>138</v>
      </c>
      <c r="E8" s="1679" t="s">
        <v>139</v>
      </c>
      <c r="F8" s="1839">
        <f>+KÖZOKTATÁS!D36</f>
        <v>1645</v>
      </c>
      <c r="G8" s="1750"/>
      <c r="H8" s="1750">
        <f t="shared" si="0"/>
        <v>1645</v>
      </c>
      <c r="I8" s="1840">
        <f t="shared" si="1"/>
        <v>1</v>
      </c>
    </row>
    <row r="9" spans="1:11" ht="12.95" customHeight="1">
      <c r="A9" s="1678"/>
      <c r="B9" s="777"/>
      <c r="C9" s="777"/>
      <c r="D9" s="777" t="s">
        <v>140</v>
      </c>
      <c r="E9" s="1679" t="s">
        <v>141</v>
      </c>
      <c r="F9" s="1839">
        <f>+KÖZOKTATÁS!D57</f>
        <v>1801</v>
      </c>
      <c r="G9" s="1750"/>
      <c r="H9" s="1750">
        <f t="shared" si="0"/>
        <v>1801</v>
      </c>
      <c r="I9" s="1840">
        <f t="shared" si="1"/>
        <v>1</v>
      </c>
    </row>
    <row r="10" spans="1:11" ht="12.95" customHeight="1">
      <c r="A10" s="1678"/>
      <c r="B10" s="777"/>
      <c r="C10" s="777"/>
      <c r="D10" s="777" t="s">
        <v>142</v>
      </c>
      <c r="E10" s="1679" t="s">
        <v>143</v>
      </c>
      <c r="F10" s="1839">
        <f>+KÖZOKTATÁS!D73</f>
        <v>18707</v>
      </c>
      <c r="G10" s="1750"/>
      <c r="H10" s="1750">
        <f t="shared" si="0"/>
        <v>18707</v>
      </c>
      <c r="I10" s="1840">
        <f t="shared" si="1"/>
        <v>1</v>
      </c>
      <c r="K10" s="1680"/>
    </row>
    <row r="11" spans="1:11" ht="12.95" customHeight="1">
      <c r="A11" s="1678"/>
      <c r="B11" s="777"/>
      <c r="C11" s="777"/>
      <c r="D11" s="777" t="s">
        <v>144</v>
      </c>
      <c r="E11" s="1679" t="s">
        <v>145</v>
      </c>
      <c r="F11" s="1839">
        <f>+KÖZOKTATÁS!D77</f>
        <v>15436</v>
      </c>
      <c r="G11" s="1750"/>
      <c r="H11" s="1750">
        <f t="shared" si="0"/>
        <v>15436</v>
      </c>
      <c r="I11" s="1840">
        <f t="shared" si="1"/>
        <v>1</v>
      </c>
      <c r="K11" s="1680"/>
    </row>
    <row r="12" spans="1:11" s="1674" customFormat="1" ht="12.95" customHeight="1">
      <c r="A12" s="1678"/>
      <c r="B12" s="777"/>
      <c r="C12" s="777"/>
      <c r="D12" s="777" t="s">
        <v>146</v>
      </c>
      <c r="E12" s="1679" t="s">
        <v>147</v>
      </c>
      <c r="F12" s="1839">
        <f>+KÖZOKTATÁS!D81</f>
        <v>1248</v>
      </c>
      <c r="G12" s="1750"/>
      <c r="H12" s="1750">
        <f t="shared" si="0"/>
        <v>1248</v>
      </c>
      <c r="I12" s="1840">
        <f t="shared" si="1"/>
        <v>1</v>
      </c>
      <c r="J12" s="512"/>
      <c r="K12" s="1681"/>
    </row>
    <row r="13" spans="1:11" s="1674" customFormat="1" ht="12.95" customHeight="1">
      <c r="A13" s="1678"/>
      <c r="B13" s="777"/>
      <c r="C13" s="777"/>
      <c r="D13" s="777" t="s">
        <v>148</v>
      </c>
      <c r="E13" s="1679" t="s">
        <v>149</v>
      </c>
      <c r="F13" s="1839">
        <f>+KÖZOKTATÁS!D79</f>
        <v>320</v>
      </c>
      <c r="G13" s="1750"/>
      <c r="H13" s="1750">
        <f t="shared" si="0"/>
        <v>320</v>
      </c>
      <c r="I13" s="1840">
        <f t="shared" si="1"/>
        <v>1</v>
      </c>
      <c r="J13" s="512"/>
      <c r="K13" s="1681"/>
    </row>
    <row r="14" spans="1:11" s="1674" customFormat="1" ht="12.95" customHeight="1">
      <c r="A14" s="1675"/>
      <c r="B14" s="1676"/>
      <c r="C14" s="1676"/>
      <c r="D14" s="2306" t="s">
        <v>150</v>
      </c>
      <c r="E14" s="2307"/>
      <c r="F14" s="1836">
        <f>SUM(F6:F13)</f>
        <v>143811</v>
      </c>
      <c r="G14" s="1837"/>
      <c r="H14" s="1837">
        <f>SUM(H6:H13)</f>
        <v>143811</v>
      </c>
      <c r="I14" s="1841">
        <f t="shared" si="1"/>
        <v>1</v>
      </c>
      <c r="K14" s="1681"/>
    </row>
    <row r="15" spans="1:11" ht="12.95" customHeight="1">
      <c r="A15" s="1675"/>
      <c r="B15" s="1676"/>
      <c r="C15" s="1676">
        <v>2</v>
      </c>
      <c r="D15" s="2306" t="s">
        <v>151</v>
      </c>
      <c r="E15" s="2307"/>
      <c r="F15" s="1836"/>
      <c r="G15" s="1837"/>
      <c r="H15" s="1750"/>
      <c r="I15" s="1840"/>
      <c r="K15" s="1680"/>
    </row>
    <row r="16" spans="1:11" ht="12.95" customHeight="1">
      <c r="A16" s="1678"/>
      <c r="B16" s="777"/>
      <c r="C16" s="777"/>
      <c r="D16" s="777" t="s">
        <v>134</v>
      </c>
      <c r="E16" s="1679" t="s">
        <v>152</v>
      </c>
      <c r="F16" s="1839">
        <f>+KÖZOKTATÁS!D112</f>
        <v>28212</v>
      </c>
      <c r="G16" s="1750"/>
      <c r="H16" s="1750">
        <f t="shared" si="0"/>
        <v>28212</v>
      </c>
      <c r="I16" s="1840">
        <f t="shared" si="1"/>
        <v>1</v>
      </c>
      <c r="K16" s="1680"/>
    </row>
    <row r="17" spans="1:11" ht="12.95" customHeight="1">
      <c r="A17" s="1678"/>
      <c r="B17" s="777"/>
      <c r="C17" s="777"/>
      <c r="D17" s="777" t="s">
        <v>136</v>
      </c>
      <c r="E17" s="1679" t="s">
        <v>153</v>
      </c>
      <c r="F17" s="1839">
        <f>+KÖZOKTATÁS!D120</f>
        <v>4590</v>
      </c>
      <c r="G17" s="1750"/>
      <c r="H17" s="1750">
        <f t="shared" si="0"/>
        <v>4590</v>
      </c>
      <c r="I17" s="1840">
        <f t="shared" si="1"/>
        <v>1</v>
      </c>
      <c r="K17" s="1680"/>
    </row>
    <row r="18" spans="1:11" ht="12.95" customHeight="1">
      <c r="A18" s="1678"/>
      <c r="B18" s="777"/>
      <c r="C18" s="777"/>
      <c r="D18" s="777" t="s">
        <v>138</v>
      </c>
      <c r="E18" s="1679" t="s">
        <v>154</v>
      </c>
      <c r="F18" s="1839">
        <f>+KÖZOKTATÁS!D124</f>
        <v>32810</v>
      </c>
      <c r="G18" s="1750"/>
      <c r="H18" s="1750">
        <f t="shared" si="0"/>
        <v>32810</v>
      </c>
      <c r="I18" s="1840">
        <f t="shared" si="1"/>
        <v>1</v>
      </c>
      <c r="K18" s="1680"/>
    </row>
    <row r="19" spans="1:11" ht="12.95" customHeight="1">
      <c r="A19" s="1678"/>
      <c r="B19" s="777"/>
      <c r="C19" s="777"/>
      <c r="D19" s="777" t="s">
        <v>140</v>
      </c>
      <c r="E19" s="1679" t="s">
        <v>155</v>
      </c>
      <c r="F19" s="1839">
        <f>+KÖZOKTATÁS!D128</f>
        <v>2202</v>
      </c>
      <c r="G19" s="1750"/>
      <c r="H19" s="1750">
        <f t="shared" si="0"/>
        <v>2202</v>
      </c>
      <c r="I19" s="1840">
        <f t="shared" si="1"/>
        <v>1</v>
      </c>
      <c r="K19" s="1680"/>
    </row>
    <row r="20" spans="1:11" s="1674" customFormat="1" ht="12.95" customHeight="1">
      <c r="A20" s="1678"/>
      <c r="B20" s="777"/>
      <c r="C20" s="777"/>
      <c r="D20" s="777" t="s">
        <v>144</v>
      </c>
      <c r="E20" s="1679" t="s">
        <v>156</v>
      </c>
      <c r="F20" s="1839">
        <f>+KÖZOKTATÁS!D139</f>
        <v>4481.8100000000004</v>
      </c>
      <c r="G20" s="1750"/>
      <c r="H20" s="1750">
        <f t="shared" si="0"/>
        <v>4481.8100000000004</v>
      </c>
      <c r="I20" s="1840">
        <f t="shared" si="1"/>
        <v>1</v>
      </c>
      <c r="J20" s="512"/>
      <c r="K20" s="1681"/>
    </row>
    <row r="21" spans="1:11" s="1674" customFormat="1" ht="12.95" customHeight="1">
      <c r="A21" s="1682"/>
      <c r="B21" s="778"/>
      <c r="C21" s="778"/>
      <c r="D21" s="778" t="s">
        <v>146</v>
      </c>
      <c r="E21" s="1683" t="s">
        <v>157</v>
      </c>
      <c r="F21" s="1842">
        <f>+KÖZOKTATÁS!D85+KÖZOKTATÁS!D86</f>
        <v>200</v>
      </c>
      <c r="G21" s="1605"/>
      <c r="H21" s="1750">
        <f t="shared" si="0"/>
        <v>200</v>
      </c>
      <c r="I21" s="1840">
        <f t="shared" si="1"/>
        <v>1</v>
      </c>
      <c r="J21" s="512"/>
      <c r="K21" s="1681"/>
    </row>
    <row r="22" spans="1:11" s="1674" customFormat="1" ht="12.95" customHeight="1">
      <c r="A22" s="1682"/>
      <c r="B22" s="778"/>
      <c r="C22" s="778"/>
      <c r="D22" s="778" t="s">
        <v>148</v>
      </c>
      <c r="E22" s="1683" t="s">
        <v>158</v>
      </c>
      <c r="F22" s="1842">
        <f>+KÖZOKTATÁS!D88+KÖZOKTATÁS!D89</f>
        <v>268</v>
      </c>
      <c r="G22" s="1605"/>
      <c r="H22" s="1750">
        <f t="shared" si="0"/>
        <v>268</v>
      </c>
      <c r="I22" s="1840">
        <f t="shared" si="1"/>
        <v>1</v>
      </c>
      <c r="J22" s="512"/>
      <c r="K22" s="1681"/>
    </row>
    <row r="23" spans="1:11" s="1674" customFormat="1" ht="12.95" customHeight="1">
      <c r="A23" s="1682"/>
      <c r="B23" s="778"/>
      <c r="C23" s="778"/>
      <c r="D23" s="778" t="s">
        <v>159</v>
      </c>
      <c r="E23" s="1683" t="s">
        <v>160</v>
      </c>
      <c r="F23" s="1842">
        <f>+KÖZOKTATÁS!D91+KÖZOKTATÁS!D92</f>
        <v>130.00000000000006</v>
      </c>
      <c r="G23" s="1605"/>
      <c r="H23" s="1750">
        <f t="shared" si="0"/>
        <v>130.00000000000006</v>
      </c>
      <c r="I23" s="1840">
        <f t="shared" si="1"/>
        <v>1</v>
      </c>
      <c r="J23" s="512"/>
      <c r="K23" s="1681"/>
    </row>
    <row r="24" spans="1:11" s="1674" customFormat="1" ht="12.95" customHeight="1">
      <c r="A24" s="1684"/>
      <c r="B24" s="1685"/>
      <c r="C24" s="1685"/>
      <c r="D24" s="2310" t="s">
        <v>161</v>
      </c>
      <c r="E24" s="2311"/>
      <c r="F24" s="1843">
        <f>SUM(F16:F23)</f>
        <v>72893.81</v>
      </c>
      <c r="G24" s="1607"/>
      <c r="H24" s="1837">
        <f t="shared" si="0"/>
        <v>72893.81</v>
      </c>
      <c r="I24" s="1841">
        <f t="shared" si="1"/>
        <v>1</v>
      </c>
      <c r="K24" s="1681"/>
    </row>
    <row r="25" spans="1:11" ht="12.95" customHeight="1">
      <c r="A25" s="1686"/>
      <c r="B25" s="1687" t="s">
        <v>162</v>
      </c>
      <c r="C25" s="2328" t="s">
        <v>163</v>
      </c>
      <c r="D25" s="2329"/>
      <c r="E25" s="2329"/>
      <c r="F25" s="1844">
        <f>+F14+F24</f>
        <v>216704.81</v>
      </c>
      <c r="G25" s="1611"/>
      <c r="H25" s="1611">
        <f>+H24+H14</f>
        <v>216704.81</v>
      </c>
      <c r="I25" s="1845">
        <f t="shared" si="1"/>
        <v>1</v>
      </c>
      <c r="K25" s="1680"/>
    </row>
    <row r="26" spans="1:11" s="1674" customFormat="1" ht="12.95" customHeight="1">
      <c r="A26" s="1678"/>
      <c r="B26" s="777" t="s">
        <v>164</v>
      </c>
      <c r="C26" s="2319" t="s">
        <v>165</v>
      </c>
      <c r="D26" s="2320"/>
      <c r="E26" s="2320"/>
      <c r="F26" s="1839"/>
      <c r="G26" s="1750"/>
      <c r="H26" s="1750"/>
      <c r="I26" s="1846"/>
      <c r="J26" s="512"/>
      <c r="K26" s="1681"/>
    </row>
    <row r="27" spans="1:11" s="1674" customFormat="1" ht="12.95" customHeight="1">
      <c r="A27" s="1675"/>
      <c r="B27" s="1676"/>
      <c r="C27" s="1676">
        <v>1</v>
      </c>
      <c r="D27" s="2306" t="s">
        <v>166</v>
      </c>
      <c r="E27" s="2307"/>
      <c r="F27" s="1836"/>
      <c r="G27" s="1837"/>
      <c r="H27" s="1837"/>
      <c r="I27" s="1838"/>
      <c r="J27" s="512"/>
      <c r="K27" s="1681"/>
    </row>
    <row r="28" spans="1:11" s="1674" customFormat="1" ht="12.95" customHeight="1">
      <c r="A28" s="1675"/>
      <c r="B28" s="1676"/>
      <c r="C28" s="1676"/>
      <c r="D28" s="1690" t="s">
        <v>134</v>
      </c>
      <c r="E28" s="1691" t="s">
        <v>167</v>
      </c>
      <c r="F28" s="1839">
        <f>+SZOCIÁLIS!E3</f>
        <v>6341</v>
      </c>
      <c r="G28" s="1750"/>
      <c r="H28" s="1750">
        <f t="shared" ref="H28:H33" si="2">SUM(F28:G28)</f>
        <v>6341</v>
      </c>
      <c r="I28" s="1840">
        <f t="shared" ref="I28:I47" si="3">+H28/F28</f>
        <v>1</v>
      </c>
      <c r="J28" s="512"/>
      <c r="K28" s="1681"/>
    </row>
    <row r="29" spans="1:11" s="1674" customFormat="1" ht="12.95" customHeight="1">
      <c r="A29" s="1675"/>
      <c r="B29" s="1676"/>
      <c r="C29" s="1676"/>
      <c r="D29" s="1690" t="s">
        <v>136</v>
      </c>
      <c r="E29" s="1691" t="s">
        <v>168</v>
      </c>
      <c r="F29" s="1839">
        <f>+SZOCIÁLIS!E4</f>
        <v>6341</v>
      </c>
      <c r="G29" s="1750"/>
      <c r="H29" s="1750">
        <f t="shared" si="2"/>
        <v>6341</v>
      </c>
      <c r="I29" s="1840">
        <f t="shared" si="3"/>
        <v>1</v>
      </c>
      <c r="J29" s="512"/>
      <c r="K29" s="1681"/>
    </row>
    <row r="30" spans="1:11" s="1674" customFormat="1" ht="12.95" customHeight="1">
      <c r="A30" s="1675"/>
      <c r="B30" s="1676"/>
      <c r="C30" s="1676"/>
      <c r="D30" s="1690" t="s">
        <v>138</v>
      </c>
      <c r="E30" s="1691" t="s">
        <v>169</v>
      </c>
      <c r="F30" s="1839">
        <f>+SZOCIÁLIS!E6</f>
        <v>22255</v>
      </c>
      <c r="G30" s="1750"/>
      <c r="H30" s="1750">
        <f t="shared" si="2"/>
        <v>22255</v>
      </c>
      <c r="I30" s="1840">
        <f t="shared" si="3"/>
        <v>1</v>
      </c>
      <c r="J30" s="512"/>
      <c r="K30" s="1681"/>
    </row>
    <row r="31" spans="1:11" s="1674" customFormat="1" ht="12.95" customHeight="1">
      <c r="A31" s="1675"/>
      <c r="B31" s="1676"/>
      <c r="C31" s="1676"/>
      <c r="D31" s="1690" t="s">
        <v>140</v>
      </c>
      <c r="E31" s="1691" t="s">
        <v>170</v>
      </c>
      <c r="F31" s="1839">
        <f>+SZOCIÁLIS!E7</f>
        <v>1506</v>
      </c>
      <c r="G31" s="1750"/>
      <c r="H31" s="1750">
        <f t="shared" si="2"/>
        <v>1506</v>
      </c>
      <c r="I31" s="1840">
        <f t="shared" si="3"/>
        <v>1</v>
      </c>
      <c r="J31" s="512"/>
      <c r="K31" s="1681"/>
    </row>
    <row r="32" spans="1:11" s="1674" customFormat="1" ht="12.95" customHeight="1">
      <c r="A32" s="1675"/>
      <c r="B32" s="1676"/>
      <c r="C32" s="1676"/>
      <c r="D32" s="1690" t="s">
        <v>142</v>
      </c>
      <c r="E32" s="1691" t="s">
        <v>171</v>
      </c>
      <c r="F32" s="1839">
        <f>+SZOCIÁLIS!E9</f>
        <v>1996</v>
      </c>
      <c r="G32" s="1750"/>
      <c r="H32" s="1750">
        <f t="shared" si="2"/>
        <v>1996</v>
      </c>
      <c r="I32" s="1840">
        <f t="shared" si="3"/>
        <v>1</v>
      </c>
      <c r="J32" s="512"/>
      <c r="K32" s="1681"/>
    </row>
    <row r="33" spans="1:14" ht="12.95" customHeight="1">
      <c r="A33" s="1675"/>
      <c r="B33" s="1676"/>
      <c r="C33" s="1676"/>
      <c r="D33" s="2308" t="s">
        <v>172</v>
      </c>
      <c r="E33" s="2309"/>
      <c r="F33" s="1836">
        <f>SUM(F28:F32)</f>
        <v>38439</v>
      </c>
      <c r="G33" s="1837"/>
      <c r="H33" s="1837">
        <f t="shared" si="2"/>
        <v>38439</v>
      </c>
      <c r="I33" s="1841">
        <f t="shared" si="3"/>
        <v>1</v>
      </c>
      <c r="K33" s="1680"/>
    </row>
    <row r="34" spans="1:14" ht="12.95" customHeight="1">
      <c r="A34" s="1678"/>
      <c r="B34" s="777"/>
      <c r="C34" s="777">
        <v>2</v>
      </c>
      <c r="D34" s="2308" t="s">
        <v>173</v>
      </c>
      <c r="E34" s="2309"/>
      <c r="F34" s="1839"/>
      <c r="G34" s="1750"/>
      <c r="H34" s="1750"/>
      <c r="I34" s="1840"/>
      <c r="K34" s="1680"/>
    </row>
    <row r="35" spans="1:14" ht="12.95" customHeight="1">
      <c r="A35" s="1678"/>
      <c r="B35" s="777"/>
      <c r="C35" s="777"/>
      <c r="D35" s="777" t="s">
        <v>134</v>
      </c>
      <c r="E35" s="1689" t="s">
        <v>174</v>
      </c>
      <c r="F35" s="1839">
        <f>+SZOCIÁLIS!E12</f>
        <v>320</v>
      </c>
      <c r="G35" s="1750"/>
      <c r="H35" s="1750">
        <f t="shared" ref="H35:H40" si="4">SUM(F35:G35)</f>
        <v>320</v>
      </c>
      <c r="I35" s="1840">
        <f t="shared" si="3"/>
        <v>1</v>
      </c>
      <c r="K35" s="1680"/>
    </row>
    <row r="36" spans="1:14" ht="12.95" customHeight="1">
      <c r="A36" s="1678"/>
      <c r="B36" s="777"/>
      <c r="C36" s="777"/>
      <c r="D36" s="777" t="s">
        <v>136</v>
      </c>
      <c r="E36" s="1689" t="s">
        <v>175</v>
      </c>
      <c r="F36" s="1839">
        <f>+SZOCIÁLIS!E13</f>
        <v>5137</v>
      </c>
      <c r="G36" s="1750"/>
      <c r="H36" s="1750">
        <f t="shared" si="4"/>
        <v>5137</v>
      </c>
      <c r="I36" s="1840">
        <f t="shared" si="3"/>
        <v>1</v>
      </c>
      <c r="K36" s="1680"/>
    </row>
    <row r="37" spans="1:14" ht="12.95" customHeight="1">
      <c r="A37" s="1678"/>
      <c r="B37" s="777"/>
      <c r="C37" s="777"/>
      <c r="D37" s="777" t="s">
        <v>138</v>
      </c>
      <c r="E37" s="1689" t="s">
        <v>176</v>
      </c>
      <c r="F37" s="1839">
        <f>+SZOCIÁLIS!E14</f>
        <v>8040</v>
      </c>
      <c r="G37" s="1750"/>
      <c r="H37" s="1750">
        <f t="shared" si="4"/>
        <v>8040</v>
      </c>
      <c r="I37" s="1840">
        <f t="shared" si="3"/>
        <v>1</v>
      </c>
      <c r="K37" s="1680"/>
    </row>
    <row r="38" spans="1:14" ht="12.95" customHeight="1">
      <c r="A38" s="1678"/>
      <c r="B38" s="777"/>
      <c r="C38" s="777"/>
      <c r="D38" s="777" t="s">
        <v>140</v>
      </c>
      <c r="E38" s="1689" t="s">
        <v>177</v>
      </c>
      <c r="F38" s="1839">
        <f>+SZOCIÁLIS!E15</f>
        <v>1530</v>
      </c>
      <c r="G38" s="1750"/>
      <c r="H38" s="1750">
        <f t="shared" si="4"/>
        <v>1530</v>
      </c>
      <c r="I38" s="1840">
        <f t="shared" si="3"/>
        <v>1</v>
      </c>
      <c r="K38" s="1680"/>
    </row>
    <row r="39" spans="1:14" s="1674" customFormat="1" ht="12.95" customHeight="1">
      <c r="A39" s="1678"/>
      <c r="B39" s="777"/>
      <c r="C39" s="777"/>
      <c r="D39" s="777" t="s">
        <v>142</v>
      </c>
      <c r="E39" s="1679" t="s">
        <v>178</v>
      </c>
      <c r="F39" s="1839">
        <f>+SZOCIÁLIS!E16</f>
        <v>3805</v>
      </c>
      <c r="G39" s="1750"/>
      <c r="H39" s="1750">
        <f t="shared" si="4"/>
        <v>3805</v>
      </c>
      <c r="I39" s="1840">
        <f t="shared" si="3"/>
        <v>1</v>
      </c>
      <c r="J39" s="512"/>
      <c r="K39" s="1681"/>
    </row>
    <row r="40" spans="1:14" ht="12.95" customHeight="1">
      <c r="A40" s="1684"/>
      <c r="B40" s="1685"/>
      <c r="C40" s="1685"/>
      <c r="D40" s="2330" t="s">
        <v>161</v>
      </c>
      <c r="E40" s="2331"/>
      <c r="F40" s="1843">
        <f>SUM(F35:F39)</f>
        <v>18832</v>
      </c>
      <c r="G40" s="1607"/>
      <c r="H40" s="1607">
        <f t="shared" si="4"/>
        <v>18832</v>
      </c>
      <c r="I40" s="1847">
        <f t="shared" si="3"/>
        <v>1</v>
      </c>
      <c r="K40" s="1680"/>
    </row>
    <row r="41" spans="1:14" ht="12.95" customHeight="1">
      <c r="A41" s="1686"/>
      <c r="B41" s="1687" t="s">
        <v>164</v>
      </c>
      <c r="C41" s="2317" t="s">
        <v>179</v>
      </c>
      <c r="D41" s="2318"/>
      <c r="E41" s="2318"/>
      <c r="F41" s="1844">
        <f>+F33+F40</f>
        <v>57271</v>
      </c>
      <c r="G41" s="1611"/>
      <c r="H41" s="1611">
        <f>+H33+H40</f>
        <v>57271</v>
      </c>
      <c r="I41" s="1845">
        <f t="shared" si="3"/>
        <v>1</v>
      </c>
      <c r="K41" s="1680"/>
    </row>
    <row r="42" spans="1:14" ht="12.95" customHeight="1">
      <c r="A42" s="1692"/>
      <c r="E42" s="1693"/>
      <c r="F42" s="1848"/>
      <c r="G42" s="1849"/>
      <c r="H42" s="1849"/>
      <c r="I42" s="1850"/>
      <c r="K42" s="1680"/>
    </row>
    <row r="43" spans="1:14" ht="12.95" customHeight="1">
      <c r="A43" s="1686"/>
      <c r="B43" s="1687" t="s">
        <v>180</v>
      </c>
      <c r="C43" s="2317" t="s">
        <v>181</v>
      </c>
      <c r="D43" s="2318"/>
      <c r="E43" s="2318"/>
      <c r="F43" s="1844">
        <f>+EGYÉB!D2</f>
        <v>18300</v>
      </c>
      <c r="G43" s="1611"/>
      <c r="H43" s="1611">
        <f>SUM(F43:G43)</f>
        <v>18300</v>
      </c>
      <c r="I43" s="1845">
        <f t="shared" si="3"/>
        <v>1</v>
      </c>
      <c r="K43" s="1680"/>
    </row>
    <row r="44" spans="1:14" ht="12.95" customHeight="1">
      <c r="A44" s="1692"/>
      <c r="E44" s="1693"/>
      <c r="F44" s="1848"/>
      <c r="G44" s="1849"/>
      <c r="H44" s="1849"/>
      <c r="I44" s="1850"/>
      <c r="K44" s="1680"/>
    </row>
    <row r="45" spans="1:14" ht="12.95" customHeight="1">
      <c r="A45" s="1686"/>
      <c r="B45" s="1687" t="s">
        <v>182</v>
      </c>
      <c r="C45" s="2317" t="s">
        <v>183</v>
      </c>
      <c r="D45" s="2318"/>
      <c r="E45" s="2318"/>
      <c r="F45" s="1844">
        <f>+EGYÉB!D3</f>
        <v>3555</v>
      </c>
      <c r="G45" s="1611"/>
      <c r="H45" s="1611">
        <f>SUM(F45:G45)</f>
        <v>3555</v>
      </c>
      <c r="I45" s="1845">
        <f t="shared" si="3"/>
        <v>1</v>
      </c>
      <c r="K45" s="1680"/>
    </row>
    <row r="46" spans="1:14" s="1695" customFormat="1" ht="12.95" customHeight="1" thickBot="1">
      <c r="A46" s="1692"/>
      <c r="B46" s="347"/>
      <c r="C46" s="347"/>
      <c r="D46" s="347"/>
      <c r="E46" s="1693"/>
      <c r="F46" s="1848"/>
      <c r="G46" s="1849"/>
      <c r="H46" s="1849"/>
      <c r="I46" s="1850"/>
      <c r="J46" s="512"/>
      <c r="K46" s="1694"/>
      <c r="M46" s="512"/>
      <c r="N46" s="474"/>
    </row>
    <row r="47" spans="1:14" s="1695" customFormat="1" ht="12.95" customHeight="1" thickBot="1">
      <c r="A47" s="1696" t="s">
        <v>129</v>
      </c>
      <c r="B47" s="2323" t="s">
        <v>184</v>
      </c>
      <c r="C47" s="2324"/>
      <c r="D47" s="2324"/>
      <c r="E47" s="2324"/>
      <c r="F47" s="1851">
        <f>+F25+F41+F43+F45</f>
        <v>295830.81</v>
      </c>
      <c r="G47" s="1852">
        <f>+G25+G41+G43+G45</f>
        <v>0</v>
      </c>
      <c r="H47" s="1852">
        <f>+H25+H41+H43+H45</f>
        <v>295830.81</v>
      </c>
      <c r="I47" s="1853">
        <f t="shared" si="3"/>
        <v>1</v>
      </c>
      <c r="K47" s="1694"/>
      <c r="M47" s="512"/>
      <c r="N47" s="474"/>
    </row>
    <row r="48" spans="1:14" ht="14.45" customHeight="1">
      <c r="A48" s="1697" t="s">
        <v>185</v>
      </c>
      <c r="B48" s="2321" t="s">
        <v>186</v>
      </c>
      <c r="C48" s="2322"/>
      <c r="D48" s="2322"/>
      <c r="E48" s="2322"/>
      <c r="F48" s="1854"/>
      <c r="G48" s="1855"/>
      <c r="H48" s="1855"/>
      <c r="I48" s="1856"/>
      <c r="N48" s="474"/>
    </row>
    <row r="49" spans="1:17" s="1674" customFormat="1" ht="12.95" customHeight="1">
      <c r="A49" s="1678"/>
      <c r="B49" s="777" t="s">
        <v>187</v>
      </c>
      <c r="C49" s="1699" t="s">
        <v>188</v>
      </c>
      <c r="D49" s="1700"/>
      <c r="E49" s="1701"/>
      <c r="F49" s="1839"/>
      <c r="G49" s="1750"/>
      <c r="H49" s="1750"/>
      <c r="I49" s="1846"/>
      <c r="M49" s="512"/>
      <c r="N49" s="474"/>
    </row>
    <row r="50" spans="1:17" ht="12.95" customHeight="1">
      <c r="A50" s="1675"/>
      <c r="B50" s="1676"/>
      <c r="C50" s="1676">
        <v>1</v>
      </c>
      <c r="D50" s="1702" t="s">
        <v>189</v>
      </c>
      <c r="E50" s="1703"/>
      <c r="F50" s="1857"/>
      <c r="G50" s="1858"/>
      <c r="H50" s="1858"/>
      <c r="I50" s="1859"/>
      <c r="N50" s="474"/>
    </row>
    <row r="51" spans="1:17" ht="12.95" customHeight="1">
      <c r="A51" s="1678"/>
      <c r="B51" s="777"/>
      <c r="C51" s="1704"/>
      <c r="D51" s="1704" t="s">
        <v>134</v>
      </c>
      <c r="E51" s="1679" t="s">
        <v>190</v>
      </c>
      <c r="F51" s="1860">
        <f>+[4]társulás_együtt!$F$11</f>
        <v>27960</v>
      </c>
      <c r="G51" s="24"/>
      <c r="H51" s="24">
        <f>SUM(F51:G51)</f>
        <v>27960</v>
      </c>
      <c r="I51" s="1840">
        <f t="shared" ref="I51:I114" si="5">+H51/F51</f>
        <v>1</v>
      </c>
      <c r="N51" s="474"/>
    </row>
    <row r="52" spans="1:17" ht="12.95" customHeight="1">
      <c r="A52" s="1678"/>
      <c r="B52" s="777"/>
      <c r="C52" s="1704"/>
      <c r="D52" s="788" t="s">
        <v>136</v>
      </c>
      <c r="E52" s="1679" t="s">
        <v>191</v>
      </c>
      <c r="F52" s="1861">
        <f>+'BEVÉTELEK SZOLGÁLTATÓ IRODA'!B12</f>
        <v>1000</v>
      </c>
      <c r="G52" s="1862">
        <f>+'SZOLGÁLTATÓ IRODA'!C10</f>
        <v>1000</v>
      </c>
      <c r="H52" s="1862">
        <f>SUM(F52:G52)</f>
        <v>2000</v>
      </c>
      <c r="I52" s="1840">
        <f t="shared" si="5"/>
        <v>2</v>
      </c>
      <c r="N52" s="474"/>
    </row>
    <row r="53" spans="1:17" ht="12.95" customHeight="1">
      <c r="A53" s="1678"/>
      <c r="B53" s="777"/>
      <c r="C53" s="1704"/>
      <c r="D53" s="788" t="s">
        <v>138</v>
      </c>
      <c r="E53" s="1679" t="s">
        <v>192</v>
      </c>
      <c r="F53" s="1861">
        <f>+'BEVÉTELEK SEGÍTŐ SZOLGÁLAT'!AK13</f>
        <v>16460</v>
      </c>
      <c r="G53" s="1862">
        <f>+'SEGÍTŐ SZOLGÁLAT'!AL12</f>
        <v>180</v>
      </c>
      <c r="H53" s="1862">
        <f t="shared" ref="H53:H116" si="6">SUM(F53:G53)</f>
        <v>16640</v>
      </c>
      <c r="I53" s="1840">
        <f t="shared" si="5"/>
        <v>1.0109356014580801</v>
      </c>
    </row>
    <row r="54" spans="1:17" ht="12.95" customHeight="1">
      <c r="A54" s="1678"/>
      <c r="B54" s="777"/>
      <c r="C54" s="1704"/>
      <c r="D54" s="788" t="s">
        <v>140</v>
      </c>
      <c r="E54" s="1679" t="s">
        <v>193</v>
      </c>
      <c r="F54" s="1861">
        <f>+'BEVÉTELEK  ÓVODA'!AF27</f>
        <v>2448</v>
      </c>
      <c r="G54" s="1862"/>
      <c r="H54" s="1862">
        <f t="shared" si="6"/>
        <v>2448</v>
      </c>
      <c r="I54" s="1840">
        <f t="shared" si="5"/>
        <v>1</v>
      </c>
    </row>
    <row r="55" spans="1:17" s="1674" customFormat="1" ht="12.95" customHeight="1">
      <c r="A55" s="1678"/>
      <c r="B55" s="777"/>
      <c r="C55" s="1704"/>
      <c r="D55" s="788" t="s">
        <v>142</v>
      </c>
      <c r="E55" s="1679" t="s">
        <v>194</v>
      </c>
      <c r="F55" s="1861">
        <f>+'BEVÉTELEK  ÓVODA'!AF25</f>
        <v>120</v>
      </c>
      <c r="G55" s="1862"/>
      <c r="H55" s="1862">
        <f t="shared" si="6"/>
        <v>120</v>
      </c>
      <c r="I55" s="1840">
        <f t="shared" si="5"/>
        <v>1</v>
      </c>
      <c r="J55" s="512"/>
    </row>
    <row r="56" spans="1:17" ht="12.95" customHeight="1">
      <c r="A56" s="1675"/>
      <c r="B56" s="1676"/>
      <c r="C56" s="1705"/>
      <c r="D56" s="2306" t="s">
        <v>195</v>
      </c>
      <c r="E56" s="2307"/>
      <c r="F56" s="1857">
        <f>SUM(F51:F55)</f>
        <v>47988</v>
      </c>
      <c r="G56" s="1858">
        <f>SUM(G51:G55)</f>
        <v>1180</v>
      </c>
      <c r="H56" s="1862">
        <f>SUM(F56:G56)</f>
        <v>49168</v>
      </c>
      <c r="I56" s="1840">
        <f t="shared" si="5"/>
        <v>1.0245894807035092</v>
      </c>
      <c r="K56" s="1680"/>
    </row>
    <row r="57" spans="1:17" ht="12.95" customHeight="1">
      <c r="A57" s="1675"/>
      <c r="B57" s="1676"/>
      <c r="C57" s="1705">
        <v>2</v>
      </c>
      <c r="D57" s="2306" t="s">
        <v>196</v>
      </c>
      <c r="E57" s="2307"/>
      <c r="F57" s="1857"/>
      <c r="G57" s="1858"/>
      <c r="H57" s="1862"/>
      <c r="I57" s="1840"/>
    </row>
    <row r="58" spans="1:17" ht="12.95" customHeight="1">
      <c r="A58" s="1678"/>
      <c r="B58" s="777"/>
      <c r="C58" s="1706"/>
      <c r="D58" s="1706" t="s">
        <v>134</v>
      </c>
      <c r="E58" s="1689" t="s">
        <v>197</v>
      </c>
      <c r="F58" s="1839"/>
      <c r="G58" s="1750"/>
      <c r="H58" s="1862"/>
      <c r="I58" s="1840"/>
      <c r="K58" s="512" t="s">
        <v>198</v>
      </c>
      <c r="L58" s="512">
        <f>3790*12-F51</f>
        <v>17520</v>
      </c>
      <c r="M58" s="512" t="s">
        <v>199</v>
      </c>
      <c r="N58" s="512" t="s">
        <v>200</v>
      </c>
    </row>
    <row r="59" spans="1:17" ht="12.95" customHeight="1">
      <c r="A59" s="1678"/>
      <c r="B59" s="777"/>
      <c r="C59" s="777"/>
      <c r="D59" s="777"/>
      <c r="E59" s="1707" t="s">
        <v>201</v>
      </c>
      <c r="F59" s="1863">
        <f t="shared" ref="F59:F65" si="7">+Q59</f>
        <v>1935</v>
      </c>
      <c r="G59" s="407">
        <v>-503</v>
      </c>
      <c r="H59" s="1862">
        <f t="shared" si="6"/>
        <v>1432</v>
      </c>
      <c r="I59" s="1840">
        <f t="shared" si="5"/>
        <v>0.74005167958656326</v>
      </c>
      <c r="M59" s="512" t="s">
        <v>202</v>
      </c>
      <c r="N59" s="512">
        <v>2739</v>
      </c>
      <c r="O59" s="1708">
        <f t="shared" ref="O59:O65" si="8">+N59/$N$67</f>
        <v>0.11036344588605045</v>
      </c>
      <c r="P59" s="512">
        <f t="shared" ref="P59:P65" si="9">+$L$58*O59</f>
        <v>1933.5675719236037</v>
      </c>
      <c r="Q59" s="512">
        <v>1935</v>
      </c>
    </row>
    <row r="60" spans="1:17" ht="12.95" customHeight="1">
      <c r="A60" s="1678"/>
      <c r="B60" s="777"/>
      <c r="C60" s="777"/>
      <c r="D60" s="777"/>
      <c r="E60" s="1707" t="s">
        <v>203</v>
      </c>
      <c r="F60" s="1863">
        <f t="shared" si="7"/>
        <v>6190</v>
      </c>
      <c r="G60" s="407">
        <v>-1608</v>
      </c>
      <c r="H60" s="1862">
        <f t="shared" si="6"/>
        <v>4582</v>
      </c>
      <c r="I60" s="1840">
        <f t="shared" si="5"/>
        <v>0.74022617124394186</v>
      </c>
      <c r="M60" s="512" t="s">
        <v>204</v>
      </c>
      <c r="N60" s="512">
        <v>8765</v>
      </c>
      <c r="O60" s="1708">
        <f t="shared" si="8"/>
        <v>0.3531710855024579</v>
      </c>
      <c r="P60" s="512">
        <f t="shared" si="9"/>
        <v>6187.5574180030626</v>
      </c>
      <c r="Q60" s="512">
        <v>6190</v>
      </c>
    </row>
    <row r="61" spans="1:17" ht="12.95" customHeight="1">
      <c r="A61" s="1678"/>
      <c r="B61" s="777"/>
      <c r="C61" s="777"/>
      <c r="D61" s="777"/>
      <c r="E61" s="1689" t="s">
        <v>205</v>
      </c>
      <c r="F61" s="1861">
        <f t="shared" si="7"/>
        <v>860</v>
      </c>
      <c r="G61" s="1862">
        <v>-224</v>
      </c>
      <c r="H61" s="1862">
        <f t="shared" si="6"/>
        <v>636</v>
      </c>
      <c r="I61" s="1840">
        <f t="shared" si="5"/>
        <v>0.73953488372093024</v>
      </c>
      <c r="M61" s="512" t="s">
        <v>206</v>
      </c>
      <c r="N61" s="512">
        <v>1222</v>
      </c>
      <c r="O61" s="1708">
        <f t="shared" si="8"/>
        <v>4.9238455959384315E-2</v>
      </c>
      <c r="P61" s="512">
        <f t="shared" si="9"/>
        <v>862.65774840841323</v>
      </c>
      <c r="Q61" s="512">
        <v>860</v>
      </c>
    </row>
    <row r="62" spans="1:17" ht="12.95" customHeight="1">
      <c r="A62" s="1678"/>
      <c r="B62" s="777"/>
      <c r="C62" s="777"/>
      <c r="D62" s="777"/>
      <c r="E62" s="1689" t="s">
        <v>207</v>
      </c>
      <c r="F62" s="1861">
        <f t="shared" si="7"/>
        <v>770</v>
      </c>
      <c r="G62" s="1862">
        <v>-200</v>
      </c>
      <c r="H62" s="1862">
        <f t="shared" si="6"/>
        <v>570</v>
      </c>
      <c r="I62" s="1840">
        <f t="shared" si="5"/>
        <v>0.74025974025974028</v>
      </c>
      <c r="M62" s="512" t="s">
        <v>208</v>
      </c>
      <c r="N62" s="512">
        <v>1091</v>
      </c>
      <c r="O62" s="1708">
        <f t="shared" si="8"/>
        <v>4.3960029011201544E-2</v>
      </c>
      <c r="P62" s="512">
        <f t="shared" si="9"/>
        <v>770.17970827625106</v>
      </c>
      <c r="Q62" s="512">
        <v>770</v>
      </c>
    </row>
    <row r="63" spans="1:17" ht="12.95" customHeight="1">
      <c r="A63" s="1678"/>
      <c r="B63" s="777"/>
      <c r="C63" s="777"/>
      <c r="D63" s="777"/>
      <c r="E63" s="1689" t="s">
        <v>209</v>
      </c>
      <c r="F63" s="1861">
        <f t="shared" si="7"/>
        <v>4010</v>
      </c>
      <c r="G63" s="1862">
        <v>-1043</v>
      </c>
      <c r="H63" s="1862">
        <f t="shared" si="6"/>
        <v>2967</v>
      </c>
      <c r="I63" s="1840">
        <f t="shared" si="5"/>
        <v>0.73990024937655863</v>
      </c>
      <c r="M63" s="512" t="s">
        <v>210</v>
      </c>
      <c r="N63" s="512">
        <v>5684</v>
      </c>
      <c r="O63" s="1708">
        <f t="shared" si="8"/>
        <v>0.229027318881457</v>
      </c>
      <c r="P63" s="512">
        <f t="shared" si="9"/>
        <v>4012.5586268031266</v>
      </c>
      <c r="Q63" s="512">
        <v>4010</v>
      </c>
    </row>
    <row r="64" spans="1:17" ht="12.95" customHeight="1">
      <c r="A64" s="1678"/>
      <c r="B64" s="777"/>
      <c r="C64" s="777"/>
      <c r="D64" s="777"/>
      <c r="E64" s="1689" t="s">
        <v>211</v>
      </c>
      <c r="F64" s="1861">
        <f t="shared" si="7"/>
        <v>2370</v>
      </c>
      <c r="G64" s="1862">
        <v>-616</v>
      </c>
      <c r="H64" s="1862">
        <f t="shared" si="6"/>
        <v>1754</v>
      </c>
      <c r="I64" s="1840">
        <f t="shared" si="5"/>
        <v>0.74008438818565403</v>
      </c>
      <c r="M64" s="512" t="s">
        <v>212</v>
      </c>
      <c r="N64" s="512">
        <v>3357</v>
      </c>
      <c r="O64" s="1708">
        <f t="shared" si="8"/>
        <v>0.13526472721411878</v>
      </c>
      <c r="P64" s="512">
        <f t="shared" si="9"/>
        <v>2369.838020791361</v>
      </c>
      <c r="Q64" s="1709">
        <v>2370</v>
      </c>
    </row>
    <row r="65" spans="1:21" ht="12.95" customHeight="1">
      <c r="A65" s="1678"/>
      <c r="B65" s="777"/>
      <c r="C65" s="777"/>
      <c r="D65" s="777"/>
      <c r="E65" s="1689" t="s">
        <v>213</v>
      </c>
      <c r="F65" s="1861">
        <f t="shared" si="7"/>
        <v>1385</v>
      </c>
      <c r="G65" s="1862">
        <v>-360</v>
      </c>
      <c r="H65" s="1862">
        <f t="shared" si="6"/>
        <v>1025</v>
      </c>
      <c r="I65" s="1840">
        <f t="shared" si="5"/>
        <v>0.74007220216606495</v>
      </c>
      <c r="M65" s="512" t="s">
        <v>214</v>
      </c>
      <c r="N65" s="512">
        <v>1960</v>
      </c>
      <c r="O65" s="1708">
        <f t="shared" si="8"/>
        <v>7.8974937545329998E-2</v>
      </c>
      <c r="P65" s="512">
        <f t="shared" si="9"/>
        <v>1383.6409057941817</v>
      </c>
      <c r="Q65" s="512">
        <v>1385</v>
      </c>
    </row>
    <row r="66" spans="1:21" s="1674" customFormat="1" ht="12.95" customHeight="1">
      <c r="A66" s="1675"/>
      <c r="B66" s="1676"/>
      <c r="C66" s="1676"/>
      <c r="D66" s="1676"/>
      <c r="E66" s="1677" t="s">
        <v>220</v>
      </c>
      <c r="F66" s="1857">
        <v>-232</v>
      </c>
      <c r="G66" s="1858">
        <v>-30</v>
      </c>
      <c r="H66" s="1858">
        <f t="shared" si="6"/>
        <v>-262</v>
      </c>
      <c r="I66" s="1841">
        <f t="shared" si="5"/>
        <v>1.1293103448275863</v>
      </c>
      <c r="O66" s="1731"/>
    </row>
    <row r="67" spans="1:21" ht="12.95" customHeight="1">
      <c r="A67" s="1678"/>
      <c r="B67" s="777"/>
      <c r="C67" s="777"/>
      <c r="D67" s="777" t="s">
        <v>136</v>
      </c>
      <c r="E67" s="1689" t="s">
        <v>215</v>
      </c>
      <c r="F67" s="1861"/>
      <c r="G67" s="1862"/>
      <c r="H67" s="1862"/>
      <c r="I67" s="1840"/>
      <c r="N67" s="512">
        <f>SUM(N59:N65)</f>
        <v>24818</v>
      </c>
      <c r="O67" s="1680">
        <f>SUM(O59:O65)</f>
        <v>1</v>
      </c>
      <c r="P67" s="1710">
        <f>SUM(P59:P65)</f>
        <v>17520</v>
      </c>
      <c r="Q67" s="512">
        <f>SUM(Q59:Q65)</f>
        <v>17520</v>
      </c>
    </row>
    <row r="68" spans="1:21" ht="12.95" customHeight="1">
      <c r="A68" s="1678"/>
      <c r="B68" s="777"/>
      <c r="C68" s="777"/>
      <c r="D68" s="777"/>
      <c r="E68" s="1689" t="s">
        <v>216</v>
      </c>
      <c r="F68" s="1861">
        <f>+(ÓVODA!G16+ÓVODA!B17+ÓVODA!AA17+'BEVÉTELEK KOZMA FERENC ÁLT.ISK.'!V25)</f>
        <v>33559.520000000004</v>
      </c>
      <c r="G68" s="1862"/>
      <c r="H68" s="1862">
        <f t="shared" si="6"/>
        <v>33559.520000000004</v>
      </c>
      <c r="I68" s="1840">
        <f t="shared" si="5"/>
        <v>1</v>
      </c>
      <c r="L68" s="474"/>
      <c r="N68" s="474"/>
      <c r="Q68" s="474"/>
      <c r="R68" s="474"/>
      <c r="T68" s="1711"/>
      <c r="U68" s="1711"/>
    </row>
    <row r="69" spans="1:21" ht="12.95" customHeight="1">
      <c r="A69" s="1678"/>
      <c r="B69" s="777"/>
      <c r="C69" s="777"/>
      <c r="D69" s="777"/>
      <c r="E69" s="1689" t="s">
        <v>217</v>
      </c>
      <c r="F69" s="1861">
        <f>+ÓVODA!B18+ÓVODA!AA18+ÓVODA!L16</f>
        <v>1832.3200000000002</v>
      </c>
      <c r="G69" s="1862"/>
      <c r="H69" s="1862">
        <f t="shared" si="6"/>
        <v>1832.3200000000002</v>
      </c>
      <c r="I69" s="1840">
        <f t="shared" si="5"/>
        <v>1</v>
      </c>
      <c r="N69" s="474"/>
      <c r="Q69" s="474"/>
      <c r="R69" s="474"/>
      <c r="T69" s="1711"/>
      <c r="U69" s="1711"/>
    </row>
    <row r="70" spans="1:21" ht="12.95" customHeight="1">
      <c r="A70" s="1678"/>
      <c r="B70" s="777"/>
      <c r="C70" s="777"/>
      <c r="D70" s="777"/>
      <c r="E70" s="1689" t="s">
        <v>212</v>
      </c>
      <c r="F70" s="1861">
        <f>+ÓVODA!B19+ÓVODA!AA19</f>
        <v>4711.68</v>
      </c>
      <c r="G70" s="1862">
        <f>+ÓVODA!R16</f>
        <v>1649</v>
      </c>
      <c r="H70" s="1862">
        <f t="shared" si="6"/>
        <v>6360.68</v>
      </c>
      <c r="I70" s="1840">
        <f t="shared" si="5"/>
        <v>1.3499813230100517</v>
      </c>
      <c r="L70" s="474"/>
      <c r="N70" s="474"/>
      <c r="Q70" s="474"/>
      <c r="R70" s="474"/>
      <c r="T70" s="1711"/>
      <c r="U70" s="1711"/>
    </row>
    <row r="71" spans="1:21" ht="12.95" customHeight="1">
      <c r="A71" s="1678"/>
      <c r="B71" s="777"/>
      <c r="C71" s="777"/>
      <c r="D71" s="777"/>
      <c r="E71" s="1689" t="s">
        <v>214</v>
      </c>
      <c r="F71" s="1861">
        <f>+ÓVODA!B20+ÓVODA!AA20</f>
        <v>2748.4799999999996</v>
      </c>
      <c r="G71" s="1862"/>
      <c r="H71" s="1862">
        <f t="shared" si="6"/>
        <v>2748.4799999999996</v>
      </c>
      <c r="I71" s="1840">
        <f t="shared" si="5"/>
        <v>1</v>
      </c>
      <c r="K71" s="512" t="s">
        <v>680</v>
      </c>
      <c r="L71" s="474"/>
      <c r="N71" s="474"/>
      <c r="Q71" s="474"/>
      <c r="R71" s="474"/>
      <c r="T71" s="1711"/>
    </row>
    <row r="72" spans="1:21" s="1674" customFormat="1" ht="14.45" customHeight="1">
      <c r="A72" s="1675"/>
      <c r="B72" s="1676"/>
      <c r="C72" s="1676"/>
      <c r="D72" s="1676"/>
      <c r="E72" s="1677" t="s">
        <v>218</v>
      </c>
      <c r="F72" s="1857">
        <v>-475</v>
      </c>
      <c r="G72" s="1858"/>
      <c r="H72" s="1858">
        <f t="shared" si="6"/>
        <v>-475</v>
      </c>
      <c r="I72" s="1841">
        <f t="shared" si="5"/>
        <v>1</v>
      </c>
      <c r="K72" s="512" t="s">
        <v>206</v>
      </c>
      <c r="L72" s="1712">
        <f>+ÓVODA!L119</f>
        <v>475.41439999999966</v>
      </c>
      <c r="N72" s="1713"/>
      <c r="Q72" s="1713"/>
      <c r="R72" s="1713"/>
      <c r="T72" s="1714"/>
    </row>
    <row r="73" spans="1:21" s="1674" customFormat="1" ht="14.45" customHeight="1">
      <c r="A73" s="1675"/>
      <c r="B73" s="1676"/>
      <c r="C73" s="1676"/>
      <c r="D73" s="1676"/>
      <c r="E73" s="1677" t="s">
        <v>219</v>
      </c>
      <c r="F73" s="1857">
        <v>-3090</v>
      </c>
      <c r="G73" s="1858"/>
      <c r="H73" s="1858">
        <f t="shared" si="6"/>
        <v>-3090</v>
      </c>
      <c r="I73" s="1841">
        <f t="shared" si="5"/>
        <v>1</v>
      </c>
      <c r="K73" s="512" t="s">
        <v>212</v>
      </c>
      <c r="L73" s="474">
        <f>+ÓVODA!Q119</f>
        <v>3089.6463999999978</v>
      </c>
      <c r="N73" s="1713"/>
      <c r="Q73" s="1713"/>
      <c r="R73" s="1713"/>
      <c r="T73" s="1714"/>
    </row>
    <row r="74" spans="1:21" s="1674" customFormat="1" ht="14.45" customHeight="1">
      <c r="A74" s="1675"/>
      <c r="B74" s="1676"/>
      <c r="C74" s="1676"/>
      <c r="D74" s="1676"/>
      <c r="E74" s="1677" t="s">
        <v>220</v>
      </c>
      <c r="F74" s="1857">
        <v>-2748</v>
      </c>
      <c r="G74" s="1858"/>
      <c r="H74" s="1858">
        <f t="shared" si="6"/>
        <v>-2748</v>
      </c>
      <c r="I74" s="1841">
        <f t="shared" si="5"/>
        <v>1</v>
      </c>
      <c r="K74" s="512" t="s">
        <v>214</v>
      </c>
      <c r="L74" s="474">
        <f>+ÓVODA!V119</f>
        <v>4058.3868000000002</v>
      </c>
      <c r="N74" s="1713"/>
      <c r="Q74" s="1713"/>
      <c r="R74" s="1713"/>
      <c r="T74" s="1714"/>
    </row>
    <row r="75" spans="1:21" ht="12.95" customHeight="1">
      <c r="A75" s="1678"/>
      <c r="B75" s="777"/>
      <c r="C75" s="777"/>
      <c r="D75" s="777" t="s">
        <v>138</v>
      </c>
      <c r="E75" s="1689" t="s">
        <v>221</v>
      </c>
      <c r="F75" s="1861"/>
      <c r="G75" s="1862"/>
      <c r="H75" s="1862"/>
      <c r="I75" s="1840"/>
      <c r="L75" s="474">
        <f>SUM(L72:L74)</f>
        <v>7623.4475999999977</v>
      </c>
      <c r="M75" s="1715"/>
      <c r="N75" s="474"/>
    </row>
    <row r="76" spans="1:21" ht="12.95" customHeight="1">
      <c r="A76" s="1678"/>
      <c r="B76" s="777"/>
      <c r="C76" s="777"/>
      <c r="D76" s="777"/>
      <c r="E76" s="1689" t="s">
        <v>202</v>
      </c>
      <c r="F76" s="1861">
        <f>+'SEGÍTŐ SZOLGÁLAT'!AK17</f>
        <v>2535</v>
      </c>
      <c r="G76" s="1862">
        <f>+'SEGÍTŐ SZOLGÁLAT'!AG16</f>
        <v>452</v>
      </c>
      <c r="H76" s="1862">
        <f t="shared" si="6"/>
        <v>2987</v>
      </c>
      <c r="I76" s="1840">
        <f t="shared" si="5"/>
        <v>1.1783037475345168</v>
      </c>
      <c r="L76" s="474"/>
    </row>
    <row r="77" spans="1:21" ht="12.95" customHeight="1">
      <c r="A77" s="1678"/>
      <c r="B77" s="777"/>
      <c r="C77" s="777"/>
      <c r="D77" s="777"/>
      <c r="E77" s="1689" t="s">
        <v>206</v>
      </c>
      <c r="F77" s="1861">
        <f>+'SEGÍTŐ SZOLGÁLAT'!AK18</f>
        <v>1011</v>
      </c>
      <c r="G77" s="1750"/>
      <c r="H77" s="1862">
        <f t="shared" si="6"/>
        <v>1011</v>
      </c>
      <c r="I77" s="1840">
        <f t="shared" si="5"/>
        <v>1</v>
      </c>
      <c r="K77" s="512">
        <f>+H77/12</f>
        <v>84.25</v>
      </c>
      <c r="L77" s="474"/>
    </row>
    <row r="78" spans="1:21" ht="12.95" customHeight="1">
      <c r="A78" s="1678"/>
      <c r="B78" s="777"/>
      <c r="C78" s="777"/>
      <c r="D78" s="777"/>
      <c r="E78" s="1689" t="s">
        <v>208</v>
      </c>
      <c r="F78" s="1861">
        <f>+'SEGÍTŐ SZOLGÁLAT'!AK19</f>
        <v>641</v>
      </c>
      <c r="G78" s="1750"/>
      <c r="H78" s="1862">
        <f t="shared" si="6"/>
        <v>641</v>
      </c>
      <c r="I78" s="1840">
        <f t="shared" si="5"/>
        <v>1</v>
      </c>
    </row>
    <row r="79" spans="1:21" ht="12.95" customHeight="1">
      <c r="A79" s="1678"/>
      <c r="B79" s="777"/>
      <c r="C79" s="777"/>
      <c r="D79" s="777"/>
      <c r="E79" s="1689" t="s">
        <v>222</v>
      </c>
      <c r="F79" s="1861">
        <f>+'SEGÍTŐ SZOLGÁLAT'!AK20</f>
        <v>6254</v>
      </c>
      <c r="G79" s="1750"/>
      <c r="H79" s="1862">
        <f t="shared" si="6"/>
        <v>6254</v>
      </c>
      <c r="I79" s="1840">
        <f t="shared" si="5"/>
        <v>1</v>
      </c>
    </row>
    <row r="80" spans="1:21" ht="12.95" customHeight="1">
      <c r="A80" s="1682"/>
      <c r="B80" s="778"/>
      <c r="C80" s="778"/>
      <c r="D80" s="778"/>
      <c r="E80" s="1716" t="s">
        <v>212</v>
      </c>
      <c r="F80" s="1861">
        <f>+'SEGÍTŐ SZOLGÁLAT'!AK21</f>
        <v>1617</v>
      </c>
      <c r="G80" s="1605"/>
      <c r="H80" s="1862">
        <f t="shared" si="6"/>
        <v>1617</v>
      </c>
      <c r="I80" s="1840">
        <f t="shared" si="5"/>
        <v>1</v>
      </c>
    </row>
    <row r="81" spans="1:18" ht="12.95" customHeight="1">
      <c r="A81" s="1682"/>
      <c r="B81" s="778"/>
      <c r="C81" s="778"/>
      <c r="D81" s="778"/>
      <c r="E81" s="1716" t="s">
        <v>214</v>
      </c>
      <c r="F81" s="1861">
        <f>+'SEGÍTŐ SZOLGÁLAT'!AK22</f>
        <v>558</v>
      </c>
      <c r="G81" s="1605"/>
      <c r="H81" s="1862">
        <f t="shared" si="6"/>
        <v>558</v>
      </c>
      <c r="I81" s="1840">
        <f t="shared" si="5"/>
        <v>1</v>
      </c>
    </row>
    <row r="82" spans="1:18" ht="12.95" customHeight="1">
      <c r="A82" s="1682"/>
      <c r="B82" s="778"/>
      <c r="C82" s="778"/>
      <c r="D82" s="778"/>
      <c r="E82" s="1677" t="s">
        <v>218</v>
      </c>
      <c r="F82" s="1864">
        <v>0</v>
      </c>
      <c r="G82" s="1607"/>
      <c r="H82" s="1858">
        <f t="shared" si="6"/>
        <v>0</v>
      </c>
      <c r="I82" s="1841"/>
    </row>
    <row r="83" spans="1:18" ht="12.95" customHeight="1">
      <c r="A83" s="1682"/>
      <c r="B83" s="778"/>
      <c r="C83" s="778"/>
      <c r="D83" s="778"/>
      <c r="E83" s="1677" t="s">
        <v>219</v>
      </c>
      <c r="F83" s="1864">
        <v>0</v>
      </c>
      <c r="G83" s="1607"/>
      <c r="H83" s="1858">
        <f t="shared" si="6"/>
        <v>0</v>
      </c>
      <c r="I83" s="1841"/>
    </row>
    <row r="84" spans="1:18" s="1674" customFormat="1" ht="12.95" customHeight="1">
      <c r="A84" s="1684"/>
      <c r="B84" s="1685"/>
      <c r="C84" s="1685"/>
      <c r="D84" s="1685"/>
      <c r="E84" s="1677" t="s">
        <v>220</v>
      </c>
      <c r="F84" s="1864">
        <f>-588</f>
        <v>-588</v>
      </c>
      <c r="G84" s="1865">
        <v>30</v>
      </c>
      <c r="H84" s="1858">
        <f t="shared" si="6"/>
        <v>-558</v>
      </c>
      <c r="I84" s="1841">
        <f t="shared" si="5"/>
        <v>0.94897959183673475</v>
      </c>
    </row>
    <row r="85" spans="1:18" ht="12.95" customHeight="1">
      <c r="A85" s="1682"/>
      <c r="B85" s="778"/>
      <c r="C85" s="778"/>
      <c r="D85" s="778" t="s">
        <v>140</v>
      </c>
      <c r="E85" s="1716" t="s">
        <v>223</v>
      </c>
      <c r="F85" s="1842"/>
      <c r="G85" s="1605"/>
      <c r="H85" s="1862"/>
      <c r="I85" s="1840"/>
    </row>
    <row r="86" spans="1:18" ht="12.95" customHeight="1">
      <c r="A86" s="1682"/>
      <c r="B86" s="778"/>
      <c r="C86" s="778"/>
      <c r="D86" s="778"/>
      <c r="E86" s="1707" t="s">
        <v>201</v>
      </c>
      <c r="F86" s="1842">
        <f t="shared" ref="F86:F91" si="10">+P86</f>
        <v>685</v>
      </c>
      <c r="G86" s="1605"/>
      <c r="H86" s="1862">
        <f t="shared" si="6"/>
        <v>685</v>
      </c>
      <c r="I86" s="1840">
        <f t="shared" si="5"/>
        <v>1</v>
      </c>
      <c r="K86" s="512" t="s">
        <v>224</v>
      </c>
      <c r="L86" s="512">
        <v>250</v>
      </c>
      <c r="M86" s="512" t="s">
        <v>202</v>
      </c>
      <c r="N86" s="512">
        <v>2739</v>
      </c>
      <c r="O86" s="474">
        <f t="shared" ref="O86:O91" si="11">+$L$86*N86</f>
        <v>684750</v>
      </c>
      <c r="P86" s="512">
        <v>685</v>
      </c>
    </row>
    <row r="87" spans="1:18" ht="12.95" customHeight="1">
      <c r="A87" s="1682"/>
      <c r="B87" s="778"/>
      <c r="C87" s="778"/>
      <c r="D87" s="778"/>
      <c r="E87" s="1707" t="s">
        <v>203</v>
      </c>
      <c r="F87" s="1842">
        <f t="shared" si="10"/>
        <v>2191</v>
      </c>
      <c r="G87" s="1605"/>
      <c r="H87" s="1862">
        <f t="shared" si="6"/>
        <v>2191</v>
      </c>
      <c r="I87" s="1840">
        <f t="shared" si="5"/>
        <v>1</v>
      </c>
      <c r="M87" s="512" t="s">
        <v>204</v>
      </c>
      <c r="N87" s="512">
        <v>8765</v>
      </c>
      <c r="O87" s="474">
        <f t="shared" si="11"/>
        <v>2191250</v>
      </c>
      <c r="P87" s="512">
        <v>2191</v>
      </c>
      <c r="R87" s="512">
        <f>+O87/12</f>
        <v>182604.16666666666</v>
      </c>
    </row>
    <row r="88" spans="1:18" ht="12.95" customHeight="1">
      <c r="A88" s="1682"/>
      <c r="B88" s="778"/>
      <c r="C88" s="778"/>
      <c r="D88" s="778"/>
      <c r="E88" s="1689" t="s">
        <v>205</v>
      </c>
      <c r="F88" s="1842">
        <f t="shared" si="10"/>
        <v>306</v>
      </c>
      <c r="G88" s="1605"/>
      <c r="H88" s="1862">
        <f t="shared" si="6"/>
        <v>306</v>
      </c>
      <c r="I88" s="1840">
        <f t="shared" si="5"/>
        <v>1</v>
      </c>
      <c r="M88" s="512" t="s">
        <v>206</v>
      </c>
      <c r="N88" s="512">
        <v>1222</v>
      </c>
      <c r="O88" s="474">
        <f t="shared" si="11"/>
        <v>305500</v>
      </c>
      <c r="P88" s="512">
        <v>306</v>
      </c>
    </row>
    <row r="89" spans="1:18" ht="12.95" customHeight="1">
      <c r="A89" s="1682"/>
      <c r="B89" s="778"/>
      <c r="C89" s="778"/>
      <c r="D89" s="778"/>
      <c r="E89" s="1689" t="s">
        <v>209</v>
      </c>
      <c r="F89" s="1842">
        <f t="shared" si="10"/>
        <v>1421</v>
      </c>
      <c r="G89" s="1605"/>
      <c r="H89" s="1862">
        <f t="shared" si="6"/>
        <v>1421</v>
      </c>
      <c r="I89" s="1840">
        <f t="shared" si="5"/>
        <v>1</v>
      </c>
      <c r="M89" s="512" t="s">
        <v>210</v>
      </c>
      <c r="N89" s="512">
        <v>5684</v>
      </c>
      <c r="O89" s="474">
        <f t="shared" si="11"/>
        <v>1421000</v>
      </c>
      <c r="P89" s="512">
        <v>1421</v>
      </c>
    </row>
    <row r="90" spans="1:18" ht="12.95" customHeight="1">
      <c r="A90" s="1682"/>
      <c r="B90" s="778"/>
      <c r="C90" s="778"/>
      <c r="D90" s="778"/>
      <c r="E90" s="1689" t="s">
        <v>211</v>
      </c>
      <c r="F90" s="1842">
        <f t="shared" si="10"/>
        <v>839</v>
      </c>
      <c r="G90" s="1605"/>
      <c r="H90" s="1862">
        <f t="shared" si="6"/>
        <v>839</v>
      </c>
      <c r="I90" s="1840">
        <f t="shared" si="5"/>
        <v>1</v>
      </c>
      <c r="M90" s="512" t="s">
        <v>212</v>
      </c>
      <c r="N90" s="512">
        <v>3357</v>
      </c>
      <c r="O90" s="474">
        <f t="shared" si="11"/>
        <v>839250</v>
      </c>
      <c r="P90" s="512">
        <v>839</v>
      </c>
    </row>
    <row r="91" spans="1:18" ht="12.95" customHeight="1">
      <c r="A91" s="1682"/>
      <c r="B91" s="778"/>
      <c r="C91" s="778"/>
      <c r="D91" s="778"/>
      <c r="E91" s="1689" t="s">
        <v>213</v>
      </c>
      <c r="F91" s="1842">
        <f t="shared" si="10"/>
        <v>490</v>
      </c>
      <c r="G91" s="1605"/>
      <c r="H91" s="1862">
        <f t="shared" si="6"/>
        <v>490</v>
      </c>
      <c r="I91" s="1840">
        <f t="shared" si="5"/>
        <v>1</v>
      </c>
      <c r="M91" s="512" t="s">
        <v>214</v>
      </c>
      <c r="N91" s="512">
        <v>1960</v>
      </c>
      <c r="O91" s="474">
        <f t="shared" si="11"/>
        <v>490000</v>
      </c>
      <c r="P91" s="512">
        <v>490</v>
      </c>
    </row>
    <row r="92" spans="1:18" ht="12.95" customHeight="1">
      <c r="A92" s="1682"/>
      <c r="B92" s="778"/>
      <c r="C92" s="778"/>
      <c r="D92" s="778"/>
      <c r="E92" s="1677" t="s">
        <v>218</v>
      </c>
      <c r="F92" s="1843">
        <v>0</v>
      </c>
      <c r="G92" s="1607"/>
      <c r="H92" s="1858">
        <f t="shared" si="6"/>
        <v>0</v>
      </c>
      <c r="I92" s="1841"/>
      <c r="O92" s="474"/>
    </row>
    <row r="93" spans="1:18" ht="12.95" customHeight="1">
      <c r="A93" s="1682"/>
      <c r="B93" s="778"/>
      <c r="C93" s="778"/>
      <c r="D93" s="778"/>
      <c r="E93" s="1677" t="s">
        <v>219</v>
      </c>
      <c r="F93" s="1843">
        <v>0</v>
      </c>
      <c r="G93" s="1607"/>
      <c r="H93" s="1858">
        <f t="shared" si="6"/>
        <v>0</v>
      </c>
      <c r="I93" s="1841"/>
      <c r="O93" s="474"/>
    </row>
    <row r="94" spans="1:18" ht="12.95" customHeight="1">
      <c r="A94" s="1682"/>
      <c r="B94" s="778"/>
      <c r="C94" s="778"/>
      <c r="D94" s="778"/>
      <c r="E94" s="1677" t="s">
        <v>220</v>
      </c>
      <c r="F94" s="1843">
        <f>-490</f>
        <v>-490</v>
      </c>
      <c r="G94" s="1607"/>
      <c r="H94" s="1858">
        <f t="shared" si="6"/>
        <v>-490</v>
      </c>
      <c r="I94" s="1841">
        <f t="shared" si="5"/>
        <v>1</v>
      </c>
      <c r="O94" s="474"/>
    </row>
    <row r="95" spans="1:18" ht="12.95" customHeight="1">
      <c r="A95" s="1682"/>
      <c r="B95" s="778"/>
      <c r="C95" s="778"/>
      <c r="D95" s="778" t="s">
        <v>142</v>
      </c>
      <c r="E95" s="1716" t="s">
        <v>697</v>
      </c>
      <c r="F95" s="1842"/>
      <c r="G95" s="1605">
        <f>+[3]Társulás!$Y$13</f>
        <v>9542</v>
      </c>
      <c r="H95" s="1862">
        <f t="shared" si="6"/>
        <v>9542</v>
      </c>
      <c r="I95" s="1840"/>
      <c r="N95" s="512">
        <f>SUM(N86:N91)</f>
        <v>23727</v>
      </c>
      <c r="O95" s="474">
        <f>SUM(O86:O91)</f>
        <v>5931750</v>
      </c>
      <c r="P95" s="512">
        <f>SUM(P86:P91)</f>
        <v>5932</v>
      </c>
    </row>
    <row r="96" spans="1:18" ht="12.95" customHeight="1">
      <c r="A96" s="1684"/>
      <c r="B96" s="1685"/>
      <c r="C96" s="1685"/>
      <c r="D96" s="2330" t="s">
        <v>698</v>
      </c>
      <c r="E96" s="2331"/>
      <c r="F96" s="1843">
        <f>SUM(F59:F95)</f>
        <v>71297</v>
      </c>
      <c r="G96" s="1866">
        <f>SUM(G59:G95)</f>
        <v>7089</v>
      </c>
      <c r="H96" s="1867">
        <f>SUM(F96:G96)</f>
        <v>78386</v>
      </c>
      <c r="I96" s="1868">
        <f t="shared" si="5"/>
        <v>1.0994291484915213</v>
      </c>
      <c r="K96" s="474"/>
    </row>
    <row r="97" spans="1:16" ht="12.95" customHeight="1">
      <c r="A97" s="1686"/>
      <c r="B97" s="1687" t="s">
        <v>187</v>
      </c>
      <c r="C97" s="1717" t="s">
        <v>225</v>
      </c>
      <c r="D97" s="1718"/>
      <c r="E97" s="1719"/>
      <c r="F97" s="1844">
        <f>+F56+F96</f>
        <v>119285</v>
      </c>
      <c r="G97" s="1869">
        <f>+G56+G96</f>
        <v>8269</v>
      </c>
      <c r="H97" s="1870">
        <f t="shared" si="6"/>
        <v>127554</v>
      </c>
      <c r="I97" s="1845">
        <f t="shared" si="5"/>
        <v>1.0693213731818754</v>
      </c>
      <c r="K97" s="474"/>
    </row>
    <row r="98" spans="1:16" ht="12.95" customHeight="1">
      <c r="A98" s="1678"/>
      <c r="B98" s="777" t="s">
        <v>226</v>
      </c>
      <c r="C98" s="1699" t="s">
        <v>227</v>
      </c>
      <c r="D98" s="1720"/>
      <c r="E98" s="1689"/>
      <c r="F98" s="1839"/>
      <c r="G98" s="1750"/>
      <c r="H98" s="1871">
        <f t="shared" si="6"/>
        <v>0</v>
      </c>
      <c r="I98" s="1872"/>
      <c r="K98" s="1721"/>
    </row>
    <row r="99" spans="1:16" ht="12.95" customHeight="1">
      <c r="A99" s="1678"/>
      <c r="B99" s="777"/>
      <c r="C99" s="777">
        <v>1</v>
      </c>
      <c r="D99" s="2332" t="s">
        <v>228</v>
      </c>
      <c r="E99" s="2319"/>
      <c r="F99" s="1839"/>
      <c r="G99" s="1750">
        <f>+'SEGÍTŐ SZOLGÁLAT'!AL24</f>
        <v>135562</v>
      </c>
      <c r="H99" s="1862">
        <f t="shared" si="6"/>
        <v>135562</v>
      </c>
      <c r="I99" s="1840"/>
      <c r="K99" s="1721"/>
    </row>
    <row r="100" spans="1:16" ht="12.95" customHeight="1">
      <c r="A100" s="1678"/>
      <c r="B100" s="777"/>
      <c r="C100" s="777">
        <v>2</v>
      </c>
      <c r="D100" s="2319" t="s">
        <v>229</v>
      </c>
      <c r="E100" s="2320"/>
      <c r="F100" s="1839"/>
      <c r="G100" s="1750">
        <f>+'KOZMA FERENC ÁLT. ISK.'!W19+TÁRSULÁS!P11</f>
        <v>9877</v>
      </c>
      <c r="H100" s="1862">
        <f t="shared" si="6"/>
        <v>9877</v>
      </c>
      <c r="I100" s="1840"/>
      <c r="K100" s="1721"/>
    </row>
    <row r="101" spans="1:16" ht="12.95" customHeight="1">
      <c r="A101" s="1678"/>
      <c r="B101" s="777"/>
      <c r="C101" s="777">
        <v>4</v>
      </c>
      <c r="D101" s="2332" t="s">
        <v>230</v>
      </c>
      <c r="E101" s="2333"/>
      <c r="F101" s="1839"/>
      <c r="G101" s="1750"/>
      <c r="H101" s="1862">
        <f t="shared" si="6"/>
        <v>0</v>
      </c>
      <c r="I101" s="1840"/>
      <c r="K101" s="1721"/>
    </row>
    <row r="102" spans="1:16" ht="12.95" customHeight="1">
      <c r="A102" s="1682"/>
      <c r="B102" s="778"/>
      <c r="C102" s="778">
        <v>5</v>
      </c>
      <c r="D102" s="2334" t="s">
        <v>694</v>
      </c>
      <c r="E102" s="2335"/>
      <c r="F102" s="1842"/>
      <c r="G102" s="1605">
        <f>+ÓVODA!C22</f>
        <v>300</v>
      </c>
      <c r="H102" s="1867">
        <f t="shared" si="6"/>
        <v>300</v>
      </c>
      <c r="I102" s="1868"/>
      <c r="K102" s="1721"/>
    </row>
    <row r="103" spans="1:16" ht="12.95" customHeight="1">
      <c r="A103" s="1732"/>
      <c r="B103" s="1733"/>
      <c r="C103" s="1733" t="s">
        <v>695</v>
      </c>
      <c r="D103" s="2325" t="s">
        <v>696</v>
      </c>
      <c r="E103" s="2326"/>
      <c r="F103" s="1873"/>
      <c r="G103" s="1874">
        <f>+TÁRSULÁS!S16</f>
        <v>27150</v>
      </c>
      <c r="H103" s="1875"/>
      <c r="I103" s="1876"/>
      <c r="K103" s="1721"/>
    </row>
    <row r="104" spans="1:16" s="1695" customFormat="1" ht="12.95" customHeight="1">
      <c r="A104" s="1686"/>
      <c r="B104" s="1687" t="s">
        <v>226</v>
      </c>
      <c r="C104" s="1717" t="s">
        <v>227</v>
      </c>
      <c r="D104" s="1687"/>
      <c r="E104" s="1688"/>
      <c r="F104" s="1844">
        <f>SUM(F99:F102)</f>
        <v>0</v>
      </c>
      <c r="G104" s="1611">
        <f>SUM(G99:G103)</f>
        <v>172889</v>
      </c>
      <c r="H104" s="1870">
        <f t="shared" si="6"/>
        <v>172889</v>
      </c>
      <c r="I104" s="1845"/>
      <c r="K104" s="1721"/>
      <c r="L104" s="512"/>
      <c r="M104" s="512"/>
      <c r="N104" s="512"/>
      <c r="P104" s="512"/>
    </row>
    <row r="105" spans="1:16" ht="12.95" customHeight="1" thickBot="1">
      <c r="A105" s="1692"/>
      <c r="C105" s="1292"/>
      <c r="E105" s="1722"/>
      <c r="F105" s="1848"/>
      <c r="G105" s="1849"/>
      <c r="H105" s="1877">
        <f t="shared" si="6"/>
        <v>0</v>
      </c>
      <c r="I105" s="1878"/>
      <c r="K105" s="1721"/>
      <c r="M105" s="1695"/>
      <c r="N105" s="1695"/>
      <c r="P105" s="1695"/>
    </row>
    <row r="106" spans="1:16" s="1674" customFormat="1" ht="12.95" customHeight="1" thickBot="1">
      <c r="A106" s="1696" t="s">
        <v>185</v>
      </c>
      <c r="B106" s="2327" t="s">
        <v>231</v>
      </c>
      <c r="C106" s="2327"/>
      <c r="D106" s="2327"/>
      <c r="E106" s="2323"/>
      <c r="F106" s="1851">
        <f>+F97+F104</f>
        <v>119285</v>
      </c>
      <c r="G106" s="1852">
        <f>+G97+G104</f>
        <v>181158</v>
      </c>
      <c r="H106" s="1879">
        <f t="shared" si="6"/>
        <v>300443</v>
      </c>
      <c r="I106" s="1853">
        <f t="shared" si="5"/>
        <v>2.5186989143647565</v>
      </c>
      <c r="K106" s="1721"/>
      <c r="L106" s="1695"/>
      <c r="M106" s="512"/>
      <c r="N106" s="512"/>
      <c r="P106" s="512"/>
    </row>
    <row r="107" spans="1:16" s="1674" customFormat="1" ht="12.95" customHeight="1">
      <c r="A107" s="1697" t="s">
        <v>232</v>
      </c>
      <c r="B107" s="2321" t="s">
        <v>233</v>
      </c>
      <c r="C107" s="2322"/>
      <c r="D107" s="2322"/>
      <c r="E107" s="2322"/>
      <c r="F107" s="1834"/>
      <c r="G107" s="1746"/>
      <c r="H107" s="1871">
        <f t="shared" si="6"/>
        <v>0</v>
      </c>
      <c r="I107" s="1880"/>
      <c r="K107" s="1721"/>
      <c r="L107" s="512"/>
    </row>
    <row r="108" spans="1:16" ht="12.95" customHeight="1">
      <c r="A108" s="1675"/>
      <c r="B108" s="1676"/>
      <c r="C108" s="1676">
        <v>1</v>
      </c>
      <c r="D108" s="2308" t="s">
        <v>234</v>
      </c>
      <c r="E108" s="2309"/>
      <c r="F108" s="1839"/>
      <c r="G108" s="1750"/>
      <c r="H108" s="1862">
        <f t="shared" si="6"/>
        <v>0</v>
      </c>
      <c r="I108" s="1840"/>
      <c r="K108" s="1721"/>
      <c r="L108" s="1674"/>
      <c r="M108" s="1674"/>
      <c r="N108" s="1674"/>
      <c r="P108" s="1674"/>
    </row>
    <row r="109" spans="1:16" ht="12.95" customHeight="1">
      <c r="A109" s="1675"/>
      <c r="B109" s="1676"/>
      <c r="C109" s="1676">
        <v>2</v>
      </c>
      <c r="D109" s="2308" t="s">
        <v>235</v>
      </c>
      <c r="E109" s="2309"/>
      <c r="F109" s="1839"/>
      <c r="G109" s="1750"/>
      <c r="H109" s="1862">
        <f t="shared" si="6"/>
        <v>0</v>
      </c>
      <c r="I109" s="1840"/>
      <c r="K109" s="1721"/>
      <c r="L109" s="1674"/>
    </row>
    <row r="110" spans="1:16" s="1309" customFormat="1" ht="12.95" customHeight="1">
      <c r="A110" s="1678"/>
      <c r="B110" s="777"/>
      <c r="C110" s="777"/>
      <c r="D110" s="777" t="s">
        <v>134</v>
      </c>
      <c r="E110" s="1679" t="s">
        <v>236</v>
      </c>
      <c r="F110" s="1839">
        <f>+ÓVODA!B9</f>
        <v>3118.5</v>
      </c>
      <c r="G110" s="1750"/>
      <c r="H110" s="1862">
        <f t="shared" si="6"/>
        <v>3118.5</v>
      </c>
      <c r="I110" s="1840">
        <f t="shared" si="5"/>
        <v>1</v>
      </c>
      <c r="K110" s="1721"/>
      <c r="L110" s="512"/>
      <c r="M110" s="512"/>
      <c r="N110" s="512"/>
      <c r="P110" s="512"/>
    </row>
    <row r="111" spans="1:16" ht="12.95" customHeight="1">
      <c r="A111" s="1678"/>
      <c r="B111" s="777"/>
      <c r="C111" s="777"/>
      <c r="D111" s="777" t="s">
        <v>136</v>
      </c>
      <c r="E111" s="1679" t="s">
        <v>237</v>
      </c>
      <c r="F111" s="1839">
        <f>+'BEVÉTELEK SEGÍTŐ SZOLGÁLAT'!AK10</f>
        <v>2536</v>
      </c>
      <c r="G111" s="1750">
        <f>+'SEGÍTŐ SZOLGÁLAT'!AL9</f>
        <v>565</v>
      </c>
      <c r="H111" s="1862">
        <f t="shared" si="6"/>
        <v>3101</v>
      </c>
      <c r="I111" s="1840">
        <f t="shared" si="5"/>
        <v>1.2227917981072556</v>
      </c>
      <c r="K111" s="1721"/>
      <c r="M111" s="1309"/>
      <c r="N111" s="1309"/>
      <c r="P111" s="1309"/>
    </row>
    <row r="112" spans="1:16" ht="12.95" customHeight="1">
      <c r="A112" s="1316"/>
      <c r="B112" s="1702"/>
      <c r="C112" s="1702"/>
      <c r="D112" s="1702" t="s">
        <v>238</v>
      </c>
      <c r="E112" s="1677"/>
      <c r="F112" s="1863">
        <f>SUM(F110:F111)</f>
        <v>5654.5</v>
      </c>
      <c r="G112" s="407">
        <f>SUM(G109:G111)</f>
        <v>565</v>
      </c>
      <c r="H112" s="1862">
        <f t="shared" si="6"/>
        <v>6219.5</v>
      </c>
      <c r="I112" s="1840">
        <f t="shared" si="5"/>
        <v>1.099920417366699</v>
      </c>
      <c r="K112" s="1721"/>
      <c r="L112" s="1309"/>
    </row>
    <row r="113" spans="1:16" ht="12.95" customHeight="1" thickBot="1">
      <c r="A113" s="1682"/>
      <c r="B113" s="778"/>
      <c r="C113" s="778"/>
      <c r="D113" s="778"/>
      <c r="E113" s="1683"/>
      <c r="F113" s="1842"/>
      <c r="G113" s="1605"/>
      <c r="H113" s="1867">
        <f t="shared" si="6"/>
        <v>0</v>
      </c>
      <c r="I113" s="1881"/>
      <c r="K113" s="1721"/>
    </row>
    <row r="114" spans="1:16" ht="12.95" customHeight="1" thickBot="1">
      <c r="A114" s="1696" t="s">
        <v>232</v>
      </c>
      <c r="B114" s="2323" t="s">
        <v>239</v>
      </c>
      <c r="C114" s="2324"/>
      <c r="D114" s="2324"/>
      <c r="E114" s="2324"/>
      <c r="F114" s="1851">
        <f>+F108+F112</f>
        <v>5654.5</v>
      </c>
      <c r="G114" s="1852">
        <f>+G108+G112</f>
        <v>565</v>
      </c>
      <c r="H114" s="1879">
        <f t="shared" si="6"/>
        <v>6219.5</v>
      </c>
      <c r="I114" s="1853">
        <f t="shared" si="5"/>
        <v>1.099920417366699</v>
      </c>
      <c r="K114" s="1721"/>
    </row>
    <row r="115" spans="1:16" ht="12.95" customHeight="1" thickBot="1">
      <c r="A115" s="1672"/>
      <c r="B115" s="1723"/>
      <c r="C115" s="1723"/>
      <c r="D115" s="1723"/>
      <c r="E115" s="1724"/>
      <c r="F115" s="1832"/>
      <c r="G115" s="1849"/>
      <c r="H115" s="1877">
        <f t="shared" si="6"/>
        <v>0</v>
      </c>
      <c r="I115" s="1882"/>
      <c r="K115" s="1721"/>
    </row>
    <row r="116" spans="1:16" ht="12.95" customHeight="1" thickBot="1">
      <c r="A116" s="1696" t="s">
        <v>240</v>
      </c>
      <c r="B116" s="2327" t="s">
        <v>241</v>
      </c>
      <c r="C116" s="2327"/>
      <c r="D116" s="2327"/>
      <c r="E116" s="2323"/>
      <c r="F116" s="1883"/>
      <c r="G116" s="1757">
        <f>+TÁRSULÁS!S14</f>
        <v>17182</v>
      </c>
      <c r="H116" s="1879">
        <f t="shared" si="6"/>
        <v>17182</v>
      </c>
      <c r="I116" s="1853"/>
      <c r="K116" s="1721"/>
    </row>
    <row r="117" spans="1:16" ht="12.95" customHeight="1" thickBot="1">
      <c r="A117" s="1697"/>
      <c r="B117" s="1725"/>
      <c r="C117" s="1725"/>
      <c r="D117" s="1725"/>
      <c r="E117" s="1698"/>
      <c r="F117" s="1834"/>
      <c r="G117" s="1855"/>
      <c r="H117" s="1871"/>
      <c r="I117" s="1882"/>
      <c r="K117" s="1721"/>
    </row>
    <row r="118" spans="1:16" s="1729" customFormat="1" ht="12.95" customHeight="1" thickBot="1">
      <c r="A118" s="1726" t="s">
        <v>242</v>
      </c>
      <c r="B118" s="1727"/>
      <c r="C118" s="1727"/>
      <c r="D118" s="1727"/>
      <c r="E118" s="1728"/>
      <c r="F118" s="1884">
        <f>+F47+F106+F114+SUM(F115:F117)</f>
        <v>420770.31</v>
      </c>
      <c r="G118" s="1885">
        <f>+G47+G106+G114+G116</f>
        <v>198905</v>
      </c>
      <c r="H118" s="1885">
        <f>+H47+H106+H114+H116</f>
        <v>619675.31000000006</v>
      </c>
      <c r="I118" s="1853">
        <f>+H118/F118</f>
        <v>1.4727163378043475</v>
      </c>
      <c r="J118" s="512"/>
      <c r="K118" s="1721"/>
      <c r="L118" s="512"/>
      <c r="M118" s="512"/>
      <c r="N118" s="512"/>
      <c r="P118" s="512"/>
    </row>
    <row r="119" spans="1:16" ht="12.95" customHeight="1">
      <c r="K119" s="1721"/>
      <c r="M119" s="1729"/>
      <c r="N119" s="1729"/>
      <c r="P119" s="1729"/>
    </row>
    <row r="120" spans="1:16" ht="12.95" customHeight="1">
      <c r="I120" s="512"/>
      <c r="K120" s="1730"/>
      <c r="L120" s="1729"/>
    </row>
    <row r="121" spans="1:16" ht="12.95" customHeight="1">
      <c r="I121" s="512"/>
      <c r="K121" s="1721"/>
    </row>
    <row r="122" spans="1:16" ht="12.95" customHeight="1">
      <c r="K122" s="1721"/>
    </row>
    <row r="123" spans="1:16" ht="12.95" customHeight="1">
      <c r="K123" s="1721"/>
    </row>
    <row r="124" spans="1:16" ht="12.95" customHeight="1">
      <c r="K124" s="1721"/>
    </row>
    <row r="125" spans="1:16" ht="12.95" customHeight="1">
      <c r="K125" s="1721"/>
    </row>
    <row r="126" spans="1:16" ht="12.95" customHeight="1">
      <c r="K126" s="1721"/>
    </row>
    <row r="127" spans="1:16" ht="12.95" customHeight="1">
      <c r="K127" s="1721"/>
    </row>
    <row r="128" spans="1:16" ht="12.95" customHeight="1">
      <c r="K128" s="1721"/>
    </row>
    <row r="129" spans="11:11" ht="12.95" customHeight="1">
      <c r="K129" s="1721"/>
    </row>
    <row r="130" spans="11:11" ht="12.95" customHeight="1">
      <c r="K130" s="1721"/>
    </row>
  </sheetData>
  <mergeCells count="33">
    <mergeCell ref="B116:E116"/>
    <mergeCell ref="C25:E25"/>
    <mergeCell ref="C26:E26"/>
    <mergeCell ref="C41:E41"/>
    <mergeCell ref="D27:E27"/>
    <mergeCell ref="D96:E96"/>
    <mergeCell ref="D34:E34"/>
    <mergeCell ref="D40:E40"/>
    <mergeCell ref="C43:E43"/>
    <mergeCell ref="D108:E108"/>
    <mergeCell ref="B114:E114"/>
    <mergeCell ref="B106:E106"/>
    <mergeCell ref="D57:E57"/>
    <mergeCell ref="D101:E101"/>
    <mergeCell ref="D102:E102"/>
    <mergeCell ref="D99:E99"/>
    <mergeCell ref="D56:E56"/>
    <mergeCell ref="D109:E109"/>
    <mergeCell ref="C45:E45"/>
    <mergeCell ref="D100:E100"/>
    <mergeCell ref="B48:E48"/>
    <mergeCell ref="B107:E107"/>
    <mergeCell ref="B47:E47"/>
    <mergeCell ref="D103:E103"/>
    <mergeCell ref="I1:I2"/>
    <mergeCell ref="D15:E15"/>
    <mergeCell ref="D33:E33"/>
    <mergeCell ref="D24:E24"/>
    <mergeCell ref="B3:E3"/>
    <mergeCell ref="C4:E4"/>
    <mergeCell ref="D5:E5"/>
    <mergeCell ref="D14:E14"/>
    <mergeCell ref="H1:H2"/>
  </mergeCells>
  <phoneticPr fontId="25" type="noConversion"/>
  <printOptions horizontalCentered="1"/>
  <pageMargins left="0.78740157480314965" right="0.78740157480314965" top="1.35" bottom="0.47244094488188981" header="0.31496062992125984" footer="0.23622047244094491"/>
  <pageSetup paperSize="8" scale="90" orientation="portrait" r:id="rId1"/>
  <headerFooter alignWithMargins="0">
    <oddHeader>&amp;L&amp;"Times New Roman,Normál"Szent László Völgye 
Kistérségi Szolgáltató Iroda&amp;C&amp;"Times New Roman,Félkövér"&amp;14
 2011. ÉVI KÖLTSÉGVETÉS&amp;R2. sz. melléklet
&amp;"Times New Roman,Félkövér"&amp;12
 &amp;A&amp;"Arial,Normál"&amp;10
Adatok: Ft-ban</oddHeader>
    <oddFooter xml:space="preserve">&amp;L&amp;"Times New Roman,Normál"&amp;F&amp;C&amp;"Times New Roman,Normál"&amp;D&amp;R&amp;"Times New Roman,Normál"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M100"/>
  <sheetViews>
    <sheetView zoomScaleSheetLayoutView="85" workbookViewId="0">
      <selection activeCell="A19" sqref="A19"/>
    </sheetView>
  </sheetViews>
  <sheetFormatPr defaultColWidth="8.85546875" defaultRowHeight="15"/>
  <cols>
    <col min="1" max="1" width="75.5703125" style="715" customWidth="1"/>
    <col min="2" max="2" width="11" style="716" customWidth="1"/>
    <col min="3" max="3" width="12.140625" style="717" customWidth="1"/>
    <col min="4" max="4" width="3.85546875" style="718" customWidth="1"/>
    <col min="5" max="5" width="18.28515625" style="719" customWidth="1"/>
    <col min="6" max="7" width="11" style="404" customWidth="1"/>
    <col min="8" max="8" width="12.5703125" style="404" customWidth="1"/>
    <col min="9" max="9" width="13" style="721" customWidth="1"/>
    <col min="10" max="10" width="9.85546875" style="655" bestFit="1" customWidth="1"/>
    <col min="11" max="11" width="10.42578125" style="655" customWidth="1"/>
    <col min="12" max="12" width="8.85546875" style="404" customWidth="1"/>
    <col min="13" max="13" width="9.85546875" style="655" bestFit="1" customWidth="1"/>
    <col min="14" max="16384" width="8.85546875" style="404"/>
  </cols>
  <sheetData>
    <row r="1" spans="1:13" ht="24" customHeight="1" thickBot="1">
      <c r="A1" s="656"/>
      <c r="B1" s="876"/>
      <c r="C1" s="2503" t="s">
        <v>677</v>
      </c>
      <c r="D1" s="2504"/>
      <c r="E1" s="820" t="s">
        <v>678</v>
      </c>
      <c r="F1" s="653"/>
      <c r="G1" s="653"/>
      <c r="H1" s="653"/>
      <c r="I1" s="654"/>
      <c r="J1" s="657" t="s">
        <v>322</v>
      </c>
      <c r="K1" s="657" t="s">
        <v>321</v>
      </c>
    </row>
    <row r="2" spans="1:13" ht="22.15" customHeight="1">
      <c r="A2" s="658" t="s">
        <v>684</v>
      </c>
      <c r="B2" s="923"/>
      <c r="C2" s="924"/>
      <c r="D2" s="925"/>
      <c r="E2" s="926"/>
      <c r="F2" s="659"/>
      <c r="G2" s="659"/>
      <c r="H2" s="653" t="s">
        <v>608</v>
      </c>
      <c r="I2" s="654"/>
      <c r="J2" s="655">
        <v>16053</v>
      </c>
    </row>
    <row r="3" spans="1:13">
      <c r="A3" s="922" t="s">
        <v>609</v>
      </c>
      <c r="B3" s="671" t="s">
        <v>546</v>
      </c>
      <c r="C3" s="877">
        <v>3.21</v>
      </c>
      <c r="D3" s="878"/>
      <c r="E3" s="867">
        <f>+E5/2</f>
        <v>6341</v>
      </c>
      <c r="F3" s="665"/>
      <c r="G3" s="665"/>
      <c r="H3" s="659"/>
      <c r="I3" s="654"/>
      <c r="M3" s="655">
        <v>6340935</v>
      </c>
    </row>
    <row r="4" spans="1:13">
      <c r="A4" s="660" t="s">
        <v>610</v>
      </c>
      <c r="B4" s="661" t="s">
        <v>546</v>
      </c>
      <c r="C4" s="662">
        <v>3.21</v>
      </c>
      <c r="D4" s="663"/>
      <c r="E4" s="866">
        <f>+E5/2</f>
        <v>6341</v>
      </c>
      <c r="F4" s="665"/>
      <c r="G4" s="665"/>
      <c r="H4" s="665"/>
      <c r="I4" s="654"/>
      <c r="M4" s="655">
        <v>6340935</v>
      </c>
    </row>
    <row r="5" spans="1:13">
      <c r="A5" s="660" t="s">
        <v>611</v>
      </c>
      <c r="B5" s="661"/>
      <c r="C5" s="662"/>
      <c r="D5" s="663"/>
      <c r="E5" s="866">
        <f>+K5</f>
        <v>12682</v>
      </c>
      <c r="F5" s="665"/>
      <c r="G5" s="665"/>
      <c r="H5" s="665"/>
      <c r="I5" s="670">
        <v>3950000</v>
      </c>
      <c r="J5" s="655">
        <f>+J2/5000*I5</f>
        <v>12681870</v>
      </c>
      <c r="K5" s="655">
        <v>12682</v>
      </c>
    </row>
    <row r="6" spans="1:13">
      <c r="A6" s="660" t="s">
        <v>612</v>
      </c>
      <c r="B6" s="661" t="s">
        <v>546</v>
      </c>
      <c r="C6" s="684">
        <v>134</v>
      </c>
      <c r="D6" s="685"/>
      <c r="E6" s="866">
        <f>+K6</f>
        <v>22255</v>
      </c>
      <c r="F6" s="665"/>
      <c r="G6" s="665"/>
      <c r="H6" s="665"/>
      <c r="I6" s="670"/>
      <c r="J6" s="655">
        <f>166080*D6</f>
        <v>0</v>
      </c>
      <c r="K6" s="655">
        <v>22255</v>
      </c>
      <c r="M6" s="655">
        <v>22254720</v>
      </c>
    </row>
    <row r="7" spans="1:13">
      <c r="A7" s="660" t="s">
        <v>613</v>
      </c>
      <c r="B7" s="661" t="s">
        <v>546</v>
      </c>
      <c r="C7" s="684">
        <v>17</v>
      </c>
      <c r="D7" s="685"/>
      <c r="E7" s="866">
        <f>+K7</f>
        <v>1506</v>
      </c>
      <c r="F7" s="665"/>
      <c r="G7" s="665"/>
      <c r="H7" s="665"/>
      <c r="I7" s="670"/>
      <c r="J7" s="655">
        <f>88580*D7</f>
        <v>0</v>
      </c>
      <c r="K7" s="655">
        <v>1506</v>
      </c>
      <c r="M7" s="655">
        <v>1505860</v>
      </c>
    </row>
    <row r="8" spans="1:13">
      <c r="A8" s="660" t="s">
        <v>614</v>
      </c>
      <c r="B8" s="661"/>
      <c r="C8" s="684"/>
      <c r="D8" s="685"/>
      <c r="E8" s="866">
        <f>SUM(E6:E7)</f>
        <v>23761</v>
      </c>
      <c r="F8" s="665"/>
      <c r="G8" s="665"/>
      <c r="H8" s="665"/>
      <c r="I8" s="670"/>
    </row>
    <row r="9" spans="1:13">
      <c r="A9" s="703" t="s">
        <v>615</v>
      </c>
      <c r="B9" s="704" t="s">
        <v>616</v>
      </c>
      <c r="C9" s="868">
        <v>12</v>
      </c>
      <c r="D9" s="869"/>
      <c r="E9" s="873">
        <f>+J9</f>
        <v>1996</v>
      </c>
      <c r="F9" s="665"/>
      <c r="G9" s="665"/>
      <c r="H9" s="665"/>
      <c r="I9" s="670"/>
      <c r="J9" s="655">
        <v>1996</v>
      </c>
      <c r="M9" s="655">
        <v>1996550</v>
      </c>
    </row>
    <row r="10" spans="1:13">
      <c r="A10" s="674" t="s">
        <v>617</v>
      </c>
      <c r="B10" s="675"/>
      <c r="C10" s="676"/>
      <c r="D10" s="677"/>
      <c r="E10" s="874">
        <f>+E5+E8+E9</f>
        <v>38439</v>
      </c>
      <c r="F10" s="678"/>
      <c r="G10" s="678"/>
      <c r="H10" s="665"/>
      <c r="I10" s="670"/>
    </row>
    <row r="11" spans="1:13" ht="22.15" customHeight="1">
      <c r="A11" s="679" t="s">
        <v>685</v>
      </c>
      <c r="B11" s="680"/>
      <c r="C11" s="681"/>
      <c r="D11" s="682"/>
      <c r="E11" s="875"/>
      <c r="F11" s="665"/>
      <c r="G11" s="665"/>
      <c r="H11" s="678"/>
      <c r="I11" s="670"/>
    </row>
    <row r="12" spans="1:13">
      <c r="A12" s="660" t="s">
        <v>618</v>
      </c>
      <c r="B12" s="661" t="s">
        <v>546</v>
      </c>
      <c r="C12" s="870">
        <v>34</v>
      </c>
      <c r="D12" s="685"/>
      <c r="E12" s="664">
        <f>+K12</f>
        <v>320</v>
      </c>
      <c r="F12" s="665"/>
      <c r="G12" s="665"/>
      <c r="H12" s="665"/>
      <c r="I12" s="670"/>
      <c r="J12" s="655">
        <f>34*9400</f>
        <v>319600</v>
      </c>
      <c r="K12" s="655">
        <v>320</v>
      </c>
      <c r="M12" s="655">
        <v>319600</v>
      </c>
    </row>
    <row r="13" spans="1:13">
      <c r="A13" s="660" t="s">
        <v>619</v>
      </c>
      <c r="B13" s="661" t="s">
        <v>546</v>
      </c>
      <c r="C13" s="870">
        <f>+I2</f>
        <v>0</v>
      </c>
      <c r="D13" s="685"/>
      <c r="E13" s="664">
        <f>+K13</f>
        <v>5137</v>
      </c>
      <c r="F13" s="665"/>
      <c r="G13" s="665"/>
      <c r="H13" s="665"/>
      <c r="I13" s="686"/>
      <c r="J13" s="655">
        <f>+D13*320</f>
        <v>0</v>
      </c>
      <c r="K13" s="655">
        <v>5137</v>
      </c>
      <c r="M13" s="655">
        <v>5136960</v>
      </c>
    </row>
    <row r="14" spans="1:13">
      <c r="A14" s="660" t="s">
        <v>620</v>
      </c>
      <c r="B14" s="661" t="s">
        <v>546</v>
      </c>
      <c r="C14" s="870">
        <v>134</v>
      </c>
      <c r="D14" s="685"/>
      <c r="E14" s="664">
        <f>+K14</f>
        <v>8040</v>
      </c>
      <c r="F14" s="665"/>
      <c r="G14" s="665"/>
      <c r="H14" s="665"/>
      <c r="I14" s="670"/>
      <c r="J14" s="655">
        <f>+D14*60000</f>
        <v>0</v>
      </c>
      <c r="K14" s="655">
        <v>8040</v>
      </c>
      <c r="M14" s="655">
        <v>8040000</v>
      </c>
    </row>
    <row r="15" spans="1:13">
      <c r="A15" s="660" t="s">
        <v>621</v>
      </c>
      <c r="B15" s="661" t="s">
        <v>546</v>
      </c>
      <c r="C15" s="870">
        <v>17</v>
      </c>
      <c r="D15" s="685"/>
      <c r="E15" s="664">
        <f>+K15</f>
        <v>1530</v>
      </c>
      <c r="F15" s="665"/>
      <c r="G15" s="665"/>
      <c r="H15" s="665"/>
      <c r="I15" s="670"/>
      <c r="J15" s="655">
        <f>+D15*90000</f>
        <v>0</v>
      </c>
      <c r="K15" s="655">
        <v>1530</v>
      </c>
      <c r="M15" s="655">
        <v>1530000</v>
      </c>
    </row>
    <row r="16" spans="1:13">
      <c r="A16" s="666" t="s">
        <v>622</v>
      </c>
      <c r="B16" s="667" t="s">
        <v>546</v>
      </c>
      <c r="C16" s="871">
        <v>3171</v>
      </c>
      <c r="D16" s="672"/>
      <c r="E16" s="668">
        <f>+K16</f>
        <v>3805</v>
      </c>
      <c r="F16" s="665"/>
      <c r="G16" s="665"/>
      <c r="H16" s="665"/>
      <c r="I16" s="670"/>
      <c r="J16" s="655">
        <f>+D16*1200</f>
        <v>0</v>
      </c>
      <c r="K16" s="655">
        <v>3805</v>
      </c>
      <c r="M16" s="655">
        <v>3805200</v>
      </c>
    </row>
    <row r="17" spans="1:13">
      <c r="A17" s="687" t="s">
        <v>623</v>
      </c>
      <c r="B17" s="669"/>
      <c r="C17" s="872"/>
      <c r="D17" s="673"/>
      <c r="E17" s="688">
        <f>SUM(E12:E16)</f>
        <v>18832</v>
      </c>
      <c r="F17" s="678"/>
      <c r="G17" s="678"/>
      <c r="H17" s="665"/>
      <c r="I17" s="670"/>
      <c r="J17" s="689"/>
      <c r="L17" s="405"/>
      <c r="M17" s="690"/>
    </row>
    <row r="18" spans="1:13">
      <c r="A18" s="691"/>
      <c r="B18" s="680"/>
      <c r="C18" s="681"/>
      <c r="D18" s="682"/>
      <c r="E18" s="683"/>
      <c r="F18" s="665"/>
      <c r="G18" s="665"/>
      <c r="H18" s="678"/>
      <c r="I18" s="670"/>
      <c r="J18" s="689"/>
    </row>
    <row r="19" spans="1:13" s="405" customFormat="1">
      <c r="A19" s="692" t="s">
        <v>624</v>
      </c>
      <c r="B19" s="693"/>
      <c r="C19" s="694"/>
      <c r="D19" s="695"/>
      <c r="E19" s="696">
        <f>+E10+E17</f>
        <v>57271</v>
      </c>
      <c r="F19" s="678"/>
      <c r="G19" s="678"/>
      <c r="H19" s="665"/>
      <c r="I19" s="670"/>
      <c r="J19" s="697"/>
      <c r="K19" s="690"/>
      <c r="L19" s="404"/>
      <c r="M19" s="655">
        <f>SUM(M3:M18)</f>
        <v>57270760</v>
      </c>
    </row>
    <row r="20" spans="1:13" ht="13.15" customHeight="1">
      <c r="A20" s="698"/>
      <c r="B20" s="699"/>
      <c r="C20" s="700"/>
      <c r="D20" s="701"/>
      <c r="E20" s="702"/>
      <c r="F20" s="665"/>
      <c r="G20" s="665"/>
      <c r="H20" s="678"/>
      <c r="I20" s="686"/>
      <c r="J20" s="689"/>
    </row>
    <row r="21" spans="1:13" ht="14.45" customHeight="1">
      <c r="A21" s="660" t="s">
        <v>625</v>
      </c>
      <c r="B21" s="661"/>
      <c r="C21" s="662"/>
      <c r="D21" s="663"/>
      <c r="E21" s="664"/>
      <c r="F21" s="665"/>
      <c r="G21" s="665"/>
      <c r="H21" s="665"/>
      <c r="I21" s="670"/>
      <c r="J21" s="689"/>
    </row>
    <row r="22" spans="1:13">
      <c r="A22" s="660" t="s">
        <v>626</v>
      </c>
      <c r="B22" s="661"/>
      <c r="C22" s="662"/>
      <c r="D22" s="663"/>
      <c r="E22" s="664">
        <v>7860</v>
      </c>
      <c r="F22" s="665"/>
      <c r="G22" s="665"/>
      <c r="H22" s="665"/>
      <c r="I22" s="686"/>
      <c r="J22" s="689"/>
    </row>
    <row r="23" spans="1:13">
      <c r="A23" s="703" t="s">
        <v>627</v>
      </c>
      <c r="B23" s="704"/>
      <c r="C23" s="705"/>
      <c r="D23" s="706"/>
      <c r="E23" s="707">
        <v>8600</v>
      </c>
      <c r="F23" s="665"/>
      <c r="G23" s="665"/>
      <c r="H23" s="665"/>
      <c r="I23" s="670"/>
      <c r="J23" s="689"/>
    </row>
    <row r="24" spans="1:13">
      <c r="A24" s="692" t="s">
        <v>628</v>
      </c>
      <c r="B24" s="693"/>
      <c r="C24" s="694"/>
      <c r="D24" s="695"/>
      <c r="E24" s="696">
        <f>SUM(E22:E23)</f>
        <v>16460</v>
      </c>
      <c r="F24" s="678"/>
      <c r="G24" s="678"/>
      <c r="H24" s="665"/>
      <c r="I24" s="670"/>
      <c r="J24" s="689"/>
      <c r="L24" s="405"/>
      <c r="M24" s="690"/>
    </row>
    <row r="25" spans="1:13" ht="15.75" thickBot="1">
      <c r="A25" s="691"/>
      <c r="B25" s="680"/>
      <c r="C25" s="708"/>
      <c r="D25" s="709"/>
      <c r="E25" s="683"/>
      <c r="F25" s="665"/>
      <c r="G25" s="665"/>
      <c r="H25" s="678"/>
      <c r="I25" s="670"/>
      <c r="J25" s="689"/>
    </row>
    <row r="26" spans="1:13" s="405" customFormat="1" ht="15.75" thickBot="1">
      <c r="A26" s="710" t="s">
        <v>629</v>
      </c>
      <c r="B26" s="711"/>
      <c r="C26" s="712"/>
      <c r="D26" s="713"/>
      <c r="E26" s="714">
        <f>+E19+E24</f>
        <v>73731</v>
      </c>
      <c r="F26" s="678"/>
      <c r="G26" s="678"/>
      <c r="H26" s="665"/>
      <c r="I26" s="670"/>
      <c r="J26" s="697"/>
      <c r="K26" s="690"/>
      <c r="L26" s="404"/>
      <c r="M26" s="655"/>
    </row>
    <row r="27" spans="1:13">
      <c r="F27" s="720"/>
      <c r="G27" s="720"/>
      <c r="H27" s="678"/>
      <c r="I27" s="686"/>
      <c r="J27" s="689"/>
    </row>
    <row r="28" spans="1:13">
      <c r="F28" s="720"/>
      <c r="G28" s="720"/>
      <c r="H28" s="720"/>
      <c r="I28" s="670"/>
      <c r="J28" s="689"/>
    </row>
    <row r="29" spans="1:13">
      <c r="I29" s="686"/>
    </row>
    <row r="83" spans="1:9">
      <c r="A83" s="816"/>
      <c r="B83" s="817"/>
      <c r="D83" s="717"/>
    </row>
    <row r="96" spans="1:9">
      <c r="A96" s="726"/>
      <c r="B96" s="727"/>
      <c r="C96" s="728"/>
      <c r="D96" s="728"/>
      <c r="E96" s="729"/>
      <c r="F96" s="730"/>
      <c r="G96" s="730"/>
      <c r="H96" s="730"/>
      <c r="I96" s="731"/>
    </row>
    <row r="97" spans="1:9">
      <c r="A97" s="732"/>
      <c r="B97" s="733"/>
      <c r="C97" s="734"/>
      <c r="D97" s="734"/>
      <c r="E97" s="735"/>
      <c r="F97" s="736"/>
      <c r="G97" s="736"/>
      <c r="H97" s="736"/>
      <c r="I97" s="737"/>
    </row>
    <row r="98" spans="1:9">
      <c r="A98" s="732"/>
      <c r="B98" s="733"/>
      <c r="C98" s="734"/>
      <c r="D98" s="734"/>
      <c r="E98" s="735"/>
      <c r="F98" s="736"/>
      <c r="G98" s="736"/>
      <c r="H98" s="736"/>
      <c r="I98" s="737"/>
    </row>
    <row r="99" spans="1:9">
      <c r="A99" s="732"/>
      <c r="B99" s="733"/>
      <c r="C99" s="734"/>
      <c r="D99" s="734"/>
      <c r="E99" s="735"/>
      <c r="F99" s="736"/>
      <c r="G99" s="736"/>
      <c r="H99" s="736"/>
      <c r="I99" s="737"/>
    </row>
    <row r="100" spans="1:9">
      <c r="A100" s="738"/>
      <c r="B100" s="739"/>
      <c r="C100" s="740"/>
      <c r="D100" s="740"/>
      <c r="E100" s="741"/>
      <c r="F100" s="742"/>
      <c r="G100" s="742"/>
      <c r="H100" s="742"/>
      <c r="I100" s="743"/>
    </row>
  </sheetData>
  <mergeCells count="1">
    <mergeCell ref="C1:D1"/>
  </mergeCells>
  <phoneticPr fontId="25" type="noConversion"/>
  <printOptions horizontalCentered="1"/>
  <pageMargins left="1.47" right="0.78740157480314965" top="1.7716535433070868" bottom="0.27559055118110237" header="0.55118110236220474" footer="1.1023622047244095"/>
  <pageSetup paperSize="9" scale="90" orientation="landscape" r:id="rId1"/>
  <headerFooter alignWithMargins="0">
    <oddHeader>&amp;LSzent László Völgye 
Kistérségi Szolgáltató Iroda&amp;C&amp;"Arial,Félkövér"&amp;14 2011. ÉVI KÖLTSÉGVETÉS
&amp;R
&amp;"Times New Roman,Normál"&amp;12 11 sz. melléklet&amp;10
 &amp;"Times New Roman,Félkövér"&amp;12&amp;A&amp;"Arial,Normál"&amp;10
Adatok: eFt-ban</oddHeader>
    <oddFooter>&amp;L&amp;A&amp;C&amp;D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100"/>
  <sheetViews>
    <sheetView workbookViewId="0">
      <selection activeCell="A19" sqref="A19"/>
    </sheetView>
  </sheetViews>
  <sheetFormatPr defaultColWidth="8.85546875" defaultRowHeight="15.75"/>
  <cols>
    <col min="1" max="1" width="69.7109375" style="895" customWidth="1"/>
    <col min="2" max="2" width="15" style="896" customWidth="1"/>
    <col min="3" max="3" width="13.42578125" style="1011" customWidth="1"/>
    <col min="4" max="4" width="14.7109375" style="897" customWidth="1"/>
    <col min="5" max="16384" width="8.85546875" style="883"/>
  </cols>
  <sheetData>
    <row r="1" spans="1:4" ht="28.9" customHeight="1" thickBot="1">
      <c r="A1" s="879"/>
      <c r="B1" s="880"/>
      <c r="C1" s="881" t="s">
        <v>607</v>
      </c>
      <c r="D1" s="882" t="s">
        <v>661</v>
      </c>
    </row>
    <row r="2" spans="1:4" ht="36.6" customHeight="1">
      <c r="A2" s="884" t="s">
        <v>630</v>
      </c>
      <c r="B2" s="885" t="s">
        <v>546</v>
      </c>
      <c r="C2" s="1009"/>
      <c r="D2" s="886">
        <v>18300</v>
      </c>
    </row>
    <row r="3" spans="1:4" s="890" customFormat="1" ht="30.6" customHeight="1" thickBot="1">
      <c r="A3" s="887" t="s">
        <v>631</v>
      </c>
      <c r="B3" s="888" t="s">
        <v>632</v>
      </c>
      <c r="C3" s="1010">
        <v>45</v>
      </c>
      <c r="D3" s="889">
        <f>+C3*79</f>
        <v>3555</v>
      </c>
    </row>
    <row r="4" spans="1:4" s="894" customFormat="1" ht="40.15" customHeight="1" thickBot="1">
      <c r="A4" s="913" t="s">
        <v>633</v>
      </c>
      <c r="B4" s="891"/>
      <c r="C4" s="892"/>
      <c r="D4" s="893">
        <f>SUM(D2:D3)</f>
        <v>21855</v>
      </c>
    </row>
    <row r="8" spans="1:4">
      <c r="B8" s="912"/>
    </row>
    <row r="83" spans="1:9">
      <c r="A83" s="879"/>
      <c r="B83" s="898"/>
      <c r="C83" s="1012"/>
      <c r="D83" s="899"/>
    </row>
    <row r="96" spans="1:9">
      <c r="A96" s="900"/>
      <c r="B96" s="901"/>
      <c r="C96" s="1013"/>
      <c r="D96" s="902"/>
      <c r="E96" s="903"/>
      <c r="F96" s="903"/>
      <c r="G96" s="903"/>
      <c r="H96" s="903"/>
      <c r="I96" s="903"/>
    </row>
    <row r="97" spans="1:9">
      <c r="A97" s="904"/>
      <c r="B97" s="905"/>
      <c r="C97" s="1014"/>
      <c r="D97" s="906"/>
      <c r="E97" s="907"/>
      <c r="F97" s="907"/>
      <c r="G97" s="907"/>
      <c r="H97" s="907"/>
      <c r="I97" s="907"/>
    </row>
    <row r="98" spans="1:9">
      <c r="A98" s="904"/>
      <c r="B98" s="905"/>
      <c r="C98" s="1014"/>
      <c r="D98" s="906"/>
      <c r="E98" s="907"/>
      <c r="F98" s="907"/>
      <c r="G98" s="907"/>
      <c r="H98" s="907"/>
      <c r="I98" s="907"/>
    </row>
    <row r="99" spans="1:9">
      <c r="A99" s="904"/>
      <c r="B99" s="905"/>
      <c r="C99" s="1014"/>
      <c r="D99" s="906"/>
      <c r="E99" s="907"/>
      <c r="F99" s="907"/>
      <c r="G99" s="907"/>
      <c r="H99" s="907"/>
      <c r="I99" s="907"/>
    </row>
    <row r="100" spans="1:9">
      <c r="A100" s="908"/>
      <c r="B100" s="909"/>
      <c r="C100" s="1015"/>
      <c r="D100" s="910"/>
      <c r="E100" s="911"/>
      <c r="F100" s="911"/>
      <c r="G100" s="911"/>
      <c r="H100" s="911"/>
      <c r="I100" s="911"/>
    </row>
  </sheetData>
  <phoneticPr fontId="25" type="noConversion"/>
  <printOptions horizontalCentered="1"/>
  <pageMargins left="0.78740157480314965" right="0.78740157480314965" top="2.3622047244094491" bottom="0.27559055118110237" header="0.94488188976377963" footer="1.1023622047244095"/>
  <pageSetup paperSize="9" scale="90" orientation="landscape" r:id="rId1"/>
  <headerFooter alignWithMargins="0">
    <oddHeader xml:space="preserve">&amp;L&amp;"Times New Roman,Normál"Szent László Völgye 
Kistérségi Szolgáltató Iroda&amp;C&amp;"Times New Roman,Félkövér"&amp;12 2011. ÉVI KÖLTSÉGVETÉS &amp;"Arial,Félkövér"
&amp;R&amp;"Times New Roman,Normál" 12 sz. melléklet
&amp;"Times New Roman,Félkövér"&amp;A&amp;"Times New Roman,Normál"
</oddHeader>
    <oddFooter>&amp;L&amp;F&amp;C&amp;D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</sheetPr>
  <dimension ref="A1:S122"/>
  <sheetViews>
    <sheetView workbookViewId="0">
      <pane xSplit="1" ySplit="4" topLeftCell="B5" activePane="bottomRight" state="frozen"/>
      <selection activeCell="A19" sqref="A19"/>
      <selection pane="topRight" activeCell="A19" sqref="A19"/>
      <selection pane="bottomLeft" activeCell="A19" sqref="A19"/>
      <selection pane="bottomRight" activeCell="B12" sqref="B12"/>
    </sheetView>
  </sheetViews>
  <sheetFormatPr defaultColWidth="8.85546875" defaultRowHeight="12.75"/>
  <cols>
    <col min="1" max="1" width="57.28515625" style="38" customWidth="1"/>
    <col min="2" max="4" width="10.7109375" style="39" customWidth="1"/>
    <col min="5" max="5" width="7.7109375" style="101" customWidth="1"/>
    <col min="6" max="6" width="3.85546875" style="97" customWidth="1"/>
    <col min="7" max="8" width="10.7109375" style="97" customWidth="1"/>
    <col min="9" max="9" width="7.7109375" style="97" customWidth="1"/>
    <col min="10" max="10" width="3.85546875" style="97" customWidth="1"/>
    <col min="11" max="11" width="10.7109375" style="97" customWidth="1"/>
    <col min="12" max="12" width="10.7109375" style="41" customWidth="1"/>
    <col min="13" max="13" width="7.7109375" style="97" customWidth="1"/>
    <col min="14" max="14" width="3.85546875" style="41" customWidth="1"/>
    <col min="15" max="16" width="10.7109375" style="2" customWidth="1"/>
    <col min="17" max="17" width="7.7109375" style="98" customWidth="1"/>
    <col min="18" max="18" width="8.85546875" style="41" customWidth="1"/>
    <col min="19" max="19" width="9.42578125" style="41" bestFit="1" customWidth="1"/>
    <col min="20" max="16384" width="8.85546875" style="38"/>
  </cols>
  <sheetData>
    <row r="1" spans="1:19" ht="13.15" customHeight="1">
      <c r="A1" s="53"/>
      <c r="B1" s="2336" t="s">
        <v>243</v>
      </c>
      <c r="C1" s="2337"/>
      <c r="D1" s="2337"/>
      <c r="E1" s="2338"/>
      <c r="F1" s="54"/>
      <c r="G1" s="2344"/>
      <c r="H1" s="2346"/>
      <c r="I1" s="2346"/>
      <c r="J1" s="54"/>
      <c r="K1" s="2348"/>
      <c r="L1" s="2348"/>
      <c r="M1" s="2348"/>
      <c r="N1" s="54"/>
      <c r="O1" s="2344"/>
      <c r="P1" s="2344"/>
      <c r="Q1" s="2344"/>
    </row>
    <row r="2" spans="1:19" s="60" customFormat="1" ht="15.75" thickBot="1">
      <c r="A2" s="53"/>
      <c r="B2" s="2339">
        <v>751959</v>
      </c>
      <c r="C2" s="2340"/>
      <c r="D2" s="2340"/>
      <c r="E2" s="2341"/>
      <c r="F2" s="56"/>
      <c r="G2" s="2345"/>
      <c r="H2" s="2347"/>
      <c r="I2" s="2347"/>
      <c r="J2" s="56"/>
      <c r="K2" s="2345"/>
      <c r="L2" s="2347"/>
      <c r="M2" s="2347"/>
      <c r="N2" s="58"/>
      <c r="O2" s="2345"/>
      <c r="P2" s="2345"/>
      <c r="Q2" s="2345"/>
      <c r="R2" s="59"/>
      <c r="S2" s="59"/>
    </row>
    <row r="3" spans="1:19" s="60" customFormat="1" ht="15">
      <c r="A3" s="53"/>
      <c r="B3" s="984" t="s">
        <v>244</v>
      </c>
      <c r="C3" s="985" t="s">
        <v>245</v>
      </c>
      <c r="D3" s="985" t="s">
        <v>246</v>
      </c>
      <c r="E3" s="986" t="s">
        <v>127</v>
      </c>
      <c r="F3" s="56"/>
      <c r="G3" s="57"/>
      <c r="H3" s="56"/>
      <c r="I3" s="56"/>
      <c r="J3" s="56"/>
      <c r="K3" s="57"/>
      <c r="L3" s="56"/>
      <c r="M3" s="56"/>
      <c r="N3" s="58"/>
      <c r="O3" s="57"/>
      <c r="P3" s="57"/>
      <c r="Q3" s="57"/>
      <c r="R3" s="59"/>
      <c r="S3" s="59"/>
    </row>
    <row r="4" spans="1:19" s="60" customFormat="1" ht="15.75" thickBot="1">
      <c r="A4" s="53"/>
      <c r="B4" s="2342" t="s">
        <v>128</v>
      </c>
      <c r="C4" s="2343"/>
      <c r="D4" s="62"/>
      <c r="E4" s="357"/>
      <c r="F4" s="56"/>
      <c r="G4" s="57"/>
      <c r="H4" s="56"/>
      <c r="I4" s="56"/>
      <c r="J4" s="56"/>
      <c r="K4" s="57"/>
      <c r="L4" s="56"/>
      <c r="M4" s="56"/>
      <c r="N4" s="58"/>
      <c r="O4" s="57"/>
      <c r="P4" s="57"/>
      <c r="Q4" s="57"/>
      <c r="R4" s="59"/>
      <c r="S4" s="59"/>
    </row>
    <row r="5" spans="1:19" s="71" customFormat="1" ht="13.9" customHeight="1">
      <c r="A5" s="63" t="s">
        <v>247</v>
      </c>
      <c r="B5" s="64"/>
      <c r="C5" s="65"/>
      <c r="D5" s="66"/>
      <c r="E5" s="67"/>
      <c r="F5" s="68"/>
      <c r="G5" s="69"/>
      <c r="H5" s="69"/>
      <c r="I5" s="68"/>
      <c r="J5" s="68"/>
      <c r="K5" s="69"/>
      <c r="L5" s="69"/>
      <c r="M5" s="68"/>
      <c r="N5" s="68"/>
      <c r="O5" s="69"/>
      <c r="P5" s="69"/>
      <c r="Q5" s="68"/>
      <c r="R5" s="70"/>
      <c r="S5" s="70"/>
    </row>
    <row r="6" spans="1:19" s="71" customFormat="1" ht="13.9" customHeight="1">
      <c r="A6" s="72" t="s">
        <v>248</v>
      </c>
      <c r="B6" s="64">
        <f>+EGYÉB!D2</f>
        <v>18300</v>
      </c>
      <c r="C6" s="66"/>
      <c r="D6" s="66"/>
      <c r="E6" s="67"/>
      <c r="F6" s="68"/>
      <c r="G6" s="69"/>
      <c r="H6" s="69"/>
      <c r="I6" s="68"/>
      <c r="J6" s="68"/>
      <c r="K6" s="69"/>
      <c r="L6" s="69"/>
      <c r="M6" s="68"/>
      <c r="N6" s="68"/>
      <c r="O6" s="69"/>
      <c r="P6" s="69"/>
      <c r="Q6" s="68"/>
      <c r="R6" s="70"/>
      <c r="S6" s="70"/>
    </row>
    <row r="7" spans="1:19" s="993" customFormat="1" ht="23.45" customHeight="1">
      <c r="A7" s="987" t="s">
        <v>249</v>
      </c>
      <c r="B7" s="988">
        <f>+EGYÉB!D3</f>
        <v>3555</v>
      </c>
      <c r="C7" s="989"/>
      <c r="D7" s="989"/>
      <c r="E7" s="990"/>
      <c r="F7" s="991"/>
      <c r="G7" s="4"/>
      <c r="H7" s="4"/>
      <c r="I7" s="991"/>
      <c r="J7" s="991"/>
      <c r="K7" s="4"/>
      <c r="L7" s="4"/>
      <c r="M7" s="991"/>
      <c r="N7" s="991"/>
      <c r="O7" s="4"/>
      <c r="P7" s="4"/>
      <c r="Q7" s="991"/>
      <c r="R7" s="992"/>
      <c r="S7" s="992"/>
    </row>
    <row r="8" spans="1:19" s="71" customFormat="1" ht="13.9" customHeight="1">
      <c r="A8" s="76" t="s">
        <v>250</v>
      </c>
      <c r="B8" s="77">
        <f>SUM(B6:B7)</f>
        <v>21855</v>
      </c>
      <c r="C8" s="78">
        <f>SUM(C6:C7)</f>
        <v>0</v>
      </c>
      <c r="D8" s="78">
        <f>SUM(D6:D7)</f>
        <v>0</v>
      </c>
      <c r="E8" s="79"/>
      <c r="F8" s="68"/>
      <c r="G8" s="69"/>
      <c r="H8" s="69"/>
      <c r="I8" s="68"/>
      <c r="J8" s="68"/>
      <c r="K8" s="69"/>
      <c r="L8" s="69"/>
      <c r="M8" s="68"/>
      <c r="N8" s="68"/>
      <c r="O8" s="69"/>
      <c r="P8" s="69"/>
      <c r="Q8" s="68"/>
      <c r="R8" s="70"/>
      <c r="S8" s="70"/>
    </row>
    <row r="9" spans="1:19" ht="22.15" customHeight="1">
      <c r="A9" s="940" t="s">
        <v>251</v>
      </c>
      <c r="B9" s="403"/>
      <c r="C9" s="26"/>
      <c r="D9" s="26"/>
      <c r="E9" s="402"/>
      <c r="F9" s="98"/>
      <c r="G9" s="2"/>
      <c r="H9" s="2"/>
      <c r="I9" s="98"/>
      <c r="J9" s="98"/>
      <c r="K9" s="2"/>
      <c r="L9" s="2"/>
      <c r="M9" s="98"/>
      <c r="N9" s="98"/>
    </row>
    <row r="10" spans="1:19" s="71" customFormat="1" ht="13.9" customHeight="1">
      <c r="A10" s="83" t="s">
        <v>15</v>
      </c>
      <c r="B10" s="84"/>
      <c r="C10" s="85"/>
      <c r="D10" s="85"/>
      <c r="E10" s="86"/>
      <c r="F10" s="68"/>
      <c r="G10" s="69"/>
      <c r="H10" s="69"/>
      <c r="I10" s="68"/>
      <c r="J10" s="68"/>
      <c r="K10" s="69"/>
      <c r="L10" s="69"/>
      <c r="M10" s="68"/>
      <c r="N10" s="68"/>
      <c r="O10" s="69"/>
      <c r="P10" s="69"/>
      <c r="Q10" s="68"/>
      <c r="R10" s="70"/>
      <c r="S10" s="70"/>
    </row>
    <row r="11" spans="1:19" s="71" customFormat="1" ht="13.9" customHeight="1">
      <c r="A11" s="83" t="s">
        <v>16</v>
      </c>
      <c r="B11" s="84"/>
      <c r="C11" s="85"/>
      <c r="D11" s="85"/>
      <c r="E11" s="86"/>
      <c r="F11" s="68"/>
      <c r="G11" s="69"/>
      <c r="H11" s="69"/>
      <c r="I11" s="68"/>
      <c r="J11" s="68"/>
      <c r="K11" s="69"/>
      <c r="L11" s="69"/>
      <c r="M11" s="68"/>
      <c r="N11" s="68"/>
      <c r="O11" s="69"/>
      <c r="P11" s="69"/>
      <c r="Q11" s="68"/>
      <c r="R11" s="70"/>
      <c r="S11" s="70"/>
    </row>
    <row r="12" spans="1:19" s="71" customFormat="1" ht="13.9" customHeight="1">
      <c r="A12" s="83" t="s">
        <v>17</v>
      </c>
      <c r="B12" s="84">
        <f>+'SZOLGÁLTATÓ IRODA'!B10</f>
        <v>1000</v>
      </c>
      <c r="C12" s="85"/>
      <c r="D12" s="66"/>
      <c r="E12" s="86"/>
      <c r="F12" s="68"/>
      <c r="G12" s="69"/>
      <c r="H12" s="69"/>
      <c r="I12" s="68"/>
      <c r="J12" s="68"/>
      <c r="K12" s="69"/>
      <c r="L12" s="69"/>
      <c r="M12" s="68"/>
      <c r="N12" s="68"/>
      <c r="O12" s="69"/>
      <c r="P12" s="69"/>
      <c r="Q12" s="68"/>
      <c r="R12" s="70"/>
      <c r="S12" s="87"/>
    </row>
    <row r="13" spans="1:19" s="71" customFormat="1" ht="13.9" customHeight="1">
      <c r="A13" s="88" t="s">
        <v>252</v>
      </c>
      <c r="B13" s="84"/>
      <c r="C13" s="85"/>
      <c r="D13" s="66"/>
      <c r="E13" s="86"/>
      <c r="F13" s="68"/>
      <c r="G13" s="69"/>
      <c r="H13" s="69"/>
      <c r="I13" s="68"/>
      <c r="J13" s="68"/>
      <c r="K13" s="69"/>
      <c r="L13" s="69"/>
      <c r="M13" s="68"/>
      <c r="N13" s="68"/>
      <c r="O13" s="69"/>
      <c r="P13" s="69"/>
      <c r="Q13" s="68"/>
      <c r="R13" s="70"/>
      <c r="S13" s="70"/>
    </row>
    <row r="14" spans="1:19" s="71" customFormat="1" ht="13.9" customHeight="1">
      <c r="A14" s="83" t="s">
        <v>19</v>
      </c>
      <c r="B14" s="84"/>
      <c r="C14" s="85"/>
      <c r="D14" s="66"/>
      <c r="E14" s="86"/>
      <c r="F14" s="68"/>
      <c r="G14" s="69"/>
      <c r="H14" s="69"/>
      <c r="I14" s="68"/>
      <c r="J14" s="68"/>
      <c r="K14" s="69"/>
      <c r="L14" s="69"/>
      <c r="M14" s="68"/>
      <c r="N14" s="68"/>
      <c r="O14" s="69"/>
      <c r="P14" s="69"/>
      <c r="Q14" s="68"/>
      <c r="R14" s="70"/>
      <c r="S14" s="70"/>
    </row>
    <row r="15" spans="1:19" s="71" customFormat="1" ht="13.9" customHeight="1">
      <c r="A15" s="83" t="s">
        <v>20</v>
      </c>
      <c r="B15" s="84"/>
      <c r="C15" s="85"/>
      <c r="D15" s="66"/>
      <c r="E15" s="86"/>
      <c r="F15" s="68"/>
      <c r="G15" s="69"/>
      <c r="H15" s="69"/>
      <c r="I15" s="68"/>
      <c r="J15" s="68"/>
      <c r="K15" s="69"/>
      <c r="L15" s="69"/>
      <c r="M15" s="68"/>
      <c r="N15" s="68"/>
      <c r="O15" s="69"/>
      <c r="P15" s="69"/>
      <c r="Q15" s="68"/>
      <c r="R15" s="70"/>
      <c r="S15" s="70"/>
    </row>
    <row r="16" spans="1:19" s="71" customFormat="1" ht="13.9" customHeight="1">
      <c r="A16" s="83" t="s">
        <v>21</v>
      </c>
      <c r="B16" s="84"/>
      <c r="C16" s="85"/>
      <c r="D16" s="85"/>
      <c r="E16" s="86"/>
      <c r="F16" s="68"/>
      <c r="G16" s="69"/>
      <c r="H16" s="69"/>
      <c r="I16" s="68"/>
      <c r="J16" s="68"/>
      <c r="K16" s="69"/>
      <c r="L16" s="69"/>
      <c r="M16" s="68"/>
      <c r="N16" s="68"/>
      <c r="O16" s="69"/>
      <c r="P16" s="69"/>
      <c r="Q16" s="68"/>
      <c r="R16" s="70"/>
      <c r="S16" s="70"/>
    </row>
    <row r="17" spans="1:19" s="71" customFormat="1" ht="13.9" customHeight="1">
      <c r="A17" s="83" t="s">
        <v>22</v>
      </c>
      <c r="B17" s="84"/>
      <c r="C17" s="85"/>
      <c r="D17" s="85"/>
      <c r="E17" s="86"/>
      <c r="F17" s="68"/>
      <c r="G17" s="69"/>
      <c r="H17" s="69"/>
      <c r="I17" s="68"/>
      <c r="J17" s="68"/>
      <c r="K17" s="69"/>
      <c r="L17" s="69"/>
      <c r="M17" s="68"/>
      <c r="N17" s="68"/>
      <c r="O17" s="69"/>
      <c r="P17" s="69"/>
      <c r="Q17" s="68"/>
      <c r="R17" s="70"/>
      <c r="S17" s="70"/>
    </row>
    <row r="18" spans="1:19" s="92" customFormat="1" ht="13.9" customHeight="1">
      <c r="A18" s="89" t="s">
        <v>23</v>
      </c>
      <c r="B18" s="84"/>
      <c r="C18" s="85"/>
      <c r="D18" s="85"/>
      <c r="E18" s="86"/>
      <c r="F18" s="90"/>
      <c r="G18" s="12"/>
      <c r="H18" s="12"/>
      <c r="I18" s="90"/>
      <c r="J18" s="90"/>
      <c r="K18" s="12"/>
      <c r="L18" s="12"/>
      <c r="M18" s="90"/>
      <c r="N18" s="68"/>
      <c r="O18" s="12"/>
      <c r="P18" s="12"/>
      <c r="Q18" s="90"/>
      <c r="R18" s="91"/>
      <c r="S18" s="91"/>
    </row>
    <row r="19" spans="1:19" ht="13.5" thickBot="1">
      <c r="A19" s="93" t="s">
        <v>24</v>
      </c>
      <c r="B19" s="94"/>
      <c r="C19" s="95"/>
      <c r="D19" s="95"/>
      <c r="E19" s="96"/>
    </row>
    <row r="20" spans="1:19" ht="13.5" thickBot="1">
      <c r="A20" s="1047" t="s">
        <v>25</v>
      </c>
      <c r="B20" s="1044">
        <f>SUM(B8:B19)</f>
        <v>22855</v>
      </c>
      <c r="C20" s="1046">
        <f>SUM(C8:C17)</f>
        <v>0</v>
      </c>
      <c r="D20" s="1046">
        <f>SUM(D8:D19)</f>
        <v>0</v>
      </c>
      <c r="E20" s="1045"/>
      <c r="H20" s="99"/>
    </row>
    <row r="25" spans="1:19">
      <c r="A25" s="1031"/>
      <c r="B25" s="393"/>
      <c r="C25" s="393"/>
      <c r="D25" s="393"/>
      <c r="E25" s="1028"/>
      <c r="F25" s="98"/>
      <c r="G25" s="98"/>
      <c r="H25" s="98"/>
      <c r="I25" s="98"/>
    </row>
    <row r="41" spans="1:9">
      <c r="A41" s="1031"/>
      <c r="B41" s="393"/>
      <c r="C41" s="393"/>
      <c r="D41" s="393"/>
      <c r="E41" s="1028"/>
      <c r="F41" s="98"/>
      <c r="G41" s="98"/>
      <c r="H41" s="98"/>
      <c r="I41" s="98"/>
    </row>
    <row r="43" spans="1:9">
      <c r="A43" s="1031"/>
      <c r="B43" s="393"/>
      <c r="C43" s="393"/>
      <c r="D43" s="393"/>
      <c r="E43" s="1028"/>
      <c r="F43" s="98"/>
      <c r="G43" s="98"/>
      <c r="H43" s="98"/>
      <c r="I43" s="98"/>
    </row>
    <row r="44" spans="1:9">
      <c r="A44" s="1031"/>
      <c r="B44" s="393"/>
      <c r="C44" s="393"/>
      <c r="D44" s="393"/>
      <c r="E44" s="1028"/>
      <c r="F44" s="98"/>
      <c r="G44" s="98"/>
      <c r="H44" s="98"/>
      <c r="I44" s="98"/>
    </row>
    <row r="45" spans="1:9">
      <c r="A45" s="1031"/>
      <c r="B45" s="393"/>
      <c r="C45" s="393"/>
      <c r="D45" s="393"/>
      <c r="E45" s="1028"/>
      <c r="F45" s="98"/>
      <c r="G45" s="98"/>
      <c r="H45" s="98"/>
      <c r="I45" s="98"/>
    </row>
    <row r="47" spans="1:9">
      <c r="A47" s="1041"/>
      <c r="B47" s="1042"/>
      <c r="C47" s="1042"/>
      <c r="D47" s="1042"/>
      <c r="E47" s="1042"/>
      <c r="F47" s="1040"/>
      <c r="G47" s="1040"/>
      <c r="H47" s="1040"/>
      <c r="I47" s="1040"/>
    </row>
    <row r="87" spans="7:7">
      <c r="G87" s="97">
        <f>SUM(B87:F87)</f>
        <v>0</v>
      </c>
    </row>
    <row r="97" spans="1:9">
      <c r="A97" s="787"/>
      <c r="B97" s="1030"/>
      <c r="C97" s="1030"/>
      <c r="D97" s="1030"/>
      <c r="E97" s="773"/>
      <c r="F97" s="773"/>
      <c r="G97" s="773"/>
      <c r="H97" s="773"/>
      <c r="I97" s="773"/>
    </row>
    <row r="98" spans="1:9">
      <c r="A98" s="52"/>
      <c r="B98" s="765"/>
      <c r="C98" s="765"/>
      <c r="D98" s="765"/>
      <c r="E98" s="781"/>
      <c r="F98" s="781"/>
      <c r="G98" s="781"/>
      <c r="H98" s="781"/>
      <c r="I98" s="781"/>
    </row>
    <row r="99" spans="1:9">
      <c r="A99" s="52"/>
      <c r="B99" s="765"/>
      <c r="C99" s="765"/>
      <c r="D99" s="765"/>
      <c r="E99" s="781"/>
      <c r="F99" s="781"/>
      <c r="G99" s="781"/>
      <c r="H99" s="781"/>
      <c r="I99" s="781"/>
    </row>
    <row r="100" spans="1:9">
      <c r="A100" s="52"/>
      <c r="B100" s="765"/>
      <c r="C100" s="765"/>
      <c r="D100" s="765"/>
      <c r="E100" s="781"/>
      <c r="F100" s="781"/>
      <c r="G100" s="781"/>
      <c r="H100" s="781"/>
      <c r="I100" s="781"/>
    </row>
    <row r="101" spans="1:9">
      <c r="A101" s="724"/>
      <c r="B101" s="767"/>
      <c r="C101" s="767"/>
      <c r="D101" s="767"/>
      <c r="E101" s="783"/>
      <c r="F101" s="783"/>
      <c r="G101" s="783"/>
      <c r="H101" s="783"/>
      <c r="I101" s="783"/>
    </row>
    <row r="103" spans="1:9">
      <c r="A103" s="1031"/>
      <c r="B103" s="393"/>
      <c r="C103" s="393"/>
      <c r="D103" s="393"/>
      <c r="E103" s="1028"/>
      <c r="F103" s="98"/>
      <c r="G103" s="98"/>
      <c r="H103" s="98"/>
      <c r="I103" s="98"/>
    </row>
    <row r="105" spans="1:9">
      <c r="A105" s="1041"/>
      <c r="B105" s="1038"/>
      <c r="C105" s="1038"/>
      <c r="D105" s="1038"/>
      <c r="E105" s="1039"/>
      <c r="F105" s="1040"/>
      <c r="G105" s="1040"/>
      <c r="H105" s="1040"/>
      <c r="I105" s="1040"/>
    </row>
    <row r="113" spans="1:19">
      <c r="A113" s="1041"/>
      <c r="B113" s="1038"/>
      <c r="C113" s="1038"/>
      <c r="D113" s="1038"/>
      <c r="E113" s="1039"/>
      <c r="F113" s="1040"/>
      <c r="G113" s="1040"/>
      <c r="H113" s="1040"/>
      <c r="I113" s="1040"/>
    </row>
    <row r="116" spans="1:19" s="1026" customFormat="1">
      <c r="A116" s="38"/>
      <c r="B116" s="39"/>
      <c r="C116" s="39"/>
      <c r="D116" s="39"/>
      <c r="E116" s="101"/>
      <c r="F116" s="97"/>
      <c r="G116" s="97"/>
      <c r="H116" s="97"/>
      <c r="I116" s="97"/>
      <c r="J116" s="1024"/>
      <c r="K116" s="1024"/>
      <c r="L116" s="1025"/>
      <c r="M116" s="1024"/>
      <c r="N116" s="1025"/>
      <c r="O116" s="100"/>
      <c r="P116" s="100"/>
      <c r="Q116" s="1024"/>
      <c r="R116" s="1025"/>
      <c r="S116" s="1025"/>
    </row>
    <row r="117" spans="1:19" s="1026" customFormat="1">
      <c r="A117" s="1021"/>
      <c r="B117" s="1018"/>
      <c r="C117" s="1018"/>
      <c r="D117" s="1018"/>
      <c r="E117" s="1019"/>
      <c r="F117" s="1020"/>
      <c r="G117" s="1020"/>
      <c r="H117" s="1020"/>
      <c r="I117" s="1020"/>
      <c r="J117" s="1024"/>
      <c r="K117" s="1024"/>
      <c r="L117" s="1025"/>
      <c r="M117" s="1024"/>
      <c r="N117" s="1025"/>
      <c r="O117" s="100"/>
      <c r="P117" s="100"/>
      <c r="Q117" s="1024"/>
      <c r="R117" s="1025"/>
      <c r="S117" s="1025"/>
    </row>
    <row r="118" spans="1:19" s="1026" customFormat="1">
      <c r="A118" s="38"/>
      <c r="B118" s="39"/>
      <c r="C118" s="39"/>
      <c r="D118" s="39"/>
      <c r="E118" s="101"/>
      <c r="F118" s="97"/>
      <c r="G118" s="97"/>
      <c r="H118" s="97"/>
      <c r="I118" s="97"/>
      <c r="J118" s="1024"/>
      <c r="K118" s="1024"/>
      <c r="L118" s="1025"/>
      <c r="M118" s="1024"/>
      <c r="N118" s="1025"/>
      <c r="O118" s="100"/>
      <c r="P118" s="100"/>
      <c r="Q118" s="1024"/>
      <c r="R118" s="1025"/>
      <c r="S118" s="1025"/>
    </row>
    <row r="119" spans="1:19" s="1026" customFormat="1">
      <c r="A119" s="38"/>
      <c r="B119" s="39"/>
      <c r="C119" s="39"/>
      <c r="D119" s="39"/>
      <c r="E119" s="101"/>
      <c r="F119" s="97"/>
      <c r="G119" s="97"/>
      <c r="H119" s="97"/>
      <c r="I119" s="97"/>
      <c r="J119" s="1024"/>
      <c r="K119" s="1024"/>
      <c r="L119" s="1025"/>
      <c r="M119" s="1024"/>
      <c r="N119" s="1025"/>
      <c r="O119" s="100"/>
      <c r="P119" s="100"/>
      <c r="Q119" s="1024"/>
      <c r="R119" s="1025"/>
      <c r="S119" s="1025"/>
    </row>
    <row r="120" spans="1:19" s="1026" customFormat="1">
      <c r="A120" s="38"/>
      <c r="B120" s="39"/>
      <c r="C120" s="39"/>
      <c r="D120" s="39"/>
      <c r="E120" s="101"/>
      <c r="F120" s="97"/>
      <c r="G120" s="97"/>
      <c r="H120" s="97"/>
      <c r="I120" s="97"/>
      <c r="J120" s="1024"/>
      <c r="K120" s="1024"/>
      <c r="L120" s="1025"/>
      <c r="M120" s="1024"/>
      <c r="N120" s="1025"/>
      <c r="O120" s="100"/>
      <c r="P120" s="100"/>
      <c r="Q120" s="1024"/>
      <c r="R120" s="1025"/>
      <c r="S120" s="1025"/>
    </row>
    <row r="121" spans="1:19" s="1026" customFormat="1">
      <c r="A121" s="38"/>
      <c r="B121" s="39"/>
      <c r="C121" s="39"/>
      <c r="D121" s="39"/>
      <c r="E121" s="101"/>
      <c r="F121" s="97"/>
      <c r="G121" s="97"/>
      <c r="H121" s="97"/>
      <c r="I121" s="97"/>
      <c r="J121" s="1024"/>
      <c r="K121" s="1024"/>
      <c r="L121" s="1025"/>
      <c r="M121" s="1024"/>
      <c r="N121" s="1025"/>
      <c r="O121" s="100"/>
      <c r="P121" s="100"/>
      <c r="Q121" s="1024"/>
      <c r="R121" s="1025"/>
      <c r="S121" s="1025"/>
    </row>
    <row r="122" spans="1:19" s="1026" customFormat="1">
      <c r="A122" s="38"/>
      <c r="B122" s="39"/>
      <c r="C122" s="39"/>
      <c r="D122" s="39"/>
      <c r="E122" s="101"/>
      <c r="F122" s="97"/>
      <c r="G122" s="97"/>
      <c r="H122" s="97"/>
      <c r="I122" s="97"/>
      <c r="J122" s="1024"/>
      <c r="K122" s="1024"/>
      <c r="L122" s="1025"/>
      <c r="M122" s="1024"/>
      <c r="N122" s="1025"/>
      <c r="O122" s="100"/>
      <c r="P122" s="100"/>
      <c r="Q122" s="1024"/>
      <c r="R122" s="1025"/>
      <c r="S122" s="1025"/>
    </row>
  </sheetData>
  <mergeCells count="9">
    <mergeCell ref="B1:E1"/>
    <mergeCell ref="B2:E2"/>
    <mergeCell ref="B4:C4"/>
    <mergeCell ref="O1:Q1"/>
    <mergeCell ref="O2:Q2"/>
    <mergeCell ref="G1:I1"/>
    <mergeCell ref="G2:I2"/>
    <mergeCell ref="K2:M2"/>
    <mergeCell ref="K1:M1"/>
  </mergeCells>
  <phoneticPr fontId="25" type="noConversion"/>
  <printOptions horizontalCentered="1"/>
  <pageMargins left="0.27559055118110237" right="0.15748031496062992" top="1.6929133858267718" bottom="0.31496062992125984" header="0.43307086614173229" footer="0.15748031496062992"/>
  <pageSetup paperSize="9" scale="85" orientation="landscape" r:id="rId1"/>
  <headerFooter alignWithMargins="0">
    <oddHeader xml:space="preserve">&amp;L&amp;"Times New Roman,Normál"&amp;12Szent László Völgye
Kistérségi Szolgáltató Iroda&amp;C&amp;"Times New Roman,Félkövér"&amp;14
 2011. ÉVI  KÖLTSÉGVETÉS&amp;R&amp;"Times New Roman,Félkövér"&amp;12 &amp;"Times New Roman,Normál"2.1 sz. melléklet&amp;"Times New Roman,Félkövér"
&amp;A
</oddHeader>
    <oddFooter>&amp;L&amp;F&amp;C&amp;D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N122"/>
  <sheetViews>
    <sheetView workbookViewId="0">
      <pane xSplit="1" ySplit="4" topLeftCell="AD5" activePane="bottomRight" state="frozen"/>
      <selection activeCell="A19" sqref="A19"/>
      <selection pane="topRight" activeCell="A19" sqref="A19"/>
      <selection pane="bottomLeft" activeCell="A19" sqref="A19"/>
      <selection pane="bottomRight" activeCell="A24" sqref="A24"/>
    </sheetView>
  </sheetViews>
  <sheetFormatPr defaultColWidth="8.85546875" defaultRowHeight="12.75"/>
  <cols>
    <col min="1" max="1" width="48.7109375" style="143" customWidth="1"/>
    <col min="2" max="3" width="7.7109375" style="39" customWidth="1"/>
    <col min="4" max="4" width="8" style="39" customWidth="1"/>
    <col min="5" max="5" width="7.28515625" style="101" customWidth="1"/>
    <col min="6" max="6" width="3.85546875" style="1024" customWidth="1"/>
    <col min="7" max="8" width="7.7109375" style="39" customWidth="1"/>
    <col min="9" max="9" width="8" style="39" customWidth="1"/>
    <col min="10" max="10" width="7.28515625" style="101" customWidth="1"/>
    <col min="11" max="11" width="3.85546875" style="100" customWidth="1"/>
    <col min="12" max="13" width="7.7109375" style="39" customWidth="1"/>
    <col min="14" max="14" width="8" style="39" customWidth="1"/>
    <col min="15" max="15" width="7.28515625" style="101" customWidth="1"/>
    <col min="16" max="16" width="3.85546875" style="1024" customWidth="1"/>
    <col min="17" max="18" width="7.7109375" style="101" customWidth="1"/>
    <col min="19" max="19" width="8" style="101" customWidth="1"/>
    <col min="20" max="20" width="7.28515625" style="101" customWidth="1"/>
    <col min="21" max="21" width="3.85546875" style="1025" customWidth="1"/>
    <col min="22" max="23" width="7.7109375" style="39" customWidth="1"/>
    <col min="24" max="24" width="8" style="39" customWidth="1"/>
    <col min="25" max="25" width="7.28515625" style="101" customWidth="1"/>
    <col min="26" max="26" width="3.85546875" style="1024" customWidth="1"/>
    <col min="27" max="28" width="7.7109375" style="101" customWidth="1"/>
    <col min="29" max="29" width="8" style="101" customWidth="1"/>
    <col min="30" max="30" width="7.28515625" style="101" customWidth="1"/>
    <col min="31" max="31" width="3.85546875" style="1024" customWidth="1"/>
    <col min="32" max="32" width="7.28515625" style="98" customWidth="1"/>
    <col min="33" max="33" width="7.7109375" style="101" customWidth="1"/>
    <col min="34" max="34" width="8" style="38" customWidth="1"/>
    <col min="35" max="35" width="7.28515625" style="101" customWidth="1"/>
    <col min="36" max="36" width="3.85546875" style="1025" customWidth="1"/>
    <col min="37" max="38" width="7.7109375" style="39" customWidth="1"/>
    <col min="39" max="39" width="8" style="39" customWidth="1"/>
    <col min="40" max="40" width="7.28515625" style="101" customWidth="1"/>
    <col min="41" max="41" width="8.85546875" style="38" customWidth="1"/>
    <col min="42" max="42" width="9" style="38" bestFit="1" customWidth="1"/>
    <col min="43" max="16384" width="8.85546875" style="38"/>
  </cols>
  <sheetData>
    <row r="1" spans="1:40" ht="13.15" customHeight="1">
      <c r="A1" s="102"/>
      <c r="B1" s="2336" t="s">
        <v>253</v>
      </c>
      <c r="C1" s="2337"/>
      <c r="D1" s="2337"/>
      <c r="E1" s="2338"/>
      <c r="F1" s="1078"/>
      <c r="G1" s="2371" t="s">
        <v>254</v>
      </c>
      <c r="H1" s="2372"/>
      <c r="I1" s="2372"/>
      <c r="J1" s="2373"/>
      <c r="K1" s="1106"/>
      <c r="L1" s="2365" t="s">
        <v>255</v>
      </c>
      <c r="M1" s="2366"/>
      <c r="N1" s="2366"/>
      <c r="O1" s="2367"/>
      <c r="P1" s="1126"/>
      <c r="Q1" s="2336" t="s">
        <v>256</v>
      </c>
      <c r="R1" s="2349"/>
      <c r="S1" s="2349"/>
      <c r="T1" s="2350"/>
      <c r="V1" s="2336" t="s">
        <v>257</v>
      </c>
      <c r="W1" s="2349"/>
      <c r="X1" s="2349"/>
      <c r="Y1" s="2350"/>
      <c r="Z1" s="1126"/>
      <c r="AA1" s="2336" t="s">
        <v>258</v>
      </c>
      <c r="AB1" s="2349"/>
      <c r="AC1" s="2349"/>
      <c r="AD1" s="2350"/>
      <c r="AE1" s="1126"/>
      <c r="AF1" s="2361" t="s">
        <v>259</v>
      </c>
      <c r="AG1" s="2362"/>
      <c r="AH1" s="2362"/>
      <c r="AI1" s="2363"/>
      <c r="AJ1" s="1126"/>
      <c r="AK1" s="2353" t="s">
        <v>260</v>
      </c>
      <c r="AL1" s="2354"/>
      <c r="AM1" s="2355"/>
      <c r="AN1" s="2356"/>
    </row>
    <row r="2" spans="1:40" s="60" customFormat="1">
      <c r="A2" s="102"/>
      <c r="B2" s="2351">
        <v>881011</v>
      </c>
      <c r="C2" s="2345"/>
      <c r="D2" s="2345"/>
      <c r="E2" s="2364"/>
      <c r="F2" s="1079"/>
      <c r="G2" s="2351">
        <v>889201</v>
      </c>
      <c r="H2" s="2346"/>
      <c r="I2" s="2346"/>
      <c r="J2" s="2352"/>
      <c r="K2" s="1107"/>
      <c r="L2" s="2368">
        <v>889922</v>
      </c>
      <c r="M2" s="2369"/>
      <c r="N2" s="2369"/>
      <c r="O2" s="2370"/>
      <c r="P2" s="1126"/>
      <c r="Q2" s="2351">
        <v>889924</v>
      </c>
      <c r="R2" s="2346"/>
      <c r="S2" s="2346"/>
      <c r="T2" s="2352"/>
      <c r="U2" s="1079"/>
      <c r="V2" s="2351">
        <v>889925</v>
      </c>
      <c r="W2" s="2346"/>
      <c r="X2" s="2346"/>
      <c r="Y2" s="2352"/>
      <c r="Z2" s="1126"/>
      <c r="AA2" s="2351">
        <v>889926</v>
      </c>
      <c r="AB2" s="2346"/>
      <c r="AC2" s="2346"/>
      <c r="AD2" s="2352"/>
      <c r="AE2" s="1126"/>
      <c r="AF2" s="2351">
        <v>889928</v>
      </c>
      <c r="AG2" s="2345"/>
      <c r="AH2" s="2345"/>
      <c r="AI2" s="2364"/>
      <c r="AJ2" s="1080"/>
      <c r="AK2" s="2357"/>
      <c r="AL2" s="2358"/>
      <c r="AM2" s="2359"/>
      <c r="AN2" s="2360"/>
    </row>
    <row r="3" spans="1:40" s="60" customFormat="1" ht="14.45" customHeight="1">
      <c r="A3" s="102"/>
      <c r="B3" s="976" t="s">
        <v>244</v>
      </c>
      <c r="C3" s="977" t="s">
        <v>245</v>
      </c>
      <c r="D3" s="977" t="s">
        <v>246</v>
      </c>
      <c r="E3" s="978" t="s">
        <v>127</v>
      </c>
      <c r="F3" s="1079"/>
      <c r="G3" s="976" t="s">
        <v>244</v>
      </c>
      <c r="H3" s="977" t="s">
        <v>245</v>
      </c>
      <c r="I3" s="977" t="s">
        <v>246</v>
      </c>
      <c r="J3" s="978" t="s">
        <v>127</v>
      </c>
      <c r="K3" s="1107"/>
      <c r="L3" s="976" t="s">
        <v>244</v>
      </c>
      <c r="M3" s="977" t="s">
        <v>245</v>
      </c>
      <c r="N3" s="977" t="s">
        <v>246</v>
      </c>
      <c r="O3" s="981" t="s">
        <v>127</v>
      </c>
      <c r="P3" s="1127"/>
      <c r="Q3" s="982" t="s">
        <v>244</v>
      </c>
      <c r="R3" s="977" t="s">
        <v>245</v>
      </c>
      <c r="S3" s="977" t="s">
        <v>246</v>
      </c>
      <c r="T3" s="978" t="s">
        <v>127</v>
      </c>
      <c r="U3" s="1079"/>
      <c r="V3" s="976" t="s">
        <v>244</v>
      </c>
      <c r="W3" s="977" t="s">
        <v>245</v>
      </c>
      <c r="X3" s="977" t="s">
        <v>246</v>
      </c>
      <c r="Y3" s="978" t="s">
        <v>127</v>
      </c>
      <c r="Z3" s="1126"/>
      <c r="AA3" s="976" t="s">
        <v>244</v>
      </c>
      <c r="AB3" s="977" t="s">
        <v>245</v>
      </c>
      <c r="AC3" s="977" t="s">
        <v>246</v>
      </c>
      <c r="AD3" s="978" t="s">
        <v>127</v>
      </c>
      <c r="AE3" s="1126"/>
      <c r="AF3" s="976" t="s">
        <v>244</v>
      </c>
      <c r="AG3" s="977" t="s">
        <v>245</v>
      </c>
      <c r="AH3" s="977" t="s">
        <v>246</v>
      </c>
      <c r="AI3" s="978" t="s">
        <v>127</v>
      </c>
      <c r="AJ3" s="1080"/>
      <c r="AK3" s="1109" t="s">
        <v>244</v>
      </c>
      <c r="AL3" s="1110" t="s">
        <v>245</v>
      </c>
      <c r="AM3" s="1110" t="s">
        <v>246</v>
      </c>
      <c r="AN3" s="1111" t="s">
        <v>127</v>
      </c>
    </row>
    <row r="4" spans="1:40" s="60" customFormat="1" ht="13.5" thickBot="1">
      <c r="A4" s="102"/>
      <c r="B4" s="2376" t="s">
        <v>128</v>
      </c>
      <c r="C4" s="2377"/>
      <c r="D4" s="979"/>
      <c r="E4" s="980"/>
      <c r="F4" s="1079"/>
      <c r="G4" s="2376" t="s">
        <v>128</v>
      </c>
      <c r="H4" s="2377"/>
      <c r="I4" s="979"/>
      <c r="J4" s="980"/>
      <c r="K4" s="1107"/>
      <c r="L4" s="2376" t="s">
        <v>128</v>
      </c>
      <c r="M4" s="2377"/>
      <c r="N4" s="979"/>
      <c r="O4" s="983"/>
      <c r="P4" s="1128"/>
      <c r="Q4" s="2377" t="s">
        <v>128</v>
      </c>
      <c r="R4" s="2377"/>
      <c r="S4" s="979"/>
      <c r="T4" s="980"/>
      <c r="U4" s="1079"/>
      <c r="V4" s="2376" t="s">
        <v>128</v>
      </c>
      <c r="W4" s="2377"/>
      <c r="X4" s="979"/>
      <c r="Y4" s="980"/>
      <c r="Z4" s="1126"/>
      <c r="AA4" s="2376" t="s">
        <v>128</v>
      </c>
      <c r="AB4" s="2377"/>
      <c r="AC4" s="979"/>
      <c r="AD4" s="980"/>
      <c r="AE4" s="1126"/>
      <c r="AF4" s="2376" t="s">
        <v>128</v>
      </c>
      <c r="AG4" s="2377"/>
      <c r="AH4" s="979"/>
      <c r="AI4" s="980"/>
      <c r="AJ4" s="1080"/>
      <c r="AK4" s="2374" t="s">
        <v>128</v>
      </c>
      <c r="AL4" s="2375"/>
      <c r="AM4" s="1112"/>
      <c r="AN4" s="1113"/>
    </row>
    <row r="5" spans="1:40" ht="23.25" customHeight="1">
      <c r="A5" s="7" t="s">
        <v>247</v>
      </c>
      <c r="B5" s="111"/>
      <c r="C5" s="15"/>
      <c r="D5" s="112"/>
      <c r="E5" s="113"/>
      <c r="G5" s="111"/>
      <c r="H5" s="112"/>
      <c r="I5" s="112"/>
      <c r="J5" s="113"/>
      <c r="L5" s="111"/>
      <c r="M5" s="112"/>
      <c r="N5" s="112"/>
      <c r="O5" s="113"/>
      <c r="Q5" s="111"/>
      <c r="R5" s="112"/>
      <c r="S5" s="112"/>
      <c r="T5" s="113"/>
      <c r="V5" s="111"/>
      <c r="W5" s="112"/>
      <c r="X5" s="112"/>
      <c r="Y5" s="113"/>
      <c r="AA5" s="111"/>
      <c r="AB5" s="112"/>
      <c r="AC5" s="112"/>
      <c r="AD5" s="113"/>
      <c r="AF5" s="114"/>
      <c r="AG5" s="115"/>
      <c r="AH5" s="112"/>
      <c r="AI5" s="113"/>
      <c r="AJ5" s="1024"/>
      <c r="AK5" s="1114"/>
      <c r="AL5" s="1115"/>
      <c r="AM5" s="1116"/>
      <c r="AN5" s="1117"/>
    </row>
    <row r="6" spans="1:40" ht="15" customHeight="1">
      <c r="A6" s="116" t="s">
        <v>261</v>
      </c>
      <c r="B6" s="111">
        <f>+SZOCIÁLIS!E7</f>
        <v>1506</v>
      </c>
      <c r="C6" s="15"/>
      <c r="D6" s="15"/>
      <c r="E6" s="113"/>
      <c r="G6" s="111">
        <f>+SZOCIÁLIS!E4</f>
        <v>6341</v>
      </c>
      <c r="H6" s="112"/>
      <c r="I6" s="112"/>
      <c r="J6" s="113"/>
      <c r="L6" s="111">
        <f>+SZOCIÁLIS!E6</f>
        <v>22255</v>
      </c>
      <c r="M6" s="112"/>
      <c r="N6" s="112"/>
      <c r="O6" s="113"/>
      <c r="Q6" s="111">
        <f>+SZOCIÁLIS!E3</f>
        <v>6341</v>
      </c>
      <c r="R6" s="112"/>
      <c r="S6" s="112"/>
      <c r="T6" s="113"/>
      <c r="V6" s="117"/>
      <c r="W6" s="112"/>
      <c r="X6" s="112"/>
      <c r="Y6" s="113"/>
      <c r="AA6" s="111"/>
      <c r="AB6" s="112"/>
      <c r="AC6" s="112"/>
      <c r="AD6" s="113"/>
      <c r="AF6" s="118">
        <f>+SZOCIÁLIS!E9</f>
        <v>1996</v>
      </c>
      <c r="AG6" s="119"/>
      <c r="AH6" s="112"/>
      <c r="AI6" s="113"/>
      <c r="AJ6" s="1024"/>
      <c r="AK6" s="1118">
        <f>+B6+G6+L6+Q6+V6+AA6+AF6</f>
        <v>38439</v>
      </c>
      <c r="AL6" s="1119"/>
      <c r="AM6" s="1119"/>
      <c r="AN6" s="1117"/>
    </row>
    <row r="7" spans="1:40" ht="15" customHeight="1">
      <c r="A7" s="116" t="s">
        <v>262</v>
      </c>
      <c r="B7" s="111">
        <f>+SZOCIÁLIS!E15</f>
        <v>1530</v>
      </c>
      <c r="C7" s="15"/>
      <c r="D7" s="15"/>
      <c r="E7" s="113"/>
      <c r="G7" s="111">
        <f>+SZOCIÁLIS!E16</f>
        <v>3805</v>
      </c>
      <c r="H7" s="112"/>
      <c r="I7" s="112"/>
      <c r="J7" s="113"/>
      <c r="L7" s="111">
        <f>+SZOCIÁLIS!E14</f>
        <v>8040</v>
      </c>
      <c r="M7" s="112"/>
      <c r="N7" s="112"/>
      <c r="O7" s="113"/>
      <c r="Q7" s="111">
        <f>+SZOCIÁLIS!E13</f>
        <v>5137</v>
      </c>
      <c r="R7" s="112"/>
      <c r="S7" s="112"/>
      <c r="T7" s="113"/>
      <c r="V7" s="117"/>
      <c r="W7" s="112"/>
      <c r="X7" s="112"/>
      <c r="Y7" s="113"/>
      <c r="AA7" s="111"/>
      <c r="AB7" s="112"/>
      <c r="AC7" s="112"/>
      <c r="AD7" s="113"/>
      <c r="AF7" s="118"/>
      <c r="AG7" s="115"/>
      <c r="AH7" s="112"/>
      <c r="AI7" s="113"/>
      <c r="AJ7" s="1024"/>
      <c r="AK7" s="1118">
        <f>+B7+G7+L7+Q7+V7+AA7+AF7</f>
        <v>18512</v>
      </c>
      <c r="AL7" s="1119"/>
      <c r="AM7" s="1119"/>
      <c r="AN7" s="1117"/>
    </row>
    <row r="8" spans="1:40" ht="15" customHeight="1">
      <c r="A8" s="120" t="s">
        <v>263</v>
      </c>
      <c r="B8" s="121">
        <f>2*9.4</f>
        <v>18.8</v>
      </c>
      <c r="C8" s="16"/>
      <c r="D8" s="16"/>
      <c r="E8" s="122"/>
      <c r="G8" s="121">
        <f>3*9.4</f>
        <v>28.200000000000003</v>
      </c>
      <c r="H8" s="123"/>
      <c r="I8" s="16"/>
      <c r="J8" s="122"/>
      <c r="L8" s="121">
        <f>17*9.4</f>
        <v>159.80000000000001</v>
      </c>
      <c r="M8" s="123"/>
      <c r="N8" s="16"/>
      <c r="O8" s="122"/>
      <c r="Q8" s="121">
        <f>4*9.4</f>
        <v>37.6</v>
      </c>
      <c r="R8" s="123"/>
      <c r="S8" s="16"/>
      <c r="T8" s="122"/>
      <c r="V8" s="124">
        <f>4*9.4</f>
        <v>37.6</v>
      </c>
      <c r="W8" s="123"/>
      <c r="X8" s="16"/>
      <c r="Y8" s="122"/>
      <c r="AA8" s="121">
        <f>3*9.4</f>
        <v>28.200000000000003</v>
      </c>
      <c r="AB8" s="123"/>
      <c r="AC8" s="16"/>
      <c r="AD8" s="122"/>
      <c r="AF8" s="121">
        <f>1*9.4</f>
        <v>9.4</v>
      </c>
      <c r="AG8" s="125"/>
      <c r="AH8" s="16"/>
      <c r="AI8" s="122"/>
      <c r="AJ8" s="1024"/>
      <c r="AK8" s="1118">
        <f>+B8+G8+L8+Q8+V8+AA8+AF8</f>
        <v>319.59999999999997</v>
      </c>
      <c r="AL8" s="1120"/>
      <c r="AM8" s="1120"/>
      <c r="AN8" s="1051"/>
    </row>
    <row r="9" spans="1:40" s="133" customFormat="1" ht="15" customHeight="1">
      <c r="A9" s="126" t="s">
        <v>250</v>
      </c>
      <c r="B9" s="127">
        <f>SUM(B5:B8)</f>
        <v>3054.8</v>
      </c>
      <c r="C9" s="128"/>
      <c r="D9" s="129"/>
      <c r="E9" s="130"/>
      <c r="F9" s="1081"/>
      <c r="G9" s="127">
        <f>SUM(G5:G8)</f>
        <v>10174.200000000001</v>
      </c>
      <c r="H9" s="129"/>
      <c r="I9" s="129"/>
      <c r="J9" s="130"/>
      <c r="K9" s="1085"/>
      <c r="L9" s="127">
        <f>SUM(L5:L8)</f>
        <v>30454.799999999999</v>
      </c>
      <c r="M9" s="129"/>
      <c r="N9" s="129"/>
      <c r="O9" s="130"/>
      <c r="P9" s="1081"/>
      <c r="Q9" s="127">
        <f>SUM(Q5:Q8)</f>
        <v>11515.6</v>
      </c>
      <c r="R9" s="129"/>
      <c r="S9" s="129"/>
      <c r="T9" s="130"/>
      <c r="U9" s="1105"/>
      <c r="V9" s="127">
        <f>SUM(V6:V8)</f>
        <v>37.6</v>
      </c>
      <c r="W9" s="129"/>
      <c r="X9" s="129"/>
      <c r="Y9" s="130"/>
      <c r="Z9" s="1081"/>
      <c r="AA9" s="127">
        <f>SUM(AA5:AA8)</f>
        <v>28.200000000000003</v>
      </c>
      <c r="AB9" s="129"/>
      <c r="AC9" s="129"/>
      <c r="AD9" s="130"/>
      <c r="AE9" s="1081"/>
      <c r="AF9" s="127">
        <f>SUM(AF5:AF8)</f>
        <v>2005.4</v>
      </c>
      <c r="AG9" s="132"/>
      <c r="AH9" s="129"/>
      <c r="AI9" s="130"/>
      <c r="AJ9" s="1081"/>
      <c r="AK9" s="1121">
        <f>SUM(AK5:AK8)</f>
        <v>57270.6</v>
      </c>
      <c r="AL9" s="1122"/>
      <c r="AM9" s="1123"/>
      <c r="AN9" s="1124"/>
    </row>
    <row r="10" spans="1:40" ht="15" customHeight="1">
      <c r="A10" s="27" t="s">
        <v>251</v>
      </c>
      <c r="B10" s="118">
        <f>+'SEGÍTŐ SZOLGÁLAT'!B9</f>
        <v>1836</v>
      </c>
      <c r="C10" s="24"/>
      <c r="D10" s="112"/>
      <c r="E10" s="113"/>
      <c r="G10" s="118"/>
      <c r="H10" s="134"/>
      <c r="I10" s="112"/>
      <c r="J10" s="113"/>
      <c r="L10" s="118"/>
      <c r="M10" s="134"/>
      <c r="N10" s="112"/>
      <c r="O10" s="113"/>
      <c r="Q10" s="118"/>
      <c r="R10" s="134"/>
      <c r="S10" s="112"/>
      <c r="T10" s="113"/>
      <c r="V10" s="118">
        <f>+'SEGÍTŐ SZOLGÁLAT'!V9</f>
        <v>700</v>
      </c>
      <c r="W10" s="134"/>
      <c r="X10" s="112"/>
      <c r="Y10" s="113"/>
      <c r="AA10" s="118"/>
      <c r="AB10" s="134"/>
      <c r="AC10" s="112"/>
      <c r="AD10" s="113"/>
      <c r="AF10" s="118"/>
      <c r="AG10" s="119"/>
      <c r="AH10" s="134"/>
      <c r="AI10" s="113"/>
      <c r="AJ10" s="1024"/>
      <c r="AK10" s="1118">
        <f t="shared" ref="AK10:AK19" si="0">+B10+G10+L10+Q10+V10+AA10+AF10</f>
        <v>2536</v>
      </c>
      <c r="AL10" s="1119"/>
      <c r="AM10" s="1119"/>
      <c r="AN10" s="1117"/>
    </row>
    <row r="11" spans="1:40" ht="15" customHeight="1">
      <c r="A11" s="27" t="s">
        <v>15</v>
      </c>
      <c r="B11" s="118"/>
      <c r="C11" s="24"/>
      <c r="D11" s="112"/>
      <c r="E11" s="113"/>
      <c r="G11" s="118"/>
      <c r="H11" s="134"/>
      <c r="I11" s="112"/>
      <c r="J11" s="113"/>
      <c r="L11" s="118"/>
      <c r="M11" s="134"/>
      <c r="N11" s="134"/>
      <c r="O11" s="113"/>
      <c r="Q11" s="118"/>
      <c r="R11" s="134"/>
      <c r="S11" s="112"/>
      <c r="T11" s="113"/>
      <c r="V11" s="118"/>
      <c r="W11" s="134"/>
      <c r="X11" s="112"/>
      <c r="Y11" s="113"/>
      <c r="AA11" s="118"/>
      <c r="AB11" s="134"/>
      <c r="AC11" s="112"/>
      <c r="AD11" s="113"/>
      <c r="AF11" s="118"/>
      <c r="AG11" s="119"/>
      <c r="AH11" s="134"/>
      <c r="AI11" s="113"/>
      <c r="AJ11" s="1024"/>
      <c r="AK11" s="1118">
        <f t="shared" si="0"/>
        <v>0</v>
      </c>
      <c r="AL11" s="1119"/>
      <c r="AM11" s="1119"/>
      <c r="AN11" s="1117"/>
    </row>
    <row r="12" spans="1:40" ht="15" customHeight="1">
      <c r="A12" s="27" t="s">
        <v>16</v>
      </c>
      <c r="B12" s="118"/>
      <c r="C12" s="24"/>
      <c r="D12" s="112"/>
      <c r="E12" s="113"/>
      <c r="G12" s="118"/>
      <c r="H12" s="134"/>
      <c r="I12" s="112"/>
      <c r="J12" s="113"/>
      <c r="L12" s="118"/>
      <c r="M12" s="134"/>
      <c r="N12" s="134"/>
      <c r="O12" s="113"/>
      <c r="Q12" s="118"/>
      <c r="R12" s="134"/>
      <c r="S12" s="112"/>
      <c r="T12" s="113"/>
      <c r="V12" s="118"/>
      <c r="W12" s="134"/>
      <c r="X12" s="112"/>
      <c r="Y12" s="113"/>
      <c r="AA12" s="118"/>
      <c r="AB12" s="134"/>
      <c r="AC12" s="112"/>
      <c r="AD12" s="113"/>
      <c r="AF12" s="118"/>
      <c r="AG12" s="119"/>
      <c r="AH12" s="134"/>
      <c r="AI12" s="113"/>
      <c r="AJ12" s="1024"/>
      <c r="AK12" s="1118">
        <f t="shared" si="0"/>
        <v>0</v>
      </c>
      <c r="AL12" s="1119"/>
      <c r="AM12" s="1119"/>
      <c r="AN12" s="1117"/>
    </row>
    <row r="13" spans="1:40" ht="15" customHeight="1">
      <c r="A13" s="27" t="s">
        <v>17</v>
      </c>
      <c r="B13" s="118"/>
      <c r="C13" s="24"/>
      <c r="D13" s="112"/>
      <c r="E13" s="113"/>
      <c r="G13" s="118"/>
      <c r="H13" s="134"/>
      <c r="I13" s="112"/>
      <c r="J13" s="113"/>
      <c r="L13" s="118"/>
      <c r="M13" s="134"/>
      <c r="N13" s="134"/>
      <c r="O13" s="113"/>
      <c r="Q13" s="118"/>
      <c r="R13" s="134"/>
      <c r="S13" s="112"/>
      <c r="T13" s="113"/>
      <c r="V13" s="118">
        <f>+SZOCIÁLIS!E22</f>
        <v>7860</v>
      </c>
      <c r="W13" s="134"/>
      <c r="X13" s="112"/>
      <c r="Y13" s="113"/>
      <c r="AA13" s="118">
        <f>+SZOCIÁLIS!E23</f>
        <v>8600</v>
      </c>
      <c r="AB13" s="134"/>
      <c r="AC13" s="112"/>
      <c r="AD13" s="113"/>
      <c r="AF13" s="118"/>
      <c r="AG13" s="119"/>
      <c r="AH13" s="134"/>
      <c r="AI13" s="113"/>
      <c r="AJ13" s="1024"/>
      <c r="AK13" s="1118">
        <f t="shared" si="0"/>
        <v>16460</v>
      </c>
      <c r="AL13" s="1119"/>
      <c r="AM13" s="1119"/>
      <c r="AN13" s="1117"/>
    </row>
    <row r="14" spans="1:40" ht="15" customHeight="1">
      <c r="A14" s="135" t="s">
        <v>18</v>
      </c>
      <c r="B14" s="118"/>
      <c r="C14" s="24"/>
      <c r="D14" s="112"/>
      <c r="E14" s="113"/>
      <c r="G14" s="118"/>
      <c r="H14" s="134"/>
      <c r="I14" s="112"/>
      <c r="J14" s="113"/>
      <c r="L14" s="118"/>
      <c r="M14" s="134"/>
      <c r="N14" s="134"/>
      <c r="O14" s="113"/>
      <c r="Q14" s="118"/>
      <c r="R14" s="134"/>
      <c r="S14" s="112"/>
      <c r="T14" s="113"/>
      <c r="V14" s="118"/>
      <c r="W14" s="134"/>
      <c r="X14" s="112"/>
      <c r="Y14" s="113"/>
      <c r="AA14" s="118"/>
      <c r="AB14" s="134"/>
      <c r="AC14" s="112"/>
      <c r="AD14" s="113"/>
      <c r="AF14" s="118"/>
      <c r="AG14" s="119"/>
      <c r="AH14" s="134"/>
      <c r="AI14" s="113"/>
      <c r="AJ14" s="1024"/>
      <c r="AK14" s="1118">
        <f t="shared" si="0"/>
        <v>0</v>
      </c>
      <c r="AL14" s="1119"/>
      <c r="AM14" s="1119"/>
      <c r="AN14" s="1117"/>
    </row>
    <row r="15" spans="1:40" ht="15" customHeight="1">
      <c r="A15" s="27" t="s">
        <v>264</v>
      </c>
      <c r="B15" s="118"/>
      <c r="C15" s="24"/>
      <c r="D15" s="112"/>
      <c r="E15" s="113"/>
      <c r="G15" s="118"/>
      <c r="H15" s="134"/>
      <c r="I15" s="112"/>
      <c r="J15" s="113"/>
      <c r="L15" s="118"/>
      <c r="M15" s="134"/>
      <c r="N15" s="134"/>
      <c r="O15" s="113"/>
      <c r="Q15" s="118"/>
      <c r="R15" s="134"/>
      <c r="S15" s="112"/>
      <c r="T15" s="113"/>
      <c r="V15" s="118"/>
      <c r="W15" s="134"/>
      <c r="X15" s="112"/>
      <c r="Y15" s="113"/>
      <c r="AA15" s="118"/>
      <c r="AB15" s="134"/>
      <c r="AC15" s="112"/>
      <c r="AD15" s="113"/>
      <c r="AF15" s="118"/>
      <c r="AG15" s="119"/>
      <c r="AH15" s="134"/>
      <c r="AI15" s="113"/>
      <c r="AJ15" s="1024"/>
      <c r="AK15" s="1118">
        <f t="shared" si="0"/>
        <v>0</v>
      </c>
      <c r="AL15" s="1119"/>
      <c r="AM15" s="1119"/>
      <c r="AN15" s="1117"/>
    </row>
    <row r="16" spans="1:40" ht="15" customHeight="1">
      <c r="A16" s="27" t="s">
        <v>20</v>
      </c>
      <c r="B16" s="118"/>
      <c r="C16" s="24"/>
      <c r="D16" s="112"/>
      <c r="E16" s="113"/>
      <c r="G16" s="118"/>
      <c r="H16" s="24"/>
      <c r="I16" s="112"/>
      <c r="J16" s="113"/>
      <c r="L16" s="118"/>
      <c r="M16" s="24"/>
      <c r="N16" s="24"/>
      <c r="O16" s="113"/>
      <c r="Q16" s="118"/>
      <c r="R16" s="24"/>
      <c r="S16" s="112"/>
      <c r="T16" s="113"/>
      <c r="V16" s="118"/>
      <c r="W16" s="24"/>
      <c r="X16" s="112"/>
      <c r="Y16" s="113"/>
      <c r="AA16" s="118"/>
      <c r="AB16" s="24"/>
      <c r="AC16" s="112"/>
      <c r="AD16" s="113"/>
      <c r="AF16" s="136"/>
      <c r="AG16" s="119"/>
      <c r="AH16" s="24"/>
      <c r="AI16" s="113"/>
      <c r="AJ16" s="1024"/>
      <c r="AK16" s="1118">
        <f t="shared" si="0"/>
        <v>0</v>
      </c>
      <c r="AL16" s="1119"/>
      <c r="AM16" s="1119"/>
      <c r="AN16" s="1117"/>
    </row>
    <row r="17" spans="1:40" ht="15" customHeight="1">
      <c r="A17" s="27" t="s">
        <v>21</v>
      </c>
      <c r="B17" s="118">
        <f>+'SEGÍTŐ SZOLGÁLAT'!B16</f>
        <v>6624</v>
      </c>
      <c r="C17" s="24"/>
      <c r="D17" s="112"/>
      <c r="E17" s="113"/>
      <c r="G17" s="118">
        <f>+'SEGÍTŐ SZOLGÁLAT'!G16</f>
        <v>131</v>
      </c>
      <c r="H17" s="134"/>
      <c r="I17" s="134"/>
      <c r="J17" s="113"/>
      <c r="L17" s="118">
        <f>+'SEGÍTŐ SZOLGÁLAT'!L16</f>
        <v>1618</v>
      </c>
      <c r="M17" s="134"/>
      <c r="N17" s="134"/>
      <c r="O17" s="113"/>
      <c r="Q17" s="118">
        <f>+'SEGÍTŐ SZOLGÁLAT'!Q16</f>
        <v>534</v>
      </c>
      <c r="R17" s="134"/>
      <c r="S17" s="112"/>
      <c r="T17" s="113"/>
      <c r="V17" s="118">
        <f>+'SEGÍTŐ SZOLGÁLAT'!V16</f>
        <v>2284</v>
      </c>
      <c r="W17" s="134"/>
      <c r="X17" s="112"/>
      <c r="Y17" s="113"/>
      <c r="AA17" s="118">
        <f>+'SEGÍTŐ SZOLGÁLAT'!AA16</f>
        <v>0</v>
      </c>
      <c r="AB17" s="134"/>
      <c r="AC17" s="112"/>
      <c r="AD17" s="113"/>
      <c r="AF17" s="118">
        <f>+'SEGÍTŐ SZOLGÁLAT'!AF16</f>
        <v>1425</v>
      </c>
      <c r="AG17" s="119"/>
      <c r="AH17" s="24"/>
      <c r="AI17" s="113"/>
      <c r="AJ17" s="1024"/>
      <c r="AK17" s="1118">
        <f t="shared" si="0"/>
        <v>12616</v>
      </c>
      <c r="AL17" s="1119"/>
      <c r="AM17" s="1119"/>
      <c r="AN17" s="1117"/>
    </row>
    <row r="18" spans="1:40" ht="15" customHeight="1">
      <c r="A18" s="37" t="s">
        <v>22</v>
      </c>
      <c r="B18" s="137"/>
      <c r="C18" s="19"/>
      <c r="D18" s="138"/>
      <c r="E18" s="139"/>
      <c r="G18" s="137"/>
      <c r="H18" s="138"/>
      <c r="I18" s="138"/>
      <c r="J18" s="139"/>
      <c r="L18" s="137"/>
      <c r="M18" s="138"/>
      <c r="N18" s="138"/>
      <c r="O18" s="139"/>
      <c r="Q18" s="137"/>
      <c r="R18" s="138"/>
      <c r="S18" s="123"/>
      <c r="T18" s="139"/>
      <c r="V18" s="137"/>
      <c r="W18" s="138"/>
      <c r="X18" s="138"/>
      <c r="Y18" s="139"/>
      <c r="AA18" s="137"/>
      <c r="AB18" s="138"/>
      <c r="AC18" s="138"/>
      <c r="AD18" s="139"/>
      <c r="AF18" s="140"/>
      <c r="AG18" s="141"/>
      <c r="AH18" s="138"/>
      <c r="AI18" s="139"/>
      <c r="AJ18" s="1024"/>
      <c r="AK18" s="1118">
        <f t="shared" si="0"/>
        <v>0</v>
      </c>
      <c r="AL18" s="1119"/>
      <c r="AM18" s="1119"/>
      <c r="AN18" s="1125"/>
    </row>
    <row r="19" spans="1:40" ht="15" customHeight="1" thickBot="1">
      <c r="A19" s="10" t="s">
        <v>24</v>
      </c>
      <c r="B19" s="24"/>
      <c r="C19" s="24"/>
      <c r="D19" s="24"/>
      <c r="E19" s="142"/>
      <c r="G19" s="118"/>
      <c r="H19" s="24"/>
      <c r="I19" s="24"/>
      <c r="J19" s="142"/>
      <c r="L19" s="118"/>
      <c r="M19" s="24"/>
      <c r="N19" s="24"/>
      <c r="O19" s="142"/>
      <c r="Q19" s="118"/>
      <c r="R19" s="24"/>
      <c r="S19" s="24"/>
      <c r="T19" s="142"/>
      <c r="V19" s="118"/>
      <c r="W19" s="24"/>
      <c r="X19" s="24"/>
      <c r="Y19" s="142"/>
      <c r="AA19" s="118"/>
      <c r="AB19" s="24"/>
      <c r="AC19" s="24"/>
      <c r="AD19" s="142"/>
      <c r="AF19" s="136"/>
      <c r="AG19" s="24"/>
      <c r="AH19" s="24"/>
      <c r="AI19" s="142"/>
      <c r="AJ19" s="1024"/>
      <c r="AK19" s="1118">
        <f t="shared" si="0"/>
        <v>0</v>
      </c>
      <c r="AL19" s="1119"/>
      <c r="AM19" s="1119"/>
      <c r="AN19" s="1052"/>
    </row>
    <row r="20" spans="1:40" ht="15" customHeight="1" thickBot="1">
      <c r="A20" s="1043" t="s">
        <v>25</v>
      </c>
      <c r="B20" s="1044">
        <f>SUM(B9:B18)</f>
        <v>11514.8</v>
      </c>
      <c r="C20" s="1046"/>
      <c r="D20" s="1046"/>
      <c r="E20" s="1045"/>
      <c r="F20" s="173"/>
      <c r="G20" s="1044">
        <f>SUM(G9:G18)</f>
        <v>10305.200000000001</v>
      </c>
      <c r="H20" s="1046"/>
      <c r="I20" s="1046"/>
      <c r="J20" s="1045"/>
      <c r="K20" s="1083"/>
      <c r="L20" s="1044">
        <f>SUM(L9:L18)</f>
        <v>32072.799999999999</v>
      </c>
      <c r="M20" s="1046"/>
      <c r="N20" s="1046"/>
      <c r="O20" s="1045"/>
      <c r="P20" s="173"/>
      <c r="Q20" s="1044">
        <f>SUM(Q9:Q18)</f>
        <v>12049.6</v>
      </c>
      <c r="R20" s="1046"/>
      <c r="S20" s="1046"/>
      <c r="T20" s="1045"/>
      <c r="U20" s="175"/>
      <c r="V20" s="1044">
        <f>SUM(V9:V18)</f>
        <v>10881.6</v>
      </c>
      <c r="W20" s="1046"/>
      <c r="X20" s="1046"/>
      <c r="Y20" s="1045"/>
      <c r="Z20" s="173"/>
      <c r="AA20" s="1044">
        <f>SUM(AA9:AA18)</f>
        <v>8628.2000000000007</v>
      </c>
      <c r="AB20" s="1046"/>
      <c r="AC20" s="1046"/>
      <c r="AD20" s="1045"/>
      <c r="AE20" s="173"/>
      <c r="AF20" s="1044">
        <f>SUM(AF9:AF18)</f>
        <v>3430.4</v>
      </c>
      <c r="AG20" s="1046"/>
      <c r="AH20" s="1046"/>
      <c r="AI20" s="1045"/>
      <c r="AJ20" s="1082"/>
      <c r="AK20" s="1044">
        <f>SUM(AK9:AK18)</f>
        <v>88882.6</v>
      </c>
      <c r="AL20" s="1046"/>
      <c r="AM20" s="1046"/>
      <c r="AN20" s="1045"/>
    </row>
    <row r="21" spans="1:40" s="92" customFormat="1" ht="15" customHeight="1">
      <c r="A21" s="1"/>
      <c r="B21" s="2"/>
      <c r="C21" s="2"/>
      <c r="D21" s="2"/>
      <c r="E21" s="98"/>
      <c r="F21" s="1024"/>
      <c r="G21" s="2"/>
      <c r="H21" s="2"/>
      <c r="I21" s="2"/>
      <c r="J21" s="98"/>
      <c r="K21" s="100"/>
      <c r="L21" s="2"/>
      <c r="M21" s="2"/>
      <c r="N21" s="2"/>
      <c r="O21" s="98"/>
      <c r="P21" s="1024"/>
      <c r="Q21" s="2"/>
      <c r="R21" s="2"/>
      <c r="S21" s="2"/>
      <c r="T21" s="98"/>
      <c r="U21" s="1025"/>
      <c r="V21" s="2"/>
      <c r="W21" s="2"/>
      <c r="X21" s="2"/>
      <c r="Y21" s="98"/>
      <c r="Z21" s="1024"/>
      <c r="AA21" s="2"/>
      <c r="AB21" s="2"/>
      <c r="AC21" s="2"/>
      <c r="AD21" s="98"/>
      <c r="AE21" s="1024"/>
      <c r="AF21" s="98"/>
      <c r="AG21" s="2"/>
      <c r="AH21" s="2"/>
      <c r="AI21" s="98"/>
      <c r="AJ21" s="1024"/>
      <c r="AK21" s="2"/>
      <c r="AL21" s="2"/>
      <c r="AM21" s="2"/>
      <c r="AN21" s="98"/>
    </row>
    <row r="22" spans="1:40">
      <c r="A22" s="1"/>
      <c r="B22" s="2"/>
      <c r="C22" s="2"/>
      <c r="D22" s="2"/>
      <c r="E22" s="98"/>
      <c r="G22" s="2"/>
      <c r="H22" s="2"/>
      <c r="I22" s="2"/>
      <c r="J22" s="98"/>
      <c r="L22" s="2"/>
      <c r="M22" s="2"/>
      <c r="N22" s="2"/>
      <c r="O22" s="98"/>
      <c r="Q22" s="2"/>
      <c r="R22" s="2"/>
      <c r="S22" s="2"/>
      <c r="T22" s="98"/>
      <c r="V22" s="2"/>
      <c r="W22" s="2"/>
      <c r="X22" s="2"/>
      <c r="Y22" s="98"/>
      <c r="AA22" s="2"/>
      <c r="AB22" s="2"/>
      <c r="AC22" s="2"/>
      <c r="AD22" s="98"/>
      <c r="AG22" s="2"/>
      <c r="AH22" s="2"/>
      <c r="AI22" s="98"/>
      <c r="AJ22" s="1024"/>
      <c r="AK22" s="2"/>
      <c r="AL22" s="2"/>
      <c r="AM22" s="2"/>
      <c r="AN22" s="98"/>
    </row>
    <row r="23" spans="1:40">
      <c r="A23" s="143" t="s">
        <v>265</v>
      </c>
      <c r="C23" s="39">
        <v>2</v>
      </c>
      <c r="H23" s="39">
        <v>3</v>
      </c>
      <c r="M23" s="39">
        <v>17</v>
      </c>
      <c r="R23" s="144">
        <v>4</v>
      </c>
      <c r="S23" s="144"/>
      <c r="W23" s="39">
        <v>4</v>
      </c>
      <c r="AB23" s="145">
        <v>3</v>
      </c>
      <c r="AC23" s="145"/>
      <c r="AH23" s="38">
        <v>1</v>
      </c>
      <c r="AL23" s="39">
        <v>34</v>
      </c>
    </row>
    <row r="24" spans="1:40">
      <c r="L24" s="39">
        <v>56548</v>
      </c>
    </row>
    <row r="25" spans="1:40">
      <c r="A25" s="1027"/>
      <c r="B25" s="393"/>
      <c r="C25" s="393"/>
      <c r="D25" s="393"/>
      <c r="E25" s="1028"/>
      <c r="G25" s="393"/>
      <c r="H25" s="393"/>
      <c r="I25" s="393"/>
      <c r="L25" s="39">
        <f>+L24-L23</f>
        <v>56548</v>
      </c>
    </row>
    <row r="28" spans="1:40">
      <c r="AL28" s="39">
        <f>89096-AL20</f>
        <v>89096</v>
      </c>
    </row>
    <row r="31" spans="1:40">
      <c r="C31" s="39">
        <v>9.4</v>
      </c>
    </row>
    <row r="41" spans="1:9">
      <c r="A41" s="1027"/>
      <c r="B41" s="393"/>
      <c r="C41" s="393"/>
      <c r="D41" s="393"/>
      <c r="E41" s="1028"/>
      <c r="G41" s="393"/>
      <c r="H41" s="393"/>
      <c r="I41" s="393"/>
    </row>
    <row r="43" spans="1:9">
      <c r="A43" s="1027"/>
      <c r="B43" s="393"/>
      <c r="C43" s="393"/>
      <c r="D43" s="393"/>
      <c r="E43" s="1028"/>
      <c r="G43" s="393"/>
      <c r="H43" s="393"/>
      <c r="I43" s="393"/>
    </row>
    <row r="44" spans="1:9">
      <c r="A44" s="1027"/>
      <c r="B44" s="393"/>
      <c r="C44" s="393"/>
      <c r="D44" s="393"/>
      <c r="E44" s="1028"/>
      <c r="G44" s="393"/>
      <c r="H44" s="393"/>
      <c r="I44" s="393"/>
    </row>
    <row r="45" spans="1:9">
      <c r="A45" s="1027"/>
      <c r="B45" s="393"/>
      <c r="C45" s="393"/>
      <c r="D45" s="393"/>
      <c r="E45" s="1028"/>
      <c r="G45" s="393"/>
      <c r="H45" s="393"/>
      <c r="I45" s="393"/>
    </row>
    <row r="47" spans="1:9">
      <c r="A47" s="1037"/>
      <c r="B47" s="1038"/>
      <c r="C47" s="1038"/>
      <c r="D47" s="1038"/>
      <c r="E47" s="1039"/>
      <c r="G47" s="1038"/>
      <c r="H47" s="1038"/>
      <c r="I47" s="1038"/>
    </row>
    <row r="97" spans="1:9">
      <c r="A97" s="1029"/>
      <c r="B97" s="1030"/>
      <c r="C97" s="1030"/>
      <c r="D97" s="1030"/>
      <c r="E97" s="773"/>
      <c r="F97" s="1129"/>
      <c r="G97" s="1030"/>
      <c r="H97" s="1030"/>
      <c r="I97" s="1030"/>
    </row>
    <row r="98" spans="1:9">
      <c r="A98" s="785"/>
      <c r="B98" s="765"/>
      <c r="C98" s="765"/>
      <c r="D98" s="765"/>
      <c r="E98" s="781"/>
      <c r="F98" s="1130"/>
      <c r="G98" s="765"/>
      <c r="H98" s="765"/>
      <c r="I98" s="765"/>
    </row>
    <row r="99" spans="1:9">
      <c r="A99" s="785"/>
      <c r="B99" s="765"/>
      <c r="C99" s="765"/>
      <c r="D99" s="765"/>
      <c r="E99" s="781"/>
      <c r="F99" s="1130"/>
      <c r="G99" s="765"/>
      <c r="H99" s="765"/>
      <c r="I99" s="765"/>
    </row>
    <row r="100" spans="1:9">
      <c r="A100" s="785"/>
      <c r="B100" s="765"/>
      <c r="C100" s="765"/>
      <c r="D100" s="765"/>
      <c r="E100" s="781"/>
      <c r="F100" s="1130"/>
      <c r="G100" s="765"/>
      <c r="H100" s="765"/>
      <c r="I100" s="765"/>
    </row>
    <row r="101" spans="1:9">
      <c r="A101" s="786"/>
      <c r="B101" s="767"/>
      <c r="C101" s="767"/>
      <c r="D101" s="767"/>
      <c r="E101" s="783"/>
      <c r="F101" s="1131"/>
      <c r="G101" s="767"/>
      <c r="H101" s="767"/>
      <c r="I101" s="767"/>
    </row>
    <row r="103" spans="1:9">
      <c r="A103" s="1027"/>
      <c r="B103" s="393"/>
      <c r="C103" s="393"/>
      <c r="D103" s="393"/>
      <c r="E103" s="1028"/>
      <c r="G103" s="393"/>
      <c r="H103" s="393"/>
      <c r="I103" s="393"/>
    </row>
    <row r="105" spans="1:9">
      <c r="A105" s="1037"/>
      <c r="B105" s="1038"/>
      <c r="C105" s="1038"/>
      <c r="D105" s="1038"/>
      <c r="E105" s="1039"/>
      <c r="G105" s="1038"/>
      <c r="H105" s="1038"/>
      <c r="I105" s="1038"/>
    </row>
    <row r="113" spans="1:40">
      <c r="A113" s="1037"/>
      <c r="B113" s="1038"/>
      <c r="C113" s="1038"/>
      <c r="D113" s="1038"/>
      <c r="E113" s="1039"/>
      <c r="G113" s="1038"/>
      <c r="H113" s="1038"/>
      <c r="I113" s="1038"/>
    </row>
    <row r="116" spans="1:40" s="1026" customFormat="1">
      <c r="A116" s="143"/>
      <c r="B116" s="39"/>
      <c r="C116" s="39"/>
      <c r="D116" s="39"/>
      <c r="E116" s="101"/>
      <c r="F116" s="1024"/>
      <c r="G116" s="39"/>
      <c r="H116" s="39"/>
      <c r="I116" s="39"/>
      <c r="J116" s="1022"/>
      <c r="K116" s="100"/>
      <c r="L116" s="1023"/>
      <c r="M116" s="1023"/>
      <c r="N116" s="1023"/>
      <c r="O116" s="1022"/>
      <c r="P116" s="1024"/>
      <c r="Q116" s="1022"/>
      <c r="R116" s="1022"/>
      <c r="S116" s="1022"/>
      <c r="T116" s="1022"/>
      <c r="U116" s="1025"/>
      <c r="V116" s="1023"/>
      <c r="W116" s="1023"/>
      <c r="X116" s="1023"/>
      <c r="Y116" s="1022"/>
      <c r="Z116" s="1024"/>
      <c r="AA116" s="1022"/>
      <c r="AB116" s="1022"/>
      <c r="AC116" s="1022"/>
      <c r="AD116" s="1022"/>
      <c r="AE116" s="1024"/>
      <c r="AF116" s="1024"/>
      <c r="AG116" s="1022"/>
      <c r="AI116" s="1022"/>
      <c r="AJ116" s="1025"/>
      <c r="AK116" s="1023"/>
      <c r="AL116" s="1023"/>
      <c r="AM116" s="1023"/>
      <c r="AN116" s="1022"/>
    </row>
    <row r="117" spans="1:40" s="1026" customFormat="1">
      <c r="A117" s="1017"/>
      <c r="B117" s="1018"/>
      <c r="C117" s="1018"/>
      <c r="D117" s="1018"/>
      <c r="E117" s="1019"/>
      <c r="F117" s="1024"/>
      <c r="G117" s="1018"/>
      <c r="H117" s="1018"/>
      <c r="I117" s="1018"/>
      <c r="J117" s="1022"/>
      <c r="K117" s="100"/>
      <c r="L117" s="1023"/>
      <c r="M117" s="1023"/>
      <c r="N117" s="1023"/>
      <c r="O117" s="1022"/>
      <c r="P117" s="1024"/>
      <c r="Q117" s="1022"/>
      <c r="R117" s="1022"/>
      <c r="S117" s="1022"/>
      <c r="T117" s="1022"/>
      <c r="U117" s="1025"/>
      <c r="V117" s="1023"/>
      <c r="W117" s="1023"/>
      <c r="X117" s="1023"/>
      <c r="Y117" s="1022"/>
      <c r="Z117" s="1024"/>
      <c r="AA117" s="1022"/>
      <c r="AB117" s="1022"/>
      <c r="AC117" s="1022"/>
      <c r="AD117" s="1022"/>
      <c r="AE117" s="1024"/>
      <c r="AF117" s="1024"/>
      <c r="AG117" s="1022"/>
      <c r="AI117" s="1022"/>
      <c r="AJ117" s="1025"/>
      <c r="AK117" s="1023"/>
      <c r="AL117" s="1023"/>
      <c r="AM117" s="1023"/>
      <c r="AN117" s="1022"/>
    </row>
    <row r="118" spans="1:40" s="1026" customFormat="1">
      <c r="A118" s="143"/>
      <c r="B118" s="39"/>
      <c r="C118" s="39"/>
      <c r="D118" s="39"/>
      <c r="E118" s="101"/>
      <c r="F118" s="1024"/>
      <c r="G118" s="39"/>
      <c r="H118" s="39"/>
      <c r="I118" s="39"/>
      <c r="J118" s="1022"/>
      <c r="K118" s="100"/>
      <c r="L118" s="1023"/>
      <c r="M118" s="1023"/>
      <c r="N118" s="1023"/>
      <c r="O118" s="1022"/>
      <c r="P118" s="1024"/>
      <c r="Q118" s="1022"/>
      <c r="R118" s="1022"/>
      <c r="S118" s="1022"/>
      <c r="T118" s="1022"/>
      <c r="U118" s="1025"/>
      <c r="V118" s="1023"/>
      <c r="W118" s="1023"/>
      <c r="X118" s="1023"/>
      <c r="Y118" s="1022"/>
      <c r="Z118" s="1024"/>
      <c r="AA118" s="1022"/>
      <c r="AB118" s="1022"/>
      <c r="AC118" s="1022"/>
      <c r="AD118" s="1022"/>
      <c r="AE118" s="1024"/>
      <c r="AF118" s="1024"/>
      <c r="AG118" s="1022"/>
      <c r="AI118" s="1022"/>
      <c r="AJ118" s="1025"/>
      <c r="AK118" s="1023"/>
      <c r="AL118" s="1023"/>
      <c r="AM118" s="1023"/>
      <c r="AN118" s="1022"/>
    </row>
    <row r="119" spans="1:40" s="1026" customFormat="1">
      <c r="A119" s="143"/>
      <c r="B119" s="39"/>
      <c r="C119" s="39"/>
      <c r="D119" s="39"/>
      <c r="E119" s="101"/>
      <c r="F119" s="1024"/>
      <c r="G119" s="39"/>
      <c r="H119" s="39"/>
      <c r="I119" s="39"/>
      <c r="J119" s="1022"/>
      <c r="K119" s="100"/>
      <c r="L119" s="1023"/>
      <c r="M119" s="1023"/>
      <c r="N119" s="1023"/>
      <c r="O119" s="1022"/>
      <c r="P119" s="1024"/>
      <c r="Q119" s="1022"/>
      <c r="R119" s="1022"/>
      <c r="S119" s="1022"/>
      <c r="T119" s="1022"/>
      <c r="U119" s="1025"/>
      <c r="V119" s="1023"/>
      <c r="W119" s="1023"/>
      <c r="X119" s="1023"/>
      <c r="Y119" s="1022"/>
      <c r="Z119" s="1024"/>
      <c r="AA119" s="1022"/>
      <c r="AB119" s="1022"/>
      <c r="AC119" s="1022"/>
      <c r="AD119" s="1022"/>
      <c r="AE119" s="1024"/>
      <c r="AF119" s="1024"/>
      <c r="AG119" s="1022"/>
      <c r="AI119" s="1022"/>
      <c r="AJ119" s="1025"/>
      <c r="AK119" s="1023"/>
      <c r="AL119" s="1023"/>
      <c r="AM119" s="1023"/>
      <c r="AN119" s="1022"/>
    </row>
    <row r="120" spans="1:40" s="1026" customFormat="1">
      <c r="A120" s="143"/>
      <c r="B120" s="39"/>
      <c r="C120" s="39"/>
      <c r="D120" s="39"/>
      <c r="E120" s="101"/>
      <c r="F120" s="1024"/>
      <c r="G120" s="39"/>
      <c r="H120" s="39"/>
      <c r="I120" s="39"/>
      <c r="J120" s="1022"/>
      <c r="K120" s="100"/>
      <c r="L120" s="1023"/>
      <c r="M120" s="1023"/>
      <c r="N120" s="1023"/>
      <c r="O120" s="1022"/>
      <c r="P120" s="1024"/>
      <c r="Q120" s="1022"/>
      <c r="R120" s="1022"/>
      <c r="S120" s="1022"/>
      <c r="T120" s="1022"/>
      <c r="U120" s="1025"/>
      <c r="V120" s="1023"/>
      <c r="W120" s="1023"/>
      <c r="X120" s="1023"/>
      <c r="Y120" s="1022"/>
      <c r="Z120" s="1024"/>
      <c r="AA120" s="1022"/>
      <c r="AB120" s="1022"/>
      <c r="AC120" s="1022"/>
      <c r="AD120" s="1022"/>
      <c r="AE120" s="1024"/>
      <c r="AF120" s="1024"/>
      <c r="AG120" s="1022"/>
      <c r="AI120" s="1022"/>
      <c r="AJ120" s="1025"/>
      <c r="AK120" s="1023"/>
      <c r="AL120" s="1023"/>
      <c r="AM120" s="1023"/>
      <c r="AN120" s="1022"/>
    </row>
    <row r="121" spans="1:40" s="1026" customFormat="1">
      <c r="A121" s="143"/>
      <c r="B121" s="39"/>
      <c r="C121" s="39"/>
      <c r="D121" s="39"/>
      <c r="E121" s="101"/>
      <c r="F121" s="1024"/>
      <c r="G121" s="39"/>
      <c r="H121" s="39"/>
      <c r="I121" s="39"/>
      <c r="J121" s="1022"/>
      <c r="K121" s="100"/>
      <c r="L121" s="1023"/>
      <c r="M121" s="1023"/>
      <c r="N121" s="1023"/>
      <c r="O121" s="1022"/>
      <c r="P121" s="1024"/>
      <c r="Q121" s="1022"/>
      <c r="R121" s="1022"/>
      <c r="S121" s="1022"/>
      <c r="T121" s="1022"/>
      <c r="U121" s="1025"/>
      <c r="V121" s="1023"/>
      <c r="W121" s="1023"/>
      <c r="X121" s="1023"/>
      <c r="Y121" s="1022"/>
      <c r="Z121" s="1024"/>
      <c r="AA121" s="1022"/>
      <c r="AB121" s="1022"/>
      <c r="AC121" s="1022"/>
      <c r="AD121" s="1022"/>
      <c r="AE121" s="1024"/>
      <c r="AF121" s="1024"/>
      <c r="AG121" s="1022"/>
      <c r="AI121" s="1022"/>
      <c r="AJ121" s="1025"/>
      <c r="AK121" s="1023"/>
      <c r="AL121" s="1023"/>
      <c r="AM121" s="1023"/>
      <c r="AN121" s="1022"/>
    </row>
    <row r="122" spans="1:40" s="1026" customFormat="1">
      <c r="A122" s="143"/>
      <c r="B122" s="39"/>
      <c r="C122" s="39"/>
      <c r="D122" s="39"/>
      <c r="E122" s="101"/>
      <c r="F122" s="1024"/>
      <c r="G122" s="39"/>
      <c r="H122" s="39"/>
      <c r="I122" s="39"/>
      <c r="J122" s="1022"/>
      <c r="K122" s="100"/>
      <c r="L122" s="1023"/>
      <c r="M122" s="1023"/>
      <c r="N122" s="1023"/>
      <c r="O122" s="1022"/>
      <c r="P122" s="1024"/>
      <c r="Q122" s="1022"/>
      <c r="R122" s="1022"/>
      <c r="S122" s="1022"/>
      <c r="T122" s="1022"/>
      <c r="U122" s="1025"/>
      <c r="V122" s="1023"/>
      <c r="W122" s="1023"/>
      <c r="X122" s="1023"/>
      <c r="Y122" s="1022"/>
      <c r="Z122" s="1024"/>
      <c r="AA122" s="1022"/>
      <c r="AB122" s="1022"/>
      <c r="AC122" s="1022"/>
      <c r="AD122" s="1022"/>
      <c r="AE122" s="1024"/>
      <c r="AF122" s="1024"/>
      <c r="AG122" s="1022"/>
      <c r="AI122" s="1022"/>
      <c r="AJ122" s="1025"/>
      <c r="AK122" s="1023"/>
      <c r="AL122" s="1023"/>
      <c r="AM122" s="1023"/>
      <c r="AN122" s="1022"/>
    </row>
  </sheetData>
  <mergeCells count="24">
    <mergeCell ref="AK4:AL4"/>
    <mergeCell ref="B4:C4"/>
    <mergeCell ref="G4:H4"/>
    <mergeCell ref="L4:M4"/>
    <mergeCell ref="Q4:R4"/>
    <mergeCell ref="V4:W4"/>
    <mergeCell ref="AF4:AG4"/>
    <mergeCell ref="AA4:AB4"/>
    <mergeCell ref="Q1:T1"/>
    <mergeCell ref="Q2:T2"/>
    <mergeCell ref="L1:O1"/>
    <mergeCell ref="L2:O2"/>
    <mergeCell ref="B2:E2"/>
    <mergeCell ref="G1:J1"/>
    <mergeCell ref="G2:J2"/>
    <mergeCell ref="B1:E1"/>
    <mergeCell ref="V1:Y1"/>
    <mergeCell ref="V2:Y2"/>
    <mergeCell ref="AK1:AN1"/>
    <mergeCell ref="AK2:AN2"/>
    <mergeCell ref="AA1:AD1"/>
    <mergeCell ref="AA2:AD2"/>
    <mergeCell ref="AF1:AI1"/>
    <mergeCell ref="AF2:AI2"/>
  </mergeCells>
  <phoneticPr fontId="25" type="noConversion"/>
  <printOptions horizontalCentered="1"/>
  <pageMargins left="0.27559055118110237" right="0.15748031496062992" top="1.69" bottom="0.67" header="0.79" footer="0.38"/>
  <pageSetup paperSize="8" scale="65" orientation="landscape" r:id="rId1"/>
  <headerFooter alignWithMargins="0">
    <oddHeader>&amp;L&amp;"Times New Roman,Normál"&amp;12Szent László Völgye
Kistérségi Szolgáltató Iroda&amp;C&amp;"Times New Roman,Félkövér"&amp;14 2011. ÉVI KÖLTSÉGVETÉS &amp;R&amp;"Times New Roman,Félkövér"&amp;12 2.2 melléklet
 &amp;A
&amp;"Times New Roman,Normál"&amp;10
Adatok: eFt</oddHeader>
    <oddFooter>&amp;L&amp;A&amp;C&amp;D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I101"/>
  <sheetViews>
    <sheetView zoomScale="75" zoomScaleNormal="75" zoomScaleSheetLayoutView="75" workbookViewId="0">
      <pane xSplit="1" ySplit="3" topLeftCell="B4" activePane="bottomRight" state="frozen"/>
      <selection activeCell="A30" sqref="A30"/>
      <selection pane="topRight" activeCell="A30" sqref="A30"/>
      <selection pane="bottomLeft" activeCell="A30" sqref="A30"/>
      <selection pane="bottomRight" activeCell="G27" sqref="G27"/>
    </sheetView>
  </sheetViews>
  <sheetFormatPr defaultColWidth="9.140625" defaultRowHeight="15" customHeight="1"/>
  <cols>
    <col min="1" max="1" width="47.42578125" style="38" customWidth="1"/>
    <col min="2" max="4" width="7.7109375" style="39" customWidth="1"/>
    <col min="5" max="5" width="7.28515625" style="101" customWidth="1"/>
    <col min="6" max="6" width="3.28515625" style="98" customWidth="1"/>
    <col min="7" max="9" width="7.7109375" style="39" customWidth="1"/>
    <col min="10" max="10" width="7.28515625" style="177" customWidth="1"/>
    <col min="11" max="11" width="3.28515625" style="98" customWidth="1"/>
    <col min="12" max="14" width="7.7109375" style="101" customWidth="1"/>
    <col min="15" max="15" width="7.28515625" style="177" customWidth="1"/>
    <col min="16" max="16" width="3.7109375" style="1" customWidth="1"/>
    <col min="17" max="19" width="7.7109375" style="39" customWidth="1"/>
    <col min="20" max="20" width="7.28515625" style="101" customWidth="1"/>
    <col min="21" max="21" width="3.7109375" style="98" customWidth="1"/>
    <col min="22" max="22" width="7.7109375" style="101" customWidth="1"/>
    <col min="23" max="24" width="7.7109375" style="38" customWidth="1"/>
    <col min="25" max="25" width="7.28515625" style="101" customWidth="1"/>
    <col min="26" max="26" width="3.28515625" style="1" customWidth="1"/>
    <col min="27" max="29" width="7.7109375" style="39" customWidth="1"/>
    <col min="30" max="30" width="7.28515625" style="101" customWidth="1"/>
    <col min="31" max="31" width="3.28515625" style="98" customWidth="1"/>
    <col min="32" max="32" width="7.7109375" style="101" customWidth="1"/>
    <col min="33" max="34" width="7.7109375" style="39" customWidth="1"/>
    <col min="35" max="35" width="7.28515625" style="38" customWidth="1"/>
    <col min="36" max="16384" width="9.140625" style="1"/>
  </cols>
  <sheetData>
    <row r="1" spans="1:35" s="149" customFormat="1" ht="15" customHeight="1">
      <c r="A1" s="146"/>
      <c r="B1" s="2380" t="s">
        <v>266</v>
      </c>
      <c r="C1" s="2381"/>
      <c r="D1" s="2381"/>
      <c r="E1" s="2382"/>
      <c r="F1" s="147"/>
      <c r="G1" s="2380" t="s">
        <v>267</v>
      </c>
      <c r="H1" s="2381"/>
      <c r="I1" s="2381"/>
      <c r="J1" s="2382"/>
      <c r="K1" s="148"/>
      <c r="L1" s="2380" t="s">
        <v>268</v>
      </c>
      <c r="M1" s="2381"/>
      <c r="N1" s="2381"/>
      <c r="O1" s="2382"/>
      <c r="Q1" s="2380" t="s">
        <v>269</v>
      </c>
      <c r="R1" s="2381"/>
      <c r="S1" s="2381"/>
      <c r="T1" s="2382"/>
      <c r="U1" s="150"/>
      <c r="V1" s="2380" t="s">
        <v>270</v>
      </c>
      <c r="W1" s="2381"/>
      <c r="X1" s="2381"/>
      <c r="Y1" s="2382"/>
      <c r="Z1" s="148"/>
      <c r="AA1" s="2380" t="s">
        <v>271</v>
      </c>
      <c r="AB1" s="2381"/>
      <c r="AC1" s="2381"/>
      <c r="AD1" s="2382"/>
      <c r="AE1" s="147"/>
      <c r="AF1" s="2385" t="s">
        <v>272</v>
      </c>
      <c r="AG1" s="2386"/>
      <c r="AH1" s="2386"/>
      <c r="AI1" s="2387"/>
    </row>
    <row r="2" spans="1:35" s="151" customFormat="1" ht="15" customHeight="1">
      <c r="A2" s="146"/>
      <c r="B2" s="105" t="s">
        <v>244</v>
      </c>
      <c r="C2" s="106" t="s">
        <v>245</v>
      </c>
      <c r="D2" s="106" t="s">
        <v>246</v>
      </c>
      <c r="E2" s="107" t="s">
        <v>127</v>
      </c>
      <c r="G2" s="105" t="s">
        <v>244</v>
      </c>
      <c r="H2" s="106" t="s">
        <v>245</v>
      </c>
      <c r="I2" s="106" t="s">
        <v>246</v>
      </c>
      <c r="J2" s="107" t="s">
        <v>127</v>
      </c>
      <c r="K2" s="148"/>
      <c r="L2" s="105" t="s">
        <v>244</v>
      </c>
      <c r="M2" s="106" t="s">
        <v>245</v>
      </c>
      <c r="N2" s="106" t="s">
        <v>246</v>
      </c>
      <c r="O2" s="107" t="s">
        <v>127</v>
      </c>
      <c r="Q2" s="105" t="s">
        <v>244</v>
      </c>
      <c r="R2" s="106" t="s">
        <v>245</v>
      </c>
      <c r="S2" s="106" t="s">
        <v>246</v>
      </c>
      <c r="T2" s="107" t="s">
        <v>127</v>
      </c>
      <c r="U2" s="152"/>
      <c r="V2" s="105" t="s">
        <v>244</v>
      </c>
      <c r="W2" s="106" t="s">
        <v>245</v>
      </c>
      <c r="X2" s="106" t="s">
        <v>246</v>
      </c>
      <c r="Y2" s="107" t="s">
        <v>127</v>
      </c>
      <c r="Z2" s="153"/>
      <c r="AA2" s="105" t="s">
        <v>244</v>
      </c>
      <c r="AB2" s="106" t="s">
        <v>245</v>
      </c>
      <c r="AC2" s="106" t="s">
        <v>246</v>
      </c>
      <c r="AD2" s="107" t="s">
        <v>127</v>
      </c>
      <c r="AE2" s="153"/>
      <c r="AF2" s="1132" t="s">
        <v>244</v>
      </c>
      <c r="AG2" s="1133" t="s">
        <v>245</v>
      </c>
      <c r="AH2" s="1133" t="s">
        <v>246</v>
      </c>
      <c r="AI2" s="1134" t="s">
        <v>127</v>
      </c>
    </row>
    <row r="3" spans="1:35" s="151" customFormat="1" ht="15" customHeight="1" thickBot="1">
      <c r="A3" s="146"/>
      <c r="B3" s="2378" t="s">
        <v>128</v>
      </c>
      <c r="C3" s="2379"/>
      <c r="D3" s="109"/>
      <c r="E3" s="110"/>
      <c r="G3" s="2378" t="s">
        <v>128</v>
      </c>
      <c r="H3" s="2379"/>
      <c r="I3" s="109"/>
      <c r="J3" s="110"/>
      <c r="K3" s="148"/>
      <c r="L3" s="2378" t="s">
        <v>128</v>
      </c>
      <c r="M3" s="2379"/>
      <c r="N3" s="109"/>
      <c r="O3" s="110"/>
      <c r="P3" s="975"/>
      <c r="Q3" s="2378" t="s">
        <v>128</v>
      </c>
      <c r="R3" s="2379"/>
      <c r="S3" s="109"/>
      <c r="T3" s="110"/>
      <c r="U3" s="152"/>
      <c r="V3" s="2378" t="s">
        <v>128</v>
      </c>
      <c r="W3" s="2379"/>
      <c r="X3" s="109"/>
      <c r="Y3" s="110"/>
      <c r="Z3" s="153"/>
      <c r="AA3" s="2378" t="s">
        <v>128</v>
      </c>
      <c r="AB3" s="2379"/>
      <c r="AC3" s="109"/>
      <c r="AD3" s="110"/>
      <c r="AE3" s="153"/>
      <c r="AF3" s="2383" t="s">
        <v>128</v>
      </c>
      <c r="AG3" s="2384"/>
      <c r="AH3" s="1135"/>
      <c r="AI3" s="1136"/>
    </row>
    <row r="4" spans="1:35" ht="25.9" customHeight="1">
      <c r="A4" s="154" t="s">
        <v>247</v>
      </c>
      <c r="B4" s="111"/>
      <c r="C4" s="15"/>
      <c r="D4" s="112"/>
      <c r="E4" s="113"/>
      <c r="G4" s="111"/>
      <c r="H4" s="112"/>
      <c r="I4" s="112"/>
      <c r="J4" s="155"/>
      <c r="L4" s="111"/>
      <c r="M4" s="112"/>
      <c r="N4" s="112"/>
      <c r="O4" s="155"/>
      <c r="Q4" s="111"/>
      <c r="R4" s="112"/>
      <c r="S4" s="112"/>
      <c r="T4" s="113"/>
      <c r="V4" s="111"/>
      <c r="W4" s="112"/>
      <c r="X4" s="112"/>
      <c r="Y4" s="113"/>
      <c r="Z4" s="98"/>
      <c r="AA4" s="111"/>
      <c r="AB4" s="112"/>
      <c r="AC4" s="112"/>
      <c r="AD4" s="113"/>
      <c r="AF4" s="1118"/>
      <c r="AG4" s="1137"/>
      <c r="AH4" s="1116"/>
      <c r="AI4" s="1138"/>
    </row>
    <row r="5" spans="1:35" s="149" customFormat="1" ht="15" customHeight="1">
      <c r="A5" s="72" t="s">
        <v>273</v>
      </c>
      <c r="B5" s="84">
        <f>+ÓVODAINORMATÍVA!C24</f>
        <v>9479</v>
      </c>
      <c r="C5" s="85"/>
      <c r="D5" s="156"/>
      <c r="E5" s="67"/>
      <c r="F5" s="68"/>
      <c r="G5" s="84">
        <f>+ÓVODAINORMATÍVA!D24</f>
        <v>19348</v>
      </c>
      <c r="H5" s="157"/>
      <c r="I5" s="156"/>
      <c r="J5" s="67"/>
      <c r="K5" s="68"/>
      <c r="L5" s="84">
        <f>+ÓVODAINORMATÍVA!E24</f>
        <v>8929</v>
      </c>
      <c r="M5" s="157"/>
      <c r="N5" s="156"/>
      <c r="O5" s="67"/>
      <c r="Q5" s="84">
        <f>+ÓVODAINORMATÍVA!F24</f>
        <v>23579</v>
      </c>
      <c r="R5" s="157"/>
      <c r="S5" s="156"/>
      <c r="T5" s="67"/>
      <c r="U5" s="68"/>
      <c r="V5" s="84">
        <f>+ÓVODAINORMATÍVA!G24</f>
        <v>15119</v>
      </c>
      <c r="W5" s="157"/>
      <c r="X5" s="156"/>
      <c r="Y5" s="67"/>
      <c r="Z5" s="68"/>
      <c r="AA5" s="84"/>
      <c r="AB5" s="157"/>
      <c r="AC5" s="156"/>
      <c r="AD5" s="67"/>
      <c r="AE5" s="68"/>
      <c r="AF5" s="1139">
        <f>+B5+AA5+G5+L5+Q5+V5</f>
        <v>76454</v>
      </c>
      <c r="AG5" s="1140"/>
      <c r="AH5" s="1140"/>
      <c r="AI5" s="1141"/>
    </row>
    <row r="6" spans="1:35" s="149" customFormat="1" ht="15" customHeight="1">
      <c r="A6" s="72" t="s">
        <v>274</v>
      </c>
      <c r="B6" s="84">
        <f>+ÓVODAINORMATÍVA!C30</f>
        <v>1020</v>
      </c>
      <c r="C6" s="85"/>
      <c r="D6" s="156"/>
      <c r="E6" s="67"/>
      <c r="F6" s="68"/>
      <c r="G6" s="84">
        <f>+ÓVODAINORMATÍVA!D30</f>
        <v>2788</v>
      </c>
      <c r="H6" s="157"/>
      <c r="I6" s="156"/>
      <c r="J6" s="67"/>
      <c r="K6" s="68"/>
      <c r="L6" s="84">
        <f>+ÓVODAINORMATÍVA!E30</f>
        <v>816</v>
      </c>
      <c r="M6" s="157"/>
      <c r="N6" s="156"/>
      <c r="O6" s="67"/>
      <c r="Q6" s="84">
        <f>+ÓVODAINORMATÍVA!F30</f>
        <v>4556</v>
      </c>
      <c r="R6" s="157"/>
      <c r="S6" s="156"/>
      <c r="T6" s="67"/>
      <c r="U6" s="68"/>
      <c r="V6" s="84">
        <f>+ÓVODAINORMATÍVA!G30</f>
        <v>1564</v>
      </c>
      <c r="W6" s="157"/>
      <c r="X6" s="156"/>
      <c r="Y6" s="67"/>
      <c r="Z6" s="68"/>
      <c r="AA6" s="84"/>
      <c r="AB6" s="157"/>
      <c r="AC6" s="156"/>
      <c r="AD6" s="67"/>
      <c r="AE6" s="68"/>
      <c r="AF6" s="1139">
        <f>+B6+AA6+G6+L6+Q6+V6</f>
        <v>10744</v>
      </c>
      <c r="AG6" s="1140"/>
      <c r="AH6" s="1140"/>
      <c r="AI6" s="1141"/>
    </row>
    <row r="7" spans="1:35" s="149" customFormat="1" ht="15" customHeight="1">
      <c r="A7" s="72" t="s">
        <v>275</v>
      </c>
      <c r="B7" s="84">
        <f>+ÓVODAINORMATÍVA!C27</f>
        <v>0</v>
      </c>
      <c r="C7" s="85"/>
      <c r="D7" s="156"/>
      <c r="E7" s="67"/>
      <c r="F7" s="68"/>
      <c r="G7" s="84">
        <f>+ÓVODAINORMATÍVA!D27</f>
        <v>0</v>
      </c>
      <c r="H7" s="157"/>
      <c r="I7" s="156"/>
      <c r="J7" s="67"/>
      <c r="K7" s="68"/>
      <c r="L7" s="84">
        <f>+ÓVODAINORMATÍVA!E27</f>
        <v>0</v>
      </c>
      <c r="M7" s="157"/>
      <c r="N7" s="156"/>
      <c r="O7" s="67"/>
      <c r="Q7" s="84">
        <f>+ÓVODAINORMATÍVA!F27</f>
        <v>180</v>
      </c>
      <c r="R7" s="157"/>
      <c r="S7" s="156"/>
      <c r="T7" s="67"/>
      <c r="U7" s="68"/>
      <c r="V7" s="84">
        <f>+ÓVODAINORMATÍVA!G27</f>
        <v>60</v>
      </c>
      <c r="W7" s="157"/>
      <c r="X7" s="156"/>
      <c r="Y7" s="67"/>
      <c r="Z7" s="68"/>
      <c r="AA7" s="84"/>
      <c r="AB7" s="157"/>
      <c r="AC7" s="156"/>
      <c r="AD7" s="67"/>
      <c r="AE7" s="68"/>
      <c r="AF7" s="1139">
        <f>+B7+AA7+G7+L7+Q7+V7</f>
        <v>240</v>
      </c>
      <c r="AG7" s="1140"/>
      <c r="AH7" s="1140"/>
      <c r="AI7" s="1141"/>
    </row>
    <row r="8" spans="1:35" s="149" customFormat="1" ht="15" customHeight="1">
      <c r="A8" s="158" t="s">
        <v>276</v>
      </c>
      <c r="B8" s="73">
        <f>+ÓVODAINORMATÍVA!C33</f>
        <v>0</v>
      </c>
      <c r="C8" s="74"/>
      <c r="D8" s="159"/>
      <c r="E8" s="75"/>
      <c r="F8" s="68"/>
      <c r="G8" s="73">
        <f>+ÓVODAINORMATÍVA!D33</f>
        <v>3540</v>
      </c>
      <c r="H8" s="160"/>
      <c r="I8" s="159"/>
      <c r="J8" s="75"/>
      <c r="K8" s="68"/>
      <c r="L8" s="73">
        <f>+ÓVODAINORMATÍVA!E33</f>
        <v>1623</v>
      </c>
      <c r="M8" s="160"/>
      <c r="N8" s="159"/>
      <c r="O8" s="75"/>
      <c r="Q8" s="73">
        <f>+ÓVODAINORMATÍVA!F33</f>
        <v>4334</v>
      </c>
      <c r="R8" s="160"/>
      <c r="S8" s="159"/>
      <c r="T8" s="75"/>
      <c r="U8" s="68"/>
      <c r="V8" s="73">
        <f>+ÓVODAINORMATÍVA!G33</f>
        <v>2765</v>
      </c>
      <c r="W8" s="160"/>
      <c r="X8" s="159"/>
      <c r="Y8" s="75"/>
      <c r="Z8" s="68"/>
      <c r="AA8" s="73"/>
      <c r="AB8" s="160"/>
      <c r="AC8" s="159"/>
      <c r="AD8" s="75"/>
      <c r="AE8" s="68"/>
      <c r="AF8" s="1139">
        <f>+B8+AA8+G8+L8+Q8+V8</f>
        <v>12262</v>
      </c>
      <c r="AG8" s="1142"/>
      <c r="AH8" s="1142"/>
      <c r="AI8" s="1143"/>
    </row>
    <row r="9" spans="1:35" s="13" customFormat="1" ht="15" customHeight="1">
      <c r="A9" s="161" t="s">
        <v>277</v>
      </c>
      <c r="B9" s="162">
        <f>SUM(B5:B8)</f>
        <v>10499</v>
      </c>
      <c r="C9" s="163"/>
      <c r="D9" s="164"/>
      <c r="E9" s="165"/>
      <c r="F9" s="90"/>
      <c r="G9" s="162">
        <f>SUM(G5:G8)</f>
        <v>25676</v>
      </c>
      <c r="H9" s="163"/>
      <c r="I9" s="164"/>
      <c r="J9" s="165"/>
      <c r="K9" s="90"/>
      <c r="L9" s="162">
        <f>SUM(L5:L8)</f>
        <v>11368</v>
      </c>
      <c r="M9" s="163"/>
      <c r="N9" s="164"/>
      <c r="O9" s="165"/>
      <c r="Q9" s="162">
        <f>SUM(Q5:Q8)</f>
        <v>32649</v>
      </c>
      <c r="R9" s="163"/>
      <c r="S9" s="164"/>
      <c r="T9" s="165"/>
      <c r="U9" s="90"/>
      <c r="V9" s="162">
        <f>SUM(V5:V8)</f>
        <v>19508</v>
      </c>
      <c r="W9" s="163"/>
      <c r="X9" s="164"/>
      <c r="Y9" s="165"/>
      <c r="Z9" s="90"/>
      <c r="AA9" s="162">
        <f>SUM(AA4:AA8)</f>
        <v>0</v>
      </c>
      <c r="AB9" s="163"/>
      <c r="AC9" s="164"/>
      <c r="AD9" s="165"/>
      <c r="AE9" s="90"/>
      <c r="AF9" s="1144">
        <f>SUM(AF4:AF8)</f>
        <v>99700</v>
      </c>
      <c r="AG9" s="1145"/>
      <c r="AH9" s="1146"/>
      <c r="AI9" s="1147"/>
    </row>
    <row r="10" spans="1:35" s="149" customFormat="1" ht="15" customHeight="1">
      <c r="A10" s="72" t="s">
        <v>278</v>
      </c>
      <c r="B10" s="80">
        <f>+ÓVODAINORMATÍVA!C40</f>
        <v>2662</v>
      </c>
      <c r="C10" s="81"/>
      <c r="D10" s="81"/>
      <c r="E10" s="82"/>
      <c r="F10" s="68"/>
      <c r="G10" s="80">
        <f>+ÓVODAINORMATÍVA!D40</f>
        <v>888</v>
      </c>
      <c r="H10" s="81"/>
      <c r="I10" s="81"/>
      <c r="J10" s="82"/>
      <c r="K10" s="68"/>
      <c r="L10" s="80">
        <f>+ÓVODAINORMATÍVA!E40</f>
        <v>494</v>
      </c>
      <c r="M10" s="81"/>
      <c r="N10" s="81"/>
      <c r="O10" s="82"/>
      <c r="Q10" s="80">
        <f>+ÓVODAINORMATÍVA!F40</f>
        <v>0</v>
      </c>
      <c r="R10" s="81"/>
      <c r="S10" s="81"/>
      <c r="T10" s="82"/>
      <c r="U10" s="68"/>
      <c r="V10" s="80">
        <f>+ÓVODAINORMATÍVA!G40</f>
        <v>0</v>
      </c>
      <c r="W10" s="81"/>
      <c r="X10" s="81"/>
      <c r="Y10" s="82"/>
      <c r="Z10" s="68"/>
      <c r="AA10" s="80"/>
      <c r="AB10" s="81"/>
      <c r="AC10" s="81"/>
      <c r="AD10" s="82"/>
      <c r="AE10" s="68"/>
      <c r="AF10" s="1139">
        <f t="shared" ref="AF10:AF18" si="0">+B10+AA10+G10+L10+Q10+V10</f>
        <v>4044</v>
      </c>
      <c r="AG10" s="1148"/>
      <c r="AH10" s="1148"/>
      <c r="AI10" s="1149"/>
    </row>
    <row r="11" spans="1:35" s="149" customFormat="1" ht="15" customHeight="1">
      <c r="A11" s="72" t="s">
        <v>279</v>
      </c>
      <c r="B11" s="84">
        <f>+ÓVODAINORMATÍVA!C43</f>
        <v>0</v>
      </c>
      <c r="C11" s="85"/>
      <c r="D11" s="85"/>
      <c r="E11" s="86"/>
      <c r="F11" s="68"/>
      <c r="G11" s="84">
        <f>+ÓVODAINORMATÍVA!D43</f>
        <v>7680</v>
      </c>
      <c r="H11" s="85"/>
      <c r="I11" s="85"/>
      <c r="J11" s="86"/>
      <c r="K11" s="68"/>
      <c r="L11" s="84">
        <f>+ÓVODAINORMATÍVA!E43</f>
        <v>3630</v>
      </c>
      <c r="M11" s="85"/>
      <c r="N11" s="85"/>
      <c r="O11" s="86"/>
      <c r="Q11" s="84">
        <f>+ÓVODAINORMATÍVA!F43</f>
        <v>9590</v>
      </c>
      <c r="R11" s="85"/>
      <c r="S11" s="85"/>
      <c r="T11" s="86"/>
      <c r="U11" s="68"/>
      <c r="V11" s="84">
        <f>+ÓVODAINORMATÍVA!G43</f>
        <v>6070</v>
      </c>
      <c r="W11" s="85"/>
      <c r="X11" s="85"/>
      <c r="Y11" s="86"/>
      <c r="Z11" s="68"/>
      <c r="AA11" s="84"/>
      <c r="AB11" s="85"/>
      <c r="AC11" s="85"/>
      <c r="AD11" s="86"/>
      <c r="AE11" s="68"/>
      <c r="AF11" s="1139">
        <f t="shared" si="0"/>
        <v>26970</v>
      </c>
      <c r="AG11" s="1150"/>
      <c r="AH11" s="1150"/>
      <c r="AI11" s="1151"/>
    </row>
    <row r="12" spans="1:35" s="149" customFormat="1" ht="15" customHeight="1">
      <c r="A12" s="72" t="s">
        <v>280</v>
      </c>
      <c r="B12" s="84">
        <f>+ÓVODAINORMATÍVA!C49</f>
        <v>0</v>
      </c>
      <c r="C12" s="85"/>
      <c r="D12" s="85"/>
      <c r="E12" s="86"/>
      <c r="F12" s="68"/>
      <c r="G12" s="84">
        <f>+ÓVODAINORMATÍVA!D49</f>
        <v>0</v>
      </c>
      <c r="H12" s="85"/>
      <c r="I12" s="85"/>
      <c r="J12" s="86"/>
      <c r="K12" s="68"/>
      <c r="L12" s="84">
        <f>+ÓVODAINORMATÍVA!E49</f>
        <v>858</v>
      </c>
      <c r="M12" s="85"/>
      <c r="N12" s="85"/>
      <c r="O12" s="86"/>
      <c r="Q12" s="84">
        <f>+ÓVODAINORMATÍVA!F49</f>
        <v>0</v>
      </c>
      <c r="R12" s="85"/>
      <c r="S12" s="85"/>
      <c r="T12" s="86"/>
      <c r="U12" s="68"/>
      <c r="V12" s="84">
        <f>+ÓVODAINORMATÍVA!G49</f>
        <v>0</v>
      </c>
      <c r="W12" s="85"/>
      <c r="X12" s="85"/>
      <c r="Y12" s="86"/>
      <c r="Z12" s="68"/>
      <c r="AA12" s="84"/>
      <c r="AB12" s="85"/>
      <c r="AC12" s="85"/>
      <c r="AD12" s="86"/>
      <c r="AE12" s="68"/>
      <c r="AF12" s="1139">
        <f t="shared" si="0"/>
        <v>858</v>
      </c>
      <c r="AG12" s="1150"/>
      <c r="AH12" s="1150"/>
      <c r="AI12" s="1151"/>
    </row>
    <row r="13" spans="1:35" s="149" customFormat="1" ht="15" customHeight="1">
      <c r="A13" s="72" t="s">
        <v>281</v>
      </c>
      <c r="B13" s="84">
        <f>+ÓVODAINORMATÍVA!C52</f>
        <v>0</v>
      </c>
      <c r="C13" s="85"/>
      <c r="D13" s="85"/>
      <c r="E13" s="86"/>
      <c r="F13" s="68"/>
      <c r="G13" s="84">
        <f>+ÓVODAINORMATÍVA!D52</f>
        <v>590</v>
      </c>
      <c r="H13" s="85"/>
      <c r="I13" s="85"/>
      <c r="J13" s="86"/>
      <c r="K13" s="68"/>
      <c r="L13" s="84">
        <f>+ÓVODAINORMATÍVA!E52</f>
        <v>0</v>
      </c>
      <c r="M13" s="85"/>
      <c r="N13" s="85"/>
      <c r="O13" s="86"/>
      <c r="Q13" s="84">
        <f>+ÓVODAINORMATÍVA!F52</f>
        <v>0</v>
      </c>
      <c r="R13" s="85"/>
      <c r="S13" s="85"/>
      <c r="T13" s="86"/>
      <c r="U13" s="68"/>
      <c r="V13" s="84">
        <f>+ÓVODAINORMATÍVA!G52</f>
        <v>0</v>
      </c>
      <c r="W13" s="85"/>
      <c r="X13" s="85"/>
      <c r="Y13" s="86"/>
      <c r="Z13" s="68"/>
      <c r="AA13" s="84"/>
      <c r="AB13" s="85"/>
      <c r="AC13" s="85"/>
      <c r="AD13" s="86"/>
      <c r="AE13" s="68"/>
      <c r="AF13" s="1139">
        <f t="shared" si="0"/>
        <v>590</v>
      </c>
      <c r="AG13" s="1150"/>
      <c r="AH13" s="1150"/>
      <c r="AI13" s="1151"/>
    </row>
    <row r="14" spans="1:35" s="149" customFormat="1" ht="15" customHeight="1">
      <c r="A14" s="72" t="s">
        <v>282</v>
      </c>
      <c r="B14" s="84">
        <f>+ÓVODAINORMATÍVA!C46</f>
        <v>1037</v>
      </c>
      <c r="C14" s="85"/>
      <c r="D14" s="85"/>
      <c r="E14" s="86"/>
      <c r="F14" s="68"/>
      <c r="G14" s="84">
        <f>+ÓVODAINORMATÍVA!D46</f>
        <v>444</v>
      </c>
      <c r="H14" s="85"/>
      <c r="I14" s="85"/>
      <c r="J14" s="86"/>
      <c r="K14" s="68"/>
      <c r="L14" s="84">
        <f>+ÓVODAINORMATÍVA!E46</f>
        <v>247</v>
      </c>
      <c r="M14" s="85"/>
      <c r="N14" s="85"/>
      <c r="O14" s="86"/>
      <c r="Q14" s="84">
        <f>+ÓVODAINORMATÍVA!F46</f>
        <v>0</v>
      </c>
      <c r="R14" s="85"/>
      <c r="S14" s="85"/>
      <c r="T14" s="86"/>
      <c r="U14" s="68"/>
      <c r="V14" s="84">
        <f>+ÓVODAINORMATÍVA!G46</f>
        <v>0</v>
      </c>
      <c r="W14" s="85"/>
      <c r="X14" s="85"/>
      <c r="Y14" s="86"/>
      <c r="Z14" s="68"/>
      <c r="AA14" s="84"/>
      <c r="AB14" s="85"/>
      <c r="AC14" s="85"/>
      <c r="AD14" s="86"/>
      <c r="AE14" s="68"/>
      <c r="AF14" s="1139">
        <f t="shared" si="0"/>
        <v>1728</v>
      </c>
      <c r="AG14" s="1150"/>
      <c r="AH14" s="1150"/>
      <c r="AI14" s="1151"/>
    </row>
    <row r="15" spans="1:35" s="149" customFormat="1" ht="15" customHeight="1">
      <c r="A15" s="72" t="s">
        <v>283</v>
      </c>
      <c r="B15" s="84">
        <f>+ÓVODAINORMATÍVA!C55</f>
        <v>0</v>
      </c>
      <c r="C15" s="85"/>
      <c r="D15" s="85"/>
      <c r="E15" s="86"/>
      <c r="F15" s="68"/>
      <c r="G15" s="84">
        <f>+ÓVODAINORMATÍVA!D55</f>
        <v>0</v>
      </c>
      <c r="H15" s="85"/>
      <c r="I15" s="85"/>
      <c r="J15" s="86"/>
      <c r="K15" s="68"/>
      <c r="L15" s="84">
        <f>+ÓVODAINORMATÍVA!E55</f>
        <v>0</v>
      </c>
      <c r="M15" s="85"/>
      <c r="N15" s="85"/>
      <c r="O15" s="86"/>
      <c r="Q15" s="84">
        <f>+ÓVODAINORMATÍVA!F55</f>
        <v>0</v>
      </c>
      <c r="R15" s="85"/>
      <c r="S15" s="85"/>
      <c r="T15" s="86"/>
      <c r="U15" s="68"/>
      <c r="V15" s="84">
        <f>+ÓVODAINORMATÍVA!G55</f>
        <v>0</v>
      </c>
      <c r="W15" s="85"/>
      <c r="X15" s="85"/>
      <c r="Y15" s="86"/>
      <c r="Z15" s="68"/>
      <c r="AA15" s="84"/>
      <c r="AB15" s="85"/>
      <c r="AC15" s="85"/>
      <c r="AD15" s="86"/>
      <c r="AE15" s="68"/>
      <c r="AF15" s="1139">
        <f t="shared" si="0"/>
        <v>0</v>
      </c>
      <c r="AG15" s="1150"/>
      <c r="AH15" s="1150"/>
      <c r="AI15" s="1151"/>
    </row>
    <row r="16" spans="1:35" s="149" customFormat="1" ht="15" customHeight="1">
      <c r="A16" s="158" t="s">
        <v>284</v>
      </c>
      <c r="B16" s="84"/>
      <c r="C16" s="85"/>
      <c r="D16" s="85"/>
      <c r="E16" s="86"/>
      <c r="F16" s="68"/>
      <c r="G16" s="84"/>
      <c r="H16" s="85"/>
      <c r="I16" s="85"/>
      <c r="J16" s="86"/>
      <c r="K16" s="68"/>
      <c r="L16" s="84"/>
      <c r="M16" s="85"/>
      <c r="N16" s="85"/>
      <c r="O16" s="86"/>
      <c r="Q16" s="84"/>
      <c r="R16" s="85"/>
      <c r="S16" s="85"/>
      <c r="T16" s="86"/>
      <c r="U16" s="68"/>
      <c r="V16" s="84"/>
      <c r="W16" s="85"/>
      <c r="X16" s="85"/>
      <c r="Y16" s="86"/>
      <c r="Z16" s="68"/>
      <c r="AA16" s="84">
        <f>+ÓVODAINORMATÍVA!H37</f>
        <v>130.00000000000006</v>
      </c>
      <c r="AB16" s="85"/>
      <c r="AC16" s="85"/>
      <c r="AD16" s="86"/>
      <c r="AE16" s="68"/>
      <c r="AF16" s="1139">
        <f t="shared" si="0"/>
        <v>130.00000000000006</v>
      </c>
      <c r="AG16" s="1150"/>
      <c r="AH16" s="1150"/>
      <c r="AI16" s="1151"/>
    </row>
    <row r="17" spans="1:35" s="149" customFormat="1" ht="15" customHeight="1">
      <c r="A17" s="158" t="s">
        <v>285</v>
      </c>
      <c r="B17" s="84"/>
      <c r="C17" s="85"/>
      <c r="D17" s="85"/>
      <c r="E17" s="86"/>
      <c r="F17" s="68"/>
      <c r="G17" s="84"/>
      <c r="H17" s="85"/>
      <c r="I17" s="85"/>
      <c r="J17" s="86"/>
      <c r="K17" s="68"/>
      <c r="L17" s="84"/>
      <c r="M17" s="85"/>
      <c r="N17" s="85"/>
      <c r="O17" s="86"/>
      <c r="Q17" s="84"/>
      <c r="R17" s="85"/>
      <c r="S17" s="85"/>
      <c r="T17" s="86"/>
      <c r="U17" s="68"/>
      <c r="V17" s="84"/>
      <c r="W17" s="85"/>
      <c r="X17" s="85"/>
      <c r="Y17" s="86"/>
      <c r="Z17" s="68"/>
      <c r="AA17" s="84">
        <f>+ÓVODAINORMATÍVA!H61</f>
        <v>304.79999999999995</v>
      </c>
      <c r="AB17" s="85"/>
      <c r="AC17" s="85"/>
      <c r="AD17" s="86"/>
      <c r="AE17" s="68"/>
      <c r="AF17" s="1139">
        <f t="shared" si="0"/>
        <v>304.79999999999995</v>
      </c>
      <c r="AG17" s="1150"/>
      <c r="AH17" s="1150"/>
      <c r="AI17" s="1151"/>
    </row>
    <row r="18" spans="1:35" s="149" customFormat="1" ht="15" customHeight="1">
      <c r="A18" s="158" t="s">
        <v>286</v>
      </c>
      <c r="B18" s="166"/>
      <c r="C18" s="167"/>
      <c r="D18" s="167"/>
      <c r="E18" s="168"/>
      <c r="F18" s="68"/>
      <c r="G18" s="166"/>
      <c r="H18" s="167"/>
      <c r="I18" s="167"/>
      <c r="J18" s="168"/>
      <c r="K18" s="68"/>
      <c r="L18" s="166"/>
      <c r="M18" s="167"/>
      <c r="N18" s="167"/>
      <c r="O18" s="168"/>
      <c r="Q18" s="166"/>
      <c r="R18" s="167"/>
      <c r="S18" s="167"/>
      <c r="T18" s="168"/>
      <c r="U18" s="68"/>
      <c r="V18" s="166"/>
      <c r="W18" s="167"/>
      <c r="X18" s="167"/>
      <c r="Y18" s="168"/>
      <c r="Z18" s="68"/>
      <c r="AA18" s="166">
        <f>+ÓVODAINORMATÍVA!H58</f>
        <v>1345.81</v>
      </c>
      <c r="AB18" s="167"/>
      <c r="AC18" s="167"/>
      <c r="AD18" s="168"/>
      <c r="AE18" s="68"/>
      <c r="AF18" s="1139">
        <f t="shared" si="0"/>
        <v>1345.81</v>
      </c>
      <c r="AG18" s="1152"/>
      <c r="AH18" s="1152"/>
      <c r="AI18" s="1153"/>
    </row>
    <row r="19" spans="1:35" s="13" customFormat="1" ht="15" customHeight="1">
      <c r="A19" s="161" t="s">
        <v>287</v>
      </c>
      <c r="B19" s="162">
        <f>SUM(B10:B18)</f>
        <v>3699</v>
      </c>
      <c r="C19" s="163"/>
      <c r="D19" s="164"/>
      <c r="E19" s="165"/>
      <c r="F19" s="90"/>
      <c r="G19" s="162">
        <f>SUM(G10:G18)</f>
        <v>9602</v>
      </c>
      <c r="H19" s="163"/>
      <c r="I19" s="164"/>
      <c r="J19" s="165"/>
      <c r="K19" s="90"/>
      <c r="L19" s="162">
        <f>SUM(L10:L18)</f>
        <v>5229</v>
      </c>
      <c r="M19" s="163"/>
      <c r="N19" s="164"/>
      <c r="O19" s="165"/>
      <c r="Q19" s="162">
        <f>SUM(Q10:Q18)</f>
        <v>9590</v>
      </c>
      <c r="R19" s="163"/>
      <c r="S19" s="164"/>
      <c r="T19" s="165"/>
      <c r="U19" s="90"/>
      <c r="V19" s="162">
        <f>SUM(V10:V18)</f>
        <v>6070</v>
      </c>
      <c r="W19" s="163"/>
      <c r="X19" s="164"/>
      <c r="Y19" s="165"/>
      <c r="Z19" s="90"/>
      <c r="AA19" s="162">
        <f>SUM(AA10:AA18)</f>
        <v>1780.61</v>
      </c>
      <c r="AB19" s="163"/>
      <c r="AC19" s="164"/>
      <c r="AD19" s="165"/>
      <c r="AE19" s="90"/>
      <c r="AF19" s="1144">
        <f>SUM(AF10:AF18)</f>
        <v>35970.61</v>
      </c>
      <c r="AG19" s="1145"/>
      <c r="AH19" s="1146"/>
      <c r="AI19" s="1147"/>
    </row>
    <row r="20" spans="1:35" s="175" customFormat="1" ht="15" customHeight="1">
      <c r="A20" s="169" t="s">
        <v>288</v>
      </c>
      <c r="B20" s="170">
        <f>+B9+B19</f>
        <v>14198</v>
      </c>
      <c r="C20" s="171"/>
      <c r="D20" s="171"/>
      <c r="E20" s="172"/>
      <c r="F20" s="173"/>
      <c r="G20" s="170">
        <f>+G9+G19</f>
        <v>35278</v>
      </c>
      <c r="H20" s="171"/>
      <c r="I20" s="171"/>
      <c r="J20" s="174"/>
      <c r="K20" s="173"/>
      <c r="L20" s="170">
        <f>+L9+L19</f>
        <v>16597</v>
      </c>
      <c r="M20" s="171"/>
      <c r="N20" s="171"/>
      <c r="O20" s="174"/>
      <c r="Q20" s="170">
        <f>+Q9+Q19</f>
        <v>42239</v>
      </c>
      <c r="R20" s="171"/>
      <c r="S20" s="171"/>
      <c r="T20" s="174"/>
      <c r="U20" s="173"/>
      <c r="V20" s="170">
        <f>+V9+V19</f>
        <v>25578</v>
      </c>
      <c r="W20" s="171"/>
      <c r="X20" s="171"/>
      <c r="Y20" s="174"/>
      <c r="Z20" s="173"/>
      <c r="AA20" s="170">
        <f>+AA9+AA19</f>
        <v>1780.61</v>
      </c>
      <c r="AB20" s="171"/>
      <c r="AC20" s="171"/>
      <c r="AD20" s="172"/>
      <c r="AE20" s="173"/>
      <c r="AF20" s="1154">
        <f>+AF9+AF19</f>
        <v>135670.60999999999</v>
      </c>
      <c r="AG20" s="1155"/>
      <c r="AH20" s="1155"/>
      <c r="AI20" s="1156"/>
    </row>
    <row r="21" spans="1:35" s="149" customFormat="1" ht="15" customHeight="1">
      <c r="A21" s="83" t="s">
        <v>289</v>
      </c>
      <c r="B21" s="84"/>
      <c r="C21" s="85"/>
      <c r="D21" s="85"/>
      <c r="E21" s="86"/>
      <c r="F21" s="68"/>
      <c r="G21" s="84"/>
      <c r="H21" s="157"/>
      <c r="I21" s="157"/>
      <c r="J21" s="86"/>
      <c r="K21" s="68"/>
      <c r="L21" s="84"/>
      <c r="M21" s="157"/>
      <c r="N21" s="157"/>
      <c r="O21" s="86"/>
      <c r="Q21" s="84"/>
      <c r="R21" s="157"/>
      <c r="S21" s="157"/>
      <c r="T21" s="86"/>
      <c r="U21" s="68"/>
      <c r="V21" s="84"/>
      <c r="W21" s="157"/>
      <c r="X21" s="157"/>
      <c r="Y21" s="86"/>
      <c r="Z21" s="68"/>
      <c r="AA21" s="84"/>
      <c r="AB21" s="157"/>
      <c r="AC21" s="157"/>
      <c r="AD21" s="86"/>
      <c r="AE21" s="68"/>
      <c r="AF21" s="1157">
        <f t="shared" ref="AF21:AF27" si="1">+B21+AA21+G21+L21+Q21+V21</f>
        <v>0</v>
      </c>
      <c r="AG21" s="1150"/>
      <c r="AH21" s="1150"/>
      <c r="AI21" s="1151"/>
    </row>
    <row r="22" spans="1:35" s="149" customFormat="1" ht="15" customHeight="1">
      <c r="A22" s="83" t="s">
        <v>251</v>
      </c>
      <c r="B22" s="84">
        <f>+ÓVODA!B9</f>
        <v>3118.5</v>
      </c>
      <c r="C22" s="85"/>
      <c r="D22" s="85"/>
      <c r="E22" s="86"/>
      <c r="F22" s="68"/>
      <c r="G22" s="84"/>
      <c r="H22" s="157"/>
      <c r="I22" s="157"/>
      <c r="J22" s="86"/>
      <c r="K22" s="68"/>
      <c r="L22" s="84"/>
      <c r="M22" s="157"/>
      <c r="N22" s="157"/>
      <c r="O22" s="86"/>
      <c r="Q22" s="84"/>
      <c r="R22" s="157"/>
      <c r="S22" s="157"/>
      <c r="T22" s="86"/>
      <c r="U22" s="68"/>
      <c r="V22" s="84"/>
      <c r="W22" s="157"/>
      <c r="X22" s="157"/>
      <c r="Y22" s="86"/>
      <c r="Z22" s="68"/>
      <c r="AA22" s="84"/>
      <c r="AB22" s="157"/>
      <c r="AC22" s="157"/>
      <c r="AD22" s="86"/>
      <c r="AE22" s="68"/>
      <c r="AF22" s="1157">
        <f t="shared" si="1"/>
        <v>3118.5</v>
      </c>
      <c r="AG22" s="1150"/>
      <c r="AH22" s="1150"/>
      <c r="AI22" s="1151"/>
    </row>
    <row r="23" spans="1:35" s="149" customFormat="1" ht="15" customHeight="1">
      <c r="A23" s="83" t="s">
        <v>15</v>
      </c>
      <c r="B23" s="84"/>
      <c r="C23" s="85"/>
      <c r="D23" s="85"/>
      <c r="E23" s="86"/>
      <c r="F23" s="68"/>
      <c r="G23" s="84"/>
      <c r="H23" s="157"/>
      <c r="I23" s="157"/>
      <c r="J23" s="86"/>
      <c r="K23" s="68"/>
      <c r="L23" s="84"/>
      <c r="M23" s="157"/>
      <c r="N23" s="157"/>
      <c r="O23" s="86"/>
      <c r="Q23" s="84"/>
      <c r="R23" s="157"/>
      <c r="S23" s="157"/>
      <c r="T23" s="86"/>
      <c r="U23" s="68"/>
      <c r="V23" s="84"/>
      <c r="W23" s="157"/>
      <c r="X23" s="157"/>
      <c r="Y23" s="86"/>
      <c r="Z23" s="68"/>
      <c r="AA23" s="84"/>
      <c r="AB23" s="157"/>
      <c r="AC23" s="157"/>
      <c r="AD23" s="86"/>
      <c r="AE23" s="68"/>
      <c r="AF23" s="1157">
        <f t="shared" si="1"/>
        <v>0</v>
      </c>
      <c r="AG23" s="1150"/>
      <c r="AH23" s="1150"/>
      <c r="AI23" s="1151"/>
    </row>
    <row r="24" spans="1:35" s="149" customFormat="1" ht="15" customHeight="1">
      <c r="A24" s="83" t="s">
        <v>16</v>
      </c>
      <c r="B24" s="84"/>
      <c r="C24" s="85"/>
      <c r="D24" s="85"/>
      <c r="E24" s="86"/>
      <c r="F24" s="68"/>
      <c r="G24" s="84"/>
      <c r="H24" s="157"/>
      <c r="I24" s="157"/>
      <c r="J24" s="86"/>
      <c r="K24" s="68"/>
      <c r="L24" s="84"/>
      <c r="M24" s="157"/>
      <c r="N24" s="157"/>
      <c r="O24" s="86"/>
      <c r="Q24" s="84"/>
      <c r="R24" s="157"/>
      <c r="S24" s="157"/>
      <c r="T24" s="86"/>
      <c r="U24" s="68"/>
      <c r="V24" s="84"/>
      <c r="W24" s="157"/>
      <c r="X24" s="157"/>
      <c r="Y24" s="86"/>
      <c r="Z24" s="68"/>
      <c r="AA24" s="84"/>
      <c r="AB24" s="157"/>
      <c r="AC24" s="157"/>
      <c r="AD24" s="86"/>
      <c r="AE24" s="68"/>
      <c r="AF24" s="1157">
        <f t="shared" si="1"/>
        <v>0</v>
      </c>
      <c r="AG24" s="1150"/>
      <c r="AH24" s="1150"/>
      <c r="AI24" s="1151"/>
    </row>
    <row r="25" spans="1:35" s="149" customFormat="1" ht="15" customHeight="1">
      <c r="A25" s="83" t="s">
        <v>17</v>
      </c>
      <c r="B25" s="84"/>
      <c r="C25" s="85"/>
      <c r="D25" s="85"/>
      <c r="E25" s="86"/>
      <c r="F25" s="68"/>
      <c r="G25" s="84"/>
      <c r="H25" s="157"/>
      <c r="I25" s="157"/>
      <c r="J25" s="86"/>
      <c r="K25" s="68"/>
      <c r="L25" s="84"/>
      <c r="M25" s="157"/>
      <c r="N25" s="157"/>
      <c r="O25" s="86"/>
      <c r="Q25" s="84">
        <f>+ÓVODA!Q12</f>
        <v>120</v>
      </c>
      <c r="R25" s="157"/>
      <c r="S25" s="157"/>
      <c r="T25" s="86"/>
      <c r="U25" s="68"/>
      <c r="V25" s="84"/>
      <c r="W25" s="157"/>
      <c r="X25" s="157"/>
      <c r="Y25" s="86"/>
      <c r="Z25" s="68"/>
      <c r="AA25" s="84"/>
      <c r="AB25" s="157"/>
      <c r="AC25" s="157"/>
      <c r="AD25" s="86"/>
      <c r="AE25" s="68"/>
      <c r="AF25" s="1157">
        <f t="shared" si="1"/>
        <v>120</v>
      </c>
      <c r="AG25" s="1150"/>
      <c r="AH25" s="1150"/>
      <c r="AI25" s="1151"/>
    </row>
    <row r="26" spans="1:35" s="149" customFormat="1" ht="15" customHeight="1">
      <c r="A26" s="83" t="s">
        <v>18</v>
      </c>
      <c r="B26" s="84"/>
      <c r="C26" s="85"/>
      <c r="D26" s="85"/>
      <c r="E26" s="86"/>
      <c r="F26" s="68"/>
      <c r="G26" s="84"/>
      <c r="H26" s="157"/>
      <c r="I26" s="157"/>
      <c r="J26" s="86"/>
      <c r="K26" s="68"/>
      <c r="L26" s="84"/>
      <c r="M26" s="157"/>
      <c r="N26" s="157"/>
      <c r="O26" s="86"/>
      <c r="Q26" s="84"/>
      <c r="R26" s="157"/>
      <c r="S26" s="157"/>
      <c r="T26" s="86"/>
      <c r="U26" s="68"/>
      <c r="V26" s="84"/>
      <c r="W26" s="157"/>
      <c r="X26" s="157"/>
      <c r="Y26" s="86"/>
      <c r="Z26" s="68"/>
      <c r="AA26" s="84"/>
      <c r="AB26" s="157"/>
      <c r="AC26" s="157"/>
      <c r="AD26" s="86"/>
      <c r="AE26" s="68"/>
      <c r="AF26" s="1157">
        <f t="shared" si="1"/>
        <v>0</v>
      </c>
      <c r="AG26" s="1150"/>
      <c r="AH26" s="1150"/>
      <c r="AI26" s="1151"/>
    </row>
    <row r="27" spans="1:35" s="149" customFormat="1" ht="15" customHeight="1">
      <c r="A27" s="83" t="s">
        <v>264</v>
      </c>
      <c r="B27" s="84"/>
      <c r="C27" s="85"/>
      <c r="D27" s="85"/>
      <c r="E27" s="86"/>
      <c r="F27" s="68"/>
      <c r="G27" s="84">
        <f>+ÓVODA!G8</f>
        <v>2448</v>
      </c>
      <c r="H27" s="157"/>
      <c r="I27" s="157"/>
      <c r="J27" s="86"/>
      <c r="K27" s="68"/>
      <c r="L27" s="84"/>
      <c r="M27" s="157"/>
      <c r="N27" s="157"/>
      <c r="O27" s="86"/>
      <c r="Q27" s="84"/>
      <c r="R27" s="157"/>
      <c r="S27" s="157"/>
      <c r="T27" s="86"/>
      <c r="U27" s="68"/>
      <c r="V27" s="84"/>
      <c r="W27" s="157"/>
      <c r="X27" s="157"/>
      <c r="Y27" s="86"/>
      <c r="Z27" s="68"/>
      <c r="AA27" s="84"/>
      <c r="AB27" s="157"/>
      <c r="AC27" s="157"/>
      <c r="AD27" s="86"/>
      <c r="AE27" s="68"/>
      <c r="AF27" s="1157">
        <f t="shared" si="1"/>
        <v>2448</v>
      </c>
      <c r="AG27" s="1150"/>
      <c r="AH27" s="1150"/>
      <c r="AI27" s="1151"/>
    </row>
    <row r="28" spans="1:35" s="149" customFormat="1" ht="15" customHeight="1">
      <c r="A28" s="83" t="s">
        <v>20</v>
      </c>
      <c r="B28" s="84"/>
      <c r="C28" s="85"/>
      <c r="D28" s="85"/>
      <c r="E28" s="86"/>
      <c r="F28" s="68"/>
      <c r="G28" s="84"/>
      <c r="H28" s="85"/>
      <c r="I28" s="85"/>
      <c r="J28" s="86"/>
      <c r="K28" s="68"/>
      <c r="L28" s="84"/>
      <c r="M28" s="85"/>
      <c r="N28" s="85"/>
      <c r="O28" s="86"/>
      <c r="Q28" s="84"/>
      <c r="R28" s="85"/>
      <c r="S28" s="85"/>
      <c r="T28" s="86"/>
      <c r="U28" s="68"/>
      <c r="V28" s="84"/>
      <c r="W28" s="85"/>
      <c r="X28" s="85"/>
      <c r="Y28" s="86"/>
      <c r="Z28" s="68"/>
      <c r="AA28" s="84"/>
      <c r="AB28" s="157"/>
      <c r="AC28" s="85"/>
      <c r="AD28" s="86"/>
      <c r="AE28" s="68"/>
      <c r="AF28" s="1157"/>
      <c r="AG28" s="1150"/>
      <c r="AH28" s="1150"/>
      <c r="AI28" s="1151"/>
    </row>
    <row r="29" spans="1:35" s="149" customFormat="1" ht="15" customHeight="1">
      <c r="A29" s="83" t="s">
        <v>21</v>
      </c>
      <c r="B29" s="84">
        <f>+ÓVODA!B16</f>
        <v>7317</v>
      </c>
      <c r="C29" s="85"/>
      <c r="D29" s="85"/>
      <c r="E29" s="86"/>
      <c r="F29" s="68"/>
      <c r="G29" s="84">
        <f>+ÓVODA!G16</f>
        <v>3000</v>
      </c>
      <c r="H29" s="157"/>
      <c r="I29" s="157"/>
      <c r="J29" s="86"/>
      <c r="K29" s="68"/>
      <c r="L29" s="84">
        <f>+ÓVODA!L16</f>
        <v>0</v>
      </c>
      <c r="M29" s="157"/>
      <c r="N29" s="157"/>
      <c r="O29" s="86"/>
      <c r="Q29" s="84">
        <f>+ÓVODA!Q16</f>
        <v>0</v>
      </c>
      <c r="R29" s="157"/>
      <c r="S29" s="157"/>
      <c r="T29" s="86"/>
      <c r="U29" s="68"/>
      <c r="V29" s="84">
        <f>+ÓVODA!V16</f>
        <v>0</v>
      </c>
      <c r="W29" s="157"/>
      <c r="X29" s="157"/>
      <c r="Y29" s="86"/>
      <c r="Z29" s="68"/>
      <c r="AA29" s="84">
        <f>+ÓVODA!AA16</f>
        <v>5771</v>
      </c>
      <c r="AB29" s="157"/>
      <c r="AC29" s="157"/>
      <c r="AD29" s="86"/>
      <c r="AE29" s="68"/>
      <c r="AF29" s="1157">
        <f>+B29+AA29+G29+L29+Q29+V29</f>
        <v>16088</v>
      </c>
      <c r="AG29" s="1150"/>
      <c r="AH29" s="1150"/>
      <c r="AI29" s="1151"/>
    </row>
    <row r="30" spans="1:35" s="149" customFormat="1" ht="15" customHeight="1">
      <c r="A30" s="83" t="s">
        <v>290</v>
      </c>
      <c r="B30" s="73"/>
      <c r="C30" s="74"/>
      <c r="D30" s="85"/>
      <c r="E30" s="176"/>
      <c r="F30" s="68"/>
      <c r="G30" s="73"/>
      <c r="H30" s="160"/>
      <c r="I30" s="157"/>
      <c r="J30" s="176"/>
      <c r="K30" s="68"/>
      <c r="L30" s="73"/>
      <c r="M30" s="160"/>
      <c r="N30" s="160"/>
      <c r="O30" s="176"/>
      <c r="Q30" s="73"/>
      <c r="R30" s="160"/>
      <c r="S30" s="160"/>
      <c r="T30" s="176"/>
      <c r="U30" s="68"/>
      <c r="V30" s="73"/>
      <c r="W30" s="160"/>
      <c r="X30" s="160"/>
      <c r="Y30" s="176"/>
      <c r="Z30" s="68"/>
      <c r="AA30" s="73"/>
      <c r="AB30" s="160"/>
      <c r="AC30" s="160"/>
      <c r="AD30" s="176"/>
      <c r="AE30" s="68"/>
      <c r="AF30" s="1158">
        <f>+B30+AA30+G30+L30+Q30+V30</f>
        <v>0</v>
      </c>
      <c r="AG30" s="1159"/>
      <c r="AH30" s="1159"/>
      <c r="AI30" s="1160"/>
    </row>
    <row r="31" spans="1:35" s="149" customFormat="1" ht="15" customHeight="1">
      <c r="A31" s="10" t="s">
        <v>23</v>
      </c>
      <c r="B31" s="84"/>
      <c r="C31" s="85"/>
      <c r="D31" s="85"/>
      <c r="E31" s="86"/>
      <c r="F31" s="68"/>
      <c r="G31" s="84"/>
      <c r="H31" s="85"/>
      <c r="I31" s="157"/>
      <c r="J31" s="86"/>
      <c r="K31" s="68"/>
      <c r="L31" s="84"/>
      <c r="M31" s="85"/>
      <c r="N31" s="157"/>
      <c r="O31" s="86"/>
      <c r="Q31" s="84"/>
      <c r="R31" s="85"/>
      <c r="S31" s="157"/>
      <c r="T31" s="86"/>
      <c r="U31" s="68"/>
      <c r="V31" s="84"/>
      <c r="W31" s="85"/>
      <c r="X31" s="157"/>
      <c r="Y31" s="86"/>
      <c r="Z31" s="68"/>
      <c r="AA31" s="84"/>
      <c r="AB31" s="85"/>
      <c r="AC31" s="157"/>
      <c r="AD31" s="86"/>
      <c r="AE31" s="68"/>
      <c r="AF31" s="1157"/>
      <c r="AG31" s="1150"/>
      <c r="AH31" s="1159"/>
      <c r="AI31" s="1151"/>
    </row>
    <row r="32" spans="1:35" s="149" customFormat="1" ht="15" customHeight="1" thickBot="1">
      <c r="A32" s="89" t="s">
        <v>654</v>
      </c>
      <c r="B32" s="94">
        <f>+ÓVODA!B119</f>
        <v>-0.37759999999980209</v>
      </c>
      <c r="C32" s="95"/>
      <c r="D32" s="85"/>
      <c r="E32" s="96"/>
      <c r="F32" s="68"/>
      <c r="G32" s="94"/>
      <c r="H32" s="95"/>
      <c r="I32" s="85"/>
      <c r="J32" s="96"/>
      <c r="K32" s="68"/>
      <c r="L32" s="94"/>
      <c r="M32" s="95"/>
      <c r="N32" s="85"/>
      <c r="O32" s="96"/>
      <c r="Q32" s="94"/>
      <c r="R32" s="95"/>
      <c r="S32" s="85"/>
      <c r="T32" s="96"/>
      <c r="U32" s="68"/>
      <c r="V32" s="94"/>
      <c r="W32" s="95"/>
      <c r="X32" s="85"/>
      <c r="Y32" s="96"/>
      <c r="Z32" s="68"/>
      <c r="AA32" s="73"/>
      <c r="AB32" s="74"/>
      <c r="AC32" s="85"/>
      <c r="AD32" s="176"/>
      <c r="AE32" s="68"/>
      <c r="AF32" s="1161"/>
      <c r="AG32" s="1162"/>
      <c r="AH32" s="1159"/>
      <c r="AI32" s="1163"/>
    </row>
    <row r="33" spans="1:35" s="13" customFormat="1" ht="15" customHeight="1" thickBot="1">
      <c r="A33" s="1047" t="s">
        <v>25</v>
      </c>
      <c r="B33" s="1044">
        <f>SUM(B20:B32)</f>
        <v>24633.1224</v>
      </c>
      <c r="C33" s="1046"/>
      <c r="D33" s="1046"/>
      <c r="E33" s="1045"/>
      <c r="F33" s="90"/>
      <c r="G33" s="1044">
        <f>SUM(G20:G32)</f>
        <v>40726</v>
      </c>
      <c r="H33" s="1165"/>
      <c r="I33" s="1166"/>
      <c r="J33" s="1164"/>
      <c r="K33" s="90"/>
      <c r="L33" s="1044">
        <f>SUM(L20:L32)</f>
        <v>16597</v>
      </c>
      <c r="M33" s="1165"/>
      <c r="N33" s="1166"/>
      <c r="O33" s="1164"/>
      <c r="Q33" s="1044">
        <f>SUM(Q20:Q32)</f>
        <v>42359</v>
      </c>
      <c r="R33" s="1165"/>
      <c r="S33" s="1166"/>
      <c r="T33" s="1164"/>
      <c r="U33" s="90"/>
      <c r="V33" s="1044">
        <f>SUM(V20:V32)</f>
        <v>25578</v>
      </c>
      <c r="W33" s="1165"/>
      <c r="X33" s="1166"/>
      <c r="Y33" s="1164"/>
      <c r="Z33" s="90"/>
      <c r="AA33" s="1044">
        <f>SUM(AA20:AA32)</f>
        <v>7551.61</v>
      </c>
      <c r="AB33" s="1046"/>
      <c r="AC33" s="1046"/>
      <c r="AD33" s="1045"/>
      <c r="AE33" s="90"/>
      <c r="AF33" s="1044">
        <f>SUM(AF20:AF32)</f>
        <v>157445.10999999999</v>
      </c>
      <c r="AG33" s="1046"/>
      <c r="AH33" s="1046"/>
      <c r="AI33" s="1164"/>
    </row>
    <row r="42" spans="1:35" ht="15" customHeight="1">
      <c r="H42" s="39">
        <f>+H6/65</f>
        <v>0</v>
      </c>
    </row>
    <row r="97" spans="1:9" ht="15" customHeight="1">
      <c r="A97" s="722"/>
      <c r="B97" s="764"/>
      <c r="C97" s="764"/>
      <c r="D97" s="764"/>
      <c r="E97" s="779"/>
      <c r="F97" s="773"/>
      <c r="G97" s="764"/>
      <c r="H97" s="764"/>
      <c r="I97" s="764"/>
    </row>
    <row r="98" spans="1:9" ht="15" customHeight="1">
      <c r="A98" s="52"/>
      <c r="B98" s="765"/>
      <c r="C98" s="765"/>
      <c r="D98" s="765"/>
      <c r="E98" s="781"/>
      <c r="F98" s="774"/>
      <c r="G98" s="765"/>
      <c r="H98" s="765"/>
      <c r="I98" s="765"/>
    </row>
    <row r="99" spans="1:9" ht="15" customHeight="1">
      <c r="A99" s="52"/>
      <c r="B99" s="765"/>
      <c r="C99" s="765"/>
      <c r="D99" s="765"/>
      <c r="E99" s="781"/>
      <c r="F99" s="774"/>
      <c r="G99" s="765"/>
      <c r="H99" s="765"/>
      <c r="I99" s="765"/>
    </row>
    <row r="100" spans="1:9" ht="15" customHeight="1">
      <c r="A100" s="52"/>
      <c r="B100" s="765"/>
      <c r="C100" s="765"/>
      <c r="D100" s="765"/>
      <c r="E100" s="781"/>
      <c r="F100" s="774"/>
      <c r="G100" s="765"/>
      <c r="H100" s="765"/>
      <c r="I100" s="765"/>
    </row>
    <row r="101" spans="1:9" ht="15" customHeight="1">
      <c r="A101" s="724"/>
      <c r="B101" s="767"/>
      <c r="C101" s="767"/>
      <c r="D101" s="767"/>
      <c r="E101" s="783"/>
      <c r="F101" s="775"/>
      <c r="G101" s="767"/>
      <c r="H101" s="767"/>
      <c r="I101" s="767"/>
    </row>
  </sheetData>
  <mergeCells count="14">
    <mergeCell ref="AF3:AG3"/>
    <mergeCell ref="G3:H3"/>
    <mergeCell ref="AF1:AI1"/>
    <mergeCell ref="L1:O1"/>
    <mergeCell ref="Q1:T1"/>
    <mergeCell ref="V1:Y1"/>
    <mergeCell ref="B3:C3"/>
    <mergeCell ref="B1:E1"/>
    <mergeCell ref="AA1:AD1"/>
    <mergeCell ref="G1:J1"/>
    <mergeCell ref="AA3:AB3"/>
    <mergeCell ref="V3:W3"/>
    <mergeCell ref="Q3:R3"/>
    <mergeCell ref="L3:M3"/>
  </mergeCells>
  <phoneticPr fontId="25" type="noConversion"/>
  <printOptions horizontalCentered="1"/>
  <pageMargins left="0.27559055118110237" right="0.15748031496062992" top="1.38" bottom="0.33" header="0.36" footer="0.17"/>
  <pageSetup paperSize="8" scale="70" orientation="landscape" r:id="rId1"/>
  <headerFooter alignWithMargins="0">
    <oddHeader>&amp;L&amp;"Times New Roman,Normál"&amp;12Szent László Völgye
Kistérségi Szolgáltató Iroda&amp;C&amp;"Times New Roman,Félkövér"&amp;14  2011. ÉVI KÖLTSÉGVETÉS
 &amp;R&amp;"Times New Roman,Félkövér"&amp;12 2.3 melléklet
 &amp;A
&amp;"Times New Roman,Normál"&amp;10
Adatok: eFt</oddHeader>
    <oddFooter>&amp;L&amp;F&amp;C&amp;D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U101"/>
  <sheetViews>
    <sheetView workbookViewId="0">
      <pane xSplit="1" ySplit="5" topLeftCell="S6" activePane="bottomRight" state="frozen"/>
      <selection activeCell="A30" sqref="A30"/>
      <selection pane="topRight" activeCell="A30" sqref="A30"/>
      <selection pane="bottomLeft" activeCell="A30" sqref="A30"/>
      <selection pane="bottomRight" activeCell="A30" sqref="A30"/>
    </sheetView>
  </sheetViews>
  <sheetFormatPr defaultColWidth="8.85546875" defaultRowHeight="15" customHeight="1"/>
  <cols>
    <col min="1" max="1" width="47.85546875" style="38" customWidth="1"/>
    <col min="2" max="4" width="7.7109375" style="39" customWidth="1"/>
    <col min="5" max="5" width="7.7109375" style="101" customWidth="1"/>
    <col min="6" max="6" width="3" style="197" customWidth="1"/>
    <col min="7" max="9" width="7.7109375" style="39" customWidth="1"/>
    <col min="10" max="10" width="7.7109375" style="101" customWidth="1"/>
    <col min="11" max="11" width="3" style="198" customWidth="1"/>
    <col min="12" max="14" width="7.7109375" style="39" customWidth="1"/>
    <col min="15" max="15" width="7.7109375" style="101" customWidth="1"/>
    <col min="16" max="16" width="3" style="180" customWidth="1"/>
    <col min="17" max="19" width="7.7109375" style="39" customWidth="1"/>
    <col min="20" max="20" width="7.7109375" style="101" customWidth="1"/>
    <col min="21" max="21" width="3" style="197" customWidth="1"/>
    <col min="22" max="24" width="7.7109375" style="39" customWidth="1"/>
    <col min="25" max="25" width="7.7109375" style="101" customWidth="1"/>
    <col min="26" max="16384" width="8.85546875" style="38"/>
  </cols>
  <sheetData>
    <row r="1" spans="1:255" ht="15" customHeight="1">
      <c r="A1" s="53"/>
      <c r="B1" s="2336" t="s">
        <v>291</v>
      </c>
      <c r="C1" s="2337"/>
      <c r="D1" s="2337"/>
      <c r="E1" s="2338"/>
      <c r="F1" s="178"/>
      <c r="G1" s="2336" t="s">
        <v>291</v>
      </c>
      <c r="H1" s="2337"/>
      <c r="I1" s="2337"/>
      <c r="J1" s="2338"/>
      <c r="K1" s="179"/>
      <c r="L1" s="2336" t="s">
        <v>291</v>
      </c>
      <c r="M1" s="2337"/>
      <c r="N1" s="2337"/>
      <c r="O1" s="2338"/>
      <c r="Q1" s="2336" t="s">
        <v>292</v>
      </c>
      <c r="R1" s="2337"/>
      <c r="S1" s="2337"/>
      <c r="T1" s="2338"/>
      <c r="U1" s="178"/>
      <c r="V1" s="2396" t="s">
        <v>291</v>
      </c>
      <c r="W1" s="2397"/>
      <c r="X1" s="2397"/>
      <c r="Y1" s="2398"/>
    </row>
    <row r="2" spans="1:255" ht="15" customHeight="1">
      <c r="A2" s="53"/>
      <c r="B2" s="2393" t="s">
        <v>293</v>
      </c>
      <c r="C2" s="2394"/>
      <c r="D2" s="2394"/>
      <c r="E2" s="2395"/>
      <c r="F2" s="182"/>
      <c r="G2" s="2393" t="s">
        <v>294</v>
      </c>
      <c r="H2" s="2394"/>
      <c r="I2" s="2394"/>
      <c r="J2" s="2395"/>
      <c r="K2" s="179"/>
      <c r="L2" s="2393" t="s">
        <v>295</v>
      </c>
      <c r="M2" s="2394"/>
      <c r="N2" s="2394"/>
      <c r="O2" s="2395"/>
      <c r="Q2" s="2393"/>
      <c r="R2" s="2394"/>
      <c r="S2" s="2394"/>
      <c r="T2" s="2395"/>
      <c r="U2" s="182"/>
      <c r="V2" s="2399" t="s">
        <v>296</v>
      </c>
      <c r="W2" s="2400"/>
      <c r="X2" s="2400"/>
      <c r="Y2" s="2401"/>
    </row>
    <row r="3" spans="1:255" s="60" customFormat="1" ht="15" customHeight="1">
      <c r="A3" s="53"/>
      <c r="B3" s="2368">
        <v>852011</v>
      </c>
      <c r="C3" s="2369"/>
      <c r="D3" s="2369"/>
      <c r="E3" s="2370"/>
      <c r="F3" s="183"/>
      <c r="G3" s="2368">
        <v>852021</v>
      </c>
      <c r="H3" s="2369"/>
      <c r="I3" s="2369"/>
      <c r="J3" s="2370"/>
      <c r="K3" s="184"/>
      <c r="L3" s="2405">
        <v>855911</v>
      </c>
      <c r="M3" s="2406"/>
      <c r="N3" s="2406"/>
      <c r="O3" s="2407"/>
      <c r="P3" s="183"/>
      <c r="Q3" s="2368">
        <v>479901</v>
      </c>
      <c r="R3" s="2369"/>
      <c r="S3" s="2369"/>
      <c r="T3" s="2370"/>
      <c r="U3" s="183"/>
      <c r="V3" s="2402"/>
      <c r="W3" s="2403"/>
      <c r="X3" s="2403"/>
      <c r="Y3" s="2404"/>
    </row>
    <row r="4" spans="1:255" s="188" customFormat="1" ht="15" customHeight="1">
      <c r="A4" s="185"/>
      <c r="B4" s="105" t="s">
        <v>244</v>
      </c>
      <c r="C4" s="106" t="s">
        <v>245</v>
      </c>
      <c r="D4" s="106" t="s">
        <v>246</v>
      </c>
      <c r="E4" s="107" t="s">
        <v>127</v>
      </c>
      <c r="F4" s="186"/>
      <c r="G4" s="105" t="s">
        <v>244</v>
      </c>
      <c r="H4" s="106" t="s">
        <v>245</v>
      </c>
      <c r="I4" s="106" t="s">
        <v>246</v>
      </c>
      <c r="J4" s="107" t="s">
        <v>127</v>
      </c>
      <c r="K4" s="187"/>
      <c r="L4" s="105" t="s">
        <v>244</v>
      </c>
      <c r="M4" s="106" t="s">
        <v>245</v>
      </c>
      <c r="N4" s="106" t="s">
        <v>246</v>
      </c>
      <c r="O4" s="107" t="s">
        <v>127</v>
      </c>
      <c r="P4" s="186"/>
      <c r="Q4" s="105" t="s">
        <v>244</v>
      </c>
      <c r="R4" s="106" t="s">
        <v>245</v>
      </c>
      <c r="S4" s="106" t="s">
        <v>246</v>
      </c>
      <c r="T4" s="107" t="s">
        <v>127</v>
      </c>
      <c r="U4" s="186"/>
      <c r="V4" s="1132" t="s">
        <v>244</v>
      </c>
      <c r="W4" s="1133" t="s">
        <v>245</v>
      </c>
      <c r="X4" s="1133" t="s">
        <v>246</v>
      </c>
      <c r="Y4" s="1134" t="s">
        <v>127</v>
      </c>
    </row>
    <row r="5" spans="1:255" s="192" customFormat="1" ht="15" customHeight="1" thickBot="1">
      <c r="A5" s="185"/>
      <c r="B5" s="2388" t="s">
        <v>128</v>
      </c>
      <c r="C5" s="2389"/>
      <c r="D5" s="189"/>
      <c r="E5" s="108"/>
      <c r="F5" s="190"/>
      <c r="G5" s="2388" t="s">
        <v>128</v>
      </c>
      <c r="H5" s="2389"/>
      <c r="I5" s="189"/>
      <c r="J5" s="108"/>
      <c r="K5" s="191"/>
      <c r="L5" s="2388" t="s">
        <v>128</v>
      </c>
      <c r="M5" s="2389"/>
      <c r="N5" s="189"/>
      <c r="O5" s="108"/>
      <c r="P5" s="190"/>
      <c r="Q5" s="2388" t="s">
        <v>128</v>
      </c>
      <c r="R5" s="2389"/>
      <c r="S5" s="189"/>
      <c r="T5" s="108"/>
      <c r="U5" s="190"/>
      <c r="V5" s="2390" t="s">
        <v>128</v>
      </c>
      <c r="W5" s="2391"/>
      <c r="X5" s="1172"/>
      <c r="Y5" s="1173"/>
    </row>
    <row r="6" spans="1:255" ht="18.75" customHeight="1">
      <c r="A6" s="193" t="s">
        <v>247</v>
      </c>
      <c r="B6" s="114"/>
      <c r="C6" s="194"/>
      <c r="D6" s="195"/>
      <c r="E6" s="196"/>
      <c r="G6" s="114"/>
      <c r="H6" s="195"/>
      <c r="I6" s="195"/>
      <c r="J6" s="196"/>
      <c r="L6" s="199"/>
      <c r="M6" s="195"/>
      <c r="N6" s="195"/>
      <c r="O6" s="196"/>
      <c r="Q6" s="114"/>
      <c r="R6" s="195"/>
      <c r="S6" s="195"/>
      <c r="T6" s="196"/>
      <c r="V6" s="1114"/>
      <c r="W6" s="1115"/>
      <c r="X6" s="1115"/>
      <c r="Y6" s="1174"/>
    </row>
    <row r="7" spans="1:255" ht="15" customHeight="1">
      <c r="A7" s="8" t="s">
        <v>297</v>
      </c>
      <c r="B7" s="111">
        <f>+ISKOLANORMATÍVA!D39/2</f>
        <v>2346</v>
      </c>
      <c r="C7" s="15"/>
      <c r="D7" s="112"/>
      <c r="E7" s="113"/>
      <c r="G7" s="111">
        <f>+B7</f>
        <v>2346</v>
      </c>
      <c r="H7" s="112"/>
      <c r="I7" s="112"/>
      <c r="J7" s="113"/>
      <c r="L7" s="111"/>
      <c r="M7" s="112"/>
      <c r="N7" s="112"/>
      <c r="O7" s="113"/>
      <c r="Q7" s="111"/>
      <c r="R7" s="112"/>
      <c r="S7" s="112"/>
      <c r="T7" s="113"/>
      <c r="V7" s="1175">
        <f>+ISKOLANORMATÍVA!D39</f>
        <v>4692</v>
      </c>
      <c r="W7" s="1119"/>
      <c r="X7" s="1119"/>
      <c r="Y7" s="1052"/>
    </row>
    <row r="8" spans="1:255" ht="15" customHeight="1">
      <c r="A8" s="8" t="s">
        <v>298</v>
      </c>
      <c r="B8" s="111">
        <f>+ISKOLANORMATÍVA!J4+ISKOLANORMATÍVA!P4</f>
        <v>13944</v>
      </c>
      <c r="C8" s="15"/>
      <c r="D8" s="15"/>
      <c r="E8" s="113"/>
      <c r="G8" s="111"/>
      <c r="H8" s="112"/>
      <c r="I8" s="112"/>
      <c r="J8" s="113"/>
      <c r="L8" s="200"/>
      <c r="M8" s="112"/>
      <c r="N8" s="112"/>
      <c r="O8" s="113"/>
      <c r="Q8" s="111"/>
      <c r="R8" s="112"/>
      <c r="S8" s="112"/>
      <c r="T8" s="113"/>
      <c r="V8" s="1175">
        <f>+KÖZOKTATÁS!D13+KÖZOKTATÁS!D22</f>
        <v>13944</v>
      </c>
      <c r="W8" s="1119"/>
      <c r="X8" s="1119"/>
      <c r="Y8" s="1052"/>
    </row>
    <row r="9" spans="1:255" ht="15" customHeight="1">
      <c r="A9" s="8" t="s">
        <v>299</v>
      </c>
      <c r="B9" s="111"/>
      <c r="C9" s="15"/>
      <c r="D9" s="15"/>
      <c r="E9" s="113"/>
      <c r="G9" s="111">
        <f>+ISKOLANORMATÍVA!J7+ISKOLANORMATÍVA!P7</f>
        <v>14257</v>
      </c>
      <c r="H9" s="112"/>
      <c r="I9" s="112"/>
      <c r="J9" s="113"/>
      <c r="L9" s="111"/>
      <c r="M9" s="112"/>
      <c r="N9" s="112"/>
      <c r="O9" s="113"/>
      <c r="Q9" s="111"/>
      <c r="R9" s="112"/>
      <c r="S9" s="112"/>
      <c r="T9" s="113"/>
      <c r="V9" s="1175">
        <f>+KÖZOKTATÁS!D17+KÖZOKTATÁS!D26</f>
        <v>14257</v>
      </c>
      <c r="W9" s="1119"/>
      <c r="X9" s="1119"/>
      <c r="Y9" s="1052"/>
    </row>
    <row r="10" spans="1:255" ht="15" customHeight="1">
      <c r="A10" s="8" t="s">
        <v>300</v>
      </c>
      <c r="B10" s="111"/>
      <c r="C10" s="15"/>
      <c r="D10" s="15"/>
      <c r="E10" s="113"/>
      <c r="G10" s="111"/>
      <c r="H10" s="112"/>
      <c r="I10" s="112"/>
      <c r="J10" s="113"/>
      <c r="L10" s="111">
        <f>+ISKOLANORMATÍVA!I10+ISKOLANORMATÍVA!O10+ISKOLANORMATÍVA!I11+ISKOLANORMATÍVA!O11</f>
        <v>1645</v>
      </c>
      <c r="M10" s="112"/>
      <c r="N10" s="112"/>
      <c r="O10" s="113"/>
      <c r="Q10" s="111"/>
      <c r="R10" s="112"/>
      <c r="S10" s="112"/>
      <c r="T10" s="113"/>
      <c r="V10" s="1175">
        <f>+ISKOLANORMATÍVA!D35</f>
        <v>1645</v>
      </c>
      <c r="W10" s="1119"/>
      <c r="X10" s="1119"/>
      <c r="Y10" s="1052"/>
    </row>
    <row r="11" spans="1:255" ht="15" customHeight="1">
      <c r="A11" s="8" t="s">
        <v>301</v>
      </c>
      <c r="B11" s="111">
        <f>+(ISKOLANORMATÍVA!G14+ISKOLANORMATÍVA!G15)/2</f>
        <v>780.5</v>
      </c>
      <c r="C11" s="15"/>
      <c r="D11" s="15"/>
      <c r="E11" s="113"/>
      <c r="G11" s="111">
        <f>+B11</f>
        <v>780.5</v>
      </c>
      <c r="H11" s="15"/>
      <c r="I11" s="15"/>
      <c r="J11" s="113"/>
      <c r="L11" s="111"/>
      <c r="M11" s="112"/>
      <c r="N11" s="112"/>
      <c r="O11" s="113"/>
      <c r="Q11" s="111"/>
      <c r="R11" s="112"/>
      <c r="S11" s="112"/>
      <c r="T11" s="113"/>
      <c r="V11" s="1175">
        <f>+ISKOLANORMATÍVA!D38</f>
        <v>1561</v>
      </c>
      <c r="W11" s="1119"/>
      <c r="X11" s="1119"/>
      <c r="Y11" s="1052"/>
    </row>
    <row r="12" spans="1:255" ht="15" customHeight="1">
      <c r="A12" s="8" t="s">
        <v>302</v>
      </c>
      <c r="B12" s="111"/>
      <c r="C12" s="15"/>
      <c r="D12" s="15"/>
      <c r="E12" s="113"/>
      <c r="G12" s="111"/>
      <c r="H12" s="112"/>
      <c r="I12" s="112"/>
      <c r="J12" s="113"/>
      <c r="L12" s="111"/>
      <c r="M12" s="112"/>
      <c r="N12" s="112"/>
      <c r="O12" s="113"/>
      <c r="Q12" s="111">
        <f>+ISKOLANORMATÍVA!D43</f>
        <v>1248</v>
      </c>
      <c r="R12" s="112"/>
      <c r="S12" s="112"/>
      <c r="T12" s="113"/>
      <c r="V12" s="1175">
        <f>+ISKOLANORMATÍVA!D43</f>
        <v>1248</v>
      </c>
      <c r="W12" s="1119"/>
      <c r="X12" s="1119"/>
      <c r="Y12" s="1052"/>
    </row>
    <row r="13" spans="1:255" ht="15" customHeight="1">
      <c r="A13" s="201" t="s">
        <v>303</v>
      </c>
      <c r="B13" s="118">
        <f>+ISKOLANORMATÍVA!D44/2</f>
        <v>160</v>
      </c>
      <c r="C13" s="24"/>
      <c r="D13" s="24"/>
      <c r="E13" s="142"/>
      <c r="G13" s="118">
        <f>+B13</f>
        <v>160</v>
      </c>
      <c r="H13" s="134"/>
      <c r="I13" s="134"/>
      <c r="J13" s="142"/>
      <c r="L13" s="118"/>
      <c r="M13" s="134"/>
      <c r="N13" s="134"/>
      <c r="O13" s="142"/>
      <c r="Q13" s="118"/>
      <c r="R13" s="134"/>
      <c r="S13" s="134"/>
      <c r="T13" s="142"/>
      <c r="V13" s="1176">
        <f>+ISKOLANORMATÍVA!D44</f>
        <v>320</v>
      </c>
      <c r="W13" s="1120"/>
      <c r="X13" s="1120"/>
      <c r="Y13" s="1125"/>
    </row>
    <row r="14" spans="1:255" ht="15" customHeight="1">
      <c r="A14" s="201" t="s">
        <v>276</v>
      </c>
      <c r="B14" s="202">
        <f>+ISKOLANORMATÍVA!D18+ISKOLANORMATÍVA!G18</f>
        <v>3510</v>
      </c>
      <c r="C14" s="17"/>
      <c r="D14" s="17"/>
      <c r="E14" s="203"/>
      <c r="G14" s="202">
        <f>+ISKOLANORMATÍVA!D19+ISKOLANORMATÍVA!D20+ISKOLANORMATÍVA!G19+ISKOLANORMATÍVA!G20</f>
        <v>2935</v>
      </c>
      <c r="H14" s="204"/>
      <c r="I14" s="17"/>
      <c r="J14" s="203"/>
      <c r="L14" s="202"/>
      <c r="M14" s="204"/>
      <c r="N14" s="17"/>
      <c r="O14" s="203"/>
      <c r="Q14" s="202"/>
      <c r="R14" s="204"/>
      <c r="S14" s="204"/>
      <c r="T14" s="203"/>
      <c r="V14" s="1176">
        <f>+ISKOLANORMATÍVA!D42</f>
        <v>6445</v>
      </c>
      <c r="W14" s="1120"/>
      <c r="X14" s="1120"/>
      <c r="Y14" s="1125"/>
    </row>
    <row r="15" spans="1:255" s="133" customFormat="1" ht="15" customHeight="1">
      <c r="A15" s="205" t="s">
        <v>277</v>
      </c>
      <c r="B15" s="127">
        <f>SUM(B7:B14)</f>
        <v>20740.5</v>
      </c>
      <c r="C15" s="128"/>
      <c r="D15" s="128"/>
      <c r="E15" s="130"/>
      <c r="F15" s="206"/>
      <c r="G15" s="127">
        <f>SUM(G7:G14)</f>
        <v>20478.5</v>
      </c>
      <c r="H15" s="129"/>
      <c r="I15" s="129"/>
      <c r="J15" s="130"/>
      <c r="K15" s="207"/>
      <c r="L15" s="127">
        <f>SUM(L7:L14)</f>
        <v>1645</v>
      </c>
      <c r="M15" s="129"/>
      <c r="N15" s="129"/>
      <c r="O15" s="130"/>
      <c r="P15" s="208"/>
      <c r="Q15" s="127">
        <f>SUM(Q12:Q14)</f>
        <v>1248</v>
      </c>
      <c r="R15" s="129"/>
      <c r="S15" s="129"/>
      <c r="T15" s="130"/>
      <c r="U15" s="206"/>
      <c r="V15" s="1121">
        <f>SUM(V7:V14)</f>
        <v>44112</v>
      </c>
      <c r="W15" s="1122"/>
      <c r="X15" s="1122"/>
      <c r="Y15" s="1124"/>
    </row>
    <row r="16" spans="1:255" s="133" customFormat="1" ht="15" customHeight="1" thickBot="1">
      <c r="A16" s="209" t="s">
        <v>304</v>
      </c>
      <c r="B16" s="210"/>
      <c r="C16" s="211"/>
      <c r="D16" s="211"/>
      <c r="E16" s="212"/>
      <c r="F16" s="206"/>
      <c r="G16" s="210"/>
      <c r="H16" s="211"/>
      <c r="I16" s="211"/>
      <c r="J16" s="212"/>
      <c r="K16" s="207"/>
      <c r="L16" s="210"/>
      <c r="M16" s="213"/>
      <c r="N16" s="213"/>
      <c r="O16" s="212"/>
      <c r="P16" s="208"/>
      <c r="Q16" s="210"/>
      <c r="R16" s="213"/>
      <c r="S16" s="213"/>
      <c r="T16" s="212"/>
      <c r="U16" s="206"/>
      <c r="V16" s="1177">
        <f>+ISKOLANORMATÍVA!D70</f>
        <v>5474.2</v>
      </c>
      <c r="W16" s="1178"/>
      <c r="X16" s="1178"/>
      <c r="Y16" s="1179"/>
      <c r="Z16" s="214">
        <f>+ISKOLANORMATÍVA!D70/1000</f>
        <v>5.4741999999999997</v>
      </c>
      <c r="IU16" s="214">
        <f>SUM(C16:IT16)</f>
        <v>5479.6741999999995</v>
      </c>
    </row>
    <row r="17" spans="1:255" s="133" customFormat="1" ht="15" customHeight="1" thickBot="1">
      <c r="A17" s="215" t="s">
        <v>305</v>
      </c>
      <c r="B17" s="216">
        <f>SUM(B15:B16)</f>
        <v>20740.5</v>
      </c>
      <c r="C17" s="20">
        <f>SUM(C15:C16)</f>
        <v>0</v>
      </c>
      <c r="D17" s="20">
        <f>SUM(D15:D16)</f>
        <v>0</v>
      </c>
      <c r="E17" s="217"/>
      <c r="F17" s="206"/>
      <c r="G17" s="216">
        <f>SUM(G15:G16)</f>
        <v>20478.5</v>
      </c>
      <c r="H17" s="218">
        <f>SUM(H15:H16)</f>
        <v>0</v>
      </c>
      <c r="I17" s="218">
        <f>SUM(I15:I16)</f>
        <v>0</v>
      </c>
      <c r="J17" s="217"/>
      <c r="K17" s="207"/>
      <c r="L17" s="216">
        <f>SUM(L15:L16)</f>
        <v>1645</v>
      </c>
      <c r="M17" s="218">
        <f>SUM(M15:M16)</f>
        <v>0</v>
      </c>
      <c r="N17" s="218">
        <f>SUM(N15:N16)</f>
        <v>0</v>
      </c>
      <c r="O17" s="217"/>
      <c r="P17" s="208"/>
      <c r="Q17" s="216">
        <f>SUM(Q14:Q16)</f>
        <v>1248</v>
      </c>
      <c r="R17" s="218">
        <f>SUM(R15:R16)</f>
        <v>0</v>
      </c>
      <c r="S17" s="218">
        <f>SUM(S15:S16)</f>
        <v>0</v>
      </c>
      <c r="T17" s="217"/>
      <c r="U17" s="206"/>
      <c r="V17" s="1048">
        <f>SUM(V15:V16)</f>
        <v>49586.2</v>
      </c>
      <c r="W17" s="1050"/>
      <c r="X17" s="1050"/>
      <c r="Y17" s="1049"/>
      <c r="IU17" s="219">
        <f>SUM(Y17:IT17)</f>
        <v>0</v>
      </c>
    </row>
    <row r="18" spans="1:255" ht="16.5" customHeight="1" thickBot="1">
      <c r="A18" s="23" t="s">
        <v>251</v>
      </c>
      <c r="B18" s="118"/>
      <c r="C18" s="24"/>
      <c r="D18" s="24"/>
      <c r="E18" s="142"/>
      <c r="G18" s="118"/>
      <c r="H18" s="24"/>
      <c r="I18" s="24"/>
      <c r="J18" s="142"/>
      <c r="L18" s="118"/>
      <c r="M18" s="24"/>
      <c r="N18" s="24"/>
      <c r="O18" s="142"/>
      <c r="Q18" s="118"/>
      <c r="R18" s="24"/>
      <c r="S18" s="24"/>
      <c r="T18" s="142"/>
      <c r="V18" s="1175"/>
      <c r="W18" s="1119"/>
      <c r="X18" s="1119"/>
      <c r="Y18" s="1052"/>
    </row>
    <row r="19" spans="1:255" ht="15" customHeight="1">
      <c r="A19" s="9" t="s">
        <v>289</v>
      </c>
      <c r="B19" s="118"/>
      <c r="C19" s="24"/>
      <c r="D19" s="24"/>
      <c r="E19" s="142"/>
      <c r="G19" s="118"/>
      <c r="H19" s="24"/>
      <c r="I19" s="24"/>
      <c r="J19" s="142"/>
      <c r="L19" s="118"/>
      <c r="M19" s="24"/>
      <c r="N19" s="24"/>
      <c r="O19" s="142"/>
      <c r="Q19" s="118"/>
      <c r="R19" s="24"/>
      <c r="S19" s="24"/>
      <c r="T19" s="142"/>
      <c r="V19" s="1175"/>
      <c r="W19" s="1119"/>
      <c r="X19" s="1119"/>
      <c r="Y19" s="1052"/>
      <c r="Z19" s="220"/>
    </row>
    <row r="20" spans="1:255" ht="15" customHeight="1">
      <c r="A20" s="9" t="s">
        <v>16</v>
      </c>
      <c r="B20" s="118"/>
      <c r="C20" s="24"/>
      <c r="D20" s="24"/>
      <c r="E20" s="142"/>
      <c r="G20" s="118"/>
      <c r="H20" s="24"/>
      <c r="I20" s="24"/>
      <c r="J20" s="142"/>
      <c r="L20" s="118"/>
      <c r="M20" s="24"/>
      <c r="N20" s="24"/>
      <c r="O20" s="142"/>
      <c r="Q20" s="118"/>
      <c r="R20" s="24"/>
      <c r="S20" s="24"/>
      <c r="T20" s="142"/>
      <c r="V20" s="1175"/>
      <c r="W20" s="1119"/>
      <c r="X20" s="1119"/>
      <c r="Y20" s="1052"/>
      <c r="Z20" s="221"/>
    </row>
    <row r="21" spans="1:255" ht="15" customHeight="1">
      <c r="A21" s="9" t="s">
        <v>17</v>
      </c>
      <c r="B21" s="118"/>
      <c r="C21" s="24"/>
      <c r="D21" s="24"/>
      <c r="E21" s="142"/>
      <c r="G21" s="118"/>
      <c r="H21" s="24"/>
      <c r="I21" s="24"/>
      <c r="J21" s="142"/>
      <c r="L21" s="118"/>
      <c r="M21" s="24"/>
      <c r="N21" s="24"/>
      <c r="O21" s="142"/>
      <c r="Q21" s="118"/>
      <c r="R21" s="24"/>
      <c r="S21" s="24"/>
      <c r="T21" s="142"/>
      <c r="V21" s="1175"/>
      <c r="W21" s="1119"/>
      <c r="X21" s="1119"/>
      <c r="Y21" s="1052"/>
      <c r="Z21" s="221"/>
    </row>
    <row r="22" spans="1:255" ht="15" customHeight="1">
      <c r="A22" s="222" t="s">
        <v>18</v>
      </c>
      <c r="B22" s="118"/>
      <c r="C22" s="24"/>
      <c r="D22" s="24"/>
      <c r="E22" s="142"/>
      <c r="G22" s="118"/>
      <c r="H22" s="24"/>
      <c r="I22" s="24"/>
      <c r="J22" s="142"/>
      <c r="L22" s="118"/>
      <c r="M22" s="24"/>
      <c r="N22" s="24"/>
      <c r="O22" s="142"/>
      <c r="Q22" s="118"/>
      <c r="R22" s="24"/>
      <c r="S22" s="24"/>
      <c r="T22" s="142"/>
      <c r="V22" s="1175"/>
      <c r="W22" s="1119"/>
      <c r="X22" s="1119"/>
      <c r="Y22" s="1052"/>
      <c r="Z22" s="221"/>
    </row>
    <row r="23" spans="1:255" ht="15" customHeight="1" thickBot="1">
      <c r="A23" s="9" t="s">
        <v>306</v>
      </c>
      <c r="B23" s="118"/>
      <c r="C23" s="24"/>
      <c r="D23" s="24"/>
      <c r="E23" s="142"/>
      <c r="G23" s="118"/>
      <c r="H23" s="24"/>
      <c r="I23" s="24"/>
      <c r="J23" s="142"/>
      <c r="L23" s="118"/>
      <c r="M23" s="24"/>
      <c r="N23" s="24"/>
      <c r="O23" s="142"/>
      <c r="Q23" s="118"/>
      <c r="R23" s="24"/>
      <c r="S23" s="24"/>
      <c r="T23" s="142"/>
      <c r="V23" s="1175"/>
      <c r="W23" s="1119"/>
      <c r="X23" s="1119"/>
      <c r="Y23" s="1052"/>
      <c r="Z23" s="223"/>
    </row>
    <row r="24" spans="1:255" ht="15" customHeight="1">
      <c r="A24" s="9" t="s">
        <v>20</v>
      </c>
      <c r="B24" s="118"/>
      <c r="C24" s="24"/>
      <c r="D24" s="24"/>
      <c r="E24" s="142"/>
      <c r="G24" s="118"/>
      <c r="H24" s="24"/>
      <c r="I24" s="24"/>
      <c r="J24" s="142"/>
      <c r="L24" s="118"/>
      <c r="M24" s="24"/>
      <c r="N24" s="24"/>
      <c r="O24" s="142"/>
      <c r="Q24" s="118"/>
      <c r="R24" s="24"/>
      <c r="S24" s="24"/>
      <c r="T24" s="142"/>
      <c r="V24" s="1175"/>
      <c r="W24" s="1119"/>
      <c r="X24" s="1119"/>
      <c r="Y24" s="1052"/>
    </row>
    <row r="25" spans="1:255" ht="15" customHeight="1">
      <c r="A25" s="9" t="s">
        <v>21</v>
      </c>
      <c r="B25" s="118"/>
      <c r="C25" s="24"/>
      <c r="D25" s="24"/>
      <c r="E25" s="142"/>
      <c r="G25" s="118"/>
      <c r="H25" s="24"/>
      <c r="I25" s="24"/>
      <c r="J25" s="142"/>
      <c r="L25" s="118"/>
      <c r="M25" s="24"/>
      <c r="N25" s="24"/>
      <c r="O25" s="142"/>
      <c r="Q25" s="118"/>
      <c r="R25" s="24"/>
      <c r="S25" s="24"/>
      <c r="T25" s="142"/>
      <c r="V25" s="1175">
        <f>+'KOZMA FERENC ÁLT. ISK.'!V17</f>
        <v>26764</v>
      </c>
      <c r="W25" s="1119"/>
      <c r="X25" s="1119"/>
      <c r="Y25" s="1052"/>
    </row>
    <row r="26" spans="1:255" ht="15" customHeight="1">
      <c r="A26" s="83" t="s">
        <v>22</v>
      </c>
      <c r="B26" s="73"/>
      <c r="C26" s="224"/>
      <c r="D26" s="224"/>
      <c r="E26" s="225"/>
      <c r="F26" s="149"/>
      <c r="G26" s="29"/>
      <c r="H26" s="74"/>
      <c r="I26" s="74"/>
      <c r="J26" s="225"/>
      <c r="K26" s="149"/>
      <c r="L26" s="29"/>
      <c r="M26" s="224"/>
      <c r="N26" s="224"/>
      <c r="O26" s="225"/>
      <c r="P26" s="149"/>
      <c r="Q26" s="29"/>
      <c r="R26" s="224"/>
      <c r="S26" s="224"/>
      <c r="T26" s="225"/>
      <c r="U26" s="149"/>
      <c r="V26" s="1157"/>
      <c r="W26" s="1150"/>
      <c r="X26" s="1150"/>
      <c r="Y26" s="1180"/>
    </row>
    <row r="27" spans="1:255" s="92" customFormat="1" ht="15" customHeight="1">
      <c r="A27" s="89" t="s">
        <v>23</v>
      </c>
      <c r="B27" s="84"/>
      <c r="C27" s="226"/>
      <c r="D27" s="226"/>
      <c r="E27" s="227"/>
      <c r="F27" s="149"/>
      <c r="G27" s="228"/>
      <c r="H27" s="229"/>
      <c r="I27" s="230"/>
      <c r="J27" s="227"/>
      <c r="K27" s="149"/>
      <c r="L27" s="228"/>
      <c r="M27" s="231"/>
      <c r="N27" s="232"/>
      <c r="O27" s="227"/>
      <c r="P27" s="149"/>
      <c r="Q27" s="228"/>
      <c r="R27" s="231"/>
      <c r="S27" s="231"/>
      <c r="T27" s="227"/>
      <c r="U27" s="149"/>
      <c r="V27" s="1157"/>
      <c r="W27" s="1150"/>
      <c r="X27" s="1150"/>
      <c r="Y27" s="1180"/>
    </row>
    <row r="28" spans="1:255" s="92" customFormat="1" ht="15" customHeight="1" thickBot="1">
      <c r="A28" s="89" t="s">
        <v>24</v>
      </c>
      <c r="B28" s="94"/>
      <c r="C28" s="233"/>
      <c r="D28" s="95"/>
      <c r="E28" s="234"/>
      <c r="F28" s="149"/>
      <c r="G28" s="235"/>
      <c r="H28" s="236"/>
      <c r="I28" s="95"/>
      <c r="J28" s="234"/>
      <c r="K28" s="149"/>
      <c r="L28" s="235"/>
      <c r="M28" s="237"/>
      <c r="N28" s="95"/>
      <c r="O28" s="234"/>
      <c r="P28" s="149"/>
      <c r="Q28" s="235"/>
      <c r="R28" s="237"/>
      <c r="S28" s="95"/>
      <c r="T28" s="234"/>
      <c r="U28" s="149"/>
      <c r="V28" s="1158"/>
      <c r="W28" s="1159"/>
      <c r="X28" s="1159"/>
      <c r="Y28" s="1181"/>
    </row>
    <row r="29" spans="1:255" s="92" customFormat="1" ht="15" customHeight="1" thickBot="1">
      <c r="A29" s="1047" t="s">
        <v>25</v>
      </c>
      <c r="B29" s="1167">
        <f>SUM(B6:B26)</f>
        <v>62221.5</v>
      </c>
      <c r="C29" s="1168">
        <f>SUM(C17:C26)</f>
        <v>0</v>
      </c>
      <c r="D29" s="1168">
        <f>SUM(D17:D28)</f>
        <v>0</v>
      </c>
      <c r="E29" s="1169"/>
      <c r="F29" s="90"/>
      <c r="G29" s="1167"/>
      <c r="H29" s="1170">
        <f>SUM(H17:H26)</f>
        <v>0</v>
      </c>
      <c r="I29" s="1171">
        <f>SUM(I17:I28)</f>
        <v>0</v>
      </c>
      <c r="J29" s="1169"/>
      <c r="K29" s="12"/>
      <c r="L29" s="1167"/>
      <c r="M29" s="1170">
        <f>SUM(M17:M26)</f>
        <v>0</v>
      </c>
      <c r="N29" s="1171">
        <f>SUM(N17:N28)</f>
        <v>0</v>
      </c>
      <c r="O29" s="1169"/>
      <c r="P29" s="13"/>
      <c r="Q29" s="1167"/>
      <c r="R29" s="1170">
        <f>SUM(R17:R26)</f>
        <v>0</v>
      </c>
      <c r="S29" s="1170">
        <f>SUM(S17:S28)</f>
        <v>0</v>
      </c>
      <c r="T29" s="1169"/>
      <c r="U29" s="90"/>
      <c r="V29" s="1044">
        <f>SUM(V17:V28)</f>
        <v>76350.2</v>
      </c>
      <c r="W29" s="1046"/>
      <c r="X29" s="1046"/>
      <c r="Y29" s="1045"/>
    </row>
    <row r="30" spans="1:255" s="92" customFormat="1" ht="15" customHeight="1">
      <c r="A30" s="13"/>
      <c r="B30" s="12"/>
      <c r="C30" s="12"/>
      <c r="D30" s="12"/>
      <c r="E30" s="90"/>
      <c r="F30" s="238"/>
      <c r="G30" s="12"/>
      <c r="H30" s="12"/>
      <c r="I30" s="12"/>
      <c r="J30" s="90"/>
      <c r="K30" s="239"/>
      <c r="L30" s="12"/>
      <c r="M30" s="12"/>
      <c r="N30" s="12"/>
      <c r="O30" s="90"/>
      <c r="P30" s="240"/>
      <c r="Q30" s="12"/>
      <c r="R30" s="12"/>
      <c r="S30" s="12"/>
      <c r="T30" s="90"/>
      <c r="U30" s="238"/>
      <c r="V30" s="12"/>
      <c r="W30" s="12"/>
      <c r="X30" s="12"/>
      <c r="Y30" s="90"/>
    </row>
    <row r="31" spans="1:255" ht="15" customHeight="1">
      <c r="A31" s="2392"/>
      <c r="B31" s="2392"/>
      <c r="C31" s="2392"/>
      <c r="D31" s="24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2"/>
      <c r="W31" s="13"/>
      <c r="X31" s="13"/>
      <c r="Y31" s="13"/>
    </row>
    <row r="32" spans="1:255" ht="15" customHeight="1">
      <c r="A32" s="13"/>
      <c r="B32" s="12"/>
      <c r="C32" s="12"/>
      <c r="D32" s="12"/>
      <c r="E32" s="90"/>
      <c r="F32" s="238"/>
      <c r="G32" s="12"/>
      <c r="H32" s="12"/>
      <c r="I32" s="12"/>
      <c r="J32" s="90"/>
      <c r="K32" s="239"/>
      <c r="L32" s="12"/>
      <c r="M32" s="12"/>
      <c r="N32" s="12"/>
      <c r="O32" s="90"/>
      <c r="P32" s="240"/>
      <c r="Q32" s="12"/>
      <c r="R32" s="12"/>
      <c r="S32" s="12"/>
      <c r="T32" s="90"/>
      <c r="U32" s="238"/>
      <c r="V32" s="12"/>
      <c r="W32" s="12"/>
      <c r="X32" s="12"/>
      <c r="Y32" s="90"/>
    </row>
    <row r="33" spans="1:25" ht="15" customHeight="1">
      <c r="A33" s="38" t="s">
        <v>307</v>
      </c>
      <c r="B33" s="214"/>
      <c r="C33" s="39">
        <v>88</v>
      </c>
      <c r="E33" s="219"/>
      <c r="F33" s="206"/>
      <c r="H33" s="39">
        <v>90</v>
      </c>
      <c r="J33" s="219"/>
      <c r="K33" s="207"/>
      <c r="M33" s="39">
        <v>72</v>
      </c>
      <c r="O33" s="219"/>
      <c r="T33" s="219"/>
      <c r="U33" s="206"/>
      <c r="W33" s="39">
        <f>+M33+H33+C33</f>
        <v>250</v>
      </c>
      <c r="Y33" s="219"/>
    </row>
    <row r="34" spans="1:25" ht="15" customHeight="1">
      <c r="C34" s="101">
        <f>+C33/W33</f>
        <v>0.35199999999999998</v>
      </c>
      <c r="D34" s="101"/>
      <c r="H34" s="177">
        <f>+H33/W33</f>
        <v>0.36</v>
      </c>
      <c r="I34" s="177"/>
      <c r="M34" s="177">
        <f>+M33/W33</f>
        <v>0.28799999999999998</v>
      </c>
      <c r="N34" s="177"/>
    </row>
    <row r="35" spans="1:25" ht="15" customHeight="1">
      <c r="A35" s="38" t="s">
        <v>308</v>
      </c>
      <c r="C35" s="39">
        <v>8</v>
      </c>
      <c r="H35" s="39">
        <v>9</v>
      </c>
      <c r="M35" s="39">
        <v>1</v>
      </c>
    </row>
    <row r="36" spans="1:25" ht="15" customHeight="1">
      <c r="A36" s="38" t="s">
        <v>309</v>
      </c>
      <c r="C36" s="39">
        <v>0</v>
      </c>
      <c r="H36" s="39">
        <v>4</v>
      </c>
      <c r="M36" s="39">
        <v>2</v>
      </c>
    </row>
    <row r="37" spans="1:25" ht="15" customHeight="1">
      <c r="A37" s="38" t="s">
        <v>310</v>
      </c>
      <c r="C37" s="39">
        <v>8</v>
      </c>
      <c r="H37" s="39">
        <v>11</v>
      </c>
      <c r="M37" s="39">
        <v>2</v>
      </c>
    </row>
    <row r="39" spans="1:25" ht="15" customHeight="1">
      <c r="A39" s="38" t="s">
        <v>311</v>
      </c>
      <c r="C39" s="39">
        <v>4</v>
      </c>
      <c r="H39" s="39">
        <v>8</v>
      </c>
      <c r="M39" s="39">
        <v>1</v>
      </c>
    </row>
    <row r="71" spans="2:25" s="247" customFormat="1" ht="15" customHeight="1">
      <c r="B71" s="242"/>
      <c r="C71" s="242"/>
      <c r="D71" s="242"/>
      <c r="E71" s="243" t="s">
        <v>312</v>
      </c>
      <c r="F71" s="244">
        <v>-3247</v>
      </c>
      <c r="G71" s="242"/>
      <c r="H71" s="242"/>
      <c r="I71" s="242"/>
      <c r="J71" s="243"/>
      <c r="K71" s="245"/>
      <c r="L71" s="242"/>
      <c r="M71" s="242"/>
      <c r="N71" s="242"/>
      <c r="O71" s="243"/>
      <c r="P71" s="246"/>
      <c r="Q71" s="242"/>
      <c r="R71" s="242"/>
      <c r="S71" s="242"/>
      <c r="T71" s="243"/>
      <c r="U71" s="244"/>
      <c r="V71" s="242"/>
      <c r="W71" s="242"/>
      <c r="X71" s="242"/>
      <c r="Y71" s="243"/>
    </row>
    <row r="79" spans="2:25" s="247" customFormat="1" ht="15" customHeight="1">
      <c r="B79" s="242"/>
      <c r="C79" s="242"/>
      <c r="D79" s="242"/>
      <c r="E79" s="243" t="s">
        <v>312</v>
      </c>
      <c r="F79" s="244"/>
      <c r="G79" s="242"/>
      <c r="H79" s="242"/>
      <c r="I79" s="242"/>
      <c r="J79" s="243"/>
      <c r="K79" s="245"/>
      <c r="L79" s="242"/>
      <c r="M79" s="242"/>
      <c r="N79" s="242"/>
      <c r="O79" s="243"/>
      <c r="P79" s="246"/>
      <c r="Q79" s="242"/>
      <c r="R79" s="242"/>
      <c r="S79" s="242"/>
      <c r="T79" s="243"/>
      <c r="U79" s="244"/>
      <c r="V79" s="242"/>
      <c r="W79" s="242"/>
      <c r="X79" s="242"/>
      <c r="Y79" s="243"/>
    </row>
    <row r="97" spans="1:9" ht="15" customHeight="1">
      <c r="A97" s="722"/>
      <c r="B97" s="764"/>
      <c r="C97" s="764"/>
      <c r="D97" s="764"/>
      <c r="E97" s="779"/>
      <c r="F97" s="780"/>
      <c r="G97" s="764"/>
      <c r="H97" s="764"/>
      <c r="I97" s="764"/>
    </row>
    <row r="98" spans="1:9" ht="15" customHeight="1">
      <c r="A98" s="52"/>
      <c r="B98" s="765"/>
      <c r="C98" s="765"/>
      <c r="D98" s="765"/>
      <c r="E98" s="781"/>
      <c r="F98" s="782"/>
      <c r="G98" s="765"/>
      <c r="H98" s="765"/>
      <c r="I98" s="765"/>
    </row>
    <row r="99" spans="1:9" ht="15" customHeight="1">
      <c r="A99" s="52"/>
      <c r="B99" s="765"/>
      <c r="C99" s="765"/>
      <c r="D99" s="765"/>
      <c r="E99" s="781"/>
      <c r="F99" s="782"/>
      <c r="G99" s="765"/>
      <c r="H99" s="765"/>
      <c r="I99" s="765"/>
    </row>
    <row r="100" spans="1:9" ht="15" customHeight="1">
      <c r="A100" s="52"/>
      <c r="B100" s="765"/>
      <c r="C100" s="765"/>
      <c r="D100" s="765"/>
      <c r="E100" s="781"/>
      <c r="F100" s="782"/>
      <c r="G100" s="765"/>
      <c r="H100" s="765"/>
      <c r="I100" s="765"/>
    </row>
    <row r="101" spans="1:9" ht="15" customHeight="1">
      <c r="A101" s="724"/>
      <c r="B101" s="767"/>
      <c r="C101" s="767"/>
      <c r="D101" s="767"/>
      <c r="E101" s="783"/>
      <c r="F101" s="784"/>
      <c r="G101" s="767"/>
      <c r="H101" s="767"/>
      <c r="I101" s="767"/>
    </row>
  </sheetData>
  <mergeCells count="21">
    <mergeCell ref="V1:Y1"/>
    <mergeCell ref="V2:Y2"/>
    <mergeCell ref="V3:Y3"/>
    <mergeCell ref="L1:O1"/>
    <mergeCell ref="L3:O3"/>
    <mergeCell ref="L2:O2"/>
    <mergeCell ref="Q1:T1"/>
    <mergeCell ref="Q2:T2"/>
    <mergeCell ref="Q3:T3"/>
    <mergeCell ref="B1:E1"/>
    <mergeCell ref="B2:E2"/>
    <mergeCell ref="G1:J1"/>
    <mergeCell ref="G3:J3"/>
    <mergeCell ref="B3:E3"/>
    <mergeCell ref="G2:J2"/>
    <mergeCell ref="L5:M5"/>
    <mergeCell ref="Q5:R5"/>
    <mergeCell ref="V5:W5"/>
    <mergeCell ref="A31:C31"/>
    <mergeCell ref="B5:C5"/>
    <mergeCell ref="G5:H5"/>
  </mergeCells>
  <phoneticPr fontId="25" type="noConversion"/>
  <printOptions horizontalCentered="1"/>
  <pageMargins left="0.27559055118110237" right="0.15748031496062992" top="1.38" bottom="0.33" header="0.36" footer="0.17"/>
  <pageSetup paperSize="9" scale="65" orientation="landscape" r:id="rId1"/>
  <headerFooter alignWithMargins="0">
    <oddHeader>&amp;L&amp;"Times New Roman,Normál"&amp;12Szent László Völgye
Kistérségi Szolgáltató Iroda&amp;C&amp;"Times New Roman,Félkövér"&amp;14 2011. ÉVI  KÖLTSÉGVETÉS &amp;R&amp;"Times New Roman,Normál"&amp;12 2.4 melléklet&amp;"Times New Roman,Félkövér"
 &amp;A
&amp;"Times New Roman,Normál"&amp;10
Adatok: eFt</oddHeader>
    <oddFooter>&amp;L&amp;F&amp;C&amp;D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W102"/>
  <sheetViews>
    <sheetView workbookViewId="0">
      <pane xSplit="2" ySplit="2" topLeftCell="C27" activePane="bottomRight" state="frozen"/>
      <selection activeCell="A30" sqref="A30"/>
      <selection pane="topRight" activeCell="A30" sqref="A30"/>
      <selection pane="bottomLeft" activeCell="A30" sqref="A30"/>
      <selection pane="bottomRight" activeCell="A30" sqref="A30"/>
    </sheetView>
  </sheetViews>
  <sheetFormatPr defaultColWidth="8.85546875" defaultRowHeight="12.75"/>
  <cols>
    <col min="1" max="1" width="47.28515625" style="248" customWidth="1"/>
    <col min="2" max="2" width="9.42578125" style="252" customWidth="1"/>
    <col min="3" max="3" width="8.140625" style="250" customWidth="1"/>
    <col min="4" max="4" width="12.7109375" style="248" customWidth="1"/>
    <col min="5" max="5" width="8" style="322" customWidth="1"/>
    <col min="6" max="6" width="13.7109375" style="266" customWidth="1"/>
    <col min="7" max="7" width="14.140625" style="248" customWidth="1"/>
    <col min="8" max="8" width="3.7109375" style="248" customWidth="1"/>
    <col min="9" max="11" width="9" style="248" customWidth="1"/>
    <col min="12" max="12" width="9" style="266" customWidth="1"/>
    <col min="13" max="13" width="8.85546875" style="266" customWidth="1"/>
    <col min="14" max="14" width="9.7109375" style="319" customWidth="1"/>
    <col min="15" max="15" width="9.7109375" style="268" customWidth="1"/>
    <col min="16" max="16" width="9.7109375" style="266" customWidth="1"/>
    <col min="17" max="17" width="9.7109375" style="253" customWidth="1"/>
    <col min="18" max="18" width="12.28515625" style="248" customWidth="1"/>
    <col min="19" max="19" width="10" style="248" bestFit="1" customWidth="1"/>
    <col min="20" max="20" width="8.85546875" style="248" customWidth="1"/>
    <col min="21" max="21" width="10.7109375" style="248" customWidth="1"/>
    <col min="22" max="16384" width="8.85546875" style="248"/>
  </cols>
  <sheetData>
    <row r="1" spans="1:23">
      <c r="B1" s="2409" t="s">
        <v>313</v>
      </c>
      <c r="C1" s="2413" t="s">
        <v>314</v>
      </c>
      <c r="D1" s="2414"/>
      <c r="E1" s="2415" t="s">
        <v>315</v>
      </c>
      <c r="F1" s="2415"/>
      <c r="G1" s="2411" t="s">
        <v>316</v>
      </c>
      <c r="J1" s="2416" t="s">
        <v>317</v>
      </c>
      <c r="K1" s="2416"/>
      <c r="L1" s="2416"/>
      <c r="M1" s="2416"/>
      <c r="N1" s="251"/>
      <c r="O1" s="2408" t="s">
        <v>318</v>
      </c>
      <c r="P1" s="2408"/>
    </row>
    <row r="2" spans="1:23" s="254" customFormat="1" ht="13.5" thickBot="1">
      <c r="B2" s="2410"/>
      <c r="C2" s="950" t="s">
        <v>265</v>
      </c>
      <c r="D2" s="951" t="s">
        <v>319</v>
      </c>
      <c r="E2" s="255" t="s">
        <v>265</v>
      </c>
      <c r="F2" s="256" t="s">
        <v>319</v>
      </c>
      <c r="G2" s="2412"/>
      <c r="J2" s="257" t="s">
        <v>320</v>
      </c>
      <c r="K2" s="258" t="s">
        <v>321</v>
      </c>
      <c r="L2" s="257" t="s">
        <v>322</v>
      </c>
      <c r="M2" s="259" t="s">
        <v>323</v>
      </c>
      <c r="N2" s="260" t="s">
        <v>320</v>
      </c>
      <c r="O2" s="261" t="s">
        <v>321</v>
      </c>
      <c r="P2" s="258" t="s">
        <v>322</v>
      </c>
      <c r="Q2" s="262" t="s">
        <v>323</v>
      </c>
      <c r="R2" s="248"/>
      <c r="S2" s="248"/>
      <c r="T2" s="248"/>
    </row>
    <row r="3" spans="1:23" ht="21" customHeight="1">
      <c r="A3" s="263" t="s">
        <v>324</v>
      </c>
      <c r="B3" s="264">
        <v>70000</v>
      </c>
      <c r="C3" s="952">
        <v>14</v>
      </c>
      <c r="D3" s="953">
        <f>+M3</f>
        <v>630</v>
      </c>
      <c r="E3" s="945">
        <f>58+3</f>
        <v>61</v>
      </c>
      <c r="F3" s="265">
        <f>+Q3</f>
        <v>2870</v>
      </c>
      <c r="G3" s="1189">
        <f>+D3+F3</f>
        <v>3500</v>
      </c>
      <c r="J3" s="248">
        <f>+C3/12*8</f>
        <v>9.3333333333333339</v>
      </c>
      <c r="K3" s="248">
        <v>9</v>
      </c>
      <c r="L3" s="266">
        <f>+K3*B3</f>
        <v>630000</v>
      </c>
      <c r="M3" s="266">
        <v>630</v>
      </c>
      <c r="N3" s="267">
        <f>+E3/12*8</f>
        <v>40.666666666666664</v>
      </c>
      <c r="O3" s="268">
        <v>41</v>
      </c>
      <c r="P3" s="266">
        <f>+O3*B3</f>
        <v>2870000</v>
      </c>
      <c r="Q3" s="253">
        <v>2870</v>
      </c>
    </row>
    <row r="4" spans="1:23">
      <c r="A4" s="269" t="s">
        <v>325</v>
      </c>
      <c r="B4" s="270">
        <v>78000</v>
      </c>
      <c r="C4" s="954">
        <v>22</v>
      </c>
      <c r="D4" s="955">
        <f>+M4</f>
        <v>1170</v>
      </c>
      <c r="E4" s="946">
        <v>65</v>
      </c>
      <c r="F4" s="271">
        <f>+Q4</f>
        <v>3354</v>
      </c>
      <c r="G4" s="1190">
        <f>+D4+F4</f>
        <v>4524</v>
      </c>
      <c r="J4" s="248">
        <f>+C4/12*8</f>
        <v>14.666666666666666</v>
      </c>
      <c r="K4" s="248">
        <v>15</v>
      </c>
      <c r="L4" s="266">
        <f>+K4*B4</f>
        <v>1170000</v>
      </c>
      <c r="M4" s="266">
        <v>1170</v>
      </c>
      <c r="N4" s="267">
        <f>+E4/12*8</f>
        <v>43.333333333333336</v>
      </c>
      <c r="O4" s="268">
        <v>43</v>
      </c>
      <c r="P4" s="266">
        <f>+O4*B4</f>
        <v>3354000</v>
      </c>
      <c r="Q4" s="253">
        <v>3354</v>
      </c>
      <c r="U4" s="266"/>
      <c r="V4" s="266"/>
      <c r="W4" s="272"/>
    </row>
    <row r="5" spans="1:23" s="277" customFormat="1">
      <c r="A5" s="273" t="s">
        <v>326</v>
      </c>
      <c r="B5" s="274"/>
      <c r="C5" s="956"/>
      <c r="D5" s="957">
        <f>SUM(D3:D4)</f>
        <v>1800</v>
      </c>
      <c r="E5" s="275"/>
      <c r="F5" s="276">
        <f>SUM(F3:F4)</f>
        <v>6224</v>
      </c>
      <c r="G5" s="1191">
        <f>SUM(G3:G4)</f>
        <v>8024</v>
      </c>
      <c r="J5" s="248"/>
      <c r="L5" s="266"/>
      <c r="M5" s="278"/>
      <c r="N5" s="267"/>
      <c r="O5" s="279"/>
      <c r="P5" s="266"/>
      <c r="Q5" s="280"/>
    </row>
    <row r="6" spans="1:23">
      <c r="A6" s="269" t="s">
        <v>327</v>
      </c>
      <c r="B6" s="270">
        <v>70000</v>
      </c>
      <c r="C6" s="954">
        <v>11</v>
      </c>
      <c r="D6" s="955">
        <f>+M6</f>
        <v>280</v>
      </c>
      <c r="E6" s="946">
        <f>58+3</f>
        <v>61</v>
      </c>
      <c r="F6" s="271">
        <f>+Q6</f>
        <v>1400</v>
      </c>
      <c r="G6" s="1190">
        <f>+D6+F6</f>
        <v>1680</v>
      </c>
      <c r="J6" s="248">
        <f>+C6/12*4</f>
        <v>3.6666666666666665</v>
      </c>
      <c r="K6" s="248">
        <v>4</v>
      </c>
      <c r="L6" s="266">
        <f>+K6*B6</f>
        <v>280000</v>
      </c>
      <c r="M6" s="266">
        <v>280</v>
      </c>
      <c r="N6" s="267">
        <f>+E6/12*4</f>
        <v>20.333333333333332</v>
      </c>
      <c r="O6" s="268">
        <v>20</v>
      </c>
      <c r="P6" s="266">
        <f>+O6*B6</f>
        <v>1400000</v>
      </c>
      <c r="Q6" s="253">
        <v>1400</v>
      </c>
    </row>
    <row r="7" spans="1:23">
      <c r="A7" s="269" t="s">
        <v>328</v>
      </c>
      <c r="B7" s="270">
        <v>90000</v>
      </c>
      <c r="C7" s="954">
        <v>28</v>
      </c>
      <c r="D7" s="955">
        <f>+M7</f>
        <v>810</v>
      </c>
      <c r="E7" s="946">
        <v>65</v>
      </c>
      <c r="F7" s="271">
        <f>+Q7</f>
        <v>1980</v>
      </c>
      <c r="G7" s="1190">
        <f>+D7+F7</f>
        <v>2790</v>
      </c>
      <c r="J7" s="248">
        <f>+C7/12*4</f>
        <v>9.3333333333333339</v>
      </c>
      <c r="K7" s="248">
        <v>9</v>
      </c>
      <c r="L7" s="266">
        <f>+K7*B7</f>
        <v>810000</v>
      </c>
      <c r="M7" s="266">
        <v>810</v>
      </c>
      <c r="N7" s="267">
        <f>+E7/12*4</f>
        <v>21.666666666666668</v>
      </c>
      <c r="O7" s="268">
        <v>22</v>
      </c>
      <c r="P7" s="266">
        <f>+O7*B7</f>
        <v>1980000</v>
      </c>
      <c r="Q7" s="253">
        <v>1980</v>
      </c>
    </row>
    <row r="8" spans="1:23" s="277" customFormat="1">
      <c r="A8" s="281" t="s">
        <v>329</v>
      </c>
      <c r="B8" s="282"/>
      <c r="C8" s="958"/>
      <c r="D8" s="959">
        <f>SUM(D6:D7)</f>
        <v>1090</v>
      </c>
      <c r="E8" s="283"/>
      <c r="F8" s="284">
        <f>SUM(F6:F7)</f>
        <v>3380</v>
      </c>
      <c r="G8" s="1192">
        <f>SUM(G6:G7)</f>
        <v>4470</v>
      </c>
      <c r="J8" s="248"/>
      <c r="L8" s="266"/>
      <c r="M8" s="285"/>
      <c r="N8" s="267"/>
      <c r="O8" s="286"/>
      <c r="P8" s="266"/>
      <c r="Q8" s="287"/>
      <c r="R8" s="288"/>
      <c r="S8" s="288"/>
      <c r="T8" s="288"/>
    </row>
    <row r="9" spans="1:23" s="293" customFormat="1">
      <c r="A9" s="289" t="s">
        <v>330</v>
      </c>
      <c r="B9" s="290"/>
      <c r="C9" s="960"/>
      <c r="D9" s="961">
        <f>+D5+D8</f>
        <v>2890</v>
      </c>
      <c r="E9" s="947"/>
      <c r="F9" s="291">
        <f>+F5+F8</f>
        <v>9604</v>
      </c>
      <c r="G9" s="1016">
        <f>+G5+G8</f>
        <v>12494</v>
      </c>
      <c r="J9" s="248"/>
      <c r="L9" s="266"/>
      <c r="M9" s="294"/>
      <c r="N9" s="267"/>
      <c r="O9" s="295"/>
      <c r="P9" s="266"/>
      <c r="Q9" s="296"/>
      <c r="R9" s="297"/>
      <c r="S9" s="297"/>
      <c r="T9" s="297"/>
    </row>
    <row r="10" spans="1:23">
      <c r="A10" s="298" t="s">
        <v>331</v>
      </c>
      <c r="B10" s="299">
        <v>35000</v>
      </c>
      <c r="C10" s="962">
        <v>14</v>
      </c>
      <c r="D10" s="963">
        <f>+M10</f>
        <v>315</v>
      </c>
      <c r="E10" s="314">
        <f>58+3</f>
        <v>61</v>
      </c>
      <c r="F10" s="300">
        <f>+Q10</f>
        <v>1435</v>
      </c>
      <c r="G10" s="1193">
        <f>+D10+F10</f>
        <v>1750</v>
      </c>
      <c r="J10" s="248">
        <f>+C10/12*8</f>
        <v>9.3333333333333339</v>
      </c>
      <c r="K10" s="248">
        <v>9</v>
      </c>
      <c r="L10" s="266">
        <f>+K10*B10</f>
        <v>315000</v>
      </c>
      <c r="M10" s="301">
        <v>315</v>
      </c>
      <c r="N10" s="267">
        <f>+E10/12*8</f>
        <v>40.666666666666664</v>
      </c>
      <c r="O10" s="302">
        <v>41</v>
      </c>
      <c r="P10" s="266">
        <f>+O10*B10</f>
        <v>1435000</v>
      </c>
      <c r="Q10" s="302">
        <v>1435</v>
      </c>
      <c r="R10" s="254"/>
      <c r="S10" s="254"/>
      <c r="T10" s="254"/>
    </row>
    <row r="11" spans="1:23">
      <c r="A11" s="269" t="s">
        <v>332</v>
      </c>
      <c r="B11" s="270">
        <v>39000</v>
      </c>
      <c r="C11" s="954">
        <v>22</v>
      </c>
      <c r="D11" s="955">
        <f>+M11</f>
        <v>585</v>
      </c>
      <c r="E11" s="946">
        <v>65</v>
      </c>
      <c r="F11" s="271">
        <f>+Q11</f>
        <v>1677</v>
      </c>
      <c r="G11" s="1190">
        <f>+D11+F11</f>
        <v>2262</v>
      </c>
      <c r="J11" s="248">
        <f>+C11/12*8</f>
        <v>14.666666666666666</v>
      </c>
      <c r="K11" s="248">
        <v>15</v>
      </c>
      <c r="L11" s="266">
        <f>+K11*B11</f>
        <v>585000</v>
      </c>
      <c r="M11" s="301">
        <v>585</v>
      </c>
      <c r="N11" s="267">
        <f>+E11/12*8</f>
        <v>43.333333333333336</v>
      </c>
      <c r="O11" s="302">
        <v>43</v>
      </c>
      <c r="P11" s="266">
        <f>+O11*B11</f>
        <v>1677000</v>
      </c>
      <c r="Q11" s="253">
        <v>1677</v>
      </c>
      <c r="U11" s="266"/>
      <c r="V11" s="266"/>
      <c r="W11" s="266"/>
    </row>
    <row r="12" spans="1:23" s="277" customFormat="1">
      <c r="A12" s="273" t="s">
        <v>333</v>
      </c>
      <c r="B12" s="274"/>
      <c r="C12" s="956"/>
      <c r="D12" s="957">
        <f>SUM(D10:D11)</f>
        <v>900</v>
      </c>
      <c r="E12" s="275"/>
      <c r="F12" s="276">
        <f>SUM(F10:F11)</f>
        <v>3112</v>
      </c>
      <c r="G12" s="1191">
        <f>SUM(G10:G11)</f>
        <v>4012</v>
      </c>
      <c r="J12" s="248"/>
      <c r="L12" s="266">
        <f>+K12*B12</f>
        <v>0</v>
      </c>
      <c r="M12" s="303"/>
      <c r="N12" s="267"/>
      <c r="O12" s="287"/>
      <c r="P12" s="266">
        <f>+O12*B12</f>
        <v>0</v>
      </c>
      <c r="Q12" s="287"/>
      <c r="R12" s="288"/>
      <c r="S12" s="288"/>
      <c r="T12" s="288"/>
    </row>
    <row r="13" spans="1:23">
      <c r="A13" s="269" t="s">
        <v>334</v>
      </c>
      <c r="B13" s="270">
        <v>35000</v>
      </c>
      <c r="C13" s="954">
        <v>11</v>
      </c>
      <c r="D13" s="955">
        <f>+M13</f>
        <v>140</v>
      </c>
      <c r="E13" s="946">
        <f>58+3</f>
        <v>61</v>
      </c>
      <c r="F13" s="271">
        <f>+Q13</f>
        <v>700</v>
      </c>
      <c r="G13" s="1190">
        <f>+D13+F13</f>
        <v>840</v>
      </c>
      <c r="J13" s="248">
        <f>+C13/12*4</f>
        <v>3.6666666666666665</v>
      </c>
      <c r="K13" s="248">
        <v>4</v>
      </c>
      <c r="L13" s="266">
        <f>+K13*B13</f>
        <v>140000</v>
      </c>
      <c r="M13" s="301">
        <v>140</v>
      </c>
      <c r="N13" s="267">
        <f>+E13/12*4</f>
        <v>20.333333333333332</v>
      </c>
      <c r="O13" s="302">
        <v>20</v>
      </c>
      <c r="P13" s="266">
        <f>+O13*B13</f>
        <v>700000</v>
      </c>
      <c r="Q13" s="302">
        <v>700</v>
      </c>
      <c r="R13" s="254"/>
      <c r="S13" s="254"/>
      <c r="T13" s="254"/>
    </row>
    <row r="14" spans="1:23">
      <c r="A14" s="269" t="s">
        <v>335</v>
      </c>
      <c r="B14" s="270">
        <v>45000</v>
      </c>
      <c r="C14" s="954">
        <v>28</v>
      </c>
      <c r="D14" s="955">
        <f>+M14</f>
        <v>405</v>
      </c>
      <c r="E14" s="946">
        <v>65</v>
      </c>
      <c r="F14" s="271">
        <f>+Q14</f>
        <v>990</v>
      </c>
      <c r="G14" s="1194">
        <f>+D14+F14</f>
        <v>1395</v>
      </c>
      <c r="J14" s="248">
        <f>+C14/12*4</f>
        <v>9.3333333333333339</v>
      </c>
      <c r="K14" s="248">
        <v>9</v>
      </c>
      <c r="L14" s="266">
        <f>+K14*B14</f>
        <v>405000</v>
      </c>
      <c r="M14" s="304">
        <v>405</v>
      </c>
      <c r="N14" s="267">
        <f>+E14/12*4</f>
        <v>21.666666666666668</v>
      </c>
      <c r="O14" s="253">
        <v>22</v>
      </c>
      <c r="P14" s="266">
        <f>+O14*B14</f>
        <v>990000</v>
      </c>
      <c r="Q14" s="253">
        <v>990</v>
      </c>
      <c r="R14" s="250"/>
    </row>
    <row r="15" spans="1:23" s="277" customFormat="1">
      <c r="A15" s="281" t="s">
        <v>336</v>
      </c>
      <c r="B15" s="282"/>
      <c r="C15" s="958"/>
      <c r="D15" s="959">
        <f>SUM(D13:D14)</f>
        <v>545</v>
      </c>
      <c r="E15" s="283"/>
      <c r="F15" s="284">
        <f>SUM(F13:F14)</f>
        <v>1690</v>
      </c>
      <c r="G15" s="1192">
        <f>SUM(G13:G14)</f>
        <v>2235</v>
      </c>
      <c r="J15" s="248"/>
      <c r="L15" s="266"/>
      <c r="M15" s="303"/>
      <c r="N15" s="267"/>
      <c r="O15" s="287"/>
      <c r="P15" s="266"/>
      <c r="Q15" s="287"/>
      <c r="R15" s="288"/>
      <c r="S15" s="288"/>
      <c r="T15" s="288"/>
    </row>
    <row r="16" spans="1:23" s="293" customFormat="1">
      <c r="A16" s="289" t="s">
        <v>337</v>
      </c>
      <c r="B16" s="290"/>
      <c r="C16" s="960"/>
      <c r="D16" s="961">
        <f>+D12+D15</f>
        <v>1445</v>
      </c>
      <c r="E16" s="947"/>
      <c r="F16" s="291">
        <f>+F12+F15</f>
        <v>4802</v>
      </c>
      <c r="G16" s="1016">
        <f>+G12+G15</f>
        <v>6247</v>
      </c>
      <c r="J16" s="248"/>
      <c r="L16" s="266"/>
      <c r="M16" s="294"/>
      <c r="N16" s="267"/>
      <c r="O16" s="295"/>
      <c r="P16" s="266"/>
      <c r="Q16" s="296"/>
      <c r="R16" s="297"/>
      <c r="S16" s="297"/>
      <c r="T16" s="297"/>
    </row>
    <row r="17" spans="1:20">
      <c r="A17" s="298" t="s">
        <v>338</v>
      </c>
      <c r="B17" s="299">
        <v>70000</v>
      </c>
      <c r="C17" s="962"/>
      <c r="D17" s="963"/>
      <c r="E17" s="314">
        <v>43</v>
      </c>
      <c r="F17" s="300">
        <f>+Q17</f>
        <v>2030</v>
      </c>
      <c r="G17" s="1195">
        <f>+D17+F17</f>
        <v>2030</v>
      </c>
      <c r="J17" s="248">
        <f>+C17/12*8</f>
        <v>0</v>
      </c>
      <c r="L17" s="266">
        <f t="shared" ref="L17:L24" si="0">+K17*B17</f>
        <v>0</v>
      </c>
      <c r="M17" s="304"/>
      <c r="N17" s="267">
        <f>+E17/12*8</f>
        <v>28.666666666666668</v>
      </c>
      <c r="O17" s="253">
        <v>29</v>
      </c>
      <c r="P17" s="266">
        <f>+O17*B17</f>
        <v>2030000</v>
      </c>
      <c r="Q17" s="253">
        <v>2030</v>
      </c>
      <c r="R17" s="266"/>
      <c r="S17" s="266"/>
      <c r="T17" s="266"/>
    </row>
    <row r="18" spans="1:20">
      <c r="A18" s="305" t="s">
        <v>339</v>
      </c>
      <c r="B18" s="306">
        <v>80000</v>
      </c>
      <c r="C18" s="964"/>
      <c r="D18" s="965"/>
      <c r="E18" s="316">
        <v>43</v>
      </c>
      <c r="F18" s="307">
        <f>+Q18</f>
        <v>1120</v>
      </c>
      <c r="G18" s="1196">
        <f>+D18+F18</f>
        <v>1120</v>
      </c>
      <c r="J18" s="248">
        <f>+C18/12*4</f>
        <v>0</v>
      </c>
      <c r="L18" s="266">
        <f t="shared" si="0"/>
        <v>0</v>
      </c>
      <c r="M18" s="304"/>
      <c r="N18" s="267">
        <f>+E18/12*4</f>
        <v>14.333333333333334</v>
      </c>
      <c r="O18" s="253">
        <v>14</v>
      </c>
      <c r="P18" s="266">
        <f>+O18*B18</f>
        <v>1120000</v>
      </c>
      <c r="Q18" s="253">
        <v>1120</v>
      </c>
      <c r="R18" s="266"/>
      <c r="S18" s="266"/>
      <c r="T18" s="266"/>
    </row>
    <row r="19" spans="1:20">
      <c r="A19" s="289" t="s">
        <v>340</v>
      </c>
      <c r="B19" s="290"/>
      <c r="C19" s="960"/>
      <c r="D19" s="961"/>
      <c r="E19" s="318"/>
      <c r="F19" s="291">
        <f>SUM(F17:F18)</f>
        <v>3150</v>
      </c>
      <c r="G19" s="1016">
        <f>SUM(G17:G18)</f>
        <v>3150</v>
      </c>
      <c r="H19" s="42"/>
      <c r="I19" s="42"/>
      <c r="K19" s="42"/>
      <c r="L19" s="266">
        <f t="shared" si="0"/>
        <v>0</v>
      </c>
      <c r="M19" s="304"/>
      <c r="N19" s="267"/>
      <c r="O19" s="253"/>
      <c r="R19" s="266"/>
      <c r="S19" s="266"/>
      <c r="T19" s="266"/>
    </row>
    <row r="20" spans="1:20">
      <c r="A20" s="308" t="s">
        <v>341</v>
      </c>
      <c r="B20" s="309">
        <f>+B17*0.15</f>
        <v>10500</v>
      </c>
      <c r="C20" s="966"/>
      <c r="D20" s="967"/>
      <c r="E20" s="948">
        <v>13</v>
      </c>
      <c r="F20" s="310">
        <f>+Q20</f>
        <v>94</v>
      </c>
      <c r="G20" s="1195">
        <f>+D20+F20</f>
        <v>94</v>
      </c>
      <c r="H20" s="42"/>
      <c r="I20" s="42"/>
      <c r="J20" s="248">
        <f>+C20/12*8</f>
        <v>0</v>
      </c>
      <c r="K20" s="42"/>
      <c r="L20" s="266">
        <f t="shared" si="0"/>
        <v>0</v>
      </c>
      <c r="M20" s="304"/>
      <c r="N20" s="267">
        <f>+E20/12*8</f>
        <v>8.6666666666666661</v>
      </c>
      <c r="O20" s="253">
        <v>9</v>
      </c>
      <c r="P20" s="266">
        <f>+O20*B20</f>
        <v>94500</v>
      </c>
      <c r="Q20" s="253">
        <v>94</v>
      </c>
      <c r="R20" s="266"/>
      <c r="S20" s="266"/>
      <c r="T20" s="266"/>
    </row>
    <row r="21" spans="1:20">
      <c r="A21" s="311" t="s">
        <v>342</v>
      </c>
      <c r="B21" s="312">
        <f>+B18*0.15</f>
        <v>12000</v>
      </c>
      <c r="C21" s="968"/>
      <c r="D21" s="969"/>
      <c r="E21" s="949">
        <v>13</v>
      </c>
      <c r="F21" s="313">
        <f>+Q21</f>
        <v>48</v>
      </c>
      <c r="G21" s="1196">
        <f>+D21+F21</f>
        <v>48</v>
      </c>
      <c r="H21" s="42"/>
      <c r="I21" s="42"/>
      <c r="J21" s="248">
        <f>+C21/12*4</f>
        <v>0</v>
      </c>
      <c r="K21" s="42"/>
      <c r="L21" s="266">
        <f t="shared" si="0"/>
        <v>0</v>
      </c>
      <c r="M21" s="304"/>
      <c r="N21" s="267">
        <f>+E21/12*4</f>
        <v>4.333333333333333</v>
      </c>
      <c r="O21" s="253">
        <v>4</v>
      </c>
      <c r="P21" s="266">
        <f>+O21*B21</f>
        <v>48000</v>
      </c>
      <c r="Q21" s="253">
        <v>48</v>
      </c>
      <c r="R21" s="266"/>
      <c r="S21" s="266"/>
      <c r="T21" s="266"/>
    </row>
    <row r="22" spans="1:20">
      <c r="A22" s="289" t="s">
        <v>343</v>
      </c>
      <c r="B22" s="290"/>
      <c r="C22" s="960"/>
      <c r="D22" s="961"/>
      <c r="E22" s="318"/>
      <c r="F22" s="291">
        <f>SUM(F20:F21)</f>
        <v>142</v>
      </c>
      <c r="G22" s="1016">
        <f>SUM(G20:G21)</f>
        <v>142</v>
      </c>
      <c r="H22" s="42"/>
      <c r="I22" s="42"/>
      <c r="K22" s="42"/>
      <c r="L22" s="266">
        <f t="shared" si="0"/>
        <v>0</v>
      </c>
      <c r="M22" s="304"/>
      <c r="N22" s="267"/>
      <c r="O22" s="253"/>
      <c r="R22" s="266"/>
      <c r="S22" s="266"/>
      <c r="T22" s="266"/>
    </row>
    <row r="23" spans="1:20">
      <c r="A23" s="298" t="s">
        <v>344</v>
      </c>
      <c r="B23" s="299">
        <v>70000</v>
      </c>
      <c r="C23" s="970">
        <v>36</v>
      </c>
      <c r="D23" s="963">
        <f>+M23</f>
        <v>1680</v>
      </c>
      <c r="E23" s="314">
        <v>37</v>
      </c>
      <c r="F23" s="310">
        <f>+Q23</f>
        <v>1820</v>
      </c>
      <c r="G23" s="1195">
        <f>+D23+F23</f>
        <v>3500</v>
      </c>
      <c r="J23" s="315">
        <f>+C23/12*8</f>
        <v>24</v>
      </c>
      <c r="K23" s="248">
        <v>24</v>
      </c>
      <c r="L23" s="266">
        <f t="shared" si="0"/>
        <v>1680000</v>
      </c>
      <c r="M23" s="304">
        <v>1680</v>
      </c>
      <c r="N23" s="267">
        <f>+E23/12*8</f>
        <v>24.666666666666668</v>
      </c>
      <c r="O23" s="253">
        <v>25</v>
      </c>
      <c r="P23" s="266">
        <f>+O23*B23</f>
        <v>1750000</v>
      </c>
      <c r="Q23" s="253">
        <v>1820</v>
      </c>
      <c r="R23" s="266"/>
      <c r="T23" s="266"/>
    </row>
    <row r="24" spans="1:20">
      <c r="A24" s="305" t="s">
        <v>345</v>
      </c>
      <c r="B24" s="306">
        <v>90000</v>
      </c>
      <c r="C24" s="971">
        <v>40</v>
      </c>
      <c r="D24" s="965">
        <f>+M24</f>
        <v>1170</v>
      </c>
      <c r="E24" s="316">
        <v>37</v>
      </c>
      <c r="F24" s="313">
        <f>+Q24</f>
        <v>1170</v>
      </c>
      <c r="G24" s="1196">
        <f>+D24+F24</f>
        <v>2340</v>
      </c>
      <c r="J24" s="315">
        <f>+C24/12*4</f>
        <v>13.333333333333334</v>
      </c>
      <c r="K24" s="248">
        <v>13</v>
      </c>
      <c r="L24" s="266">
        <f t="shared" si="0"/>
        <v>1170000</v>
      </c>
      <c r="M24" s="304">
        <v>1170</v>
      </c>
      <c r="N24" s="267">
        <f>+E24/12*4</f>
        <v>12.333333333333334</v>
      </c>
      <c r="O24" s="253">
        <v>13</v>
      </c>
      <c r="P24" s="266">
        <f>+O24*B24</f>
        <v>1170000</v>
      </c>
      <c r="Q24" s="253">
        <v>1170</v>
      </c>
    </row>
    <row r="25" spans="1:20">
      <c r="A25" s="317" t="s">
        <v>346</v>
      </c>
      <c r="B25" s="290"/>
      <c r="C25" s="972"/>
      <c r="D25" s="961">
        <f>SUM(D23:D24)</f>
        <v>2850</v>
      </c>
      <c r="E25" s="318"/>
      <c r="F25" s="291">
        <f>SUM(F23:F24)</f>
        <v>2990</v>
      </c>
      <c r="G25" s="1016">
        <f>SUM(G23:G24)</f>
        <v>5840</v>
      </c>
      <c r="J25" s="315"/>
      <c r="M25" s="304"/>
      <c r="N25" s="267"/>
      <c r="O25" s="253"/>
    </row>
    <row r="26" spans="1:20">
      <c r="A26" s="298" t="s">
        <v>347</v>
      </c>
      <c r="B26" s="299">
        <v>16710</v>
      </c>
      <c r="C26" s="970">
        <v>36</v>
      </c>
      <c r="D26" s="963">
        <f>+M26</f>
        <v>401</v>
      </c>
      <c r="E26" s="314">
        <v>37</v>
      </c>
      <c r="F26" s="310">
        <f>+Q26</f>
        <v>418</v>
      </c>
      <c r="G26" s="1195">
        <f>+D26+F26</f>
        <v>819</v>
      </c>
      <c r="J26" s="315">
        <f>+C26/12*8</f>
        <v>24</v>
      </c>
      <c r="K26" s="248">
        <v>24</v>
      </c>
      <c r="L26" s="266">
        <f>+K26*B26</f>
        <v>401040</v>
      </c>
      <c r="M26" s="304">
        <v>401</v>
      </c>
      <c r="N26" s="267">
        <f>+E26/12*8</f>
        <v>24.666666666666668</v>
      </c>
      <c r="O26" s="253">
        <v>25</v>
      </c>
      <c r="P26" s="266">
        <f>+O26*B26</f>
        <v>417750</v>
      </c>
      <c r="Q26" s="253">
        <v>418</v>
      </c>
      <c r="R26" s="266">
        <f>+M26+Q26</f>
        <v>819</v>
      </c>
    </row>
    <row r="27" spans="1:20">
      <c r="A27" s="305" t="s">
        <v>348</v>
      </c>
      <c r="B27" s="306">
        <v>21000</v>
      </c>
      <c r="C27" s="971">
        <v>40</v>
      </c>
      <c r="D27" s="965">
        <f>+M27</f>
        <v>273</v>
      </c>
      <c r="E27" s="316">
        <v>37</v>
      </c>
      <c r="F27" s="313">
        <f>+Q27</f>
        <v>252</v>
      </c>
      <c r="G27" s="1196">
        <f>+D27+F27</f>
        <v>525</v>
      </c>
      <c r="J27" s="315">
        <f>+C27/12*4</f>
        <v>13.333333333333334</v>
      </c>
      <c r="K27" s="248">
        <v>13</v>
      </c>
      <c r="L27" s="266">
        <f>+K27*B27</f>
        <v>273000</v>
      </c>
      <c r="M27" s="304">
        <v>273</v>
      </c>
      <c r="N27" s="267">
        <f>+E27/12*4</f>
        <v>12.333333333333334</v>
      </c>
      <c r="O27" s="253">
        <v>12</v>
      </c>
      <c r="P27" s="266">
        <f>+O27*B27</f>
        <v>252000</v>
      </c>
      <c r="Q27" s="253">
        <v>252</v>
      </c>
    </row>
    <row r="28" spans="1:20">
      <c r="A28" s="289" t="s">
        <v>349</v>
      </c>
      <c r="B28" s="290"/>
      <c r="C28" s="972"/>
      <c r="D28" s="961">
        <f>SUM(D26:D27)</f>
        <v>674</v>
      </c>
      <c r="E28" s="318"/>
      <c r="F28" s="291">
        <f>SUM(F26:F27)</f>
        <v>670</v>
      </c>
      <c r="G28" s="1016">
        <f>SUM(G26:G27)</f>
        <v>1344</v>
      </c>
      <c r="M28" s="304"/>
      <c r="N28" s="267"/>
      <c r="O28" s="253"/>
    </row>
    <row r="29" spans="1:20">
      <c r="A29" s="298" t="s">
        <v>350</v>
      </c>
      <c r="B29" s="299">
        <v>22000</v>
      </c>
      <c r="C29" s="970"/>
      <c r="D29" s="963"/>
      <c r="E29" s="314">
        <f>+SZAKFELADATOS!B23</f>
        <v>16</v>
      </c>
      <c r="F29" s="310">
        <f>+Q29</f>
        <v>352</v>
      </c>
      <c r="G29" s="1195">
        <f>+D29+F29</f>
        <v>352</v>
      </c>
      <c r="J29" s="248">
        <f>+C29/12*8</f>
        <v>0</v>
      </c>
      <c r="L29" s="266">
        <f t="shared" ref="L29:L36" si="1">+K29*B29</f>
        <v>0</v>
      </c>
      <c r="M29" s="304"/>
      <c r="N29" s="267">
        <f>+E29</f>
        <v>16</v>
      </c>
      <c r="O29" s="253">
        <v>16</v>
      </c>
      <c r="P29" s="266">
        <f>+O29*B29</f>
        <v>352000</v>
      </c>
      <c r="Q29" s="253">
        <v>352</v>
      </c>
    </row>
    <row r="30" spans="1:20">
      <c r="A30" s="305" t="s">
        <v>351</v>
      </c>
      <c r="B30" s="306">
        <v>28000</v>
      </c>
      <c r="C30" s="971"/>
      <c r="D30" s="965"/>
      <c r="E30" s="316">
        <f>+SZAKFELADATOS!D23</f>
        <v>8</v>
      </c>
      <c r="F30" s="313">
        <f>+Q30</f>
        <v>224</v>
      </c>
      <c r="G30" s="1196">
        <f>+D30+F30</f>
        <v>224</v>
      </c>
      <c r="J30" s="248">
        <f>+C30/12*4</f>
        <v>0</v>
      </c>
      <c r="L30" s="266">
        <f t="shared" si="1"/>
        <v>0</v>
      </c>
      <c r="M30" s="304"/>
      <c r="N30" s="267">
        <f>+E30</f>
        <v>8</v>
      </c>
      <c r="O30" s="253">
        <v>8</v>
      </c>
      <c r="P30" s="266">
        <f>+O30*B30</f>
        <v>224000</v>
      </c>
      <c r="Q30" s="253">
        <v>224</v>
      </c>
    </row>
    <row r="31" spans="1:20">
      <c r="A31" s="289" t="s">
        <v>352</v>
      </c>
      <c r="B31" s="290"/>
      <c r="C31" s="972"/>
      <c r="D31" s="961"/>
      <c r="E31" s="318"/>
      <c r="F31" s="291">
        <f>SUM(F29:F30)</f>
        <v>576</v>
      </c>
      <c r="G31" s="1016">
        <f>SUM(G29:G30)</f>
        <v>576</v>
      </c>
      <c r="L31" s="266">
        <f t="shared" si="1"/>
        <v>0</v>
      </c>
      <c r="M31" s="304"/>
      <c r="N31" s="267"/>
      <c r="O31" s="253"/>
    </row>
    <row r="32" spans="1:20">
      <c r="A32" s="298" t="s">
        <v>353</v>
      </c>
      <c r="B32" s="299">
        <v>22000</v>
      </c>
      <c r="C32" s="970"/>
      <c r="D32" s="963"/>
      <c r="E32" s="314">
        <f>+SZAKFELADATOS!L7</f>
        <v>12.7</v>
      </c>
      <c r="F32" s="310">
        <f>+Q32</f>
        <v>279</v>
      </c>
      <c r="G32" s="1195">
        <f>+D32+F32</f>
        <v>279</v>
      </c>
      <c r="J32" s="248">
        <f>+C32/12*8</f>
        <v>0</v>
      </c>
      <c r="L32" s="266">
        <f t="shared" si="1"/>
        <v>0</v>
      </c>
      <c r="M32" s="304"/>
      <c r="N32" s="267">
        <f>+E32</f>
        <v>12.7</v>
      </c>
      <c r="O32" s="253">
        <v>12.7</v>
      </c>
      <c r="P32" s="266">
        <f>+O32*B32</f>
        <v>279400</v>
      </c>
      <c r="Q32" s="253">
        <v>279</v>
      </c>
    </row>
    <row r="33" spans="1:22">
      <c r="A33" s="305" t="s">
        <v>354</v>
      </c>
      <c r="B33" s="306">
        <v>28000</v>
      </c>
      <c r="C33" s="971"/>
      <c r="D33" s="965"/>
      <c r="E33" s="316">
        <f>+SZAKFELADATOS!N12</f>
        <v>6.3</v>
      </c>
      <c r="F33" s="313">
        <f>+Q33</f>
        <v>176</v>
      </c>
      <c r="G33" s="1196">
        <f>+D33+F33</f>
        <v>176</v>
      </c>
      <c r="J33" s="248">
        <f>+C33/12*4</f>
        <v>0</v>
      </c>
      <c r="L33" s="266">
        <f t="shared" si="1"/>
        <v>0</v>
      </c>
      <c r="M33" s="304"/>
      <c r="N33" s="267">
        <f>+E33</f>
        <v>6.3</v>
      </c>
      <c r="O33" s="253">
        <v>6.3</v>
      </c>
      <c r="P33" s="266">
        <f>+O33*B33</f>
        <v>176400</v>
      </c>
      <c r="Q33" s="253">
        <v>176</v>
      </c>
    </row>
    <row r="34" spans="1:22">
      <c r="A34" s="289" t="s">
        <v>355</v>
      </c>
      <c r="B34" s="290"/>
      <c r="C34" s="972"/>
      <c r="D34" s="961"/>
      <c r="E34" s="318"/>
      <c r="F34" s="291">
        <f>SUM(F32:F33)</f>
        <v>455</v>
      </c>
      <c r="G34" s="1016">
        <f>SUM(G32:G33)</f>
        <v>455</v>
      </c>
      <c r="L34" s="266">
        <f t="shared" si="1"/>
        <v>0</v>
      </c>
      <c r="M34" s="304"/>
      <c r="N34" s="267"/>
      <c r="O34" s="253"/>
    </row>
    <row r="35" spans="1:22">
      <c r="A35" s="298" t="s">
        <v>356</v>
      </c>
      <c r="B35" s="299">
        <v>22000</v>
      </c>
      <c r="C35" s="970"/>
      <c r="D35" s="963"/>
      <c r="E35" s="314">
        <f>+SZAKFELADATOS!G23</f>
        <v>18</v>
      </c>
      <c r="F35" s="310">
        <f>+Q35</f>
        <v>396</v>
      </c>
      <c r="G35" s="1195">
        <f>+D35+F35</f>
        <v>396</v>
      </c>
      <c r="J35" s="248">
        <f>+C35/12*8</f>
        <v>0</v>
      </c>
      <c r="L35" s="266">
        <f t="shared" si="1"/>
        <v>0</v>
      </c>
      <c r="M35" s="304"/>
      <c r="N35" s="267">
        <f>+E35</f>
        <v>18</v>
      </c>
      <c r="O35" s="253">
        <v>18</v>
      </c>
      <c r="P35" s="266">
        <f>+O35*B35</f>
        <v>396000</v>
      </c>
      <c r="Q35" s="253">
        <v>396</v>
      </c>
    </row>
    <row r="36" spans="1:22">
      <c r="A36" s="305" t="s">
        <v>357</v>
      </c>
      <c r="B36" s="306">
        <v>28000</v>
      </c>
      <c r="C36" s="971"/>
      <c r="D36" s="965"/>
      <c r="E36" s="316">
        <f>+SZAKFELADATOS!I23</f>
        <v>9</v>
      </c>
      <c r="F36" s="313">
        <f>+Q36</f>
        <v>252</v>
      </c>
      <c r="G36" s="1196">
        <f>+D36+F36</f>
        <v>252</v>
      </c>
      <c r="J36" s="248">
        <f>+C36/12*4</f>
        <v>0</v>
      </c>
      <c r="L36" s="266">
        <f t="shared" si="1"/>
        <v>0</v>
      </c>
      <c r="M36" s="304"/>
      <c r="N36" s="267">
        <f>+E36</f>
        <v>9</v>
      </c>
      <c r="O36" s="253">
        <v>9</v>
      </c>
      <c r="P36" s="266">
        <f>+O36*B36</f>
        <v>252000</v>
      </c>
      <c r="Q36" s="253">
        <v>252</v>
      </c>
    </row>
    <row r="37" spans="1:22">
      <c r="A37" s="289" t="s">
        <v>358</v>
      </c>
      <c r="B37" s="290"/>
      <c r="C37" s="972"/>
      <c r="D37" s="961"/>
      <c r="E37" s="318"/>
      <c r="F37" s="291">
        <f>SUM(F35:F36)</f>
        <v>648</v>
      </c>
      <c r="G37" s="1016">
        <f>SUM(G35:G36)</f>
        <v>648</v>
      </c>
    </row>
    <row r="38" spans="1:22" ht="13.5" thickBot="1">
      <c r="A38" s="941"/>
      <c r="B38" s="942"/>
      <c r="C38" s="973"/>
      <c r="D38" s="974"/>
      <c r="E38" s="943"/>
      <c r="F38" s="944"/>
      <c r="G38" s="1197"/>
    </row>
    <row r="39" spans="1:22" s="320" customFormat="1" ht="22.5" customHeight="1" thickBot="1">
      <c r="A39" s="1182" t="s">
        <v>359</v>
      </c>
      <c r="B39" s="1183"/>
      <c r="C39" s="1184"/>
      <c r="D39" s="1185">
        <f>+D9+D16+D19+D22+D25+D28+D31+D34+D37</f>
        <v>7859</v>
      </c>
      <c r="E39" s="1186"/>
      <c r="F39" s="1187">
        <f>+F9+F16+F19+F22+F25+F28+F31+F34+F37</f>
        <v>23037</v>
      </c>
      <c r="G39" s="1188">
        <f>+G5+G8+G12+G15+G19++G22+G25+G28+G31+G34+G37</f>
        <v>30896</v>
      </c>
      <c r="L39" s="321"/>
      <c r="M39" s="266"/>
      <c r="N39" s="319"/>
      <c r="O39" s="268"/>
      <c r="P39" s="266"/>
      <c r="Q39" s="253"/>
      <c r="R39" s="248"/>
      <c r="S39" s="266"/>
      <c r="T39" s="248"/>
    </row>
    <row r="42" spans="1:22">
      <c r="D42" s="266"/>
    </row>
    <row r="43" spans="1:22">
      <c r="A43" s="323"/>
      <c r="B43" s="324"/>
      <c r="C43" s="324"/>
      <c r="D43" s="325"/>
      <c r="E43" s="324"/>
      <c r="F43" s="324"/>
      <c r="G43" s="325"/>
      <c r="H43" s="324"/>
      <c r="I43" s="326"/>
      <c r="J43" s="326"/>
      <c r="K43" s="326"/>
      <c r="L43" s="326"/>
      <c r="M43" s="326"/>
      <c r="N43" s="327"/>
      <c r="P43" s="326"/>
      <c r="R43" s="326"/>
      <c r="S43" s="328"/>
      <c r="T43" s="326"/>
      <c r="U43" s="329"/>
      <c r="V43" s="329"/>
    </row>
    <row r="44" spans="1:22">
      <c r="A44" s="323"/>
      <c r="B44" s="324"/>
      <c r="C44" s="324"/>
      <c r="D44" s="325"/>
      <c r="E44" s="324"/>
      <c r="F44" s="324"/>
      <c r="G44" s="325"/>
      <c r="H44" s="324"/>
      <c r="I44" s="326"/>
      <c r="J44" s="326"/>
      <c r="K44" s="326"/>
      <c r="L44" s="326"/>
      <c r="M44" s="326"/>
      <c r="N44" s="327"/>
      <c r="P44" s="326"/>
      <c r="R44" s="326"/>
      <c r="S44" s="328"/>
      <c r="T44" s="326"/>
      <c r="U44" s="329"/>
      <c r="V44" s="329"/>
    </row>
    <row r="45" spans="1:22">
      <c r="A45" s="330"/>
      <c r="B45" s="331"/>
      <c r="C45" s="330"/>
      <c r="D45" s="326"/>
      <c r="E45" s="332"/>
      <c r="F45" s="326"/>
      <c r="G45" s="326"/>
      <c r="H45" s="326"/>
      <c r="I45" s="326"/>
      <c r="J45" s="326"/>
      <c r="K45" s="326"/>
      <c r="L45" s="326"/>
      <c r="M45" s="326"/>
      <c r="N45" s="327"/>
      <c r="P45" s="326"/>
      <c r="R45" s="326"/>
      <c r="S45" s="328"/>
      <c r="T45" s="326"/>
      <c r="U45" s="329"/>
      <c r="V45" s="329"/>
    </row>
    <row r="46" spans="1:22">
      <c r="A46" s="330"/>
      <c r="B46" s="331"/>
      <c r="C46" s="330"/>
      <c r="D46" s="326"/>
      <c r="E46" s="332"/>
      <c r="F46" s="326"/>
      <c r="G46" s="326"/>
      <c r="H46" s="333"/>
      <c r="I46" s="326"/>
      <c r="J46" s="326"/>
      <c r="K46" s="326"/>
      <c r="L46" s="326"/>
      <c r="M46" s="326"/>
      <c r="N46" s="327"/>
      <c r="P46" s="326"/>
      <c r="R46" s="326"/>
      <c r="S46" s="328"/>
      <c r="T46" s="326"/>
      <c r="U46" s="329"/>
      <c r="V46" s="329"/>
    </row>
    <row r="47" spans="1:22">
      <c r="A47" s="330"/>
      <c r="B47" s="331"/>
      <c r="C47" s="330"/>
      <c r="D47" s="326"/>
      <c r="E47" s="332"/>
      <c r="F47" s="326"/>
      <c r="G47" s="326"/>
      <c r="H47" s="333"/>
      <c r="I47" s="334"/>
      <c r="J47" s="334"/>
      <c r="K47" s="334"/>
      <c r="L47" s="334"/>
      <c r="M47" s="334"/>
      <c r="N47" s="335"/>
      <c r="O47" s="253"/>
      <c r="P47" s="334"/>
      <c r="R47" s="336"/>
      <c r="S47" s="334"/>
      <c r="T47" s="334"/>
      <c r="U47" s="329"/>
      <c r="V47" s="329"/>
    </row>
    <row r="48" spans="1:22">
      <c r="A48" s="330"/>
      <c r="B48" s="331"/>
      <c r="C48" s="330"/>
      <c r="D48" s="326"/>
      <c r="E48" s="332"/>
      <c r="F48" s="326"/>
      <c r="G48" s="326"/>
      <c r="H48" s="333"/>
      <c r="I48" s="326"/>
      <c r="J48" s="326"/>
      <c r="K48" s="326"/>
      <c r="L48" s="326"/>
      <c r="M48" s="326"/>
      <c r="N48" s="327"/>
      <c r="P48" s="326"/>
      <c r="R48" s="326"/>
      <c r="S48" s="328"/>
      <c r="T48" s="326"/>
      <c r="U48" s="329"/>
      <c r="V48" s="329"/>
    </row>
    <row r="49" spans="1:22">
      <c r="A49" s="330"/>
      <c r="B49" s="331"/>
      <c r="C49" s="330"/>
      <c r="D49" s="326"/>
      <c r="E49" s="332"/>
      <c r="F49" s="326"/>
      <c r="G49" s="326"/>
      <c r="H49" s="333"/>
      <c r="I49" s="334"/>
      <c r="J49" s="334"/>
      <c r="K49" s="334"/>
      <c r="L49" s="326"/>
      <c r="M49" s="334"/>
      <c r="N49" s="335"/>
      <c r="O49" s="253"/>
      <c r="P49" s="334"/>
      <c r="R49" s="326"/>
      <c r="S49" s="328"/>
      <c r="T49" s="326"/>
      <c r="U49" s="329"/>
      <c r="V49" s="329"/>
    </row>
    <row r="50" spans="1:22">
      <c r="A50" s="330"/>
      <c r="B50" s="331"/>
      <c r="C50" s="330"/>
      <c r="D50" s="334"/>
      <c r="E50" s="336"/>
      <c r="F50" s="334"/>
      <c r="G50" s="334"/>
      <c r="H50" s="336"/>
      <c r="I50" s="326"/>
      <c r="J50" s="326"/>
      <c r="K50" s="326"/>
      <c r="L50" s="326"/>
      <c r="M50" s="326"/>
      <c r="N50" s="327"/>
      <c r="P50" s="326"/>
      <c r="Q50" s="337"/>
      <c r="R50" s="329"/>
      <c r="S50" s="328"/>
      <c r="T50" s="326"/>
      <c r="U50" s="329"/>
      <c r="V50" s="329"/>
    </row>
    <row r="51" spans="1:22">
      <c r="A51" s="330"/>
      <c r="B51" s="331"/>
      <c r="C51" s="330"/>
      <c r="D51" s="326"/>
      <c r="E51" s="332"/>
      <c r="F51" s="326"/>
      <c r="G51" s="326"/>
      <c r="H51" s="333"/>
      <c r="I51" s="325"/>
      <c r="J51" s="325"/>
      <c r="K51" s="325"/>
      <c r="L51" s="325"/>
      <c r="M51" s="325"/>
      <c r="N51" s="338"/>
      <c r="O51" s="339"/>
      <c r="P51" s="325"/>
      <c r="R51" s="340"/>
      <c r="S51" s="328"/>
      <c r="T51" s="326"/>
      <c r="U51" s="340"/>
      <c r="V51" s="329"/>
    </row>
    <row r="52" spans="1:22">
      <c r="A52" s="330"/>
      <c r="B52" s="331"/>
      <c r="C52" s="330"/>
      <c r="D52" s="334"/>
      <c r="E52" s="336"/>
      <c r="F52" s="334"/>
      <c r="G52" s="334"/>
      <c r="H52" s="341"/>
      <c r="I52" s="326"/>
      <c r="J52" s="326"/>
      <c r="K52" s="326"/>
      <c r="L52" s="326"/>
      <c r="M52" s="326"/>
      <c r="N52" s="327"/>
      <c r="P52" s="326"/>
      <c r="R52" s="326"/>
      <c r="S52" s="328"/>
      <c r="T52" s="326"/>
      <c r="U52" s="329"/>
      <c r="V52" s="329"/>
    </row>
    <row r="53" spans="1:22">
      <c r="A53" s="330"/>
      <c r="B53" s="331"/>
      <c r="C53" s="330"/>
      <c r="D53" s="326"/>
      <c r="E53" s="332"/>
      <c r="F53" s="326"/>
      <c r="G53" s="326"/>
      <c r="H53" s="326"/>
      <c r="I53" s="326"/>
      <c r="J53" s="326"/>
      <c r="K53" s="326"/>
      <c r="L53" s="326"/>
      <c r="M53" s="326"/>
      <c r="N53" s="327"/>
      <c r="P53" s="326"/>
      <c r="R53" s="326"/>
      <c r="S53" s="328"/>
      <c r="T53" s="326"/>
      <c r="U53" s="329"/>
      <c r="V53" s="340"/>
    </row>
    <row r="54" spans="1:22">
      <c r="A54" s="330"/>
      <c r="B54" s="331"/>
      <c r="C54" s="330"/>
      <c r="D54" s="326"/>
      <c r="E54" s="342"/>
      <c r="F54" s="326"/>
      <c r="G54" s="325"/>
      <c r="H54" s="325"/>
      <c r="I54" s="326"/>
      <c r="J54" s="326"/>
      <c r="K54" s="326"/>
      <c r="L54" s="326"/>
      <c r="M54" s="326"/>
      <c r="N54" s="327"/>
      <c r="P54" s="326"/>
      <c r="R54" s="326"/>
      <c r="S54" s="328"/>
      <c r="T54" s="326"/>
      <c r="U54" s="329"/>
      <c r="V54" s="329"/>
    </row>
    <row r="55" spans="1:22">
      <c r="A55" s="330"/>
      <c r="B55" s="331"/>
      <c r="C55" s="330"/>
      <c r="D55" s="326"/>
      <c r="E55" s="342"/>
      <c r="F55" s="326"/>
      <c r="G55" s="326"/>
      <c r="H55" s="326"/>
      <c r="I55" s="326"/>
      <c r="J55" s="326"/>
      <c r="K55" s="326"/>
      <c r="L55" s="326"/>
      <c r="M55" s="326"/>
      <c r="N55" s="327"/>
      <c r="P55" s="326"/>
      <c r="R55" s="326"/>
      <c r="S55" s="328"/>
      <c r="T55" s="326"/>
      <c r="U55" s="329"/>
      <c r="V55" s="329"/>
    </row>
    <row r="56" spans="1:22">
      <c r="A56" s="330"/>
      <c r="B56" s="331"/>
      <c r="C56" s="330"/>
      <c r="D56" s="326"/>
      <c r="E56" s="342"/>
      <c r="F56" s="326"/>
      <c r="G56" s="326"/>
      <c r="H56" s="326"/>
      <c r="I56" s="334"/>
      <c r="J56" s="334"/>
      <c r="K56" s="334"/>
      <c r="L56" s="334"/>
      <c r="M56" s="334"/>
      <c r="N56" s="335"/>
      <c r="O56" s="253"/>
      <c r="P56" s="334"/>
      <c r="R56" s="343"/>
      <c r="S56" s="334"/>
      <c r="T56" s="334"/>
      <c r="U56" s="344"/>
      <c r="V56" s="329"/>
    </row>
    <row r="57" spans="1:22">
      <c r="A57" s="330"/>
      <c r="B57" s="331"/>
      <c r="C57" s="330"/>
      <c r="D57" s="326"/>
      <c r="E57" s="342"/>
      <c r="F57" s="326"/>
      <c r="G57" s="326"/>
      <c r="H57" s="326"/>
      <c r="I57" s="326"/>
      <c r="J57" s="326"/>
      <c r="K57" s="326"/>
      <c r="L57" s="326"/>
      <c r="M57" s="326"/>
      <c r="N57" s="327"/>
      <c r="P57" s="326"/>
      <c r="R57" s="326"/>
      <c r="S57" s="328"/>
      <c r="T57" s="325"/>
      <c r="U57" s="329"/>
      <c r="V57" s="329"/>
    </row>
    <row r="58" spans="1:22">
      <c r="A58" s="330"/>
      <c r="B58" s="331"/>
      <c r="C58" s="330"/>
      <c r="D58" s="326"/>
      <c r="E58" s="342"/>
      <c r="F58" s="326"/>
      <c r="G58" s="326"/>
      <c r="H58" s="326"/>
      <c r="I58" s="334"/>
      <c r="J58" s="334"/>
      <c r="K58" s="334"/>
      <c r="L58" s="334"/>
      <c r="M58" s="334"/>
      <c r="N58" s="335"/>
      <c r="O58" s="253"/>
      <c r="P58" s="334"/>
      <c r="R58" s="343"/>
      <c r="S58" s="334"/>
      <c r="T58" s="334"/>
      <c r="U58" s="329"/>
      <c r="V58" s="329"/>
    </row>
    <row r="59" spans="1:22">
      <c r="A59" s="330"/>
      <c r="B59" s="331"/>
      <c r="C59" s="330"/>
      <c r="D59" s="334"/>
      <c r="E59" s="343"/>
      <c r="F59" s="334"/>
      <c r="G59" s="334"/>
      <c r="H59" s="343"/>
      <c r="I59" s="342"/>
      <c r="J59" s="329"/>
      <c r="K59" s="329"/>
      <c r="L59" s="326"/>
      <c r="M59" s="326"/>
      <c r="N59" s="327"/>
      <c r="P59" s="326"/>
      <c r="R59" s="329"/>
      <c r="S59" s="329"/>
      <c r="T59" s="329"/>
      <c r="U59" s="329"/>
      <c r="V59" s="344"/>
    </row>
    <row r="60" spans="1:22">
      <c r="B60" s="345"/>
      <c r="C60" s="346"/>
      <c r="D60" s="42"/>
      <c r="E60" s="347"/>
      <c r="F60" s="50"/>
      <c r="G60" s="42"/>
      <c r="H60" s="42"/>
      <c r="I60" s="42"/>
      <c r="J60" s="42"/>
      <c r="K60" s="42"/>
      <c r="L60" s="50"/>
      <c r="M60" s="50"/>
      <c r="N60" s="348"/>
      <c r="O60" s="349"/>
      <c r="P60" s="50"/>
      <c r="Q60" s="350"/>
      <c r="R60" s="42"/>
    </row>
    <row r="61" spans="1:22">
      <c r="B61" s="345"/>
      <c r="C61" s="346"/>
      <c r="D61" s="42"/>
      <c r="E61" s="347"/>
      <c r="F61" s="50"/>
      <c r="G61" s="42"/>
      <c r="H61" s="42"/>
      <c r="I61" s="42"/>
      <c r="J61" s="42"/>
      <c r="K61" s="42"/>
      <c r="L61" s="50"/>
      <c r="M61" s="50"/>
      <c r="N61" s="348"/>
      <c r="O61" s="349"/>
      <c r="P61" s="50"/>
      <c r="Q61" s="350"/>
      <c r="R61" s="42"/>
    </row>
    <row r="62" spans="1:22">
      <c r="B62" s="345"/>
      <c r="C62" s="345"/>
      <c r="D62" s="42"/>
      <c r="E62" s="347"/>
      <c r="F62" s="50"/>
      <c r="G62" s="42"/>
      <c r="H62" s="42"/>
      <c r="I62" s="42"/>
      <c r="J62" s="42"/>
      <c r="K62" s="42"/>
      <c r="L62" s="50"/>
      <c r="M62" s="50"/>
      <c r="N62" s="348"/>
      <c r="O62" s="349"/>
      <c r="P62" s="50"/>
      <c r="Q62" s="350"/>
      <c r="R62" s="42"/>
    </row>
    <row r="63" spans="1:22">
      <c r="B63" s="345"/>
      <c r="C63" s="345"/>
      <c r="D63" s="42"/>
      <c r="E63" s="347"/>
      <c r="F63" s="50"/>
      <c r="G63" s="42"/>
      <c r="H63" s="42"/>
      <c r="I63" s="42"/>
      <c r="J63" s="42"/>
      <c r="K63" s="42"/>
      <c r="L63" s="50"/>
      <c r="M63" s="50"/>
      <c r="N63" s="348"/>
      <c r="O63" s="349"/>
      <c r="P63" s="50"/>
      <c r="Q63" s="350"/>
      <c r="R63" s="42"/>
    </row>
    <row r="64" spans="1:22">
      <c r="B64" s="345"/>
      <c r="C64" s="345"/>
      <c r="D64" s="42"/>
      <c r="E64" s="347"/>
      <c r="F64" s="50"/>
      <c r="G64" s="42"/>
      <c r="H64" s="42"/>
      <c r="I64" s="42"/>
      <c r="J64" s="42"/>
      <c r="K64" s="42"/>
      <c r="L64" s="50"/>
      <c r="M64" s="50"/>
      <c r="N64" s="348"/>
      <c r="O64" s="349"/>
      <c r="P64" s="50"/>
      <c r="Q64" s="350"/>
      <c r="R64" s="42"/>
    </row>
    <row r="65" spans="2:18">
      <c r="B65" s="345"/>
      <c r="C65" s="345"/>
      <c r="D65" s="42"/>
      <c r="E65" s="347"/>
      <c r="F65" s="50"/>
      <c r="G65" s="42"/>
      <c r="H65" s="42"/>
      <c r="I65" s="42"/>
      <c r="J65" s="42"/>
      <c r="K65" s="42"/>
      <c r="L65" s="50"/>
      <c r="M65" s="50"/>
      <c r="N65" s="348"/>
      <c r="O65" s="349"/>
      <c r="P65" s="50"/>
      <c r="Q65" s="350"/>
      <c r="R65" s="42"/>
    </row>
    <row r="66" spans="2:18">
      <c r="B66" s="345"/>
      <c r="C66" s="345"/>
      <c r="D66" s="42"/>
      <c r="E66" s="347"/>
      <c r="F66" s="50"/>
      <c r="G66" s="42"/>
      <c r="H66" s="42"/>
      <c r="I66" s="42"/>
      <c r="J66" s="42"/>
      <c r="K66" s="42"/>
      <c r="L66" s="50"/>
      <c r="M66" s="50"/>
      <c r="N66" s="348"/>
      <c r="O66" s="349"/>
      <c r="P66" s="50"/>
      <c r="Q66" s="350"/>
      <c r="R66" s="42"/>
    </row>
    <row r="67" spans="2:18">
      <c r="B67" s="345"/>
      <c r="C67" s="345"/>
      <c r="D67" s="42"/>
      <c r="E67" s="347"/>
      <c r="F67" s="50"/>
      <c r="G67" s="42"/>
      <c r="H67" s="42"/>
      <c r="I67" s="42"/>
      <c r="J67" s="42"/>
      <c r="K67" s="42"/>
      <c r="L67" s="50"/>
      <c r="M67" s="50"/>
      <c r="N67" s="348"/>
      <c r="O67" s="349"/>
      <c r="P67" s="50"/>
      <c r="Q67" s="350"/>
      <c r="R67" s="42"/>
    </row>
    <row r="68" spans="2:18">
      <c r="B68" s="345"/>
      <c r="C68" s="345"/>
      <c r="D68" s="42"/>
      <c r="E68" s="347"/>
      <c r="F68" s="50"/>
      <c r="G68" s="42"/>
      <c r="H68" s="42"/>
      <c r="I68" s="42"/>
      <c r="J68" s="42"/>
      <c r="K68" s="42"/>
      <c r="L68" s="50"/>
      <c r="M68" s="50"/>
      <c r="N68" s="348"/>
      <c r="O68" s="349"/>
      <c r="P68" s="50"/>
      <c r="Q68" s="350"/>
      <c r="R68" s="42"/>
    </row>
    <row r="69" spans="2:18">
      <c r="B69" s="345"/>
      <c r="C69" s="345"/>
      <c r="D69" s="42"/>
      <c r="E69" s="347"/>
      <c r="F69" s="50"/>
      <c r="G69" s="42"/>
      <c r="H69" s="42"/>
      <c r="I69" s="42"/>
      <c r="J69" s="42"/>
      <c r="K69" s="42"/>
      <c r="L69" s="50"/>
      <c r="M69" s="50"/>
      <c r="N69" s="348"/>
      <c r="O69" s="349"/>
      <c r="P69" s="50"/>
      <c r="Q69" s="350"/>
      <c r="R69" s="42"/>
    </row>
    <row r="70" spans="2:18">
      <c r="B70" s="345"/>
      <c r="C70" s="345"/>
      <c r="D70" s="42"/>
      <c r="E70" s="347"/>
      <c r="F70" s="50"/>
      <c r="G70" s="42"/>
      <c r="H70" s="42"/>
      <c r="I70" s="42"/>
      <c r="J70" s="42"/>
      <c r="K70" s="42"/>
      <c r="L70" s="50"/>
      <c r="M70" s="50"/>
      <c r="N70" s="348"/>
      <c r="O70" s="349"/>
      <c r="P70" s="50"/>
      <c r="Q70" s="350"/>
      <c r="R70" s="42"/>
    </row>
    <row r="71" spans="2:18">
      <c r="B71" s="345"/>
      <c r="C71" s="345"/>
      <c r="D71" s="42"/>
      <c r="E71" s="347"/>
      <c r="F71" s="50"/>
      <c r="G71" s="42"/>
      <c r="H71" s="42"/>
      <c r="I71" s="42"/>
      <c r="J71" s="42"/>
      <c r="K71" s="42"/>
      <c r="L71" s="50"/>
      <c r="M71" s="50"/>
      <c r="N71" s="348"/>
      <c r="O71" s="349"/>
      <c r="P71" s="50"/>
      <c r="Q71" s="350"/>
      <c r="R71" s="42"/>
    </row>
    <row r="72" spans="2:18">
      <c r="B72" s="345"/>
      <c r="C72" s="345"/>
      <c r="D72" s="42"/>
      <c r="E72" s="347"/>
      <c r="F72" s="50"/>
      <c r="G72" s="42"/>
      <c r="H72" s="42"/>
      <c r="I72" s="42"/>
      <c r="J72" s="42"/>
      <c r="K72" s="42"/>
      <c r="L72" s="50"/>
      <c r="M72" s="50"/>
      <c r="N72" s="348"/>
      <c r="O72" s="349"/>
      <c r="P72" s="50"/>
      <c r="Q72" s="350"/>
      <c r="R72" s="42"/>
    </row>
    <row r="73" spans="2:18">
      <c r="B73" s="345"/>
      <c r="C73" s="40"/>
      <c r="D73" s="42"/>
      <c r="E73" s="347"/>
      <c r="F73" s="50"/>
      <c r="G73" s="42"/>
      <c r="H73" s="42"/>
      <c r="I73" s="42"/>
      <c r="J73" s="42"/>
      <c r="K73" s="42"/>
      <c r="L73" s="50"/>
      <c r="M73" s="50"/>
      <c r="N73" s="348"/>
      <c r="O73" s="349"/>
      <c r="P73" s="50"/>
      <c r="Q73" s="350"/>
      <c r="R73" s="42"/>
    </row>
    <row r="74" spans="2:18">
      <c r="B74" s="345"/>
      <c r="C74" s="40"/>
      <c r="D74" s="42"/>
      <c r="E74" s="347"/>
      <c r="F74" s="50"/>
      <c r="G74" s="42"/>
      <c r="H74" s="42"/>
      <c r="I74" s="42"/>
      <c r="J74" s="42"/>
      <c r="K74" s="42"/>
      <c r="L74" s="50"/>
      <c r="M74" s="50"/>
      <c r="N74" s="348"/>
      <c r="O74" s="349"/>
      <c r="P74" s="50"/>
      <c r="Q74" s="350"/>
      <c r="R74" s="42"/>
    </row>
    <row r="75" spans="2:18">
      <c r="B75" s="345"/>
      <c r="C75" s="40"/>
      <c r="D75" s="42"/>
      <c r="E75" s="347"/>
      <c r="F75" s="50"/>
      <c r="G75" s="42"/>
      <c r="H75" s="42"/>
      <c r="I75" s="42"/>
      <c r="J75" s="42"/>
      <c r="K75" s="42"/>
      <c r="L75" s="50"/>
      <c r="M75" s="50"/>
      <c r="N75" s="348"/>
      <c r="O75" s="349"/>
      <c r="P75" s="50"/>
      <c r="Q75" s="350"/>
      <c r="R75" s="42"/>
    </row>
    <row r="76" spans="2:18">
      <c r="B76" s="345"/>
      <c r="C76" s="40"/>
      <c r="D76" s="42"/>
      <c r="E76" s="347"/>
      <c r="F76" s="50"/>
      <c r="G76" s="42"/>
      <c r="H76" s="42"/>
      <c r="I76" s="42"/>
      <c r="J76" s="42"/>
      <c r="K76" s="42"/>
      <c r="L76" s="50"/>
      <c r="M76" s="50"/>
      <c r="N76" s="348"/>
      <c r="O76" s="349"/>
      <c r="P76" s="50"/>
      <c r="Q76" s="350"/>
      <c r="R76" s="42"/>
    </row>
    <row r="77" spans="2:18">
      <c r="B77" s="345"/>
      <c r="C77" s="40"/>
      <c r="D77" s="42"/>
      <c r="E77" s="347"/>
      <c r="F77" s="50"/>
      <c r="G77" s="42"/>
      <c r="H77" s="42"/>
      <c r="I77" s="42"/>
      <c r="J77" s="42"/>
      <c r="K77" s="42"/>
      <c r="L77" s="50"/>
      <c r="M77" s="50"/>
      <c r="N77" s="348"/>
      <c r="O77" s="349"/>
      <c r="P77" s="50"/>
      <c r="Q77" s="350"/>
      <c r="R77" s="42"/>
    </row>
    <row r="78" spans="2:18">
      <c r="B78" s="345"/>
      <c r="C78" s="40"/>
      <c r="D78" s="42"/>
      <c r="E78" s="347"/>
      <c r="F78" s="50"/>
      <c r="G78" s="42"/>
      <c r="H78" s="42"/>
      <c r="I78" s="42"/>
      <c r="J78" s="42"/>
      <c r="K78" s="42"/>
      <c r="L78" s="50"/>
      <c r="M78" s="50"/>
      <c r="N78" s="348"/>
      <c r="O78" s="349"/>
      <c r="P78" s="50"/>
      <c r="Q78" s="350"/>
      <c r="R78" s="42"/>
    </row>
    <row r="79" spans="2:18">
      <c r="B79" s="345"/>
      <c r="C79" s="40"/>
      <c r="D79" s="42"/>
      <c r="E79" s="347"/>
      <c r="F79" s="50"/>
      <c r="G79" s="42"/>
      <c r="H79" s="42"/>
      <c r="I79" s="42"/>
      <c r="J79" s="42"/>
      <c r="K79" s="42"/>
      <c r="L79" s="50"/>
      <c r="M79" s="50"/>
      <c r="N79" s="348"/>
      <c r="O79" s="349"/>
      <c r="P79" s="50"/>
      <c r="Q79" s="350"/>
      <c r="R79" s="42"/>
    </row>
    <row r="80" spans="2:18">
      <c r="B80" s="345"/>
      <c r="C80" s="40"/>
      <c r="D80" s="42"/>
      <c r="E80" s="347"/>
      <c r="F80" s="50"/>
      <c r="G80" s="42"/>
      <c r="H80" s="42"/>
      <c r="I80" s="42"/>
      <c r="J80" s="42"/>
      <c r="K80" s="42"/>
      <c r="L80" s="50"/>
      <c r="M80" s="50"/>
      <c r="N80" s="348"/>
      <c r="O80" s="349"/>
      <c r="P80" s="50"/>
      <c r="Q80" s="350"/>
      <c r="R80" s="42"/>
    </row>
    <row r="81" spans="2:18">
      <c r="B81" s="345"/>
      <c r="C81" s="40"/>
      <c r="D81" s="42"/>
      <c r="E81" s="347"/>
      <c r="F81" s="50"/>
      <c r="G81" s="42"/>
      <c r="H81" s="42"/>
      <c r="I81" s="42"/>
      <c r="J81" s="42"/>
      <c r="K81" s="42"/>
      <c r="L81" s="50"/>
      <c r="M81" s="50"/>
      <c r="N81" s="348"/>
      <c r="O81" s="349"/>
      <c r="P81" s="50"/>
      <c r="Q81" s="350"/>
      <c r="R81" s="42"/>
    </row>
    <row r="82" spans="2:18">
      <c r="B82" s="345"/>
      <c r="C82" s="40"/>
      <c r="D82" s="42"/>
      <c r="E82" s="347"/>
      <c r="F82" s="50"/>
      <c r="G82" s="42"/>
      <c r="H82" s="42"/>
      <c r="I82" s="42"/>
      <c r="J82" s="42"/>
      <c r="K82" s="42"/>
      <c r="L82" s="50"/>
      <c r="M82" s="50"/>
      <c r="N82" s="348"/>
      <c r="O82" s="349"/>
      <c r="P82" s="50"/>
      <c r="Q82" s="350"/>
      <c r="R82" s="42"/>
    </row>
    <row r="83" spans="2:18">
      <c r="B83" s="345"/>
      <c r="C83" s="40"/>
      <c r="D83" s="42"/>
      <c r="E83" s="347"/>
      <c r="F83" s="50"/>
      <c r="G83" s="42"/>
      <c r="H83" s="42"/>
      <c r="I83" s="42"/>
      <c r="J83" s="42"/>
      <c r="K83" s="42"/>
      <c r="L83" s="50"/>
      <c r="M83" s="50"/>
      <c r="N83" s="348"/>
      <c r="O83" s="349"/>
      <c r="P83" s="50"/>
      <c r="Q83" s="350"/>
      <c r="R83" s="42"/>
    </row>
    <row r="84" spans="2:18">
      <c r="B84" s="345"/>
      <c r="C84" s="40"/>
      <c r="D84" s="42"/>
      <c r="E84" s="347"/>
      <c r="F84" s="50"/>
      <c r="G84" s="42"/>
      <c r="H84" s="42"/>
      <c r="I84" s="42"/>
      <c r="J84" s="42"/>
      <c r="K84" s="42"/>
      <c r="L84" s="50"/>
      <c r="M84" s="50"/>
      <c r="N84" s="348"/>
      <c r="O84" s="349"/>
      <c r="P84" s="50"/>
      <c r="Q84" s="350"/>
      <c r="R84" s="42"/>
    </row>
    <row r="85" spans="2:18">
      <c r="B85" s="345"/>
      <c r="C85" s="40"/>
      <c r="D85" s="42"/>
      <c r="E85" s="347"/>
      <c r="F85" s="50"/>
      <c r="G85" s="42"/>
      <c r="H85" s="42"/>
      <c r="I85" s="42"/>
      <c r="J85" s="42"/>
      <c r="K85" s="42"/>
      <c r="L85" s="50"/>
      <c r="M85" s="50"/>
      <c r="N85" s="348"/>
      <c r="O85" s="349"/>
      <c r="P85" s="50"/>
      <c r="Q85" s="350"/>
      <c r="R85" s="42"/>
    </row>
    <row r="86" spans="2:18">
      <c r="B86" s="345"/>
      <c r="C86" s="40"/>
      <c r="D86" s="42"/>
      <c r="E86" s="347"/>
      <c r="F86" s="50"/>
      <c r="G86" s="42"/>
      <c r="H86" s="42"/>
      <c r="I86" s="42"/>
      <c r="J86" s="42"/>
      <c r="K86" s="42"/>
      <c r="L86" s="50"/>
      <c r="M86" s="50"/>
      <c r="N86" s="348"/>
      <c r="O86" s="349"/>
      <c r="P86" s="50"/>
      <c r="Q86" s="350"/>
      <c r="R86" s="42"/>
    </row>
    <row r="87" spans="2:18">
      <c r="B87" s="345"/>
      <c r="C87" s="40"/>
      <c r="D87" s="42"/>
      <c r="E87" s="347"/>
      <c r="F87" s="50"/>
      <c r="G87" s="42"/>
      <c r="H87" s="42"/>
      <c r="I87" s="42"/>
      <c r="J87" s="42"/>
      <c r="K87" s="42"/>
      <c r="L87" s="50"/>
      <c r="M87" s="50"/>
      <c r="N87" s="348"/>
      <c r="O87" s="349"/>
      <c r="P87" s="50"/>
      <c r="Q87" s="350"/>
      <c r="R87" s="42"/>
    </row>
    <row r="88" spans="2:18">
      <c r="B88" s="345"/>
      <c r="C88" s="40"/>
      <c r="D88" s="42"/>
      <c r="E88" s="347"/>
      <c r="F88" s="50"/>
      <c r="G88" s="42"/>
      <c r="H88" s="42"/>
      <c r="I88" s="42"/>
      <c r="J88" s="42"/>
      <c r="K88" s="42"/>
      <c r="L88" s="50"/>
      <c r="M88" s="50"/>
      <c r="N88" s="348"/>
      <c r="O88" s="349"/>
      <c r="P88" s="50"/>
      <c r="Q88" s="350"/>
      <c r="R88" s="42"/>
    </row>
    <row r="89" spans="2:18">
      <c r="B89" s="345"/>
      <c r="C89" s="40"/>
      <c r="D89" s="42"/>
      <c r="E89" s="347"/>
      <c r="F89" s="50"/>
      <c r="G89" s="42"/>
      <c r="H89" s="42"/>
      <c r="I89" s="42"/>
      <c r="J89" s="42"/>
      <c r="K89" s="42"/>
      <c r="L89" s="50"/>
      <c r="M89" s="50"/>
      <c r="N89" s="348"/>
      <c r="O89" s="349"/>
      <c r="P89" s="50"/>
      <c r="Q89" s="350"/>
      <c r="R89" s="42"/>
    </row>
    <row r="90" spans="2:18">
      <c r="B90" s="345"/>
      <c r="C90" s="40"/>
      <c r="D90" s="42"/>
      <c r="E90" s="347"/>
      <c r="F90" s="50"/>
      <c r="G90" s="42"/>
      <c r="H90" s="42"/>
      <c r="I90" s="42"/>
      <c r="J90" s="42"/>
      <c r="K90" s="42"/>
      <c r="L90" s="50"/>
      <c r="M90" s="50"/>
      <c r="N90" s="348"/>
      <c r="O90" s="349"/>
      <c r="P90" s="50"/>
      <c r="Q90" s="350"/>
      <c r="R90" s="42"/>
    </row>
    <row r="91" spans="2:18">
      <c r="B91" s="345"/>
      <c r="C91" s="40"/>
      <c r="D91" s="42"/>
      <c r="E91" s="347"/>
      <c r="F91" s="50"/>
      <c r="G91" s="42"/>
      <c r="H91" s="42"/>
      <c r="I91" s="42"/>
      <c r="J91" s="42"/>
      <c r="K91" s="42"/>
      <c r="L91" s="50"/>
      <c r="M91" s="50"/>
      <c r="N91" s="348"/>
      <c r="O91" s="349"/>
      <c r="P91" s="50"/>
      <c r="Q91" s="350"/>
      <c r="R91" s="42"/>
    </row>
    <row r="92" spans="2:18">
      <c r="B92" s="345"/>
      <c r="C92" s="40"/>
      <c r="D92" s="42"/>
      <c r="E92" s="347"/>
      <c r="F92" s="50"/>
      <c r="G92" s="42"/>
      <c r="H92" s="42"/>
      <c r="I92" s="42"/>
      <c r="J92" s="42"/>
      <c r="K92" s="42"/>
      <c r="L92" s="50"/>
      <c r="M92" s="50"/>
      <c r="N92" s="348"/>
      <c r="O92" s="349"/>
      <c r="P92" s="50"/>
      <c r="Q92" s="350"/>
      <c r="R92" s="42"/>
    </row>
    <row r="93" spans="2:18">
      <c r="B93" s="345"/>
      <c r="C93" s="40"/>
      <c r="D93" s="42"/>
      <c r="E93" s="347"/>
      <c r="F93" s="50"/>
      <c r="G93" s="42"/>
      <c r="H93" s="42"/>
      <c r="I93" s="42"/>
      <c r="J93" s="42"/>
      <c r="K93" s="42"/>
      <c r="L93" s="50"/>
      <c r="M93" s="50"/>
      <c r="N93" s="348"/>
      <c r="O93" s="349"/>
      <c r="P93" s="50"/>
      <c r="Q93" s="350"/>
      <c r="R93" s="42"/>
    </row>
    <row r="94" spans="2:18">
      <c r="B94" s="345"/>
      <c r="C94" s="40"/>
      <c r="D94" s="42"/>
      <c r="E94" s="347"/>
      <c r="F94" s="50"/>
      <c r="G94" s="42"/>
      <c r="H94" s="42"/>
      <c r="I94" s="42"/>
      <c r="J94" s="42"/>
      <c r="K94" s="42"/>
      <c r="L94" s="50"/>
      <c r="M94" s="50"/>
      <c r="N94" s="348"/>
      <c r="O94" s="349"/>
      <c r="P94" s="50"/>
      <c r="Q94" s="350"/>
      <c r="R94" s="42"/>
    </row>
    <row r="95" spans="2:18">
      <c r="B95" s="345"/>
      <c r="C95" s="40"/>
      <c r="D95" s="42"/>
      <c r="E95" s="347"/>
      <c r="F95" s="50"/>
      <c r="G95" s="42"/>
      <c r="H95" s="42"/>
      <c r="I95" s="42"/>
      <c r="J95" s="42"/>
      <c r="K95" s="42"/>
      <c r="L95" s="50"/>
      <c r="M95" s="50"/>
      <c r="N95" s="348"/>
      <c r="O95" s="349"/>
      <c r="P95" s="50"/>
      <c r="Q95" s="350"/>
      <c r="R95" s="42"/>
    </row>
    <row r="96" spans="2:18">
      <c r="B96" s="345"/>
      <c r="C96" s="40"/>
      <c r="D96" s="42"/>
      <c r="E96" s="347"/>
      <c r="F96" s="50"/>
      <c r="G96" s="42"/>
      <c r="H96" s="42"/>
      <c r="I96" s="42"/>
      <c r="J96" s="42"/>
      <c r="K96" s="42"/>
      <c r="L96" s="50"/>
      <c r="M96" s="50"/>
      <c r="N96" s="348"/>
      <c r="O96" s="349"/>
      <c r="P96" s="50"/>
      <c r="Q96" s="350"/>
      <c r="R96" s="42"/>
    </row>
    <row r="97" spans="1:18">
      <c r="B97" s="345"/>
      <c r="C97" s="40"/>
      <c r="D97" s="42"/>
      <c r="E97" s="347"/>
      <c r="F97" s="50"/>
      <c r="G97" s="42"/>
      <c r="H97" s="42"/>
      <c r="I97" s="42"/>
      <c r="J97" s="42"/>
      <c r="K97" s="42"/>
      <c r="L97" s="50"/>
      <c r="M97" s="50"/>
      <c r="N97" s="348"/>
      <c r="O97" s="349"/>
      <c r="P97" s="50"/>
      <c r="Q97" s="350"/>
      <c r="R97" s="42"/>
    </row>
    <row r="98" spans="1:18">
      <c r="A98" s="723"/>
      <c r="B98" s="758"/>
      <c r="C98" s="43"/>
      <c r="D98" s="723"/>
      <c r="E98" s="776"/>
      <c r="F98" s="744"/>
      <c r="G98" s="723"/>
      <c r="H98" s="723"/>
      <c r="I98" s="723"/>
    </row>
    <row r="99" spans="1:18">
      <c r="A99" s="51"/>
      <c r="B99" s="760"/>
      <c r="C99" s="45"/>
      <c r="D99" s="51"/>
      <c r="E99" s="777"/>
      <c r="F99" s="47"/>
      <c r="G99" s="51"/>
      <c r="H99" s="51"/>
      <c r="I99" s="51"/>
    </row>
    <row r="100" spans="1:18">
      <c r="A100" s="51"/>
      <c r="B100" s="760"/>
      <c r="C100" s="45"/>
      <c r="D100" s="51"/>
      <c r="E100" s="777"/>
      <c r="F100" s="47"/>
      <c r="G100" s="51"/>
      <c r="H100" s="51"/>
      <c r="I100" s="51"/>
    </row>
    <row r="101" spans="1:18">
      <c r="A101" s="51"/>
      <c r="B101" s="760"/>
      <c r="C101" s="45"/>
      <c r="D101" s="51"/>
      <c r="E101" s="777"/>
      <c r="F101" s="47"/>
      <c r="G101" s="51"/>
      <c r="H101" s="51"/>
      <c r="I101" s="51"/>
    </row>
    <row r="102" spans="1:18">
      <c r="A102" s="725"/>
      <c r="B102" s="762"/>
      <c r="C102" s="46"/>
      <c r="D102" s="725"/>
      <c r="E102" s="778"/>
      <c r="F102" s="745"/>
      <c r="G102" s="725"/>
      <c r="H102" s="725"/>
      <c r="I102" s="725"/>
    </row>
  </sheetData>
  <mergeCells count="6">
    <mergeCell ref="O1:P1"/>
    <mergeCell ref="B1:B2"/>
    <mergeCell ref="G1:G2"/>
    <mergeCell ref="C1:D1"/>
    <mergeCell ref="E1:F1"/>
    <mergeCell ref="J1:M1"/>
  </mergeCells>
  <phoneticPr fontId="25" type="noConversion"/>
  <printOptions horizontalCentered="1"/>
  <pageMargins left="0.27559055118110237" right="0.15748031496062992" top="1.3779527559055118" bottom="0.31496062992125984" header="0.35433070866141736" footer="0.15748031496062992"/>
  <pageSetup paperSize="9" scale="90" orientation="landscape" r:id="rId1"/>
  <headerFooter alignWithMargins="0">
    <oddHeader>&amp;L&amp;"Times New Roman,Normál"&amp;12Szent László Völgye
Kistérségi Szolgáltató Iroda&amp;C&amp;"Times New Roman,Félkövér"&amp;14 2011. ÉVI KÖLTSÉGVETÉS
1. SZ. MÓDOSÍTÁSA&amp;R&amp;"Times New Roman,Félkövér"&amp;12 2.5 melléklet
 &amp;A
&amp;"Times New Roman,Normál"&amp;10
Adatok: eFt</oddHeader>
    <oddFooter>&amp;L&amp;F&amp;C&amp;D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BI121"/>
  <sheetViews>
    <sheetView zoomScale="115" zoomScaleNormal="115" workbookViewId="0">
      <pane xSplit="1" ySplit="3" topLeftCell="B85" activePane="bottomRight" state="frozen"/>
      <selection activeCell="G113" sqref="G113"/>
      <selection pane="topRight" activeCell="G113" sqref="G113"/>
      <selection pane="bottomLeft" activeCell="G113" sqref="G113"/>
      <selection pane="bottomRight" activeCell="A103" sqref="A103"/>
    </sheetView>
  </sheetViews>
  <sheetFormatPr defaultColWidth="8.85546875" defaultRowHeight="12.75"/>
  <cols>
    <col min="1" max="1" width="66.5703125" style="1031" customWidth="1"/>
    <col min="2" max="4" width="10.7109375" style="1028" customWidth="1"/>
    <col min="5" max="5" width="9.42578125" style="1028" customWidth="1"/>
    <col min="6" max="6" width="3.85546875" style="1" customWidth="1"/>
    <col min="7" max="8" width="10.7109375" style="98" customWidth="1"/>
    <col min="9" max="9" width="7.7109375" style="98" customWidth="1"/>
    <col min="10" max="10" width="3.85546875" style="98" customWidth="1"/>
    <col min="11" max="11" width="10.7109375" style="98" customWidth="1"/>
    <col min="12" max="12" width="10.7109375" style="1" customWidth="1"/>
    <col min="13" max="13" width="7.7109375" style="98" customWidth="1"/>
    <col min="14" max="14" width="3.85546875" style="1" customWidth="1"/>
    <col min="15" max="16" width="10.7109375" style="2" customWidth="1"/>
    <col min="17" max="17" width="7.7109375" style="98" customWidth="1"/>
    <col min="18" max="18" width="8.85546875" style="1" customWidth="1"/>
    <col min="19" max="19" width="9.42578125" style="1" bestFit="1" customWidth="1"/>
    <col min="20" max="16384" width="8.85546875" style="1031"/>
  </cols>
  <sheetData>
    <row r="1" spans="1:19" ht="13.15" customHeight="1">
      <c r="A1" s="1588"/>
      <c r="B1" s="2336" t="s">
        <v>360</v>
      </c>
      <c r="C1" s="2337"/>
      <c r="D1" s="2417"/>
      <c r="E1" s="2418"/>
      <c r="G1" s="2344"/>
      <c r="H1" s="2345"/>
      <c r="I1" s="2345"/>
      <c r="J1" s="57"/>
      <c r="K1" s="2419"/>
      <c r="L1" s="2419"/>
      <c r="M1" s="2419"/>
      <c r="N1" s="57"/>
      <c r="O1" s="2344"/>
      <c r="P1" s="2344"/>
      <c r="Q1" s="2344"/>
    </row>
    <row r="2" spans="1:19" s="1591" customFormat="1" ht="15">
      <c r="A2" s="1588"/>
      <c r="B2" s="1589" t="s">
        <v>244</v>
      </c>
      <c r="C2" s="2274" t="s">
        <v>690</v>
      </c>
      <c r="D2" s="1590" t="s">
        <v>689</v>
      </c>
      <c r="E2" s="61" t="s">
        <v>127</v>
      </c>
      <c r="F2" s="57"/>
      <c r="G2" s="57"/>
      <c r="H2" s="57"/>
      <c r="I2" s="57"/>
      <c r="J2" s="57"/>
      <c r="K2" s="57"/>
      <c r="L2" s="57"/>
      <c r="M2" s="57"/>
      <c r="N2" s="58"/>
      <c r="O2" s="57"/>
      <c r="P2" s="57"/>
      <c r="Q2" s="57"/>
      <c r="R2" s="57"/>
      <c r="S2" s="57"/>
    </row>
    <row r="3" spans="1:19" s="1591" customFormat="1" ht="15.75" thickBot="1">
      <c r="A3" s="1588"/>
      <c r="B3" s="1644" t="s">
        <v>128</v>
      </c>
      <c r="C3" s="2276"/>
      <c r="D3" s="1645" t="s">
        <v>128</v>
      </c>
      <c r="E3" s="1263"/>
      <c r="F3" s="57"/>
      <c r="G3" s="57"/>
      <c r="H3" s="57"/>
      <c r="I3" s="57"/>
      <c r="J3" s="57"/>
      <c r="K3" s="57"/>
      <c r="L3" s="57"/>
      <c r="M3" s="57"/>
      <c r="N3" s="58"/>
      <c r="O3" s="57"/>
      <c r="P3" s="57"/>
      <c r="Q3" s="57"/>
      <c r="R3" s="57"/>
      <c r="S3" s="57"/>
    </row>
    <row r="4" spans="1:19" s="1599" customFormat="1" ht="15" customHeight="1">
      <c r="A4" s="1592" t="s">
        <v>11</v>
      </c>
      <c r="B4" s="1593"/>
      <c r="C4" s="1594"/>
      <c r="D4" s="1595"/>
      <c r="E4" s="1596"/>
      <c r="F4" s="1597"/>
      <c r="G4" s="1597"/>
      <c r="H4" s="1597"/>
      <c r="I4" s="1598"/>
      <c r="J4" s="1598"/>
      <c r="K4" s="1597"/>
      <c r="L4" s="1597"/>
      <c r="M4" s="1598"/>
      <c r="N4" s="131"/>
      <c r="O4" s="1597"/>
      <c r="P4" s="1597"/>
      <c r="Q4" s="1598"/>
      <c r="R4" s="1597"/>
      <c r="S4" s="1597"/>
    </row>
    <row r="5" spans="1:19" s="1600" customFormat="1" ht="15" customHeight="1">
      <c r="A5" s="1253" t="s">
        <v>361</v>
      </c>
      <c r="B5" s="84">
        <f>+EGYÉB!D2+EGYÉB!D3</f>
        <v>21855</v>
      </c>
      <c r="C5" s="229"/>
      <c r="D5" s="85">
        <f>+B5+C5</f>
        <v>21855</v>
      </c>
      <c r="E5" s="86">
        <f>+D5/B5</f>
        <v>1</v>
      </c>
      <c r="F5" s="149"/>
      <c r="G5" s="69"/>
      <c r="H5" s="69"/>
      <c r="I5" s="68"/>
      <c r="J5" s="68"/>
      <c r="K5" s="69"/>
      <c r="L5" s="69"/>
      <c r="M5" s="68"/>
      <c r="N5" s="68"/>
      <c r="O5" s="69"/>
      <c r="P5" s="69"/>
      <c r="Q5" s="68"/>
      <c r="R5" s="149"/>
      <c r="S5" s="149"/>
    </row>
    <row r="6" spans="1:19" s="1600" customFormat="1" ht="15" customHeight="1">
      <c r="A6" s="1071" t="s">
        <v>362</v>
      </c>
      <c r="B6" s="84"/>
      <c r="C6" s="229"/>
      <c r="D6" s="85">
        <f t="shared" ref="D6:D17" si="0">+B6+C6</f>
        <v>0</v>
      </c>
      <c r="E6" s="86"/>
      <c r="F6" s="149"/>
      <c r="G6" s="69"/>
      <c r="H6" s="69"/>
      <c r="I6" s="68"/>
      <c r="J6" s="68"/>
      <c r="K6" s="69"/>
      <c r="L6" s="69"/>
      <c r="M6" s="68"/>
      <c r="N6" s="68"/>
      <c r="O6" s="69"/>
      <c r="P6" s="69"/>
      <c r="Q6" s="68"/>
      <c r="R6" s="149"/>
      <c r="S6" s="149"/>
    </row>
    <row r="7" spans="1:19" s="1600" customFormat="1" ht="15" customHeight="1">
      <c r="A7" s="32" t="s">
        <v>251</v>
      </c>
      <c r="B7" s="84"/>
      <c r="C7" s="229"/>
      <c r="D7" s="85">
        <f t="shared" si="0"/>
        <v>0</v>
      </c>
      <c r="E7" s="86"/>
      <c r="F7" s="149"/>
      <c r="G7" s="69"/>
      <c r="H7" s="69"/>
      <c r="I7" s="68"/>
      <c r="J7" s="68"/>
      <c r="K7" s="69"/>
      <c r="L7" s="69"/>
      <c r="M7" s="68"/>
      <c r="N7" s="68"/>
      <c r="O7" s="69"/>
      <c r="P7" s="69"/>
      <c r="Q7" s="68"/>
      <c r="R7" s="149"/>
      <c r="S7" s="149"/>
    </row>
    <row r="8" spans="1:19" s="1600" customFormat="1" ht="15" customHeight="1">
      <c r="A8" s="32" t="s">
        <v>15</v>
      </c>
      <c r="B8" s="84"/>
      <c r="C8" s="229"/>
      <c r="D8" s="85">
        <f t="shared" si="0"/>
        <v>0</v>
      </c>
      <c r="E8" s="86"/>
      <c r="F8" s="149"/>
      <c r="G8" s="69"/>
      <c r="H8" s="69"/>
      <c r="I8" s="68"/>
      <c r="J8" s="68"/>
      <c r="K8" s="69"/>
      <c r="L8" s="69"/>
      <c r="M8" s="68"/>
      <c r="N8" s="68"/>
      <c r="O8" s="69"/>
      <c r="P8" s="69"/>
      <c r="Q8" s="68"/>
      <c r="R8" s="149"/>
      <c r="S8" s="149"/>
    </row>
    <row r="9" spans="1:19" s="1600" customFormat="1" ht="15" customHeight="1">
      <c r="A9" s="32" t="s">
        <v>16</v>
      </c>
      <c r="B9" s="84"/>
      <c r="C9" s="229"/>
      <c r="D9" s="85">
        <f t="shared" si="0"/>
        <v>0</v>
      </c>
      <c r="E9" s="86"/>
      <c r="F9" s="149"/>
      <c r="G9" s="69"/>
      <c r="H9" s="69"/>
      <c r="I9" s="68"/>
      <c r="J9" s="68"/>
      <c r="K9" s="69"/>
      <c r="L9" s="69"/>
      <c r="M9" s="68"/>
      <c r="N9" s="68"/>
      <c r="O9" s="69"/>
      <c r="P9" s="69"/>
      <c r="Q9" s="68"/>
      <c r="R9" s="149"/>
      <c r="S9" s="149"/>
    </row>
    <row r="10" spans="1:19" s="1600" customFormat="1" ht="15" customHeight="1">
      <c r="A10" s="32" t="s">
        <v>17</v>
      </c>
      <c r="B10" s="1383">
        <v>1000</v>
      </c>
      <c r="C10" s="85">
        <v>1000</v>
      </c>
      <c r="D10" s="85">
        <f t="shared" si="0"/>
        <v>2000</v>
      </c>
      <c r="E10" s="86">
        <f>+D10/B10</f>
        <v>2</v>
      </c>
      <c r="F10" s="149"/>
      <c r="G10" s="69"/>
      <c r="H10" s="69"/>
      <c r="I10" s="68"/>
      <c r="J10" s="68"/>
      <c r="K10" s="69"/>
      <c r="L10" s="69"/>
      <c r="M10" s="68"/>
      <c r="N10" s="68"/>
      <c r="O10" s="69"/>
      <c r="P10" s="69"/>
      <c r="Q10" s="68"/>
      <c r="R10" s="149"/>
      <c r="S10" s="69"/>
    </row>
    <row r="11" spans="1:19" s="1600" customFormat="1" ht="15" customHeight="1">
      <c r="A11" s="1601" t="s">
        <v>252</v>
      </c>
      <c r="B11" s="84"/>
      <c r="C11" s="229"/>
      <c r="D11" s="85">
        <f t="shared" si="0"/>
        <v>0</v>
      </c>
      <c r="E11" s="86"/>
      <c r="F11" s="149"/>
      <c r="G11" s="69"/>
      <c r="H11" s="69"/>
      <c r="I11" s="68"/>
      <c r="J11" s="68"/>
      <c r="K11" s="69"/>
      <c r="L11" s="69"/>
      <c r="M11" s="68"/>
      <c r="N11" s="68"/>
      <c r="O11" s="69"/>
      <c r="P11" s="69"/>
      <c r="Q11" s="68"/>
      <c r="R11" s="149"/>
      <c r="S11" s="149"/>
    </row>
    <row r="12" spans="1:19" s="1600" customFormat="1" ht="15" customHeight="1">
      <c r="A12" s="32" t="s">
        <v>306</v>
      </c>
      <c r="B12" s="84"/>
      <c r="C12" s="229"/>
      <c r="D12" s="85">
        <f t="shared" si="0"/>
        <v>0</v>
      </c>
      <c r="E12" s="86"/>
      <c r="F12" s="149"/>
      <c r="G12" s="69"/>
      <c r="H12" s="69"/>
      <c r="I12" s="68"/>
      <c r="J12" s="68"/>
      <c r="K12" s="69"/>
      <c r="L12" s="69"/>
      <c r="M12" s="68"/>
      <c r="N12" s="68"/>
      <c r="O12" s="69"/>
      <c r="P12" s="69"/>
      <c r="Q12" s="68"/>
      <c r="R12" s="149"/>
      <c r="S12" s="149"/>
    </row>
    <row r="13" spans="1:19" s="1600" customFormat="1" ht="15" customHeight="1">
      <c r="A13" s="32" t="s">
        <v>20</v>
      </c>
      <c r="B13" s="84"/>
      <c r="C13" s="229"/>
      <c r="D13" s="85">
        <f t="shared" si="0"/>
        <v>0</v>
      </c>
      <c r="E13" s="86"/>
      <c r="F13" s="149"/>
      <c r="G13" s="69"/>
      <c r="H13" s="69"/>
      <c r="I13" s="68"/>
      <c r="J13" s="68"/>
      <c r="K13" s="69"/>
      <c r="L13" s="69"/>
      <c r="M13" s="68"/>
      <c r="N13" s="68"/>
      <c r="O13" s="69"/>
      <c r="P13" s="69"/>
      <c r="Q13" s="68"/>
      <c r="R13" s="149"/>
      <c r="S13" s="149"/>
    </row>
    <row r="14" spans="1:19" s="1600" customFormat="1" ht="15" customHeight="1">
      <c r="A14" s="32" t="s">
        <v>21</v>
      </c>
      <c r="B14" s="84"/>
      <c r="C14" s="229"/>
      <c r="D14" s="85">
        <f t="shared" si="0"/>
        <v>0</v>
      </c>
      <c r="E14" s="86"/>
      <c r="F14" s="149"/>
      <c r="G14" s="69"/>
      <c r="H14" s="69"/>
      <c r="I14" s="68"/>
      <c r="J14" s="68"/>
      <c r="K14" s="69"/>
      <c r="L14" s="69"/>
      <c r="M14" s="68"/>
      <c r="N14" s="68"/>
      <c r="O14" s="69"/>
      <c r="P14" s="69"/>
      <c r="Q14" s="68"/>
      <c r="R14" s="149"/>
      <c r="S14" s="149"/>
    </row>
    <row r="15" spans="1:19" s="1600" customFormat="1" ht="15" customHeight="1">
      <c r="A15" s="32" t="s">
        <v>22</v>
      </c>
      <c r="B15" s="84"/>
      <c r="C15" s="229"/>
      <c r="D15" s="85">
        <f t="shared" si="0"/>
        <v>0</v>
      </c>
      <c r="E15" s="86"/>
      <c r="F15" s="149"/>
      <c r="G15" s="69"/>
      <c r="H15" s="69"/>
      <c r="I15" s="68"/>
      <c r="J15" s="68"/>
      <c r="K15" s="69"/>
      <c r="L15" s="69"/>
      <c r="M15" s="68"/>
      <c r="N15" s="68"/>
      <c r="O15" s="69"/>
      <c r="P15" s="69"/>
      <c r="Q15" s="68"/>
      <c r="R15" s="149"/>
      <c r="S15" s="149"/>
    </row>
    <row r="16" spans="1:19" s="1602" customFormat="1" ht="15" customHeight="1">
      <c r="A16" s="135" t="s">
        <v>23</v>
      </c>
      <c r="B16" s="84"/>
      <c r="C16" s="229"/>
      <c r="D16" s="85">
        <f t="shared" si="0"/>
        <v>0</v>
      </c>
      <c r="E16" s="86"/>
      <c r="F16" s="13"/>
      <c r="G16" s="12"/>
      <c r="H16" s="12"/>
      <c r="I16" s="90"/>
      <c r="J16" s="90"/>
      <c r="K16" s="12"/>
      <c r="L16" s="12"/>
      <c r="M16" s="90"/>
      <c r="N16" s="68"/>
      <c r="O16" s="12"/>
      <c r="P16" s="12"/>
      <c r="Q16" s="90"/>
      <c r="R16" s="13"/>
      <c r="S16" s="13"/>
    </row>
    <row r="17" spans="1:19" s="1600" customFormat="1" ht="15" customHeight="1" thickBot="1">
      <c r="A17" s="222" t="s">
        <v>24</v>
      </c>
      <c r="B17" s="94"/>
      <c r="C17" s="236">
        <v>568</v>
      </c>
      <c r="D17" s="85">
        <f t="shared" si="0"/>
        <v>568</v>
      </c>
      <c r="E17" s="86"/>
      <c r="F17" s="149"/>
      <c r="G17" s="69"/>
      <c r="H17" s="69"/>
      <c r="I17" s="68"/>
      <c r="J17" s="68"/>
      <c r="K17" s="69"/>
      <c r="L17" s="69"/>
      <c r="M17" s="68"/>
      <c r="N17" s="68"/>
      <c r="O17" s="69"/>
      <c r="P17" s="69"/>
      <c r="Q17" s="68"/>
      <c r="R17" s="149"/>
      <c r="S17" s="149"/>
    </row>
    <row r="18" spans="1:19" s="1600" customFormat="1" ht="15" customHeight="1" thickBot="1">
      <c r="A18" s="11" t="s">
        <v>25</v>
      </c>
      <c r="B18" s="1397">
        <f>SUM(B4:B17)</f>
        <v>22855</v>
      </c>
      <c r="C18" s="1298">
        <f>SUM(C4:C17)</f>
        <v>1568</v>
      </c>
      <c r="D18" s="1298">
        <f>SUM(D4:D17)</f>
        <v>24423</v>
      </c>
      <c r="E18" s="1410">
        <f>+D18/B18</f>
        <v>1.0686064318529862</v>
      </c>
      <c r="F18" s="149"/>
      <c r="G18" s="69"/>
      <c r="H18" s="69"/>
      <c r="I18" s="68"/>
      <c r="J18" s="68"/>
      <c r="K18" s="69"/>
      <c r="L18" s="69"/>
      <c r="M18" s="68"/>
      <c r="N18" s="68"/>
      <c r="O18" s="69"/>
      <c r="P18" s="69"/>
      <c r="Q18" s="68"/>
      <c r="R18" s="149"/>
      <c r="S18" s="149"/>
    </row>
    <row r="19" spans="1:19" s="1600" customFormat="1" ht="15" customHeight="1">
      <c r="A19" s="1300" t="s">
        <v>26</v>
      </c>
      <c r="B19" s="1603"/>
      <c r="C19" s="1604"/>
      <c r="D19" s="160"/>
      <c r="E19" s="86"/>
      <c r="F19" s="149"/>
      <c r="G19" s="69"/>
      <c r="H19" s="69"/>
      <c r="I19" s="68"/>
      <c r="J19" s="68"/>
      <c r="K19" s="69"/>
      <c r="L19" s="69"/>
      <c r="M19" s="68"/>
      <c r="N19" s="68"/>
      <c r="O19" s="69"/>
      <c r="P19" s="69"/>
      <c r="Q19" s="68"/>
      <c r="R19" s="149"/>
      <c r="S19" s="149"/>
    </row>
    <row r="20" spans="1:19" s="1600" customFormat="1" ht="15" customHeight="1">
      <c r="A20" s="135" t="s">
        <v>27</v>
      </c>
      <c r="B20" s="64">
        <f>++'[5]bér SZI'!B15</f>
        <v>8032</v>
      </c>
      <c r="C20" s="66">
        <f>+[3]Szolg.Iroda!$D$5+[3]Szolg.Iroda!$D$32</f>
        <v>-3825</v>
      </c>
      <c r="D20" s="1605">
        <f>SUM(B20:C20)</f>
        <v>4207</v>
      </c>
      <c r="E20" s="1606">
        <f>+D20/B20</f>
        <v>0.52377988047808766</v>
      </c>
      <c r="F20" s="149"/>
      <c r="G20" s="69"/>
      <c r="H20" s="69"/>
      <c r="I20" s="68"/>
      <c r="J20" s="68"/>
      <c r="K20" s="69"/>
      <c r="L20" s="69"/>
      <c r="M20" s="68"/>
      <c r="N20" s="68"/>
      <c r="O20" s="69"/>
      <c r="P20" s="69"/>
      <c r="Q20" s="68"/>
      <c r="R20" s="149"/>
      <c r="S20" s="149"/>
    </row>
    <row r="21" spans="1:19" s="1600" customFormat="1" ht="15" customHeight="1">
      <c r="A21" s="135" t="s">
        <v>28</v>
      </c>
      <c r="B21" s="64">
        <f>++'[5]bér SZI'!B16</f>
        <v>1020</v>
      </c>
      <c r="C21" s="66">
        <f>+[3]Szolg.Iroda!$D$6</f>
        <v>-525</v>
      </c>
      <c r="D21" s="1605">
        <f>SUM(B21:C21)</f>
        <v>495</v>
      </c>
      <c r="E21" s="1606">
        <f>+D21/B21</f>
        <v>0.48529411764705882</v>
      </c>
      <c r="F21" s="149"/>
      <c r="G21" s="69"/>
      <c r="H21" s="69"/>
      <c r="I21" s="68"/>
      <c r="J21" s="68"/>
      <c r="K21" s="69"/>
      <c r="L21" s="69"/>
      <c r="M21" s="68"/>
      <c r="N21" s="68"/>
      <c r="O21" s="69"/>
      <c r="P21" s="69"/>
      <c r="Q21" s="68"/>
      <c r="R21" s="149"/>
      <c r="S21" s="149"/>
    </row>
    <row r="22" spans="1:19" s="1600" customFormat="1" ht="15" customHeight="1">
      <c r="A22" s="135" t="s">
        <v>29</v>
      </c>
      <c r="B22" s="64">
        <f>++'[5]bér SZI'!B17</f>
        <v>0</v>
      </c>
      <c r="C22" s="66"/>
      <c r="D22" s="1605">
        <f>SUM(B22:C22)</f>
        <v>0</v>
      </c>
      <c r="E22" s="1606"/>
      <c r="F22" s="149"/>
      <c r="G22" s="69"/>
      <c r="H22" s="69"/>
      <c r="I22" s="68"/>
      <c r="J22" s="68"/>
      <c r="K22" s="69"/>
      <c r="L22" s="69"/>
      <c r="M22" s="68"/>
      <c r="N22" s="68"/>
      <c r="O22" s="69"/>
      <c r="P22" s="69"/>
      <c r="Q22" s="68"/>
      <c r="R22" s="149"/>
      <c r="S22" s="149"/>
    </row>
    <row r="23" spans="1:19" s="1600" customFormat="1" ht="15" customHeight="1">
      <c r="A23" s="135" t="s">
        <v>30</v>
      </c>
      <c r="B23" s="64">
        <f>++'[5]bér SZI'!B18</f>
        <v>0</v>
      </c>
      <c r="C23" s="66"/>
      <c r="D23" s="1605">
        <f>SUM(B23:C23)</f>
        <v>0</v>
      </c>
      <c r="E23" s="1606"/>
      <c r="F23" s="149"/>
      <c r="G23" s="69"/>
      <c r="H23" s="69"/>
      <c r="I23" s="68"/>
      <c r="J23" s="68"/>
      <c r="K23" s="69"/>
      <c r="L23" s="69"/>
      <c r="M23" s="68"/>
      <c r="N23" s="68"/>
      <c r="O23" s="69"/>
      <c r="P23" s="69"/>
      <c r="Q23" s="68"/>
      <c r="R23" s="149"/>
      <c r="S23" s="149"/>
    </row>
    <row r="24" spans="1:19" s="1610" customFormat="1" ht="15" customHeight="1">
      <c r="A24" s="1073" t="s">
        <v>31</v>
      </c>
      <c r="B24" s="1424">
        <f>++'[5]bér SZI'!B19</f>
        <v>9052</v>
      </c>
      <c r="C24" s="1476">
        <f>SUM(C20:C23)</f>
        <v>-4350</v>
      </c>
      <c r="D24" s="1607">
        <f>SUM(D20:D23)</f>
        <v>4702</v>
      </c>
      <c r="E24" s="1608">
        <f>+D24/B24</f>
        <v>0.51944321696862572</v>
      </c>
      <c r="F24" s="387"/>
      <c r="G24" s="1609"/>
      <c r="H24" s="1609"/>
      <c r="I24" s="386"/>
      <c r="J24" s="386"/>
      <c r="K24" s="1609"/>
      <c r="L24" s="1609"/>
      <c r="M24" s="386"/>
      <c r="N24" s="386"/>
      <c r="O24" s="1609"/>
      <c r="P24" s="1609"/>
      <c r="Q24" s="386"/>
      <c r="R24" s="387"/>
      <c r="S24" s="387"/>
    </row>
    <row r="25" spans="1:19" s="1610" customFormat="1" ht="15" customHeight="1">
      <c r="A25" s="1034" t="s">
        <v>32</v>
      </c>
      <c r="B25" s="1424">
        <f>++'[5]bér SZI'!B20</f>
        <v>0</v>
      </c>
      <c r="C25" s="1510">
        <v>0</v>
      </c>
      <c r="D25" s="1607">
        <f>+B25+C25</f>
        <v>0</v>
      </c>
      <c r="E25" s="1606"/>
      <c r="F25" s="387"/>
      <c r="G25" s="1609"/>
      <c r="H25" s="1609"/>
      <c r="I25" s="386"/>
      <c r="J25" s="386"/>
      <c r="K25" s="1609"/>
      <c r="L25" s="1609"/>
      <c r="M25" s="386"/>
      <c r="N25" s="386"/>
      <c r="O25" s="1609"/>
      <c r="P25" s="1609"/>
      <c r="Q25" s="386"/>
      <c r="R25" s="387"/>
      <c r="S25" s="387"/>
    </row>
    <row r="26" spans="1:19" s="1600" customFormat="1" ht="15" customHeight="1">
      <c r="A26" s="1036" t="s">
        <v>33</v>
      </c>
      <c r="B26" s="77">
        <f>SUM(B24:B25)</f>
        <v>9052</v>
      </c>
      <c r="C26" s="78">
        <f>SUM(C24:C25)</f>
        <v>-4350</v>
      </c>
      <c r="D26" s="1611">
        <f>SUM(D24:D25)</f>
        <v>4702</v>
      </c>
      <c r="E26" s="1612">
        <f>+D26/B26</f>
        <v>0.51944321696862572</v>
      </c>
      <c r="F26" s="149"/>
      <c r="G26" s="69"/>
      <c r="H26" s="69"/>
      <c r="I26" s="68"/>
      <c r="J26" s="68"/>
      <c r="K26" s="69"/>
      <c r="L26" s="69"/>
      <c r="M26" s="68"/>
      <c r="N26" s="68"/>
      <c r="O26" s="69"/>
      <c r="P26" s="69"/>
      <c r="Q26" s="68"/>
      <c r="R26" s="149"/>
      <c r="S26" s="149"/>
    </row>
    <row r="27" spans="1:19" s="1600" customFormat="1" ht="15" customHeight="1">
      <c r="A27" s="1074" t="s">
        <v>34</v>
      </c>
      <c r="B27" s="1424"/>
      <c r="C27" s="66"/>
      <c r="D27" s="1605"/>
      <c r="E27" s="1606"/>
      <c r="F27" s="149"/>
      <c r="G27" s="69"/>
      <c r="H27" s="69"/>
      <c r="I27" s="68"/>
      <c r="J27" s="68"/>
      <c r="K27" s="69"/>
      <c r="L27" s="69"/>
      <c r="M27" s="68"/>
      <c r="N27" s="68"/>
      <c r="O27" s="69"/>
      <c r="P27" s="69"/>
      <c r="Q27" s="68"/>
      <c r="R27" s="149"/>
      <c r="S27" s="149"/>
    </row>
    <row r="28" spans="1:19" s="1600" customFormat="1" ht="15" customHeight="1">
      <c r="A28" s="135" t="s">
        <v>35</v>
      </c>
      <c r="B28" s="1424">
        <f>+'[5]bér SZI'!B23</f>
        <v>0</v>
      </c>
      <c r="C28" s="66"/>
      <c r="D28" s="1605">
        <f t="shared" ref="D28:D34" si="1">+B28+C28</f>
        <v>0</v>
      </c>
      <c r="E28" s="1606"/>
      <c r="F28" s="149"/>
      <c r="G28" s="69"/>
      <c r="H28" s="69"/>
      <c r="I28" s="68"/>
      <c r="J28" s="68"/>
      <c r="K28" s="69"/>
      <c r="L28" s="69"/>
      <c r="M28" s="68"/>
      <c r="N28" s="68"/>
      <c r="O28" s="69"/>
      <c r="P28" s="69"/>
      <c r="Q28" s="68"/>
      <c r="R28" s="149"/>
      <c r="S28" s="149"/>
    </row>
    <row r="29" spans="1:19" s="1600" customFormat="1" ht="15" customHeight="1">
      <c r="A29" s="135" t="s">
        <v>36</v>
      </c>
      <c r="B29" s="1424">
        <f>+'[5]bér SZI'!B24</f>
        <v>475</v>
      </c>
      <c r="C29" s="66"/>
      <c r="D29" s="1605">
        <f t="shared" si="1"/>
        <v>475</v>
      </c>
      <c r="E29" s="1606">
        <f>+D29/B29</f>
        <v>1</v>
      </c>
      <c r="F29" s="149"/>
      <c r="G29" s="69"/>
      <c r="H29" s="69"/>
      <c r="I29" s="68"/>
      <c r="J29" s="68"/>
      <c r="K29" s="69"/>
      <c r="L29" s="69"/>
      <c r="M29" s="68"/>
      <c r="N29" s="68"/>
      <c r="O29" s="69"/>
      <c r="P29" s="69"/>
      <c r="Q29" s="68"/>
      <c r="R29" s="149"/>
      <c r="S29" s="149"/>
    </row>
    <row r="30" spans="1:19" s="1600" customFormat="1" ht="15" customHeight="1">
      <c r="A30" s="135" t="s">
        <v>37</v>
      </c>
      <c r="B30" s="1424">
        <f>+'[5]bér SZI'!B25</f>
        <v>0</v>
      </c>
      <c r="C30" s="66"/>
      <c r="D30" s="1605">
        <f t="shared" si="1"/>
        <v>0</v>
      </c>
      <c r="E30" s="1606"/>
      <c r="F30" s="149"/>
      <c r="G30" s="69"/>
      <c r="H30" s="69"/>
      <c r="I30" s="68"/>
      <c r="J30" s="68"/>
      <c r="K30" s="69"/>
      <c r="L30" s="69"/>
      <c r="M30" s="68"/>
      <c r="N30" s="68"/>
      <c r="O30" s="69"/>
      <c r="P30" s="69"/>
      <c r="Q30" s="68"/>
      <c r="R30" s="149"/>
      <c r="S30" s="149"/>
    </row>
    <row r="31" spans="1:19" s="1600" customFormat="1" ht="15" customHeight="1">
      <c r="A31" s="135" t="s">
        <v>38</v>
      </c>
      <c r="B31" s="1424">
        <f>+'[5]bér SZI'!B26</f>
        <v>0</v>
      </c>
      <c r="C31" s="66"/>
      <c r="D31" s="1605">
        <f t="shared" si="1"/>
        <v>0</v>
      </c>
      <c r="E31" s="1606"/>
      <c r="F31" s="149"/>
      <c r="G31" s="69"/>
      <c r="H31" s="69"/>
      <c r="I31" s="68"/>
      <c r="J31" s="68"/>
      <c r="K31" s="69"/>
      <c r="L31" s="69"/>
      <c r="M31" s="68"/>
      <c r="N31" s="68"/>
      <c r="O31" s="69"/>
      <c r="P31" s="69"/>
      <c r="Q31" s="68"/>
      <c r="R31" s="149"/>
      <c r="S31" s="149"/>
    </row>
    <row r="32" spans="1:19" s="1610" customFormat="1" ht="15" customHeight="1">
      <c r="A32" s="1073" t="s">
        <v>39</v>
      </c>
      <c r="B32" s="1424">
        <f>+'[5]bér SZI'!B27</f>
        <v>475</v>
      </c>
      <c r="C32" s="1476"/>
      <c r="D32" s="1607">
        <f t="shared" si="1"/>
        <v>475</v>
      </c>
      <c r="E32" s="1608">
        <f>+D32/B32</f>
        <v>1</v>
      </c>
      <c r="F32" s="387"/>
      <c r="G32" s="1609"/>
      <c r="H32" s="1609"/>
      <c r="I32" s="386"/>
      <c r="J32" s="386"/>
      <c r="K32" s="1609"/>
      <c r="L32" s="1609"/>
      <c r="M32" s="386"/>
      <c r="N32" s="386"/>
      <c r="O32" s="1609"/>
      <c r="P32" s="1609"/>
      <c r="Q32" s="386"/>
      <c r="R32" s="387"/>
      <c r="S32" s="387"/>
    </row>
    <row r="33" spans="1:19" s="1610" customFormat="1" ht="15" customHeight="1">
      <c r="A33" s="1075" t="s">
        <v>40</v>
      </c>
      <c r="B33" s="1424">
        <f>+'[5]bér SZI'!B28</f>
        <v>0</v>
      </c>
      <c r="C33" s="1510"/>
      <c r="D33" s="1607">
        <f t="shared" si="1"/>
        <v>0</v>
      </c>
      <c r="E33" s="1606"/>
      <c r="F33" s="387"/>
      <c r="G33" s="1609"/>
      <c r="H33" s="1609"/>
      <c r="I33" s="386"/>
      <c r="J33" s="386"/>
      <c r="K33" s="1609"/>
      <c r="L33" s="1609"/>
      <c r="M33" s="386"/>
      <c r="N33" s="386"/>
      <c r="O33" s="1609"/>
      <c r="P33" s="1609"/>
      <c r="Q33" s="386"/>
      <c r="R33" s="387"/>
      <c r="S33" s="387"/>
    </row>
    <row r="34" spans="1:19" s="1600" customFormat="1" ht="15" customHeight="1">
      <c r="A34" s="1036" t="s">
        <v>41</v>
      </c>
      <c r="B34" s="77">
        <f>SUM(B32:B33)</f>
        <v>475</v>
      </c>
      <c r="C34" s="78"/>
      <c r="D34" s="1611">
        <f t="shared" si="1"/>
        <v>475</v>
      </c>
      <c r="E34" s="1612">
        <f>+D34/B34</f>
        <v>1</v>
      </c>
      <c r="F34" s="149"/>
      <c r="G34" s="69"/>
      <c r="H34" s="69"/>
      <c r="I34" s="68"/>
      <c r="J34" s="68"/>
      <c r="K34" s="69"/>
      <c r="L34" s="69"/>
      <c r="M34" s="68"/>
      <c r="N34" s="68"/>
      <c r="O34" s="69"/>
      <c r="P34" s="69"/>
      <c r="Q34" s="68"/>
      <c r="R34" s="149"/>
      <c r="S34" s="149"/>
    </row>
    <row r="35" spans="1:19" ht="15" customHeight="1">
      <c r="A35" s="1074" t="s">
        <v>42</v>
      </c>
      <c r="B35" s="64">
        <f>+'[5]bér SZI'!B30-181</f>
        <v>0</v>
      </c>
      <c r="C35" s="66"/>
      <c r="D35" s="1613">
        <f t="shared" ref="D35:D49" si="2">SUM(B35:C35)</f>
        <v>0</v>
      </c>
      <c r="E35" s="1614"/>
      <c r="G35" s="2"/>
      <c r="H35" s="2"/>
      <c r="K35" s="2"/>
      <c r="L35" s="2"/>
      <c r="N35" s="98"/>
    </row>
    <row r="36" spans="1:19" ht="15" customHeight="1">
      <c r="A36" s="135" t="s">
        <v>43</v>
      </c>
      <c r="B36" s="64">
        <f>+'[5]bér SZI'!B31</f>
        <v>0</v>
      </c>
      <c r="C36" s="66"/>
      <c r="D36" s="1613">
        <f t="shared" si="2"/>
        <v>0</v>
      </c>
      <c r="E36" s="1614"/>
      <c r="G36" s="2"/>
      <c r="H36" s="2"/>
      <c r="K36" s="2"/>
      <c r="L36" s="2"/>
      <c r="N36" s="98"/>
    </row>
    <row r="37" spans="1:19" ht="15" customHeight="1">
      <c r="A37" s="135" t="s">
        <v>44</v>
      </c>
      <c r="B37" s="64">
        <f>+'[5]bér SZI'!B32</f>
        <v>0</v>
      </c>
      <c r="C37" s="66"/>
      <c r="D37" s="1613">
        <f t="shared" si="2"/>
        <v>0</v>
      </c>
      <c r="E37" s="1614"/>
      <c r="G37" s="2"/>
      <c r="H37" s="2"/>
      <c r="K37" s="2"/>
      <c r="L37" s="2"/>
      <c r="N37" s="98"/>
    </row>
    <row r="38" spans="1:19" ht="15" customHeight="1">
      <c r="A38" s="135" t="s">
        <v>45</v>
      </c>
      <c r="B38" s="64">
        <f>+'[5]bér SZI'!B33</f>
        <v>0</v>
      </c>
      <c r="C38" s="66"/>
      <c r="D38" s="1613">
        <f t="shared" si="2"/>
        <v>0</v>
      </c>
      <c r="E38" s="1614"/>
      <c r="G38" s="2"/>
      <c r="H38" s="2"/>
      <c r="K38" s="2"/>
      <c r="L38" s="2"/>
      <c r="N38" s="98"/>
    </row>
    <row r="39" spans="1:19" s="1616" customFormat="1" ht="15.6" customHeight="1">
      <c r="A39" s="1073" t="s">
        <v>46</v>
      </c>
      <c r="B39" s="1424">
        <f>+B35</f>
        <v>0</v>
      </c>
      <c r="C39" s="1476"/>
      <c r="D39" s="1613">
        <f t="shared" si="2"/>
        <v>0</v>
      </c>
      <c r="E39" s="1615"/>
      <c r="F39" s="368"/>
      <c r="G39" s="367"/>
      <c r="H39" s="367"/>
      <c r="I39" s="366"/>
      <c r="J39" s="366"/>
      <c r="K39" s="367"/>
      <c r="L39" s="367"/>
      <c r="M39" s="366"/>
      <c r="N39" s="366"/>
      <c r="O39" s="367"/>
      <c r="P39" s="367"/>
      <c r="Q39" s="366"/>
      <c r="R39" s="368"/>
      <c r="S39" s="368"/>
    </row>
    <row r="40" spans="1:19" s="1616" customFormat="1" ht="15" customHeight="1">
      <c r="A40" s="1034" t="s">
        <v>47</v>
      </c>
      <c r="B40" s="1424">
        <f>+'[5]bér SZI'!B35</f>
        <v>0</v>
      </c>
      <c r="C40" s="1510"/>
      <c r="D40" s="1613">
        <f t="shared" si="2"/>
        <v>0</v>
      </c>
      <c r="E40" s="1617"/>
      <c r="F40" s="368"/>
      <c r="G40" s="367"/>
      <c r="H40" s="367"/>
      <c r="I40" s="366"/>
      <c r="J40" s="366"/>
      <c r="K40" s="367"/>
      <c r="L40" s="367"/>
      <c r="M40" s="366"/>
      <c r="N40" s="366"/>
      <c r="O40" s="367"/>
      <c r="P40" s="367"/>
      <c r="Q40" s="366"/>
      <c r="R40" s="368"/>
      <c r="S40" s="368"/>
    </row>
    <row r="41" spans="1:19" ht="15" customHeight="1">
      <c r="A41" s="1036" t="s">
        <v>48</v>
      </c>
      <c r="B41" s="77">
        <f>SUM(B39:B40)</f>
        <v>0</v>
      </c>
      <c r="C41" s="78"/>
      <c r="D41" s="1093">
        <f t="shared" si="2"/>
        <v>0</v>
      </c>
      <c r="E41" s="1618"/>
      <c r="G41" s="2"/>
      <c r="H41" s="2"/>
      <c r="K41" s="2"/>
      <c r="L41" s="2"/>
      <c r="N41" s="98"/>
    </row>
    <row r="42" spans="1:19" ht="20.45" customHeight="1">
      <c r="A42" s="1074" t="s">
        <v>49</v>
      </c>
      <c r="B42" s="111">
        <f>+'[5]bér SZI'!B37</f>
        <v>199</v>
      </c>
      <c r="C42" s="15">
        <f>+[3]Szolg.Iroda!$D$7</f>
        <v>-103</v>
      </c>
      <c r="D42" s="1613">
        <f t="shared" si="2"/>
        <v>96</v>
      </c>
      <c r="E42" s="1614">
        <f>+D42/B42</f>
        <v>0.48241206030150752</v>
      </c>
      <c r="G42" s="2"/>
      <c r="H42" s="2"/>
      <c r="K42" s="2"/>
      <c r="L42" s="2"/>
      <c r="N42" s="98"/>
    </row>
    <row r="43" spans="1:19" ht="15" customHeight="1">
      <c r="A43" s="135" t="s">
        <v>50</v>
      </c>
      <c r="B43" s="64">
        <f>+'[5]bér SZI'!B38</f>
        <v>468</v>
      </c>
      <c r="C43" s="66">
        <f>+[3]Szolg.Iroda!$D$8</f>
        <v>-199</v>
      </c>
      <c r="D43" s="1613">
        <f t="shared" si="2"/>
        <v>269</v>
      </c>
      <c r="E43" s="1614">
        <f>+D43/B43</f>
        <v>0.57478632478632474</v>
      </c>
      <c r="G43" s="2"/>
      <c r="H43" s="2"/>
      <c r="K43" s="2"/>
      <c r="L43" s="2"/>
      <c r="N43" s="98"/>
    </row>
    <row r="44" spans="1:19" ht="15" customHeight="1">
      <c r="A44" s="135" t="s">
        <v>51</v>
      </c>
      <c r="B44" s="64">
        <f>+'[5]bér SZI'!B39</f>
        <v>0</v>
      </c>
      <c r="C44" s="66"/>
      <c r="D44" s="1613">
        <f t="shared" si="2"/>
        <v>0</v>
      </c>
      <c r="E44" s="1614"/>
      <c r="G44" s="2"/>
      <c r="H44" s="2"/>
      <c r="K44" s="2"/>
      <c r="L44" s="2"/>
      <c r="N44" s="98"/>
    </row>
    <row r="45" spans="1:19" ht="15" customHeight="1">
      <c r="A45" s="135" t="s">
        <v>52</v>
      </c>
      <c r="B45" s="64">
        <f>+'[5]bér SZI'!B40</f>
        <v>0</v>
      </c>
      <c r="C45" s="66"/>
      <c r="D45" s="1613">
        <f t="shared" si="2"/>
        <v>0</v>
      </c>
      <c r="E45" s="1614"/>
      <c r="G45" s="2"/>
      <c r="H45" s="2"/>
      <c r="K45" s="2"/>
      <c r="L45" s="2"/>
      <c r="N45" s="98"/>
    </row>
    <row r="46" spans="1:19" s="1616" customFormat="1" ht="15" customHeight="1">
      <c r="A46" s="1073" t="s">
        <v>53</v>
      </c>
      <c r="B46" s="1424">
        <f>+'[5]bér SZI'!B41</f>
        <v>667</v>
      </c>
      <c r="C46" s="1476">
        <f>SUM(C42:C45)</f>
        <v>-302</v>
      </c>
      <c r="D46" s="1092">
        <f t="shared" si="2"/>
        <v>365</v>
      </c>
      <c r="E46" s="1614">
        <f>+D46/B46</f>
        <v>0.54722638680659674</v>
      </c>
      <c r="F46" s="368"/>
      <c r="G46" s="367"/>
      <c r="H46" s="367"/>
      <c r="I46" s="366"/>
      <c r="J46" s="366"/>
      <c r="K46" s="367"/>
      <c r="L46" s="367"/>
      <c r="M46" s="366"/>
      <c r="N46" s="366"/>
      <c r="O46" s="367"/>
      <c r="P46" s="367"/>
      <c r="Q46" s="366"/>
      <c r="R46" s="368"/>
      <c r="S46" s="368"/>
    </row>
    <row r="47" spans="1:19" s="1616" customFormat="1" ht="15" customHeight="1">
      <c r="A47" s="1034" t="s">
        <v>54</v>
      </c>
      <c r="B47" s="1424">
        <f>+'[5]bér SZI'!B42</f>
        <v>0</v>
      </c>
      <c r="C47" s="1510">
        <v>0</v>
      </c>
      <c r="D47" s="1092">
        <f t="shared" si="2"/>
        <v>0</v>
      </c>
      <c r="E47" s="1614"/>
      <c r="F47" s="368"/>
      <c r="G47" s="367"/>
      <c r="H47" s="367"/>
      <c r="I47" s="366"/>
      <c r="J47" s="366"/>
      <c r="K47" s="367"/>
      <c r="L47" s="367"/>
      <c r="M47" s="366"/>
      <c r="N47" s="366"/>
      <c r="O47" s="367"/>
      <c r="P47" s="367"/>
      <c r="Q47" s="366"/>
      <c r="R47" s="368"/>
      <c r="S47" s="368"/>
    </row>
    <row r="48" spans="1:19" ht="15" customHeight="1">
      <c r="A48" s="1036" t="s">
        <v>55</v>
      </c>
      <c r="B48" s="77">
        <f>SUM(B46:B47)</f>
        <v>667</v>
      </c>
      <c r="C48" s="78">
        <f>SUM(C46:C47)</f>
        <v>-302</v>
      </c>
      <c r="D48" s="1093">
        <f t="shared" si="2"/>
        <v>365</v>
      </c>
      <c r="E48" s="1618">
        <f>+D48/B48</f>
        <v>0.54722638680659674</v>
      </c>
      <c r="G48" s="2"/>
      <c r="H48" s="2"/>
      <c r="K48" s="2"/>
      <c r="L48" s="2"/>
      <c r="N48" s="98"/>
    </row>
    <row r="49" spans="1:19" ht="15" customHeight="1">
      <c r="A49" s="1074" t="s">
        <v>56</v>
      </c>
      <c r="B49" s="1423">
        <f>+'[5]bér SZI'!B44</f>
        <v>0</v>
      </c>
      <c r="C49" s="1366"/>
      <c r="D49" s="1619">
        <f t="shared" si="2"/>
        <v>0</v>
      </c>
      <c r="E49" s="1614"/>
      <c r="G49" s="2"/>
      <c r="H49" s="2"/>
      <c r="K49" s="2"/>
      <c r="L49" s="2"/>
      <c r="N49" s="98"/>
    </row>
    <row r="50" spans="1:19" s="1616" customFormat="1" ht="15" customHeight="1">
      <c r="A50" s="1073" t="s">
        <v>57</v>
      </c>
      <c r="B50" s="1421">
        <f t="shared" ref="B50:D52" si="3">+B32+B39+B46</f>
        <v>1142</v>
      </c>
      <c r="C50" s="1317">
        <f t="shared" si="3"/>
        <v>-302</v>
      </c>
      <c r="D50" s="1317">
        <f t="shared" si="3"/>
        <v>840</v>
      </c>
      <c r="E50" s="1614">
        <f>+D50/B50</f>
        <v>0.73555166374781089</v>
      </c>
      <c r="F50" s="368"/>
      <c r="G50" s="367"/>
      <c r="H50" s="367"/>
      <c r="I50" s="366"/>
      <c r="J50" s="366"/>
      <c r="K50" s="367"/>
      <c r="L50" s="367"/>
      <c r="M50" s="366"/>
      <c r="N50" s="366"/>
      <c r="O50" s="367"/>
      <c r="P50" s="367"/>
      <c r="Q50" s="366"/>
      <c r="R50" s="368"/>
      <c r="S50" s="368"/>
    </row>
    <row r="51" spans="1:19" s="1616" customFormat="1" ht="15" customHeight="1">
      <c r="A51" s="1034" t="s">
        <v>58</v>
      </c>
      <c r="B51" s="1421">
        <f t="shared" si="3"/>
        <v>0</v>
      </c>
      <c r="C51" s="1317">
        <f t="shared" si="3"/>
        <v>0</v>
      </c>
      <c r="D51" s="1317">
        <f t="shared" si="3"/>
        <v>0</v>
      </c>
      <c r="E51" s="1614"/>
      <c r="F51" s="368"/>
      <c r="G51" s="367"/>
      <c r="H51" s="367"/>
      <c r="I51" s="366"/>
      <c r="J51" s="366"/>
      <c r="K51" s="367"/>
      <c r="L51" s="367"/>
      <c r="M51" s="366"/>
      <c r="N51" s="366"/>
      <c r="O51" s="367"/>
      <c r="P51" s="367"/>
      <c r="Q51" s="366"/>
      <c r="R51" s="368"/>
      <c r="S51" s="368"/>
    </row>
    <row r="52" spans="1:19" ht="15" customHeight="1">
      <c r="A52" s="1036" t="s">
        <v>59</v>
      </c>
      <c r="B52" s="77">
        <f t="shared" si="3"/>
        <v>1142</v>
      </c>
      <c r="C52" s="78">
        <f t="shared" si="3"/>
        <v>-302</v>
      </c>
      <c r="D52" s="78">
        <f t="shared" si="3"/>
        <v>840</v>
      </c>
      <c r="E52" s="1350">
        <f t="shared" ref="E52:E57" si="4">+D52/B52</f>
        <v>0.73555166374781089</v>
      </c>
      <c r="G52" s="2"/>
      <c r="H52" s="2"/>
      <c r="K52" s="2"/>
      <c r="L52" s="2"/>
      <c r="N52" s="98"/>
    </row>
    <row r="53" spans="1:19" ht="15" customHeight="1">
      <c r="A53" s="1620" t="s">
        <v>60</v>
      </c>
      <c r="B53" s="77">
        <f>+[6]SZI!B48</f>
        <v>963</v>
      </c>
      <c r="C53" s="78">
        <f>+[3]Szolg.Iroda!$J$27</f>
        <v>254</v>
      </c>
      <c r="D53" s="1093">
        <f t="shared" ref="D53:D72" si="5">SUM(B53:C53)</f>
        <v>1217</v>
      </c>
      <c r="E53" s="1618">
        <f t="shared" si="4"/>
        <v>1.2637590861889927</v>
      </c>
      <c r="G53" s="2"/>
      <c r="H53" s="2"/>
      <c r="K53" s="2"/>
      <c r="L53" s="2"/>
      <c r="N53" s="98"/>
    </row>
    <row r="54" spans="1:19" ht="15" customHeight="1">
      <c r="A54" s="1257" t="s">
        <v>61</v>
      </c>
      <c r="B54" s="77">
        <f>+B26+B52+B53</f>
        <v>11157</v>
      </c>
      <c r="C54" s="78">
        <f>+C26+C52+C53</f>
        <v>-4398</v>
      </c>
      <c r="D54" s="78">
        <f t="shared" si="5"/>
        <v>6759</v>
      </c>
      <c r="E54" s="1618">
        <f t="shared" si="4"/>
        <v>0.60580801290669539</v>
      </c>
      <c r="G54" s="2"/>
      <c r="H54" s="2"/>
      <c r="K54" s="2"/>
      <c r="L54" s="2"/>
      <c r="N54" s="98"/>
    </row>
    <row r="55" spans="1:19" ht="15" customHeight="1" thickBot="1">
      <c r="A55" s="1621" t="s">
        <v>62</v>
      </c>
      <c r="B55" s="1622">
        <f>+(B54-(B38+B48))*0.27</f>
        <v>2832.3</v>
      </c>
      <c r="C55" s="1337">
        <f>+[3]Szolg.Iroda!$E$9+[3]Szolg.Iroda!$E$32</f>
        <v>-972</v>
      </c>
      <c r="D55" s="1623">
        <f t="shared" si="5"/>
        <v>1860.3000000000002</v>
      </c>
      <c r="E55" s="1618">
        <f t="shared" si="4"/>
        <v>0.65681601525262157</v>
      </c>
      <c r="G55" s="2"/>
      <c r="H55" s="2"/>
      <c r="K55" s="2"/>
      <c r="L55" s="2"/>
      <c r="N55" s="98"/>
    </row>
    <row r="56" spans="1:19" ht="15" customHeight="1" thickBot="1">
      <c r="A56" s="1076" t="s">
        <v>63</v>
      </c>
      <c r="B56" s="1429">
        <f>SUM(B54:B55)</f>
        <v>13989.3</v>
      </c>
      <c r="C56" s="1430">
        <f>SUM(C54:C55)</f>
        <v>-5370</v>
      </c>
      <c r="D56" s="1624">
        <f t="shared" si="5"/>
        <v>8619.2999999999993</v>
      </c>
      <c r="E56" s="1625">
        <f t="shared" si="4"/>
        <v>0.61613518903733566</v>
      </c>
      <c r="G56" s="2"/>
      <c r="H56" s="2"/>
      <c r="K56" s="2"/>
      <c r="L56" s="2"/>
      <c r="N56" s="98"/>
    </row>
    <row r="57" spans="1:19" s="1600" customFormat="1" ht="15" customHeight="1">
      <c r="A57" s="30" t="s">
        <v>64</v>
      </c>
      <c r="B57" s="64">
        <f>+[7]SZI!B6</f>
        <v>150</v>
      </c>
      <c r="C57" s="66"/>
      <c r="D57" s="1626">
        <f t="shared" si="5"/>
        <v>150</v>
      </c>
      <c r="E57" s="1627">
        <f t="shared" si="4"/>
        <v>1</v>
      </c>
      <c r="F57" s="149"/>
      <c r="G57" s="69"/>
      <c r="H57" s="69"/>
      <c r="I57" s="68"/>
      <c r="J57" s="68"/>
      <c r="K57" s="69"/>
      <c r="L57" s="69"/>
      <c r="M57" s="68"/>
      <c r="N57" s="68"/>
      <c r="O57" s="69"/>
      <c r="P57" s="69"/>
      <c r="Q57" s="68"/>
      <c r="R57" s="149"/>
      <c r="S57" s="149"/>
    </row>
    <row r="58" spans="1:19" s="1600" customFormat="1" ht="15" customHeight="1">
      <c r="A58" s="30" t="s">
        <v>65</v>
      </c>
      <c r="B58" s="64">
        <f>+[7]SZI!B7</f>
        <v>35</v>
      </c>
      <c r="C58" s="66">
        <f>+[3]Szolg.Iroda!$F$10</f>
        <v>-18</v>
      </c>
      <c r="D58" s="85">
        <f t="shared" si="5"/>
        <v>17</v>
      </c>
      <c r="E58" s="86">
        <f t="shared" ref="E58:E66" si="6">+D58/B58</f>
        <v>0.48571428571428571</v>
      </c>
      <c r="F58" s="149"/>
      <c r="G58" s="69"/>
      <c r="H58" s="69"/>
      <c r="I58" s="68"/>
      <c r="J58" s="68"/>
      <c r="K58" s="69"/>
      <c r="L58" s="69"/>
      <c r="M58" s="68"/>
      <c r="N58" s="68"/>
      <c r="O58" s="69"/>
      <c r="P58" s="69"/>
      <c r="Q58" s="68"/>
      <c r="R58" s="149"/>
      <c r="S58" s="149"/>
    </row>
    <row r="59" spans="1:19" s="1600" customFormat="1" ht="15" customHeight="1">
      <c r="A59" s="30" t="s">
        <v>66</v>
      </c>
      <c r="B59" s="64">
        <f>+[7]SZI!B8</f>
        <v>20</v>
      </c>
      <c r="C59" s="66">
        <f>+[3]Szolg.Iroda!$F$11</f>
        <v>-15</v>
      </c>
      <c r="D59" s="85">
        <f t="shared" si="5"/>
        <v>5</v>
      </c>
      <c r="E59" s="86">
        <f t="shared" si="6"/>
        <v>0.25</v>
      </c>
      <c r="F59" s="149"/>
      <c r="G59" s="69"/>
      <c r="H59" s="69"/>
      <c r="I59" s="68"/>
      <c r="J59" s="68"/>
      <c r="K59" s="69"/>
      <c r="L59" s="69"/>
      <c r="M59" s="68"/>
      <c r="N59" s="68"/>
      <c r="O59" s="69"/>
      <c r="P59" s="69"/>
      <c r="Q59" s="68"/>
      <c r="R59" s="149"/>
      <c r="S59" s="149"/>
    </row>
    <row r="60" spans="1:19" s="1600" customFormat="1" ht="15" customHeight="1">
      <c r="A60" s="30" t="s">
        <v>67</v>
      </c>
      <c r="B60" s="64">
        <f>+[7]SZI!B9</f>
        <v>0</v>
      </c>
      <c r="C60" s="66"/>
      <c r="D60" s="85">
        <f t="shared" si="5"/>
        <v>0</v>
      </c>
      <c r="E60" s="86"/>
      <c r="F60" s="149"/>
      <c r="G60" s="69"/>
      <c r="H60" s="69"/>
      <c r="I60" s="68"/>
      <c r="J60" s="68"/>
      <c r="K60" s="69"/>
      <c r="L60" s="69"/>
      <c r="M60" s="68"/>
      <c r="N60" s="68"/>
      <c r="O60" s="69"/>
      <c r="P60" s="69"/>
      <c r="Q60" s="68"/>
      <c r="R60" s="149"/>
      <c r="S60" s="149"/>
    </row>
    <row r="61" spans="1:19" s="1600" customFormat="1" ht="15" customHeight="1">
      <c r="A61" s="30" t="s">
        <v>68</v>
      </c>
      <c r="B61" s="64">
        <f>+[7]SZI!B10</f>
        <v>0</v>
      </c>
      <c r="C61" s="66"/>
      <c r="D61" s="85">
        <f t="shared" si="5"/>
        <v>0</v>
      </c>
      <c r="E61" s="86"/>
      <c r="F61" s="149"/>
      <c r="G61" s="69"/>
      <c r="H61" s="69"/>
      <c r="I61" s="68"/>
      <c r="J61" s="68"/>
      <c r="K61" s="69"/>
      <c r="L61" s="69"/>
      <c r="M61" s="68"/>
      <c r="N61" s="68"/>
      <c r="O61" s="69"/>
      <c r="P61" s="69"/>
      <c r="Q61" s="68"/>
      <c r="R61" s="149"/>
      <c r="S61" s="149"/>
    </row>
    <row r="62" spans="1:19" s="1600" customFormat="1" ht="15" customHeight="1">
      <c r="A62" s="30" t="s">
        <v>69</v>
      </c>
      <c r="B62" s="64">
        <f>+[7]SZI!B11</f>
        <v>50</v>
      </c>
      <c r="C62" s="66">
        <f>+[3]Szolg.Iroda!$F$12</f>
        <v>-30</v>
      </c>
      <c r="D62" s="85">
        <f t="shared" si="5"/>
        <v>20</v>
      </c>
      <c r="E62" s="86">
        <f t="shared" si="6"/>
        <v>0.4</v>
      </c>
      <c r="F62" s="149"/>
      <c r="G62" s="69"/>
      <c r="H62" s="69"/>
      <c r="I62" s="68"/>
      <c r="J62" s="68"/>
      <c r="K62" s="69"/>
      <c r="L62" s="69"/>
      <c r="M62" s="68"/>
      <c r="N62" s="68"/>
      <c r="O62" s="69"/>
      <c r="P62" s="69"/>
      <c r="Q62" s="68"/>
      <c r="R62" s="149"/>
      <c r="S62" s="149"/>
    </row>
    <row r="63" spans="1:19" s="1600" customFormat="1" ht="15" customHeight="1">
      <c r="A63" s="30" t="s">
        <v>70</v>
      </c>
      <c r="B63" s="64">
        <f>+[7]SZI!B12</f>
        <v>0</v>
      </c>
      <c r="C63" s="66"/>
      <c r="D63" s="85">
        <f t="shared" si="5"/>
        <v>0</v>
      </c>
      <c r="E63" s="86"/>
      <c r="F63" s="149"/>
      <c r="G63" s="69"/>
      <c r="H63" s="69"/>
      <c r="I63" s="68"/>
      <c r="J63" s="68"/>
      <c r="K63" s="69"/>
      <c r="L63" s="69"/>
      <c r="M63" s="68"/>
      <c r="N63" s="68"/>
      <c r="O63" s="69"/>
      <c r="P63" s="69"/>
      <c r="Q63" s="68"/>
      <c r="R63" s="149"/>
      <c r="S63" s="149"/>
    </row>
    <row r="64" spans="1:19" s="1600" customFormat="1" ht="15" customHeight="1">
      <c r="A64" s="30" t="s">
        <v>71</v>
      </c>
      <c r="B64" s="64">
        <f>+[7]SZI!B13</f>
        <v>0</v>
      </c>
      <c r="C64" s="66"/>
      <c r="D64" s="156">
        <f t="shared" si="5"/>
        <v>0</v>
      </c>
      <c r="E64" s="86"/>
      <c r="F64" s="149"/>
      <c r="G64" s="69"/>
      <c r="H64" s="69"/>
      <c r="I64" s="68"/>
      <c r="J64" s="68"/>
      <c r="K64" s="69"/>
      <c r="L64" s="69"/>
      <c r="M64" s="68"/>
      <c r="N64" s="68"/>
      <c r="O64" s="69"/>
      <c r="P64" s="69"/>
      <c r="Q64" s="68"/>
      <c r="R64" s="149"/>
      <c r="S64" s="149"/>
    </row>
    <row r="65" spans="1:19" s="1600" customFormat="1" ht="15" customHeight="1">
      <c r="A65" s="30" t="s">
        <v>72</v>
      </c>
      <c r="B65" s="64">
        <f>+[7]SZI!B14</f>
        <v>0</v>
      </c>
      <c r="C65" s="66"/>
      <c r="D65" s="156">
        <f t="shared" si="5"/>
        <v>0</v>
      </c>
      <c r="E65" s="86"/>
      <c r="F65" s="149"/>
      <c r="G65" s="69"/>
      <c r="H65" s="69"/>
      <c r="I65" s="68"/>
      <c r="J65" s="68"/>
      <c r="K65" s="69"/>
      <c r="L65" s="69"/>
      <c r="M65" s="68"/>
      <c r="N65" s="68"/>
      <c r="O65" s="69"/>
      <c r="P65" s="69"/>
      <c r="Q65" s="68"/>
      <c r="R65" s="149"/>
      <c r="S65" s="149"/>
    </row>
    <row r="66" spans="1:19" s="1600" customFormat="1" ht="15" customHeight="1">
      <c r="A66" s="33" t="s">
        <v>73</v>
      </c>
      <c r="B66" s="64">
        <v>183.5</v>
      </c>
      <c r="C66" s="1366">
        <f>+[3]Szolg.Iroda!$F$13</f>
        <v>-60</v>
      </c>
      <c r="D66" s="156">
        <f t="shared" si="5"/>
        <v>123.5</v>
      </c>
      <c r="E66" s="176">
        <f t="shared" si="6"/>
        <v>0.67302452316076289</v>
      </c>
      <c r="F66" s="149"/>
      <c r="G66" s="69"/>
      <c r="H66" s="69"/>
      <c r="I66" s="68"/>
      <c r="J66" s="68"/>
      <c r="K66" s="69"/>
      <c r="L66" s="69"/>
      <c r="M66" s="68"/>
      <c r="N66" s="68"/>
      <c r="O66" s="69"/>
      <c r="P66" s="69"/>
      <c r="Q66" s="68"/>
      <c r="R66" s="149"/>
      <c r="S66" s="149"/>
    </row>
    <row r="67" spans="1:19" s="1600" customFormat="1" ht="15" customHeight="1">
      <c r="A67" s="31" t="s">
        <v>74</v>
      </c>
      <c r="B67" s="77">
        <f>SUM(B57:B66)</f>
        <v>438.5</v>
      </c>
      <c r="C67" s="78">
        <f>SUM(C57:C66)</f>
        <v>-123</v>
      </c>
      <c r="D67" s="1628">
        <f t="shared" si="5"/>
        <v>315.5</v>
      </c>
      <c r="E67" s="79">
        <f>+D67/B67</f>
        <v>0.7194982896237172</v>
      </c>
      <c r="F67" s="149"/>
      <c r="G67" s="69"/>
      <c r="H67" s="69"/>
      <c r="I67" s="68"/>
      <c r="J67" s="68"/>
      <c r="K67" s="69"/>
      <c r="L67" s="69"/>
      <c r="M67" s="68"/>
      <c r="N67" s="68"/>
      <c r="O67" s="69"/>
      <c r="P67" s="69"/>
      <c r="Q67" s="68"/>
      <c r="R67" s="149"/>
      <c r="S67" s="149"/>
    </row>
    <row r="68" spans="1:19" s="1600" customFormat="1" ht="15" customHeight="1">
      <c r="A68" s="30" t="s">
        <v>75</v>
      </c>
      <c r="B68" s="64">
        <f>+[7]SZI!B17</f>
        <v>220</v>
      </c>
      <c r="C68" s="66">
        <f>+[3]Szolg.Iroda!$G$14+17</f>
        <v>-123</v>
      </c>
      <c r="D68" s="156">
        <f t="shared" si="5"/>
        <v>97</v>
      </c>
      <c r="E68" s="67">
        <f>+D68/B68</f>
        <v>0.44090909090909092</v>
      </c>
      <c r="F68" s="149"/>
      <c r="G68" s="69"/>
      <c r="H68" s="69"/>
      <c r="I68" s="68"/>
      <c r="J68" s="68"/>
      <c r="K68" s="69"/>
      <c r="L68" s="69"/>
      <c r="M68" s="68"/>
      <c r="N68" s="68"/>
      <c r="O68" s="69"/>
      <c r="P68" s="69"/>
      <c r="Q68" s="68"/>
      <c r="R68" s="149"/>
      <c r="S68" s="149"/>
    </row>
    <row r="69" spans="1:19" s="1600" customFormat="1" ht="15" customHeight="1">
      <c r="A69" s="32" t="s">
        <v>76</v>
      </c>
      <c r="B69" s="64">
        <f>+[7]SZI!B18</f>
        <v>100</v>
      </c>
      <c r="C69" s="66">
        <f>+[3]Szolg.Iroda!$G$15</f>
        <v>-50</v>
      </c>
      <c r="D69" s="157">
        <f t="shared" si="5"/>
        <v>50</v>
      </c>
      <c r="E69" s="67">
        <f>+D69/B69</f>
        <v>0.5</v>
      </c>
      <c r="F69" s="149"/>
      <c r="G69" s="69"/>
      <c r="H69" s="69"/>
      <c r="I69" s="68"/>
      <c r="J69" s="68"/>
      <c r="K69" s="69"/>
      <c r="L69" s="69"/>
      <c r="M69" s="68"/>
      <c r="N69" s="68"/>
      <c r="O69" s="69"/>
      <c r="P69" s="69"/>
      <c r="Q69" s="68"/>
      <c r="R69" s="149"/>
      <c r="S69" s="149"/>
    </row>
    <row r="70" spans="1:19" s="1600" customFormat="1" ht="15" customHeight="1">
      <c r="A70" s="1629" t="s">
        <v>363</v>
      </c>
      <c r="B70" s="64">
        <f>+[7]SZI!B19</f>
        <v>300</v>
      </c>
      <c r="C70" s="1366">
        <f>+[3]Szolg.Iroda!$G$16</f>
        <v>-150</v>
      </c>
      <c r="D70" s="1630">
        <f t="shared" si="5"/>
        <v>150</v>
      </c>
      <c r="E70" s="67">
        <f>+D70/B70</f>
        <v>0.5</v>
      </c>
      <c r="F70" s="149"/>
      <c r="G70" s="69"/>
      <c r="H70" s="69"/>
      <c r="I70" s="68"/>
      <c r="J70" s="68"/>
      <c r="K70" s="69"/>
      <c r="L70" s="69"/>
      <c r="M70" s="68"/>
      <c r="N70" s="68"/>
      <c r="O70" s="69"/>
      <c r="P70" s="69"/>
      <c r="Q70" s="68"/>
      <c r="R70" s="149"/>
      <c r="S70" s="149"/>
    </row>
    <row r="71" spans="1:19" s="1600" customFormat="1" ht="15" customHeight="1">
      <c r="A71" s="31" t="s">
        <v>78</v>
      </c>
      <c r="B71" s="77">
        <f>SUM(B68:B70)</f>
        <v>620</v>
      </c>
      <c r="C71" s="78">
        <f>SUM(C68:C70)</f>
        <v>-323</v>
      </c>
      <c r="D71" s="1628">
        <f t="shared" si="5"/>
        <v>297</v>
      </c>
      <c r="E71" s="79">
        <f>+D71/B71</f>
        <v>0.4790322580645161</v>
      </c>
      <c r="F71" s="149"/>
      <c r="G71" s="69"/>
      <c r="H71" s="69"/>
      <c r="I71" s="68"/>
      <c r="J71" s="68"/>
      <c r="K71" s="69"/>
      <c r="L71" s="69"/>
      <c r="M71" s="68"/>
      <c r="N71" s="68"/>
      <c r="O71" s="69"/>
      <c r="P71" s="69"/>
      <c r="Q71" s="68"/>
      <c r="R71" s="149"/>
      <c r="S71" s="149"/>
    </row>
    <row r="72" spans="1:19" s="1600" customFormat="1" ht="15" customHeight="1">
      <c r="A72" s="30" t="s">
        <v>79</v>
      </c>
      <c r="B72" s="64">
        <f>+[7]SZI!B21</f>
        <v>0</v>
      </c>
      <c r="C72" s="66"/>
      <c r="D72" s="156">
        <f t="shared" si="5"/>
        <v>0</v>
      </c>
      <c r="E72" s="67"/>
      <c r="F72" s="149"/>
      <c r="G72" s="69"/>
      <c r="H72" s="69"/>
      <c r="I72" s="68"/>
      <c r="J72" s="68"/>
      <c r="K72" s="69"/>
      <c r="L72" s="69"/>
      <c r="M72" s="68"/>
      <c r="N72" s="68"/>
      <c r="O72" s="69"/>
      <c r="P72" s="69"/>
      <c r="Q72" s="68"/>
      <c r="R72" s="149"/>
      <c r="S72" s="149"/>
    </row>
    <row r="73" spans="1:19" s="1600" customFormat="1" ht="15" customHeight="1">
      <c r="A73" s="30" t="s">
        <v>80</v>
      </c>
      <c r="B73" s="64">
        <f>+[7]SZI!B22</f>
        <v>0</v>
      </c>
      <c r="C73" s="66"/>
      <c r="D73" s="156">
        <f t="shared" ref="D73:D83" si="7">SUM(B73:C73)</f>
        <v>0</v>
      </c>
      <c r="E73" s="67"/>
      <c r="F73" s="149"/>
      <c r="G73" s="69"/>
      <c r="H73" s="69"/>
      <c r="I73" s="68"/>
      <c r="J73" s="68"/>
      <c r="K73" s="69"/>
      <c r="L73" s="69"/>
      <c r="M73" s="68"/>
      <c r="N73" s="68"/>
      <c r="O73" s="69"/>
      <c r="P73" s="69"/>
      <c r="Q73" s="68"/>
      <c r="R73" s="149"/>
      <c r="S73" s="149"/>
    </row>
    <row r="74" spans="1:19" s="1600" customFormat="1" ht="15" customHeight="1">
      <c r="A74" s="30" t="s">
        <v>81</v>
      </c>
      <c r="B74" s="64">
        <f>+[7]SZI!B23</f>
        <v>0</v>
      </c>
      <c r="C74" s="66"/>
      <c r="D74" s="156">
        <f t="shared" si="7"/>
        <v>0</v>
      </c>
      <c r="E74" s="67"/>
      <c r="F74" s="149"/>
      <c r="G74" s="69"/>
      <c r="H74" s="69"/>
      <c r="I74" s="68"/>
      <c r="J74" s="68"/>
      <c r="K74" s="69"/>
      <c r="L74" s="69"/>
      <c r="M74" s="68"/>
      <c r="N74" s="68"/>
      <c r="O74" s="69"/>
      <c r="P74" s="69"/>
      <c r="Q74" s="68"/>
      <c r="R74" s="149"/>
      <c r="S74" s="149"/>
    </row>
    <row r="75" spans="1:19" s="1600" customFormat="1" ht="15" customHeight="1">
      <c r="A75" s="30" t="s">
        <v>82</v>
      </c>
      <c r="B75" s="64">
        <f>+[7]SZI!B24</f>
        <v>500</v>
      </c>
      <c r="C75" s="66"/>
      <c r="D75" s="156">
        <f t="shared" si="7"/>
        <v>500</v>
      </c>
      <c r="E75" s="67">
        <f t="shared" ref="E75:E83" si="8">+D75/B75</f>
        <v>1</v>
      </c>
      <c r="F75" s="149"/>
      <c r="G75" s="69"/>
      <c r="H75" s="69"/>
      <c r="I75" s="68"/>
      <c r="J75" s="68"/>
      <c r="K75" s="69"/>
      <c r="L75" s="69"/>
      <c r="M75" s="68"/>
      <c r="N75" s="68"/>
      <c r="O75" s="69"/>
      <c r="P75" s="69"/>
      <c r="Q75" s="68"/>
      <c r="R75" s="149"/>
      <c r="S75" s="149"/>
    </row>
    <row r="76" spans="1:19" s="1600" customFormat="1" ht="15" customHeight="1">
      <c r="A76" s="30" t="s">
        <v>83</v>
      </c>
      <c r="B76" s="64">
        <f>+[7]SZI!B25</f>
        <v>190</v>
      </c>
      <c r="C76" s="66">
        <f>+[3]Szolg.Iroda!$H$17</f>
        <v>-95</v>
      </c>
      <c r="D76" s="156">
        <f t="shared" si="7"/>
        <v>95</v>
      </c>
      <c r="E76" s="67">
        <f t="shared" si="8"/>
        <v>0.5</v>
      </c>
      <c r="F76" s="149"/>
      <c r="G76" s="69"/>
      <c r="H76" s="69"/>
      <c r="I76" s="68"/>
      <c r="J76" s="68"/>
      <c r="K76" s="69"/>
      <c r="L76" s="69"/>
      <c r="M76" s="68"/>
      <c r="N76" s="68"/>
      <c r="O76" s="69"/>
      <c r="P76" s="69"/>
      <c r="Q76" s="68"/>
      <c r="R76" s="149"/>
      <c r="S76" s="149"/>
    </row>
    <row r="77" spans="1:19" s="1600" customFormat="1" ht="15" customHeight="1">
      <c r="A77" s="32" t="s">
        <v>84</v>
      </c>
      <c r="B77" s="64">
        <f>+[7]SZI!B26</f>
        <v>20</v>
      </c>
      <c r="C77" s="66">
        <f>+[3]Szolg.Iroda!$H$18</f>
        <v>-10</v>
      </c>
      <c r="D77" s="156">
        <f t="shared" si="7"/>
        <v>10</v>
      </c>
      <c r="E77" s="67">
        <f t="shared" si="8"/>
        <v>0.5</v>
      </c>
      <c r="F77" s="149"/>
      <c r="G77" s="69"/>
      <c r="H77" s="69"/>
      <c r="I77" s="68"/>
      <c r="J77" s="68"/>
      <c r="K77" s="69"/>
      <c r="L77" s="69"/>
      <c r="M77" s="68"/>
      <c r="N77" s="68"/>
      <c r="O77" s="69"/>
      <c r="P77" s="69"/>
      <c r="Q77" s="68"/>
      <c r="R77" s="149"/>
      <c r="S77" s="149"/>
    </row>
    <row r="78" spans="1:19" s="1600" customFormat="1" ht="15" customHeight="1">
      <c r="A78" s="32" t="s">
        <v>85</v>
      </c>
      <c r="B78" s="64">
        <f>+[7]SZI!B27</f>
        <v>100</v>
      </c>
      <c r="C78" s="66"/>
      <c r="D78" s="156">
        <f t="shared" si="7"/>
        <v>100</v>
      </c>
      <c r="E78" s="67">
        <f t="shared" si="8"/>
        <v>1</v>
      </c>
      <c r="F78" s="149"/>
      <c r="G78" s="69"/>
      <c r="H78" s="69"/>
      <c r="I78" s="68"/>
      <c r="J78" s="68"/>
      <c r="K78" s="69"/>
      <c r="L78" s="69"/>
      <c r="M78" s="68"/>
      <c r="N78" s="68"/>
      <c r="O78" s="69"/>
      <c r="P78" s="69"/>
      <c r="Q78" s="68"/>
      <c r="R78" s="149"/>
      <c r="S78" s="149"/>
    </row>
    <row r="79" spans="1:19" s="1600" customFormat="1" ht="15" customHeight="1">
      <c r="A79" s="37" t="s">
        <v>364</v>
      </c>
      <c r="B79" s="64">
        <f>+[7]SZI!B28</f>
        <v>550</v>
      </c>
      <c r="C79" s="66">
        <f>+[3]Szolg.Iroda!$H$19</f>
        <v>-350</v>
      </c>
      <c r="D79" s="156">
        <f t="shared" si="7"/>
        <v>200</v>
      </c>
      <c r="E79" s="67">
        <f t="shared" si="8"/>
        <v>0.36363636363636365</v>
      </c>
      <c r="F79" s="149"/>
      <c r="G79" s="69"/>
      <c r="H79" s="69"/>
      <c r="I79" s="68"/>
      <c r="J79" s="68"/>
      <c r="K79" s="69"/>
      <c r="L79" s="69"/>
      <c r="M79" s="68"/>
      <c r="N79" s="68"/>
      <c r="O79" s="69"/>
      <c r="P79" s="69"/>
      <c r="Q79" s="68"/>
      <c r="R79" s="149"/>
      <c r="S79" s="149"/>
    </row>
    <row r="80" spans="1:19" s="1600" customFormat="1" ht="15" customHeight="1">
      <c r="A80" s="32" t="s">
        <v>365</v>
      </c>
      <c r="B80" s="64">
        <v>3550</v>
      </c>
      <c r="C80" s="66"/>
      <c r="D80" s="156">
        <f t="shared" si="7"/>
        <v>3550</v>
      </c>
      <c r="E80" s="67">
        <f t="shared" si="8"/>
        <v>1</v>
      </c>
      <c r="F80" s="149"/>
      <c r="G80" s="69"/>
      <c r="H80" s="69"/>
      <c r="I80" s="68"/>
      <c r="J80" s="68"/>
      <c r="K80" s="69"/>
      <c r="L80" s="69"/>
      <c r="M80" s="68"/>
      <c r="N80" s="68"/>
      <c r="O80" s="69"/>
      <c r="P80" s="69"/>
      <c r="Q80" s="68"/>
      <c r="R80" s="149"/>
      <c r="S80" s="149"/>
    </row>
    <row r="81" spans="1:19" s="1600" customFormat="1" ht="15" customHeight="1">
      <c r="A81" s="30" t="s">
        <v>366</v>
      </c>
      <c r="B81" s="64">
        <f>+[7]SZI!B30</f>
        <v>0</v>
      </c>
      <c r="C81" s="66"/>
      <c r="D81" s="156">
        <f t="shared" si="7"/>
        <v>0</v>
      </c>
      <c r="E81" s="67"/>
      <c r="F81" s="149"/>
      <c r="G81" s="69"/>
      <c r="H81" s="69"/>
      <c r="I81" s="68"/>
      <c r="J81" s="68"/>
      <c r="K81" s="69"/>
      <c r="L81" s="69"/>
      <c r="M81" s="68"/>
      <c r="N81" s="68"/>
      <c r="O81" s="69"/>
      <c r="P81" s="69"/>
      <c r="Q81" s="68"/>
      <c r="R81" s="149"/>
      <c r="S81" s="149"/>
    </row>
    <row r="82" spans="1:19" s="1600" customFormat="1" ht="15" customHeight="1">
      <c r="A82" s="30" t="s">
        <v>89</v>
      </c>
      <c r="B82" s="64">
        <f>+[7]SZI!B31</f>
        <v>0</v>
      </c>
      <c r="C82" s="66"/>
      <c r="D82" s="156">
        <f t="shared" si="7"/>
        <v>0</v>
      </c>
      <c r="E82" s="67"/>
      <c r="F82" s="149"/>
      <c r="G82" s="69"/>
      <c r="H82" s="69"/>
      <c r="I82" s="68"/>
      <c r="J82" s="68"/>
      <c r="K82" s="69"/>
      <c r="L82" s="69"/>
      <c r="M82" s="68"/>
      <c r="N82" s="68"/>
      <c r="O82" s="69"/>
      <c r="P82" s="69"/>
      <c r="Q82" s="68"/>
      <c r="R82" s="149"/>
      <c r="S82" s="149"/>
    </row>
    <row r="83" spans="1:19" s="1600" customFormat="1" ht="15" customHeight="1">
      <c r="A83" s="37" t="s">
        <v>367</v>
      </c>
      <c r="B83" s="64">
        <f>+[7]SZI!B32</f>
        <v>754</v>
      </c>
      <c r="C83" s="1366"/>
      <c r="D83" s="156">
        <f t="shared" si="7"/>
        <v>754</v>
      </c>
      <c r="E83" s="67">
        <f t="shared" si="8"/>
        <v>1</v>
      </c>
      <c r="F83" s="149"/>
      <c r="G83" s="69"/>
      <c r="H83" s="69"/>
      <c r="I83" s="68"/>
      <c r="J83" s="68"/>
      <c r="K83" s="69"/>
      <c r="L83" s="69"/>
      <c r="M83" s="68"/>
      <c r="N83" s="68"/>
      <c r="O83" s="69"/>
      <c r="P83" s="69"/>
      <c r="Q83" s="68"/>
      <c r="R83" s="149"/>
      <c r="S83" s="149"/>
    </row>
    <row r="84" spans="1:19" s="1600" customFormat="1" ht="15" customHeight="1">
      <c r="A84" s="31" t="s">
        <v>91</v>
      </c>
      <c r="B84" s="77">
        <f>SUM(B72:B83)</f>
        <v>5664</v>
      </c>
      <c r="C84" s="78">
        <f>SUM(C72:C83)</f>
        <v>-455</v>
      </c>
      <c r="D84" s="1628">
        <f t="shared" ref="D84:D89" si="9">SUM(B84:C84)</f>
        <v>5209</v>
      </c>
      <c r="E84" s="79">
        <f t="shared" ref="E84:E89" si="10">+D84/B84</f>
        <v>0.9196680790960452</v>
      </c>
      <c r="F84" s="149"/>
      <c r="G84" s="69"/>
      <c r="H84" s="69"/>
      <c r="I84" s="68"/>
      <c r="J84" s="68"/>
      <c r="K84" s="69"/>
      <c r="L84" s="69"/>
      <c r="M84" s="68"/>
      <c r="N84" s="68"/>
      <c r="O84" s="69"/>
      <c r="P84" s="69"/>
      <c r="Q84" s="68"/>
      <c r="R84" s="149"/>
      <c r="S84" s="149"/>
    </row>
    <row r="85" spans="1:19" s="1600" customFormat="1" ht="15" customHeight="1">
      <c r="A85" s="31" t="s">
        <v>15</v>
      </c>
      <c r="B85" s="77">
        <f>+(B67+B71+B84)*0.25</f>
        <v>1680.625</v>
      </c>
      <c r="C85" s="78">
        <f>+[3]Szolg.Iroda!$I$20</f>
        <v>-895</v>
      </c>
      <c r="D85" s="1628">
        <f t="shared" si="9"/>
        <v>785.625</v>
      </c>
      <c r="E85" s="79">
        <f t="shared" si="10"/>
        <v>0.46746002231312755</v>
      </c>
      <c r="F85" s="149"/>
      <c r="G85" s="69"/>
      <c r="H85" s="69"/>
      <c r="I85" s="68"/>
      <c r="J85" s="68"/>
      <c r="K85" s="69"/>
      <c r="L85" s="69"/>
      <c r="M85" s="68"/>
      <c r="N85" s="68"/>
      <c r="O85" s="69"/>
      <c r="P85" s="69"/>
      <c r="Q85" s="68"/>
      <c r="R85" s="149"/>
      <c r="S85" s="149"/>
    </row>
    <row r="86" spans="1:19" s="1600" customFormat="1" ht="15" customHeight="1">
      <c r="A86" s="30" t="s">
        <v>93</v>
      </c>
      <c r="B86" s="64">
        <v>120</v>
      </c>
      <c r="C86" s="66">
        <f>+[3]Szolg.Iroda!$J$21</f>
        <v>-80</v>
      </c>
      <c r="D86" s="156">
        <f t="shared" si="9"/>
        <v>40</v>
      </c>
      <c r="E86" s="67">
        <f t="shared" si="10"/>
        <v>0.33333333333333331</v>
      </c>
      <c r="F86" s="149"/>
      <c r="G86" s="69"/>
      <c r="H86" s="69"/>
      <c r="I86" s="68"/>
      <c r="J86" s="68"/>
      <c r="K86" s="69"/>
      <c r="L86" s="69"/>
      <c r="M86" s="68"/>
      <c r="N86" s="68"/>
      <c r="O86" s="69"/>
      <c r="P86" s="69"/>
      <c r="Q86" s="68"/>
      <c r="R86" s="149"/>
      <c r="S86" s="149"/>
    </row>
    <row r="87" spans="1:19" s="1600" customFormat="1" ht="15" customHeight="1">
      <c r="A87" s="32" t="s">
        <v>94</v>
      </c>
      <c r="B87" s="64">
        <f>+[7]SZI!B36</f>
        <v>100</v>
      </c>
      <c r="C87" s="66">
        <f>+[3]Szolg.Iroda!$J$22</f>
        <v>-50</v>
      </c>
      <c r="D87" s="157">
        <f t="shared" si="9"/>
        <v>50</v>
      </c>
      <c r="E87" s="67">
        <f t="shared" si="10"/>
        <v>0.5</v>
      </c>
      <c r="F87" s="149"/>
      <c r="G87" s="69"/>
      <c r="H87" s="69"/>
      <c r="I87" s="68"/>
      <c r="J87" s="68"/>
      <c r="K87" s="69"/>
      <c r="L87" s="69"/>
      <c r="M87" s="68"/>
      <c r="N87" s="68"/>
      <c r="O87" s="69"/>
      <c r="P87" s="69"/>
      <c r="Q87" s="68"/>
      <c r="R87" s="149"/>
      <c r="S87" s="149"/>
    </row>
    <row r="88" spans="1:19" s="1600" customFormat="1" ht="15" customHeight="1">
      <c r="A88" s="37" t="s">
        <v>95</v>
      </c>
      <c r="B88" s="1423">
        <v>20</v>
      </c>
      <c r="C88" s="1366">
        <f>+[3]Szolg.Iroda!$J$23</f>
        <v>-20</v>
      </c>
      <c r="D88" s="160">
        <f t="shared" si="9"/>
        <v>0</v>
      </c>
      <c r="E88" s="67">
        <f t="shared" si="10"/>
        <v>0</v>
      </c>
      <c r="F88" s="149"/>
      <c r="G88" s="69"/>
      <c r="H88" s="69"/>
      <c r="I88" s="68"/>
      <c r="J88" s="68"/>
      <c r="K88" s="69"/>
      <c r="L88" s="69"/>
      <c r="M88" s="68"/>
      <c r="N88" s="68"/>
      <c r="O88" s="69"/>
      <c r="P88" s="69"/>
      <c r="Q88" s="68"/>
      <c r="R88" s="149"/>
      <c r="S88" s="149"/>
    </row>
    <row r="89" spans="1:19" s="1600" customFormat="1" ht="15" customHeight="1">
      <c r="A89" s="31" t="s">
        <v>96</v>
      </c>
      <c r="B89" s="77">
        <f>SUM(B86:B88)</f>
        <v>240</v>
      </c>
      <c r="C89" s="78">
        <f>SUM(C86:C88)</f>
        <v>-150</v>
      </c>
      <c r="D89" s="1628">
        <f t="shared" si="9"/>
        <v>90</v>
      </c>
      <c r="E89" s="79">
        <f t="shared" si="10"/>
        <v>0.375</v>
      </c>
      <c r="F89" s="149"/>
      <c r="G89" s="69"/>
      <c r="H89" s="69"/>
      <c r="I89" s="68"/>
      <c r="J89" s="68"/>
      <c r="K89" s="69"/>
      <c r="L89" s="69"/>
      <c r="M89" s="68"/>
      <c r="N89" s="68"/>
      <c r="O89" s="69"/>
      <c r="P89" s="69"/>
      <c r="Q89" s="68"/>
      <c r="R89" s="149"/>
      <c r="S89" s="149"/>
    </row>
    <row r="90" spans="1:19" s="1600" customFormat="1" ht="15" customHeight="1">
      <c r="A90" s="33" t="s">
        <v>368</v>
      </c>
      <c r="B90" s="1423"/>
      <c r="C90" s="1366"/>
      <c r="D90" s="159"/>
      <c r="E90" s="75"/>
      <c r="F90" s="149"/>
      <c r="G90" s="69"/>
      <c r="H90" s="69"/>
      <c r="I90" s="68"/>
      <c r="J90" s="68"/>
      <c r="K90" s="69"/>
      <c r="L90" s="69"/>
      <c r="M90" s="68"/>
      <c r="N90" s="68"/>
      <c r="O90" s="69"/>
      <c r="P90" s="69"/>
      <c r="Q90" s="68"/>
      <c r="R90" s="149"/>
      <c r="S90" s="149"/>
    </row>
    <row r="91" spans="1:19" s="1602" customFormat="1" ht="15" customHeight="1">
      <c r="A91" s="1631" t="s">
        <v>98</v>
      </c>
      <c r="B91" s="162">
        <f>+B67+B71+B84+B85+B90+B89</f>
        <v>8643.125</v>
      </c>
      <c r="C91" s="163">
        <f>+C67+C71+C84+C85+C90+C89</f>
        <v>-1946</v>
      </c>
      <c r="D91" s="163">
        <f>SUM(B91:C91)</f>
        <v>6697.125</v>
      </c>
      <c r="E91" s="165">
        <f>+D91/B91</f>
        <v>0.77484995299732451</v>
      </c>
      <c r="F91" s="13"/>
      <c r="G91" s="12"/>
      <c r="H91" s="12"/>
      <c r="I91" s="90"/>
      <c r="J91" s="90"/>
      <c r="K91" s="12"/>
      <c r="L91" s="12"/>
      <c r="M91" s="90"/>
      <c r="N91" s="90"/>
      <c r="O91" s="12"/>
      <c r="P91" s="12"/>
      <c r="Q91" s="90"/>
      <c r="R91" s="13"/>
      <c r="S91" s="13"/>
    </row>
    <row r="92" spans="1:19" s="1600" customFormat="1" ht="15" customHeight="1">
      <c r="A92" s="1632" t="s">
        <v>99</v>
      </c>
      <c r="B92" s="80"/>
      <c r="C92" s="81"/>
      <c r="D92" s="81"/>
      <c r="E92" s="82"/>
      <c r="F92" s="149"/>
      <c r="G92" s="69"/>
      <c r="H92" s="69"/>
      <c r="I92" s="68"/>
      <c r="J92" s="68"/>
      <c r="K92" s="69"/>
      <c r="L92" s="69"/>
      <c r="M92" s="68"/>
      <c r="N92" s="68"/>
      <c r="O92" s="69"/>
      <c r="P92" s="69"/>
      <c r="Q92" s="68"/>
      <c r="R92" s="149"/>
      <c r="S92" s="149"/>
    </row>
    <row r="93" spans="1:19" s="1600" customFormat="1" ht="15" customHeight="1">
      <c r="A93" s="37" t="s">
        <v>369</v>
      </c>
      <c r="B93" s="64"/>
      <c r="C93" s="66"/>
      <c r="D93" s="85"/>
      <c r="E93" s="86"/>
      <c r="F93" s="149"/>
      <c r="G93" s="69"/>
      <c r="H93" s="69"/>
      <c r="I93" s="68"/>
      <c r="J93" s="68"/>
      <c r="K93" s="69"/>
      <c r="L93" s="69"/>
      <c r="M93" s="68"/>
      <c r="N93" s="68"/>
      <c r="O93" s="69"/>
      <c r="P93" s="69"/>
      <c r="Q93" s="68"/>
      <c r="R93" s="149"/>
      <c r="S93" s="149"/>
    </row>
    <row r="94" spans="1:19" s="1602" customFormat="1" ht="15" customHeight="1">
      <c r="A94" s="32" t="s">
        <v>105</v>
      </c>
      <c r="B94" s="64">
        <v>222.5</v>
      </c>
      <c r="C94" s="66">
        <f>+[3]Szolg.Iroda!$J$24</f>
        <v>-163</v>
      </c>
      <c r="D94" s="85">
        <f>SUM(B94:C94)</f>
        <v>59.5</v>
      </c>
      <c r="E94" s="86">
        <f>+D94/B94</f>
        <v>0.26741573033707866</v>
      </c>
      <c r="F94" s="13"/>
      <c r="G94" s="12"/>
      <c r="H94" s="12"/>
      <c r="I94" s="90"/>
      <c r="J94" s="90"/>
      <c r="K94" s="12"/>
      <c r="L94" s="12"/>
      <c r="M94" s="90"/>
      <c r="N94" s="90"/>
      <c r="O94" s="12"/>
      <c r="P94" s="12"/>
      <c r="Q94" s="90"/>
      <c r="R94" s="13"/>
      <c r="S94" s="13"/>
    </row>
    <row r="95" spans="1:19" s="1600" customFormat="1" ht="15" customHeight="1" thickBot="1">
      <c r="A95" s="33" t="s">
        <v>370</v>
      </c>
      <c r="B95" s="1423"/>
      <c r="C95" s="1366"/>
      <c r="D95" s="95"/>
      <c r="E95" s="96"/>
      <c r="F95" s="149"/>
      <c r="G95" s="69"/>
      <c r="H95" s="69"/>
      <c r="I95" s="68"/>
      <c r="J95" s="68"/>
      <c r="K95" s="69"/>
      <c r="L95" s="69"/>
      <c r="M95" s="68"/>
      <c r="N95" s="68"/>
      <c r="O95" s="69"/>
      <c r="P95" s="69"/>
      <c r="Q95" s="68"/>
      <c r="R95" s="149"/>
      <c r="S95" s="149"/>
    </row>
    <row r="96" spans="1:19" s="1600" customFormat="1" ht="15" customHeight="1" thickBot="1">
      <c r="A96" s="11" t="s">
        <v>109</v>
      </c>
      <c r="B96" s="1429">
        <f>+B91+SUM(B92:B95)</f>
        <v>8865.625</v>
      </c>
      <c r="C96" s="1430">
        <f>+C91+SUM(C92:C95)</f>
        <v>-2109</v>
      </c>
      <c r="D96" s="1430">
        <f>SUM(B96:C96)</f>
        <v>6756.625</v>
      </c>
      <c r="E96" s="1410">
        <f>+D96/B96</f>
        <v>0.76211491011632004</v>
      </c>
      <c r="F96" s="68"/>
      <c r="G96" s="69"/>
      <c r="H96" s="69"/>
      <c r="I96" s="68"/>
      <c r="J96" s="68"/>
      <c r="K96" s="69"/>
      <c r="L96" s="69"/>
      <c r="M96" s="68"/>
      <c r="N96" s="149"/>
      <c r="O96" s="149"/>
    </row>
    <row r="97" spans="1:61" s="1600" customFormat="1" ht="15" customHeight="1">
      <c r="A97" s="1436" t="s">
        <v>371</v>
      </c>
      <c r="B97" s="1603"/>
      <c r="C97" s="1604">
        <f>+[3]Szolg.Iroda!$N$4</f>
        <v>8250</v>
      </c>
      <c r="D97" s="1604">
        <f>SUM(B97:C97)</f>
        <v>8250</v>
      </c>
      <c r="E97" s="1633"/>
      <c r="F97" s="68"/>
      <c r="G97" s="69"/>
      <c r="H97" s="69"/>
      <c r="I97" s="68"/>
      <c r="J97" s="68"/>
      <c r="K97" s="69"/>
      <c r="L97" s="69"/>
      <c r="M97" s="68"/>
      <c r="N97" s="149"/>
      <c r="O97" s="149"/>
    </row>
    <row r="98" spans="1:61" s="1600" customFormat="1" ht="15" customHeight="1">
      <c r="A98" s="30" t="s">
        <v>692</v>
      </c>
      <c r="B98" s="64"/>
      <c r="C98" s="66">
        <f>+[3]Szolg.Iroda!$N$31</f>
        <v>0</v>
      </c>
      <c r="D98" s="85">
        <f>SUM(B98:C98)</f>
        <v>0</v>
      </c>
      <c r="E98" s="1634"/>
      <c r="F98" s="68"/>
      <c r="G98" s="69"/>
      <c r="H98" s="69"/>
      <c r="I98" s="68"/>
      <c r="J98" s="68"/>
      <c r="K98" s="69"/>
      <c r="L98" s="69"/>
      <c r="M98" s="68"/>
      <c r="N98" s="149"/>
      <c r="O98" s="149"/>
    </row>
    <row r="99" spans="1:61" s="1600" customFormat="1" ht="15" customHeight="1">
      <c r="A99" s="32" t="s">
        <v>110</v>
      </c>
      <c r="B99" s="84"/>
      <c r="C99" s="85"/>
      <c r="D99" s="157"/>
      <c r="E99" s="86"/>
      <c r="F99" s="68"/>
      <c r="G99" s="69"/>
      <c r="H99" s="69"/>
      <c r="I99" s="68"/>
      <c r="J99" s="68"/>
      <c r="K99" s="69"/>
      <c r="L99" s="69"/>
      <c r="M99" s="68"/>
      <c r="N99" s="149"/>
      <c r="O99" s="149"/>
    </row>
    <row r="100" spans="1:61" s="1600" customFormat="1" ht="15" customHeight="1">
      <c r="A100" s="32" t="s">
        <v>111</v>
      </c>
      <c r="B100" s="84">
        <v>0</v>
      </c>
      <c r="C100" s="85"/>
      <c r="D100" s="157"/>
      <c r="E100" s="86"/>
      <c r="F100" s="68"/>
      <c r="G100" s="69"/>
      <c r="H100" s="69"/>
      <c r="I100" s="68"/>
      <c r="J100" s="68"/>
      <c r="K100" s="69"/>
      <c r="L100" s="69"/>
      <c r="M100" s="68"/>
      <c r="N100" s="149"/>
      <c r="O100" s="149"/>
    </row>
    <row r="101" spans="1:61" s="1600" customFormat="1" ht="15" customHeight="1">
      <c r="A101" s="32" t="s">
        <v>112</v>
      </c>
      <c r="B101" s="84"/>
      <c r="C101" s="85">
        <f>+[3]Szolg.Iroda!$P$25+[3]Szolg.Iroda!$P$26</f>
        <v>297</v>
      </c>
      <c r="D101" s="85">
        <f>+[3]Szolg.Iroda!$P$25+[3]Szolg.Iroda!$P$26</f>
        <v>297</v>
      </c>
      <c r="E101" s="86"/>
      <c r="F101" s="68"/>
      <c r="G101" s="69"/>
      <c r="H101" s="69"/>
      <c r="I101" s="68"/>
      <c r="J101" s="68"/>
      <c r="K101" s="69"/>
      <c r="L101" s="69"/>
      <c r="M101" s="68"/>
      <c r="N101" s="149"/>
      <c r="O101" s="149"/>
    </row>
    <row r="102" spans="1:61" s="1600" customFormat="1" ht="15" customHeight="1">
      <c r="A102" s="32" t="s">
        <v>113</v>
      </c>
      <c r="B102" s="84"/>
      <c r="C102" s="85"/>
      <c r="D102" s="85"/>
      <c r="E102" s="86"/>
      <c r="F102" s="68"/>
      <c r="G102" s="69"/>
      <c r="H102" s="69"/>
      <c r="I102" s="68"/>
      <c r="J102" s="68"/>
      <c r="K102" s="69"/>
      <c r="L102" s="69"/>
      <c r="M102" s="68"/>
      <c r="N102" s="149"/>
      <c r="O102" s="149"/>
    </row>
    <row r="103" spans="1:61" s="1600" customFormat="1" ht="15" customHeight="1">
      <c r="A103" s="32" t="s">
        <v>114</v>
      </c>
      <c r="B103" s="64"/>
      <c r="C103" s="66"/>
      <c r="D103" s="66"/>
      <c r="E103" s="86"/>
      <c r="F103" s="149"/>
      <c r="G103" s="69"/>
      <c r="H103" s="69"/>
      <c r="I103" s="68"/>
      <c r="J103" s="68"/>
      <c r="K103" s="69"/>
      <c r="L103" s="69"/>
      <c r="M103" s="68"/>
      <c r="N103" s="68"/>
      <c r="O103" s="69"/>
      <c r="P103" s="69"/>
      <c r="Q103" s="68"/>
      <c r="R103" s="149"/>
      <c r="S103" s="149"/>
    </row>
    <row r="104" spans="1:61" s="1600" customFormat="1" ht="15" customHeight="1">
      <c r="A104" s="32" t="s">
        <v>115</v>
      </c>
      <c r="B104" s="64"/>
      <c r="C104" s="66"/>
      <c r="D104" s="66"/>
      <c r="E104" s="86"/>
      <c r="F104" s="149"/>
      <c r="G104" s="69"/>
      <c r="H104" s="69"/>
      <c r="I104" s="68"/>
      <c r="J104" s="68"/>
      <c r="K104" s="69"/>
      <c r="L104" s="69"/>
      <c r="M104" s="68"/>
      <c r="N104" s="68"/>
      <c r="O104" s="69"/>
      <c r="P104" s="69"/>
      <c r="Q104" s="68"/>
      <c r="R104" s="149"/>
      <c r="S104" s="149"/>
    </row>
    <row r="105" spans="1:61" s="1600" customFormat="1" ht="15" customHeight="1">
      <c r="A105" s="32" t="s">
        <v>116</v>
      </c>
      <c r="B105" s="64"/>
      <c r="C105" s="66"/>
      <c r="D105" s="66"/>
      <c r="E105" s="86"/>
      <c r="F105" s="149"/>
      <c r="G105" s="69"/>
      <c r="H105" s="69"/>
      <c r="I105" s="68"/>
      <c r="J105" s="68"/>
      <c r="K105" s="69"/>
      <c r="L105" s="69"/>
      <c r="M105" s="68"/>
      <c r="N105" s="68"/>
      <c r="O105" s="69"/>
      <c r="P105" s="69"/>
      <c r="Q105" s="68"/>
      <c r="R105" s="149"/>
      <c r="S105" s="149"/>
    </row>
    <row r="106" spans="1:61" s="1600" customFormat="1" ht="15" customHeight="1">
      <c r="A106" s="35" t="s">
        <v>117</v>
      </c>
      <c r="B106" s="64"/>
      <c r="C106" s="66">
        <f>SUM(C101:C105)</f>
        <v>297</v>
      </c>
      <c r="D106" s="66">
        <f>SUM(D101:D105)</f>
        <v>297</v>
      </c>
      <c r="E106" s="1635"/>
      <c r="F106" s="149"/>
      <c r="G106" s="69"/>
      <c r="H106" s="69"/>
      <c r="I106" s="68"/>
      <c r="J106" s="68"/>
      <c r="K106" s="69"/>
      <c r="L106" s="69"/>
      <c r="M106" s="68"/>
      <c r="N106" s="68"/>
      <c r="O106" s="69"/>
      <c r="P106" s="69"/>
      <c r="Q106" s="68"/>
      <c r="R106" s="149"/>
      <c r="S106" s="149"/>
    </row>
    <row r="107" spans="1:61" s="1600" customFormat="1" ht="15" customHeight="1">
      <c r="A107" s="36" t="s">
        <v>118</v>
      </c>
      <c r="B107" s="1423"/>
      <c r="C107" s="1366"/>
      <c r="D107" s="1366"/>
      <c r="E107" s="1635"/>
      <c r="F107" s="149"/>
      <c r="G107" s="69"/>
      <c r="H107" s="69"/>
      <c r="I107" s="68"/>
      <c r="J107" s="68"/>
      <c r="K107" s="69"/>
      <c r="L107" s="69"/>
      <c r="M107" s="68"/>
      <c r="N107" s="68"/>
      <c r="O107" s="69"/>
      <c r="P107" s="69"/>
      <c r="Q107" s="68"/>
      <c r="R107" s="149"/>
      <c r="S107" s="149"/>
    </row>
    <row r="108" spans="1:61" s="1600" customFormat="1" ht="15" customHeight="1">
      <c r="A108" s="31" t="s">
        <v>119</v>
      </c>
      <c r="B108" s="77">
        <f>SUM(B106:B107)</f>
        <v>0</v>
      </c>
      <c r="C108" s="78">
        <f>SUM(C106:C107)</f>
        <v>297</v>
      </c>
      <c r="D108" s="78">
        <f>SUM(D106:D107)</f>
        <v>297</v>
      </c>
      <c r="E108" s="79"/>
      <c r="F108" s="149"/>
      <c r="G108" s="69"/>
      <c r="H108" s="69"/>
      <c r="I108" s="68"/>
      <c r="J108" s="68"/>
      <c r="K108" s="69"/>
      <c r="L108" s="69"/>
      <c r="M108" s="68"/>
      <c r="N108" s="68"/>
      <c r="O108" s="69"/>
      <c r="P108" s="69"/>
      <c r="Q108" s="68"/>
      <c r="R108" s="149"/>
      <c r="S108" s="149"/>
    </row>
    <row r="109" spans="1:61" s="1600" customFormat="1" ht="15" customHeight="1">
      <c r="A109" s="30" t="s">
        <v>120</v>
      </c>
      <c r="B109" s="64">
        <f>+[7]SZI!B55</f>
        <v>0</v>
      </c>
      <c r="C109" s="66"/>
      <c r="D109" s="156"/>
      <c r="E109" s="67"/>
      <c r="F109" s="149"/>
      <c r="G109" s="69"/>
      <c r="H109" s="69"/>
      <c r="I109" s="68"/>
      <c r="J109" s="68"/>
      <c r="K109" s="69"/>
      <c r="L109" s="69"/>
      <c r="M109" s="68"/>
      <c r="N109" s="68"/>
      <c r="O109" s="69"/>
      <c r="P109" s="69"/>
      <c r="Q109" s="68"/>
      <c r="R109" s="149"/>
      <c r="S109" s="149"/>
    </row>
    <row r="110" spans="1:61" s="1600" customFormat="1" ht="15" customHeight="1">
      <c r="A110" s="32" t="s">
        <v>121</v>
      </c>
      <c r="B110" s="64"/>
      <c r="C110" s="66"/>
      <c r="D110" s="157"/>
      <c r="E110" s="86"/>
      <c r="F110" s="149"/>
      <c r="G110" s="69"/>
      <c r="H110" s="69"/>
      <c r="I110" s="68"/>
      <c r="J110" s="68"/>
      <c r="K110" s="69"/>
      <c r="L110" s="69"/>
      <c r="M110" s="68"/>
      <c r="N110" s="90"/>
      <c r="O110" s="69"/>
      <c r="P110" s="69"/>
      <c r="Q110" s="68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</row>
    <row r="111" spans="1:61" s="13" customFormat="1" ht="15" customHeight="1" thickBot="1">
      <c r="A111" s="37" t="s">
        <v>372</v>
      </c>
      <c r="B111" s="64"/>
      <c r="C111" s="66"/>
      <c r="D111" s="160"/>
      <c r="E111" s="176"/>
      <c r="G111" s="12"/>
      <c r="H111" s="12"/>
      <c r="I111" s="90"/>
      <c r="J111" s="90"/>
      <c r="K111" s="12"/>
      <c r="L111" s="12"/>
      <c r="M111" s="90"/>
      <c r="N111" s="90"/>
      <c r="O111" s="12"/>
      <c r="P111" s="12"/>
      <c r="Q111" s="90"/>
      <c r="T111" s="1636"/>
      <c r="U111" s="1636"/>
      <c r="V111" s="1636"/>
      <c r="W111" s="1636"/>
      <c r="X111" s="1636"/>
      <c r="Y111" s="1636"/>
      <c r="Z111" s="1636"/>
      <c r="AA111" s="1636"/>
      <c r="AB111" s="1636"/>
      <c r="AC111" s="1636"/>
      <c r="AD111" s="1636"/>
      <c r="AE111" s="1636"/>
      <c r="AF111" s="1636"/>
      <c r="AG111" s="1636"/>
      <c r="AH111" s="1636"/>
      <c r="AI111" s="1636"/>
      <c r="AJ111" s="1636"/>
      <c r="AK111" s="1636"/>
      <c r="AL111" s="1636"/>
      <c r="AM111" s="1636"/>
      <c r="AN111" s="1636"/>
      <c r="AO111" s="1636"/>
      <c r="AP111" s="1636"/>
      <c r="AQ111" s="1636"/>
      <c r="AR111" s="1636"/>
      <c r="AS111" s="1636"/>
      <c r="AT111" s="1636"/>
      <c r="AU111" s="1636"/>
      <c r="AV111" s="1636"/>
    </row>
    <row r="112" spans="1:61" s="1600" customFormat="1" ht="15" customHeight="1" thickBot="1">
      <c r="A112" s="37" t="s">
        <v>373</v>
      </c>
      <c r="B112" s="1423"/>
      <c r="C112" s="1366"/>
      <c r="D112" s="160"/>
      <c r="E112" s="176"/>
      <c r="F112" s="149"/>
      <c r="G112" s="69"/>
      <c r="H112" s="69"/>
      <c r="I112" s="68"/>
      <c r="J112" s="68"/>
      <c r="K112" s="69"/>
      <c r="L112" s="69"/>
      <c r="M112" s="68"/>
      <c r="N112" s="90"/>
      <c r="O112" s="69"/>
      <c r="P112" s="69"/>
      <c r="Q112" s="68"/>
      <c r="R112" s="149"/>
      <c r="S112" s="149"/>
    </row>
    <row r="113" spans="1:19" s="1600" customFormat="1" ht="15" customHeight="1" thickBot="1">
      <c r="A113" s="11" t="s">
        <v>124</v>
      </c>
      <c r="B113" s="1297">
        <f>+B56+B96+B97+B108+SUM(B109:B112)</f>
        <v>22854.924999999999</v>
      </c>
      <c r="C113" s="1298">
        <f>+C56+C96+C97+C98+C108+SUM(C109:C112)</f>
        <v>1068</v>
      </c>
      <c r="D113" s="1298">
        <f>SUM(B113:C113)</f>
        <v>23922.924999999999</v>
      </c>
      <c r="E113" s="1410">
        <f>+D113/B113</f>
        <v>1.0467295342251177</v>
      </c>
      <c r="F113" s="149"/>
      <c r="G113" s="12"/>
      <c r="H113" s="12"/>
      <c r="I113" s="90"/>
      <c r="J113" s="90"/>
      <c r="K113" s="12"/>
      <c r="L113" s="12"/>
      <c r="M113" s="90"/>
      <c r="N113" s="68"/>
      <c r="O113" s="12"/>
      <c r="P113" s="12"/>
      <c r="Q113" s="90"/>
      <c r="R113" s="149"/>
      <c r="S113" s="149"/>
    </row>
    <row r="114" spans="1:19" ht="15" customHeight="1" thickBot="1">
      <c r="A114" s="1637"/>
      <c r="B114" s="216"/>
      <c r="C114" s="20"/>
      <c r="D114" s="1430"/>
      <c r="E114" s="1414"/>
      <c r="G114" s="2"/>
      <c r="H114" s="2"/>
      <c r="K114" s="2"/>
      <c r="L114" s="2"/>
      <c r="N114" s="98"/>
    </row>
    <row r="115" spans="1:19" ht="15" customHeight="1" thickBot="1">
      <c r="A115" s="11" t="s">
        <v>125</v>
      </c>
      <c r="B115" s="1638">
        <f>+B18-B113</f>
        <v>7.5000000000727596E-2</v>
      </c>
      <c r="C115" s="1639">
        <f>+C18-C113</f>
        <v>500</v>
      </c>
      <c r="D115" s="1639">
        <f>+D18-D113</f>
        <v>500.07500000000073</v>
      </c>
      <c r="E115" s="1410"/>
      <c r="G115" s="131"/>
      <c r="H115" s="131"/>
      <c r="I115" s="131"/>
      <c r="J115" s="131"/>
      <c r="M115" s="131"/>
      <c r="O115" s="22"/>
      <c r="P115" s="22"/>
      <c r="Q115" s="131"/>
    </row>
    <row r="116" spans="1:19" ht="15.75">
      <c r="A116" s="1640"/>
      <c r="B116" s="1097"/>
      <c r="C116" s="1097"/>
      <c r="D116" s="2"/>
      <c r="E116" s="98"/>
      <c r="K116" s="131"/>
    </row>
    <row r="117" spans="1:19">
      <c r="D117" s="1096"/>
      <c r="E117" s="1096"/>
    </row>
    <row r="118" spans="1:19">
      <c r="B118" s="1580"/>
      <c r="C118" s="1580"/>
    </row>
    <row r="119" spans="1:19">
      <c r="H119" s="2"/>
    </row>
    <row r="121" spans="1:19">
      <c r="D121" s="1100"/>
    </row>
  </sheetData>
  <mergeCells count="5">
    <mergeCell ref="C2:C3"/>
    <mergeCell ref="B1:E1"/>
    <mergeCell ref="O1:Q1"/>
    <mergeCell ref="G1:I1"/>
    <mergeCell ref="K1:M1"/>
  </mergeCells>
  <phoneticPr fontId="25" type="noConversion"/>
  <printOptions horizontalCentered="1"/>
  <pageMargins left="0.19685039370078741" right="0.15748031496062992" top="1.2204724409448819" bottom="0.35433070866141736" header="0.47244094488188981" footer="0.15748031496062992"/>
  <pageSetup paperSize="8" scale="80" orientation="portrait" r:id="rId1"/>
  <headerFooter alignWithMargins="0">
    <oddHeader>&amp;L&amp;"Times New Roman,Normál"&amp;12Szent László Völgye
Kistérségi Szolgáltató Iroda&amp;C&amp;"Times New Roman,Félkövér"&amp;14 2011. ÉVI KÖLTSÉGVETÉS 
1. SZ. MÓDOSÍTÁSA&amp;R&amp;"Times New Roman,Félkövér"&amp;12 3. melléklet
 &amp;A
&amp;"Times New Roman,Normál"&amp;10
Adatok: eFt</oddHeader>
    <oddFooter>&amp;L&amp;F&amp;C&amp;D</oddFooter>
  </headerFooter>
  <rowBreaks count="1" manualBreakCount="1">
    <brk id="9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AO148"/>
  <sheetViews>
    <sheetView zoomScale="70" zoomScaleNormal="70" zoomScaleSheetLayoutView="85" workbookViewId="0">
      <pane xSplit="1" ySplit="3" topLeftCell="N23" activePane="bottomRight" state="frozen"/>
      <selection activeCell="G113" sqref="G113"/>
      <selection pane="topRight" activeCell="G113" sqref="G113"/>
      <selection pane="bottomLeft" activeCell="G113" sqref="G113"/>
      <selection pane="bottomRight" activeCell="AK23" sqref="AK23"/>
    </sheetView>
  </sheetViews>
  <sheetFormatPr defaultColWidth="8.85546875" defaultRowHeight="15" customHeight="1"/>
  <cols>
    <col min="1" max="1" width="54.85546875" style="1031" customWidth="1"/>
    <col min="2" max="4" width="9.7109375" style="393" customWidth="1"/>
    <col min="5" max="5" width="7.7109375" style="1086" customWidth="1"/>
    <col min="6" max="6" width="3.85546875" style="98" customWidth="1"/>
    <col min="7" max="9" width="9.7109375" style="393" customWidth="1"/>
    <col min="10" max="10" width="7.7109375" style="1028" customWidth="1"/>
    <col min="11" max="11" width="3.7109375" style="2" customWidth="1"/>
    <col min="12" max="14" width="9.7109375" style="393" customWidth="1"/>
    <col min="15" max="15" width="7.7109375" style="1028" customWidth="1"/>
    <col min="16" max="16" width="3.85546875" style="98" customWidth="1"/>
    <col min="17" max="17" width="9.7109375" style="393" customWidth="1"/>
    <col min="18" max="19" width="9.7109375" style="1028" customWidth="1"/>
    <col min="20" max="20" width="8.7109375" style="1028" customWidth="1"/>
    <col min="21" max="21" width="3.85546875" style="1" customWidth="1"/>
    <col min="22" max="24" width="9.7109375" style="393" customWidth="1"/>
    <col min="25" max="25" width="7.7109375" style="1028" customWidth="1"/>
    <col min="26" max="26" width="3.85546875" style="98" customWidth="1"/>
    <col min="27" max="27" width="9.7109375" style="393" customWidth="1"/>
    <col min="28" max="29" width="9.7109375" style="1028" customWidth="1"/>
    <col min="30" max="30" width="7.7109375" style="1028" customWidth="1"/>
    <col min="31" max="31" width="3.85546875" style="98" customWidth="1"/>
    <col min="32" max="32" width="9.7109375" style="393" customWidth="1"/>
    <col min="33" max="33" width="9.7109375" style="1028" customWidth="1"/>
    <col min="34" max="34" width="9.7109375" style="1031" customWidth="1"/>
    <col min="35" max="35" width="7.7109375" style="1028" customWidth="1"/>
    <col min="36" max="36" width="3.85546875" style="1" customWidth="1"/>
    <col min="37" max="39" width="9.7109375" style="2190" customWidth="1"/>
    <col min="40" max="40" width="7.7109375" style="2269" customWidth="1"/>
    <col min="41" max="41" width="8.85546875" style="1" customWidth="1"/>
    <col min="42" max="43" width="11.5703125" style="1" bestFit="1" customWidth="1"/>
    <col min="44" max="16384" width="8.85546875" style="1"/>
  </cols>
  <sheetData>
    <row r="1" spans="1:41" ht="15" customHeight="1" thickBot="1">
      <c r="Q1" s="2"/>
      <c r="R1" s="98"/>
      <c r="S1" s="98"/>
      <c r="T1" s="98"/>
      <c r="AA1" s="2"/>
      <c r="AB1" s="98"/>
      <c r="AC1" s="98"/>
      <c r="AD1" s="98"/>
      <c r="AM1" s="2430" t="s">
        <v>374</v>
      </c>
      <c r="AN1" s="2430"/>
    </row>
    <row r="2" spans="1:41" ht="15" customHeight="1">
      <c r="A2" s="1087"/>
      <c r="B2" s="2426" t="s">
        <v>253</v>
      </c>
      <c r="C2" s="2427"/>
      <c r="D2" s="2427"/>
      <c r="E2" s="2428"/>
      <c r="F2" s="55"/>
      <c r="G2" s="2423" t="s">
        <v>254</v>
      </c>
      <c r="H2" s="2424"/>
      <c r="I2" s="2424"/>
      <c r="J2" s="2425"/>
      <c r="K2" s="103"/>
      <c r="L2" s="2434" t="s">
        <v>255</v>
      </c>
      <c r="M2" s="2435"/>
      <c r="N2" s="2435"/>
      <c r="O2" s="2436"/>
      <c r="P2" s="57"/>
      <c r="Q2" s="2426" t="s">
        <v>256</v>
      </c>
      <c r="R2" s="2431"/>
      <c r="S2" s="2432"/>
      <c r="T2" s="2433"/>
      <c r="V2" s="2426" t="s">
        <v>257</v>
      </c>
      <c r="W2" s="2431"/>
      <c r="X2" s="2432"/>
      <c r="Y2" s="2433"/>
      <c r="Z2" s="57"/>
      <c r="AA2" s="2426" t="s">
        <v>258</v>
      </c>
      <c r="AB2" s="2431"/>
      <c r="AC2" s="2432"/>
      <c r="AD2" s="2433"/>
      <c r="AE2" s="57"/>
      <c r="AF2" s="2443" t="s">
        <v>375</v>
      </c>
      <c r="AG2" s="2444"/>
      <c r="AH2" s="2444"/>
      <c r="AI2" s="2445"/>
      <c r="AJ2" s="57"/>
      <c r="AK2" s="2440" t="s">
        <v>260</v>
      </c>
      <c r="AL2" s="2441"/>
      <c r="AM2" s="2441"/>
      <c r="AN2" s="2442"/>
    </row>
    <row r="3" spans="1:41" s="57" customFormat="1" ht="15" customHeight="1">
      <c r="A3" s="1087"/>
      <c r="B3" s="2420">
        <v>881011</v>
      </c>
      <c r="C3" s="2421"/>
      <c r="D3" s="2421"/>
      <c r="E3" s="2422"/>
      <c r="G3" s="2420">
        <v>889201</v>
      </c>
      <c r="H3" s="2421"/>
      <c r="I3" s="2421"/>
      <c r="J3" s="2422"/>
      <c r="K3" s="104"/>
      <c r="L3" s="2420">
        <v>889922</v>
      </c>
      <c r="M3" s="2421"/>
      <c r="N3" s="2421"/>
      <c r="O3" s="2422"/>
      <c r="Q3" s="2420">
        <v>889924</v>
      </c>
      <c r="R3" s="2421"/>
      <c r="S3" s="2421"/>
      <c r="T3" s="2422"/>
      <c r="V3" s="2420">
        <v>889925</v>
      </c>
      <c r="W3" s="2421"/>
      <c r="X3" s="2421"/>
      <c r="Y3" s="2422"/>
      <c r="AA3" s="2420">
        <v>889926</v>
      </c>
      <c r="AB3" s="2421"/>
      <c r="AC3" s="2421"/>
      <c r="AD3" s="2422"/>
      <c r="AF3" s="2420">
        <v>889928</v>
      </c>
      <c r="AG3" s="2421"/>
      <c r="AH3" s="2421"/>
      <c r="AI3" s="2422"/>
      <c r="AJ3" s="355"/>
      <c r="AK3" s="2437"/>
      <c r="AL3" s="2438"/>
      <c r="AM3" s="2438"/>
      <c r="AN3" s="2439"/>
    </row>
    <row r="4" spans="1:41" s="356" customFormat="1" ht="15" customHeight="1">
      <c r="A4" s="1087"/>
      <c r="B4" s="1589" t="s">
        <v>244</v>
      </c>
      <c r="C4" s="2274" t="s">
        <v>690</v>
      </c>
      <c r="D4" s="1590" t="s">
        <v>689</v>
      </c>
      <c r="E4" s="61" t="s">
        <v>127</v>
      </c>
      <c r="F4" s="355"/>
      <c r="G4" s="1589" t="s">
        <v>244</v>
      </c>
      <c r="H4" s="2274" t="s">
        <v>690</v>
      </c>
      <c r="I4" s="1590" t="s">
        <v>689</v>
      </c>
      <c r="J4" s="61" t="s">
        <v>127</v>
      </c>
      <c r="L4" s="1589" t="s">
        <v>244</v>
      </c>
      <c r="M4" s="2274" t="s">
        <v>690</v>
      </c>
      <c r="N4" s="1590" t="s">
        <v>689</v>
      </c>
      <c r="O4" s="61" t="s">
        <v>127</v>
      </c>
      <c r="P4" s="355"/>
      <c r="Q4" s="1589" t="s">
        <v>244</v>
      </c>
      <c r="R4" s="2274" t="s">
        <v>690</v>
      </c>
      <c r="S4" s="1590" t="s">
        <v>689</v>
      </c>
      <c r="T4" s="61" t="s">
        <v>127</v>
      </c>
      <c r="V4" s="1589" t="s">
        <v>244</v>
      </c>
      <c r="W4" s="2274" t="s">
        <v>690</v>
      </c>
      <c r="X4" s="1590" t="s">
        <v>689</v>
      </c>
      <c r="Y4" s="61" t="s">
        <v>127</v>
      </c>
      <c r="Z4" s="355"/>
      <c r="AA4" s="1589" t="s">
        <v>244</v>
      </c>
      <c r="AB4" s="2274" t="s">
        <v>690</v>
      </c>
      <c r="AC4" s="1590" t="s">
        <v>689</v>
      </c>
      <c r="AD4" s="61" t="s">
        <v>127</v>
      </c>
      <c r="AE4" s="355"/>
      <c r="AF4" s="1589" t="s">
        <v>244</v>
      </c>
      <c r="AG4" s="2274" t="s">
        <v>690</v>
      </c>
      <c r="AH4" s="1590" t="s">
        <v>689</v>
      </c>
      <c r="AI4" s="61" t="s">
        <v>127</v>
      </c>
      <c r="AJ4" s="98"/>
      <c r="AK4" s="2191" t="s">
        <v>244</v>
      </c>
      <c r="AL4" s="2302" t="s">
        <v>690</v>
      </c>
      <c r="AM4" s="2192" t="s">
        <v>689</v>
      </c>
      <c r="AN4" s="2193" t="s">
        <v>127</v>
      </c>
    </row>
    <row r="5" spans="1:41" s="356" customFormat="1" ht="15" customHeight="1" thickBot="1">
      <c r="A5" s="1087"/>
      <c r="B5" s="1644" t="s">
        <v>128</v>
      </c>
      <c r="C5" s="2276"/>
      <c r="D5" s="1819" t="s">
        <v>128</v>
      </c>
      <c r="E5" s="1263"/>
      <c r="F5" s="355"/>
      <c r="G5" s="1644" t="s">
        <v>128</v>
      </c>
      <c r="H5" s="2276"/>
      <c r="I5" s="1819" t="s">
        <v>128</v>
      </c>
      <c r="J5" s="1263"/>
      <c r="L5" s="1644" t="s">
        <v>128</v>
      </c>
      <c r="M5" s="2276"/>
      <c r="N5" s="1819" t="s">
        <v>128</v>
      </c>
      <c r="O5" s="1263"/>
      <c r="P5" s="355"/>
      <c r="Q5" s="1644" t="s">
        <v>128</v>
      </c>
      <c r="R5" s="2276"/>
      <c r="S5" s="1819" t="s">
        <v>128</v>
      </c>
      <c r="T5" s="1263"/>
      <c r="V5" s="1644" t="s">
        <v>128</v>
      </c>
      <c r="W5" s="2276"/>
      <c r="X5" s="1819" t="s">
        <v>128</v>
      </c>
      <c r="Y5" s="1263"/>
      <c r="Z5" s="355"/>
      <c r="AA5" s="1644" t="s">
        <v>128</v>
      </c>
      <c r="AB5" s="2276"/>
      <c r="AC5" s="1819" t="s">
        <v>128</v>
      </c>
      <c r="AD5" s="1263"/>
      <c r="AE5" s="355"/>
      <c r="AF5" s="1644" t="s">
        <v>128</v>
      </c>
      <c r="AG5" s="2276"/>
      <c r="AH5" s="1819" t="s">
        <v>128</v>
      </c>
      <c r="AI5" s="1263"/>
      <c r="AJ5" s="98"/>
      <c r="AK5" s="2194" t="s">
        <v>128</v>
      </c>
      <c r="AL5" s="2429"/>
      <c r="AM5" s="2195" t="s">
        <v>128</v>
      </c>
      <c r="AN5" s="2196"/>
    </row>
    <row r="6" spans="1:41" ht="15" customHeight="1">
      <c r="A6" s="1067" t="s">
        <v>11</v>
      </c>
      <c r="B6" s="1245"/>
      <c r="C6" s="1246"/>
      <c r="D6" s="1246"/>
      <c r="E6" s="1247"/>
      <c r="F6" s="1248"/>
      <c r="G6" s="1245"/>
      <c r="H6" s="1246"/>
      <c r="I6" s="1246"/>
      <c r="J6" s="1261"/>
      <c r="K6" s="1249"/>
      <c r="L6" s="1245"/>
      <c r="M6" s="1246"/>
      <c r="N6" s="1246"/>
      <c r="O6" s="1261"/>
      <c r="P6" s="1248"/>
      <c r="Q6" s="1245"/>
      <c r="R6" s="1246"/>
      <c r="S6" s="1246"/>
      <c r="T6" s="1261"/>
      <c r="U6" s="1249"/>
      <c r="V6" s="1245"/>
      <c r="W6" s="1246"/>
      <c r="X6" s="1246"/>
      <c r="Y6" s="1261"/>
      <c r="Z6" s="1248"/>
      <c r="AA6" s="1245"/>
      <c r="AB6" s="1246"/>
      <c r="AC6" s="1246"/>
      <c r="AD6" s="1261"/>
      <c r="AE6" s="1248"/>
      <c r="AF6" s="1245"/>
      <c r="AG6" s="1246"/>
      <c r="AH6" s="1246"/>
      <c r="AI6" s="1261"/>
      <c r="AJ6" s="98"/>
      <c r="AK6" s="2197"/>
      <c r="AL6" s="2198"/>
      <c r="AM6" s="2198"/>
      <c r="AN6" s="2199"/>
    </row>
    <row r="7" spans="1:41" ht="15" customHeight="1">
      <c r="A7" s="1253" t="s">
        <v>361</v>
      </c>
      <c r="B7" s="358">
        <f>+SZOCIÁLIS!E7+SZOCIÁLIS!E15+19</f>
        <v>3055</v>
      </c>
      <c r="C7" s="1088"/>
      <c r="D7" s="1088">
        <f>SUM(B7:C7)</f>
        <v>3055</v>
      </c>
      <c r="E7" s="1228">
        <f>+D7/B7</f>
        <v>1</v>
      </c>
      <c r="F7" s="359"/>
      <c r="G7" s="360">
        <f>+SZOCIÁLIS!E4+SZOCIÁLIS!E16+28</f>
        <v>10174</v>
      </c>
      <c r="H7" s="361"/>
      <c r="I7" s="1088">
        <f>SUM(G7:H7)</f>
        <v>10174</v>
      </c>
      <c r="J7" s="1228">
        <f>+I7/G7</f>
        <v>1</v>
      </c>
      <c r="K7" s="359"/>
      <c r="L7" s="360">
        <f>+SZOCIÁLIS!E6+SZOCIÁLIS!E14+160</f>
        <v>30455</v>
      </c>
      <c r="M7" s="361"/>
      <c r="N7" s="1088">
        <f>SUM(L7:M7)</f>
        <v>30455</v>
      </c>
      <c r="O7" s="1228">
        <f>+N7/L7</f>
        <v>1</v>
      </c>
      <c r="P7" s="359"/>
      <c r="Q7" s="360">
        <f>+SZOCIÁLIS!E3+SZOCIÁLIS!E13+38</f>
        <v>11516</v>
      </c>
      <c r="R7" s="361"/>
      <c r="S7" s="1088">
        <f>SUM(Q7:R7)</f>
        <v>11516</v>
      </c>
      <c r="T7" s="1228">
        <f>+S7/Q7</f>
        <v>1</v>
      </c>
      <c r="U7" s="359"/>
      <c r="V7" s="360">
        <f>38</f>
        <v>38</v>
      </c>
      <c r="W7" s="361"/>
      <c r="X7" s="1088">
        <f>SUM(V7:W7)</f>
        <v>38</v>
      </c>
      <c r="Y7" s="1228">
        <f>+X7/V7</f>
        <v>1</v>
      </c>
      <c r="Z7" s="359"/>
      <c r="AA7" s="360">
        <f>28</f>
        <v>28</v>
      </c>
      <c r="AB7" s="361"/>
      <c r="AC7" s="1088">
        <f>SUM(AA7:AB7)</f>
        <v>28</v>
      </c>
      <c r="AD7" s="1228">
        <f>+AC7/AA7</f>
        <v>1</v>
      </c>
      <c r="AE7" s="359"/>
      <c r="AF7" s="360">
        <f>+SZOCIÁLIS!E9+9</f>
        <v>2005</v>
      </c>
      <c r="AG7" s="361"/>
      <c r="AH7" s="1088">
        <f>SUM(AF7:AG7)</f>
        <v>2005</v>
      </c>
      <c r="AI7" s="1228">
        <f>+AH7/AF7</f>
        <v>1</v>
      </c>
      <c r="AJ7" s="359"/>
      <c r="AK7" s="2200">
        <f>+B7+G7+L7+Q7+V7+AA7+AF7</f>
        <v>57271</v>
      </c>
      <c r="AL7" s="2201">
        <f>+C7+H7+M7+R7+W7+AB7+AG7</f>
        <v>0</v>
      </c>
      <c r="AM7" s="2202">
        <f>SUM(AK7:AL7)</f>
        <v>57271</v>
      </c>
      <c r="AN7" s="2203">
        <f>+AM7/AK7</f>
        <v>1</v>
      </c>
      <c r="AO7" s="362"/>
    </row>
    <row r="8" spans="1:41" ht="15" customHeight="1">
      <c r="A8" s="1253" t="s">
        <v>362</v>
      </c>
      <c r="B8" s="358"/>
      <c r="C8" s="1089"/>
      <c r="D8" s="1088">
        <f t="shared" ref="D8:D24" si="0">SUM(B8:C8)</f>
        <v>0</v>
      </c>
      <c r="E8" s="1228"/>
      <c r="F8" s="362"/>
      <c r="G8" s="360"/>
      <c r="H8" s="363"/>
      <c r="I8" s="1088">
        <f t="shared" ref="I8:I24" si="1">SUM(G8:H8)</f>
        <v>0</v>
      </c>
      <c r="J8" s="1228"/>
      <c r="K8" s="362"/>
      <c r="L8" s="360"/>
      <c r="M8" s="363"/>
      <c r="N8" s="1088">
        <f t="shared" ref="N8:N24" si="2">SUM(L8:M8)</f>
        <v>0</v>
      </c>
      <c r="O8" s="1228"/>
      <c r="P8" s="362"/>
      <c r="Q8" s="360"/>
      <c r="R8" s="363"/>
      <c r="S8" s="1088">
        <f t="shared" ref="S8:S24" si="3">SUM(Q8:R8)</f>
        <v>0</v>
      </c>
      <c r="T8" s="1228"/>
      <c r="U8" s="362"/>
      <c r="V8" s="360"/>
      <c r="W8" s="363"/>
      <c r="X8" s="1088">
        <f t="shared" ref="X8:X24" si="4">SUM(V8:W8)</f>
        <v>0</v>
      </c>
      <c r="Y8" s="1228"/>
      <c r="Z8" s="362"/>
      <c r="AA8" s="360"/>
      <c r="AB8" s="363"/>
      <c r="AC8" s="1088">
        <f t="shared" ref="AC8:AC24" si="5">SUM(AA8:AB8)</f>
        <v>0</v>
      </c>
      <c r="AD8" s="1228"/>
      <c r="AE8" s="362"/>
      <c r="AF8" s="360"/>
      <c r="AG8" s="363"/>
      <c r="AH8" s="1088">
        <f t="shared" ref="AH8:AH24" si="6">SUM(AF8:AG8)</f>
        <v>0</v>
      </c>
      <c r="AI8" s="1228"/>
      <c r="AJ8" s="362"/>
      <c r="AK8" s="2200"/>
      <c r="AL8" s="2201">
        <f t="shared" ref="AL8:AL71" si="7">+C8+H8+M8+R8+W8+AB8+AG8</f>
        <v>0</v>
      </c>
      <c r="AM8" s="2202">
        <f t="shared" ref="AM8:AM25" si="8">SUM(AK8:AL8)</f>
        <v>0</v>
      </c>
      <c r="AN8" s="2203"/>
      <c r="AO8" s="362"/>
    </row>
    <row r="9" spans="1:41" ht="15" customHeight="1">
      <c r="A9" s="27" t="s">
        <v>251</v>
      </c>
      <c r="B9" s="118">
        <f>336+1500</f>
        <v>1836</v>
      </c>
      <c r="C9" s="24">
        <f>+[3]Seg.Szolgálat!$V$82</f>
        <v>165</v>
      </c>
      <c r="D9" s="1088">
        <f t="shared" si="0"/>
        <v>2001</v>
      </c>
      <c r="E9" s="1228">
        <f>+D9/B9</f>
        <v>1.0898692810457515</v>
      </c>
      <c r="G9" s="118"/>
      <c r="H9" s="24"/>
      <c r="I9" s="1088">
        <f t="shared" si="1"/>
        <v>0</v>
      </c>
      <c r="J9" s="1228"/>
      <c r="L9" s="118"/>
      <c r="M9" s="24"/>
      <c r="N9" s="1088">
        <f t="shared" si="2"/>
        <v>0</v>
      </c>
      <c r="O9" s="1228"/>
      <c r="Q9" s="118"/>
      <c r="R9" s="24"/>
      <c r="S9" s="1088">
        <f t="shared" si="3"/>
        <v>0</v>
      </c>
      <c r="T9" s="1228"/>
      <c r="V9" s="118">
        <v>700</v>
      </c>
      <c r="W9" s="24">
        <f>+[3]Seg.Szolgálat!$V$47</f>
        <v>400</v>
      </c>
      <c r="X9" s="1088">
        <f t="shared" si="4"/>
        <v>1100</v>
      </c>
      <c r="Y9" s="1228">
        <f>+X9/V9</f>
        <v>1.5714285714285714</v>
      </c>
      <c r="AA9" s="118"/>
      <c r="AB9" s="24"/>
      <c r="AC9" s="1088">
        <f t="shared" si="5"/>
        <v>0</v>
      </c>
      <c r="AD9" s="1228"/>
      <c r="AF9" s="118"/>
      <c r="AG9" s="24"/>
      <c r="AH9" s="1088">
        <f t="shared" si="6"/>
        <v>0</v>
      </c>
      <c r="AI9" s="1228"/>
      <c r="AJ9" s="98"/>
      <c r="AK9" s="2204">
        <f>+B9+G9+L9+Q9+V9+AA9+AF9</f>
        <v>2536</v>
      </c>
      <c r="AL9" s="2201">
        <f t="shared" si="7"/>
        <v>565</v>
      </c>
      <c r="AM9" s="2202">
        <f t="shared" si="8"/>
        <v>3101</v>
      </c>
      <c r="AN9" s="2203">
        <f t="shared" ref="AN9:AN22" si="9">+AM9/AK9</f>
        <v>1.2227917981072556</v>
      </c>
    </row>
    <row r="10" spans="1:41" ht="15" customHeight="1">
      <c r="A10" s="27" t="s">
        <v>15</v>
      </c>
      <c r="B10" s="118"/>
      <c r="C10" s="24"/>
      <c r="D10" s="1088">
        <f t="shared" si="0"/>
        <v>0</v>
      </c>
      <c r="E10" s="1228"/>
      <c r="G10" s="118"/>
      <c r="H10" s="24"/>
      <c r="I10" s="1088">
        <f t="shared" si="1"/>
        <v>0</v>
      </c>
      <c r="J10" s="1228"/>
      <c r="L10" s="118"/>
      <c r="M10" s="24"/>
      <c r="N10" s="1088">
        <f t="shared" si="2"/>
        <v>0</v>
      </c>
      <c r="O10" s="1228"/>
      <c r="Q10" s="118"/>
      <c r="R10" s="24"/>
      <c r="S10" s="1088">
        <f t="shared" si="3"/>
        <v>0</v>
      </c>
      <c r="T10" s="1228"/>
      <c r="V10" s="118"/>
      <c r="W10" s="24"/>
      <c r="X10" s="1088">
        <f t="shared" si="4"/>
        <v>0</v>
      </c>
      <c r="Y10" s="1228"/>
      <c r="AA10" s="118"/>
      <c r="AB10" s="24"/>
      <c r="AC10" s="1088">
        <f t="shared" si="5"/>
        <v>0</v>
      </c>
      <c r="AD10" s="1228"/>
      <c r="AF10" s="118"/>
      <c r="AG10" s="24"/>
      <c r="AH10" s="1088">
        <f t="shared" si="6"/>
        <v>0</v>
      </c>
      <c r="AI10" s="1228"/>
      <c r="AJ10" s="98"/>
      <c r="AK10" s="2204"/>
      <c r="AL10" s="2201">
        <f t="shared" si="7"/>
        <v>0</v>
      </c>
      <c r="AM10" s="2202">
        <f t="shared" si="8"/>
        <v>0</v>
      </c>
      <c r="AN10" s="2203"/>
    </row>
    <row r="11" spans="1:41" ht="15" customHeight="1">
      <c r="A11" s="27" t="s">
        <v>16</v>
      </c>
      <c r="B11" s="118"/>
      <c r="C11" s="24"/>
      <c r="D11" s="1088">
        <f t="shared" si="0"/>
        <v>0</v>
      </c>
      <c r="E11" s="1228"/>
      <c r="G11" s="118"/>
      <c r="H11" s="24"/>
      <c r="I11" s="1088">
        <f t="shared" si="1"/>
        <v>0</v>
      </c>
      <c r="J11" s="1228"/>
      <c r="L11" s="118"/>
      <c r="M11" s="24"/>
      <c r="N11" s="1088">
        <f t="shared" si="2"/>
        <v>0</v>
      </c>
      <c r="O11" s="1228"/>
      <c r="Q11" s="118"/>
      <c r="R11" s="24"/>
      <c r="S11" s="1088">
        <f t="shared" si="3"/>
        <v>0</v>
      </c>
      <c r="T11" s="1228"/>
      <c r="V11" s="118"/>
      <c r="W11" s="24"/>
      <c r="X11" s="1088">
        <f t="shared" si="4"/>
        <v>0</v>
      </c>
      <c r="Y11" s="1228"/>
      <c r="AA11" s="118"/>
      <c r="AB11" s="24"/>
      <c r="AC11" s="1088">
        <f t="shared" si="5"/>
        <v>0</v>
      </c>
      <c r="AD11" s="1228"/>
      <c r="AF11" s="118"/>
      <c r="AG11" s="24"/>
      <c r="AH11" s="1088">
        <f t="shared" si="6"/>
        <v>0</v>
      </c>
      <c r="AI11" s="1228"/>
      <c r="AJ11" s="98"/>
      <c r="AK11" s="2204"/>
      <c r="AL11" s="2201">
        <f t="shared" si="7"/>
        <v>0</v>
      </c>
      <c r="AM11" s="2202">
        <f t="shared" si="8"/>
        <v>0</v>
      </c>
      <c r="AN11" s="2203"/>
    </row>
    <row r="12" spans="1:41" ht="15" customHeight="1">
      <c r="A12" s="27" t="s">
        <v>17</v>
      </c>
      <c r="B12" s="118"/>
      <c r="C12" s="24"/>
      <c r="D12" s="1088">
        <f t="shared" si="0"/>
        <v>0</v>
      </c>
      <c r="E12" s="1228"/>
      <c r="G12" s="118"/>
      <c r="H12" s="24"/>
      <c r="I12" s="1088">
        <f t="shared" si="1"/>
        <v>0</v>
      </c>
      <c r="J12" s="1228"/>
      <c r="L12" s="118"/>
      <c r="M12" s="24"/>
      <c r="N12" s="1088">
        <f t="shared" si="2"/>
        <v>0</v>
      </c>
      <c r="O12" s="1228"/>
      <c r="Q12" s="118"/>
      <c r="R12" s="24"/>
      <c r="S12" s="1088">
        <f t="shared" si="3"/>
        <v>0</v>
      </c>
      <c r="T12" s="1228"/>
      <c r="V12" s="118">
        <f>+SZOCIÁLIS!E22</f>
        <v>7860</v>
      </c>
      <c r="W12" s="24">
        <f>+[3]Seg.Szolgálat!$Y$46</f>
        <v>180</v>
      </c>
      <c r="X12" s="1088">
        <f t="shared" si="4"/>
        <v>8040</v>
      </c>
      <c r="Y12" s="1228">
        <f>+X12/V12</f>
        <v>1.0229007633587786</v>
      </c>
      <c r="AA12" s="118">
        <f>+SZOCIÁLIS!E23</f>
        <v>8600</v>
      </c>
      <c r="AB12" s="24"/>
      <c r="AC12" s="1088">
        <f t="shared" si="5"/>
        <v>8600</v>
      </c>
      <c r="AD12" s="1228">
        <f>+AC12/AA12</f>
        <v>1</v>
      </c>
      <c r="AF12" s="118"/>
      <c r="AG12" s="24"/>
      <c r="AH12" s="1088">
        <f t="shared" si="6"/>
        <v>0</v>
      </c>
      <c r="AI12" s="1228"/>
      <c r="AJ12" s="98"/>
      <c r="AK12" s="2204">
        <f>+B12+G12+L12+Q12+V12+AA12+AF12</f>
        <v>16460</v>
      </c>
      <c r="AL12" s="2201">
        <f t="shared" si="7"/>
        <v>180</v>
      </c>
      <c r="AM12" s="2202">
        <f t="shared" si="8"/>
        <v>16640</v>
      </c>
      <c r="AN12" s="2203">
        <f t="shared" si="9"/>
        <v>1.0109356014580801</v>
      </c>
    </row>
    <row r="13" spans="1:41" ht="15" customHeight="1">
      <c r="A13" s="135" t="s">
        <v>18</v>
      </c>
      <c r="B13" s="118"/>
      <c r="C13" s="24"/>
      <c r="D13" s="1088">
        <f t="shared" si="0"/>
        <v>0</v>
      </c>
      <c r="E13" s="1228"/>
      <c r="G13" s="118"/>
      <c r="H13" s="24"/>
      <c r="I13" s="1088">
        <f t="shared" si="1"/>
        <v>0</v>
      </c>
      <c r="J13" s="1228"/>
      <c r="L13" s="118"/>
      <c r="M13" s="24"/>
      <c r="N13" s="1088">
        <f t="shared" si="2"/>
        <v>0</v>
      </c>
      <c r="O13" s="1228"/>
      <c r="Q13" s="118"/>
      <c r="R13" s="24"/>
      <c r="S13" s="1088">
        <f t="shared" si="3"/>
        <v>0</v>
      </c>
      <c r="T13" s="1228"/>
      <c r="V13" s="118"/>
      <c r="W13" s="24"/>
      <c r="X13" s="1088">
        <f t="shared" si="4"/>
        <v>0</v>
      </c>
      <c r="Y13" s="1228"/>
      <c r="AA13" s="118"/>
      <c r="AB13" s="24"/>
      <c r="AC13" s="1088">
        <f t="shared" si="5"/>
        <v>0</v>
      </c>
      <c r="AD13" s="1228"/>
      <c r="AF13" s="118"/>
      <c r="AG13" s="24"/>
      <c r="AH13" s="1088">
        <f t="shared" si="6"/>
        <v>0</v>
      </c>
      <c r="AI13" s="1228"/>
      <c r="AJ13" s="98"/>
      <c r="AK13" s="2204">
        <f>+B13+G13+L13+Q13+V13+AA13+AF13</f>
        <v>0</v>
      </c>
      <c r="AL13" s="2201">
        <f t="shared" si="7"/>
        <v>0</v>
      </c>
      <c r="AM13" s="2202">
        <f t="shared" si="8"/>
        <v>0</v>
      </c>
      <c r="AN13" s="2203"/>
    </row>
    <row r="14" spans="1:41" ht="15" customHeight="1">
      <c r="A14" s="135" t="s">
        <v>19</v>
      </c>
      <c r="B14" s="118"/>
      <c r="C14" s="24"/>
      <c r="D14" s="1088">
        <f t="shared" si="0"/>
        <v>0</v>
      </c>
      <c r="E14" s="1228"/>
      <c r="G14" s="118"/>
      <c r="H14" s="24"/>
      <c r="I14" s="1088">
        <f t="shared" si="1"/>
        <v>0</v>
      </c>
      <c r="J14" s="1228"/>
      <c r="L14" s="118"/>
      <c r="M14" s="24"/>
      <c r="N14" s="1088">
        <f t="shared" si="2"/>
        <v>0</v>
      </c>
      <c r="O14" s="1228"/>
      <c r="Q14" s="118"/>
      <c r="R14" s="24"/>
      <c r="S14" s="1088">
        <f t="shared" si="3"/>
        <v>0</v>
      </c>
      <c r="T14" s="1228"/>
      <c r="V14" s="118"/>
      <c r="W14" s="24"/>
      <c r="X14" s="1088">
        <f t="shared" si="4"/>
        <v>0</v>
      </c>
      <c r="Y14" s="1228"/>
      <c r="AA14" s="118"/>
      <c r="AB14" s="24"/>
      <c r="AC14" s="1088">
        <f t="shared" si="5"/>
        <v>0</v>
      </c>
      <c r="AD14" s="1228"/>
      <c r="AF14" s="118"/>
      <c r="AG14" s="24"/>
      <c r="AH14" s="1088">
        <f t="shared" si="6"/>
        <v>0</v>
      </c>
      <c r="AI14" s="1228"/>
      <c r="AJ14" s="98"/>
      <c r="AK14" s="2204">
        <f>+B14+G14+L14+Q14+V14+AA14+AF14</f>
        <v>0</v>
      </c>
      <c r="AL14" s="2201">
        <f t="shared" ref="AL14" si="10">+C14+H14+M14+R14+W14+AB14+AG14</f>
        <v>0</v>
      </c>
      <c r="AM14" s="2202">
        <f t="shared" ref="AM14" si="11">SUM(AK14:AL14)</f>
        <v>0</v>
      </c>
      <c r="AN14" s="2203"/>
    </row>
    <row r="15" spans="1:41" ht="15" customHeight="1">
      <c r="A15" s="27" t="s">
        <v>693</v>
      </c>
      <c r="B15" s="118"/>
      <c r="C15" s="24">
        <v>113</v>
      </c>
      <c r="D15" s="1088">
        <v>113</v>
      </c>
      <c r="E15" s="1228"/>
      <c r="G15" s="118"/>
      <c r="H15" s="24">
        <v>226</v>
      </c>
      <c r="I15" s="1088">
        <f t="shared" si="1"/>
        <v>226</v>
      </c>
      <c r="J15" s="1228"/>
      <c r="L15" s="118"/>
      <c r="M15" s="24">
        <v>973</v>
      </c>
      <c r="N15" s="1088">
        <v>973</v>
      </c>
      <c r="O15" s="1228"/>
      <c r="Q15" s="118"/>
      <c r="R15" s="24">
        <v>4223</v>
      </c>
      <c r="S15" s="1088">
        <f t="shared" si="3"/>
        <v>4223</v>
      </c>
      <c r="T15" s="1228"/>
      <c r="V15" s="118"/>
      <c r="W15" s="24">
        <v>238</v>
      </c>
      <c r="X15" s="1088">
        <v>238</v>
      </c>
      <c r="Y15" s="1228"/>
      <c r="AA15" s="118"/>
      <c r="AB15" s="24">
        <v>176</v>
      </c>
      <c r="AC15" s="1088">
        <v>176</v>
      </c>
      <c r="AD15" s="1228"/>
      <c r="AF15" s="118"/>
      <c r="AG15" s="24">
        <v>57</v>
      </c>
      <c r="AH15" s="1088">
        <f t="shared" si="6"/>
        <v>57</v>
      </c>
      <c r="AI15" s="1228"/>
      <c r="AJ15" s="98"/>
      <c r="AK15" s="2204">
        <f>+B15+G15+L15+Q15+V15+AA15+AF15</f>
        <v>0</v>
      </c>
      <c r="AL15" s="2201">
        <f t="shared" si="7"/>
        <v>6006</v>
      </c>
      <c r="AM15" s="2202">
        <f t="shared" si="8"/>
        <v>6006</v>
      </c>
      <c r="AN15" s="2203"/>
    </row>
    <row r="16" spans="1:41" ht="15" customHeight="1">
      <c r="A16" s="27" t="s">
        <v>21</v>
      </c>
      <c r="B16" s="118">
        <f>+SUM(B17:B21)</f>
        <v>6624</v>
      </c>
      <c r="C16" s="24">
        <f>+[3]Seg.Szolgálat!$Y$60</f>
        <v>0</v>
      </c>
      <c r="D16" s="1088">
        <f t="shared" si="0"/>
        <v>6624</v>
      </c>
      <c r="E16" s="1228">
        <f t="shared" ref="E16:E21" si="12">+D16/B16</f>
        <v>1</v>
      </c>
      <c r="G16" s="118">
        <f>302-171</f>
        <v>131</v>
      </c>
      <c r="H16" s="24"/>
      <c r="I16" s="1088">
        <f t="shared" si="1"/>
        <v>131</v>
      </c>
      <c r="J16" s="1228">
        <f>+I16/G16</f>
        <v>1</v>
      </c>
      <c r="L16" s="118">
        <f>1918-300</f>
        <v>1618</v>
      </c>
      <c r="M16" s="24"/>
      <c r="N16" s="1088">
        <f t="shared" si="2"/>
        <v>1618</v>
      </c>
      <c r="O16" s="1228">
        <f>+N16/L16</f>
        <v>1</v>
      </c>
      <c r="Q16" s="118">
        <f>682-148</f>
        <v>534</v>
      </c>
      <c r="R16" s="24">
        <f>+[3]Seg.Szolgálat!$Y$8</f>
        <v>0</v>
      </c>
      <c r="S16" s="1088">
        <f t="shared" si="3"/>
        <v>534</v>
      </c>
      <c r="T16" s="1228">
        <f>+S16/Q16</f>
        <v>1</v>
      </c>
      <c r="V16" s="118">
        <f>2450-166</f>
        <v>2284</v>
      </c>
      <c r="W16" s="24">
        <f>+[3]Seg.Szolgálat!$Y$43</f>
        <v>0</v>
      </c>
      <c r="X16" s="1088">
        <f t="shared" si="4"/>
        <v>2284</v>
      </c>
      <c r="Y16" s="1228">
        <f>+X16/V16</f>
        <v>1</v>
      </c>
      <c r="AA16" s="118">
        <v>0</v>
      </c>
      <c r="AB16" s="24"/>
      <c r="AC16" s="1088">
        <f t="shared" si="5"/>
        <v>0</v>
      </c>
      <c r="AD16" s="1228"/>
      <c r="AF16" s="118">
        <v>1425</v>
      </c>
      <c r="AG16" s="24">
        <f>+[3]Seg.Szolgálat!$Y$94</f>
        <v>452</v>
      </c>
      <c r="AH16" s="1088">
        <f t="shared" si="6"/>
        <v>1877</v>
      </c>
      <c r="AI16" s="1228">
        <f>+AH16/AF16</f>
        <v>1.3171929824561404</v>
      </c>
      <c r="AJ16" s="98"/>
      <c r="AK16" s="2204">
        <f>+B16+G16+L16+Q16+V16+AA16+AF16</f>
        <v>12616</v>
      </c>
      <c r="AL16" s="2201">
        <f>+C16+H16+M16+R16+W16+AB16+AG16</f>
        <v>452</v>
      </c>
      <c r="AM16" s="2202">
        <f t="shared" si="8"/>
        <v>13068</v>
      </c>
      <c r="AN16" s="2203">
        <f t="shared" si="9"/>
        <v>1.0358275206087508</v>
      </c>
      <c r="AO16" s="2"/>
    </row>
    <row r="17" spans="1:41" s="368" customFormat="1" ht="15" customHeight="1">
      <c r="A17" s="1254" t="s">
        <v>376</v>
      </c>
      <c r="B17" s="365">
        <f>+G127</f>
        <v>331</v>
      </c>
      <c r="C17" s="353"/>
      <c r="D17" s="1437">
        <f t="shared" si="0"/>
        <v>331</v>
      </c>
      <c r="E17" s="1438">
        <f t="shared" si="12"/>
        <v>1</v>
      </c>
      <c r="F17" s="366"/>
      <c r="G17" s="365"/>
      <c r="H17" s="353"/>
      <c r="I17" s="1437">
        <f t="shared" si="1"/>
        <v>0</v>
      </c>
      <c r="J17" s="1438"/>
      <c r="K17" s="367"/>
      <c r="L17" s="365"/>
      <c r="M17" s="353"/>
      <c r="N17" s="1437">
        <f t="shared" si="2"/>
        <v>0</v>
      </c>
      <c r="O17" s="1438"/>
      <c r="P17" s="366"/>
      <c r="Q17" s="365"/>
      <c r="R17" s="353"/>
      <c r="S17" s="1437">
        <f t="shared" si="3"/>
        <v>0</v>
      </c>
      <c r="T17" s="1438"/>
      <c r="V17" s="365"/>
      <c r="W17" s="353"/>
      <c r="X17" s="1437">
        <f t="shared" si="4"/>
        <v>0</v>
      </c>
      <c r="Y17" s="1438"/>
      <c r="Z17" s="366"/>
      <c r="AA17" s="365"/>
      <c r="AB17" s="353"/>
      <c r="AC17" s="1437">
        <f t="shared" si="5"/>
        <v>0</v>
      </c>
      <c r="AD17" s="1438"/>
      <c r="AE17" s="366"/>
      <c r="AF17" s="365"/>
      <c r="AG17" s="353"/>
      <c r="AH17" s="1437">
        <f t="shared" si="6"/>
        <v>0</v>
      </c>
      <c r="AI17" s="1438"/>
      <c r="AJ17" s="366"/>
      <c r="AK17" s="2205">
        <f>+G127+G136+AF16</f>
        <v>2535</v>
      </c>
      <c r="AL17" s="2206">
        <f t="shared" si="7"/>
        <v>0</v>
      </c>
      <c r="AM17" s="2207">
        <f t="shared" si="8"/>
        <v>2535</v>
      </c>
      <c r="AN17" s="2208">
        <f t="shared" si="9"/>
        <v>1</v>
      </c>
      <c r="AO17" s="367"/>
    </row>
    <row r="18" spans="1:41" s="368" customFormat="1" ht="15" customHeight="1">
      <c r="A18" s="1254" t="s">
        <v>377</v>
      </c>
      <c r="B18" s="365">
        <f>+G128</f>
        <v>663</v>
      </c>
      <c r="C18" s="353"/>
      <c r="D18" s="1437">
        <f t="shared" si="0"/>
        <v>663</v>
      </c>
      <c r="E18" s="1438">
        <f t="shared" si="12"/>
        <v>1</v>
      </c>
      <c r="F18" s="366"/>
      <c r="G18" s="365"/>
      <c r="H18" s="353"/>
      <c r="I18" s="1437">
        <f t="shared" si="1"/>
        <v>0</v>
      </c>
      <c r="J18" s="1438"/>
      <c r="K18" s="367"/>
      <c r="L18" s="365"/>
      <c r="M18" s="353"/>
      <c r="N18" s="1437">
        <f t="shared" si="2"/>
        <v>0</v>
      </c>
      <c r="O18" s="1438"/>
      <c r="P18" s="366"/>
      <c r="Q18" s="365"/>
      <c r="R18" s="353"/>
      <c r="S18" s="1437">
        <f t="shared" si="3"/>
        <v>0</v>
      </c>
      <c r="T18" s="1438"/>
      <c r="V18" s="365"/>
      <c r="W18" s="353"/>
      <c r="X18" s="1437">
        <f t="shared" si="4"/>
        <v>0</v>
      </c>
      <c r="Y18" s="1438"/>
      <c r="Z18" s="366"/>
      <c r="AA18" s="365"/>
      <c r="AB18" s="353"/>
      <c r="AC18" s="1437">
        <f t="shared" si="5"/>
        <v>0</v>
      </c>
      <c r="AD18" s="1438"/>
      <c r="AE18" s="366"/>
      <c r="AF18" s="365"/>
      <c r="AG18" s="353"/>
      <c r="AH18" s="1437">
        <f t="shared" si="6"/>
        <v>0</v>
      </c>
      <c r="AI18" s="1438"/>
      <c r="AJ18" s="366"/>
      <c r="AK18" s="2205">
        <f>+G128+G137</f>
        <v>1011</v>
      </c>
      <c r="AL18" s="2206">
        <f t="shared" si="7"/>
        <v>0</v>
      </c>
      <c r="AM18" s="2207">
        <f t="shared" si="8"/>
        <v>1011</v>
      </c>
      <c r="AN18" s="2208">
        <f t="shared" si="9"/>
        <v>1</v>
      </c>
      <c r="AO18" s="367"/>
    </row>
    <row r="19" spans="1:41" s="368" customFormat="1" ht="15" customHeight="1">
      <c r="A19" s="1254" t="s">
        <v>378</v>
      </c>
      <c r="B19" s="365">
        <f>+G129</f>
        <v>331</v>
      </c>
      <c r="C19" s="353"/>
      <c r="D19" s="1437">
        <f t="shared" si="0"/>
        <v>331</v>
      </c>
      <c r="E19" s="1438">
        <f t="shared" si="12"/>
        <v>1</v>
      </c>
      <c r="F19" s="366"/>
      <c r="G19" s="365"/>
      <c r="H19" s="353"/>
      <c r="I19" s="1437">
        <f t="shared" si="1"/>
        <v>0</v>
      </c>
      <c r="J19" s="1438"/>
      <c r="K19" s="367"/>
      <c r="L19" s="365"/>
      <c r="M19" s="353"/>
      <c r="N19" s="1437">
        <f t="shared" si="2"/>
        <v>0</v>
      </c>
      <c r="O19" s="1438"/>
      <c r="P19" s="366"/>
      <c r="Q19" s="365"/>
      <c r="R19" s="353"/>
      <c r="S19" s="1437">
        <f t="shared" si="3"/>
        <v>0</v>
      </c>
      <c r="T19" s="1438"/>
      <c r="V19" s="365"/>
      <c r="W19" s="353"/>
      <c r="X19" s="1437">
        <f t="shared" si="4"/>
        <v>0</v>
      </c>
      <c r="Y19" s="1438"/>
      <c r="Z19" s="366"/>
      <c r="AA19" s="365"/>
      <c r="AB19" s="353"/>
      <c r="AC19" s="1437">
        <f t="shared" si="5"/>
        <v>0</v>
      </c>
      <c r="AD19" s="1438"/>
      <c r="AE19" s="366"/>
      <c r="AF19" s="365"/>
      <c r="AG19" s="353"/>
      <c r="AH19" s="1437">
        <f t="shared" si="6"/>
        <v>0</v>
      </c>
      <c r="AI19" s="1438"/>
      <c r="AJ19" s="366"/>
      <c r="AK19" s="2205">
        <f>+G129+G138</f>
        <v>641</v>
      </c>
      <c r="AL19" s="2206">
        <f t="shared" si="7"/>
        <v>0</v>
      </c>
      <c r="AM19" s="2207">
        <f t="shared" si="8"/>
        <v>641</v>
      </c>
      <c r="AN19" s="2208">
        <f t="shared" si="9"/>
        <v>1</v>
      </c>
      <c r="AO19" s="367"/>
    </row>
    <row r="20" spans="1:41" s="368" customFormat="1" ht="15" customHeight="1">
      <c r="A20" s="1254" t="s">
        <v>379</v>
      </c>
      <c r="B20" s="365">
        <f>+G130</f>
        <v>4637</v>
      </c>
      <c r="C20" s="353"/>
      <c r="D20" s="1437">
        <f t="shared" si="0"/>
        <v>4637</v>
      </c>
      <c r="E20" s="1438">
        <f t="shared" si="12"/>
        <v>1</v>
      </c>
      <c r="F20" s="366"/>
      <c r="G20" s="365"/>
      <c r="H20" s="353"/>
      <c r="I20" s="1437">
        <f t="shared" si="1"/>
        <v>0</v>
      </c>
      <c r="J20" s="1438"/>
      <c r="K20" s="367"/>
      <c r="L20" s="365"/>
      <c r="M20" s="353"/>
      <c r="N20" s="1437">
        <f t="shared" si="2"/>
        <v>0</v>
      </c>
      <c r="O20" s="1438"/>
      <c r="P20" s="366"/>
      <c r="Q20" s="365"/>
      <c r="R20" s="353"/>
      <c r="S20" s="1437">
        <f t="shared" si="3"/>
        <v>0</v>
      </c>
      <c r="T20" s="1438"/>
      <c r="V20" s="365"/>
      <c r="W20" s="353"/>
      <c r="X20" s="1437">
        <f t="shared" si="4"/>
        <v>0</v>
      </c>
      <c r="Y20" s="1438"/>
      <c r="Z20" s="366"/>
      <c r="AA20" s="365"/>
      <c r="AB20" s="353"/>
      <c r="AC20" s="1437">
        <f t="shared" si="5"/>
        <v>0</v>
      </c>
      <c r="AD20" s="1438"/>
      <c r="AE20" s="366"/>
      <c r="AF20" s="365"/>
      <c r="AG20" s="353"/>
      <c r="AH20" s="1437">
        <f t="shared" si="6"/>
        <v>0</v>
      </c>
      <c r="AI20" s="1438"/>
      <c r="AJ20" s="366"/>
      <c r="AK20" s="2205">
        <f>+G130+G139</f>
        <v>6254</v>
      </c>
      <c r="AL20" s="2206">
        <f t="shared" si="7"/>
        <v>0</v>
      </c>
      <c r="AM20" s="2207">
        <f t="shared" si="8"/>
        <v>6254</v>
      </c>
      <c r="AN20" s="2208">
        <f t="shared" si="9"/>
        <v>1</v>
      </c>
      <c r="AO20" s="367"/>
    </row>
    <row r="21" spans="1:41" s="368" customFormat="1" ht="15" customHeight="1">
      <c r="A21" s="1254" t="s">
        <v>380</v>
      </c>
      <c r="B21" s="365">
        <f>+G131</f>
        <v>662</v>
      </c>
      <c r="C21" s="353"/>
      <c r="D21" s="1437">
        <f t="shared" si="0"/>
        <v>662</v>
      </c>
      <c r="E21" s="1438">
        <f t="shared" si="12"/>
        <v>1</v>
      </c>
      <c r="F21" s="366"/>
      <c r="G21" s="365"/>
      <c r="H21" s="353"/>
      <c r="I21" s="1437">
        <f t="shared" si="1"/>
        <v>0</v>
      </c>
      <c r="J21" s="1438"/>
      <c r="K21" s="367"/>
      <c r="L21" s="365"/>
      <c r="M21" s="353"/>
      <c r="N21" s="1437">
        <f t="shared" si="2"/>
        <v>0</v>
      </c>
      <c r="O21" s="1438"/>
      <c r="P21" s="366"/>
      <c r="Q21" s="365"/>
      <c r="R21" s="353"/>
      <c r="S21" s="1437">
        <f t="shared" si="3"/>
        <v>0</v>
      </c>
      <c r="T21" s="1438"/>
      <c r="V21" s="365"/>
      <c r="W21" s="353"/>
      <c r="X21" s="1437">
        <f t="shared" si="4"/>
        <v>0</v>
      </c>
      <c r="Y21" s="1438"/>
      <c r="Z21" s="366"/>
      <c r="AA21" s="365"/>
      <c r="AB21" s="353"/>
      <c r="AC21" s="1437">
        <f t="shared" si="5"/>
        <v>0</v>
      </c>
      <c r="AD21" s="1438"/>
      <c r="AE21" s="366"/>
      <c r="AF21" s="365"/>
      <c r="AG21" s="353"/>
      <c r="AH21" s="1437">
        <f t="shared" si="6"/>
        <v>0</v>
      </c>
      <c r="AI21" s="1438"/>
      <c r="AJ21" s="366"/>
      <c r="AK21" s="2205">
        <f>+G131+G140</f>
        <v>1617</v>
      </c>
      <c r="AL21" s="2206">
        <f t="shared" si="7"/>
        <v>0</v>
      </c>
      <c r="AM21" s="2207">
        <f t="shared" si="8"/>
        <v>1617</v>
      </c>
      <c r="AN21" s="2208">
        <f t="shared" si="9"/>
        <v>1</v>
      </c>
      <c r="AO21" s="367"/>
    </row>
    <row r="22" spans="1:41" s="368" customFormat="1" ht="15" customHeight="1">
      <c r="A22" s="1254" t="s">
        <v>381</v>
      </c>
      <c r="B22" s="365"/>
      <c r="C22" s="353"/>
      <c r="D22" s="1437">
        <f t="shared" si="0"/>
        <v>0</v>
      </c>
      <c r="E22" s="1438"/>
      <c r="F22" s="366"/>
      <c r="G22" s="365">
        <f>+'[8]SEGÍTŐ SZOLGÁLAT'!$J$141</f>
        <v>17</v>
      </c>
      <c r="H22" s="353">
        <v>-1</v>
      </c>
      <c r="I22" s="1437">
        <f t="shared" si="1"/>
        <v>16</v>
      </c>
      <c r="J22" s="1438"/>
      <c r="K22" s="367"/>
      <c r="L22" s="365">
        <f>+'[8]SEGÍTŐ SZOLGÁLAT'!$J$142</f>
        <v>210</v>
      </c>
      <c r="M22" s="353">
        <v>-12</v>
      </c>
      <c r="N22" s="1437">
        <f t="shared" si="2"/>
        <v>198</v>
      </c>
      <c r="O22" s="1438"/>
      <c r="P22" s="366"/>
      <c r="Q22" s="365">
        <f>+'[8]SEGÍTŐ SZOLGÁLAT'!$J$143</f>
        <v>70</v>
      </c>
      <c r="R22" s="353">
        <v>-5</v>
      </c>
      <c r="S22" s="1437">
        <f t="shared" si="3"/>
        <v>65</v>
      </c>
      <c r="T22" s="1438"/>
      <c r="V22" s="365">
        <f>+'[8]SEGÍTŐ SZOLGÁLAT'!$J$144</f>
        <v>291</v>
      </c>
      <c r="W22" s="353">
        <v>-12</v>
      </c>
      <c r="X22" s="1437">
        <f t="shared" si="4"/>
        <v>279</v>
      </c>
      <c r="Y22" s="1438"/>
      <c r="Z22" s="366"/>
      <c r="AA22" s="365"/>
      <c r="AB22" s="353"/>
      <c r="AC22" s="1437">
        <f t="shared" si="5"/>
        <v>0</v>
      </c>
      <c r="AD22" s="1438"/>
      <c r="AE22" s="366"/>
      <c r="AF22" s="365"/>
      <c r="AG22" s="353"/>
      <c r="AH22" s="1437">
        <f t="shared" si="6"/>
        <v>0</v>
      </c>
      <c r="AI22" s="1438"/>
      <c r="AJ22" s="366"/>
      <c r="AK22" s="2205">
        <f>+G141</f>
        <v>558</v>
      </c>
      <c r="AL22" s="2206">
        <v>-30</v>
      </c>
      <c r="AM22" s="2207">
        <f t="shared" si="8"/>
        <v>528</v>
      </c>
      <c r="AN22" s="2208">
        <f t="shared" si="9"/>
        <v>0.94623655913978499</v>
      </c>
      <c r="AO22" s="367"/>
    </row>
    <row r="23" spans="1:41" s="13" customFormat="1" ht="15" customHeight="1">
      <c r="A23" s="27" t="s">
        <v>22</v>
      </c>
      <c r="B23" s="118"/>
      <c r="C23" s="24"/>
      <c r="D23" s="1088">
        <f t="shared" si="0"/>
        <v>0</v>
      </c>
      <c r="E23" s="1228"/>
      <c r="F23" s="98"/>
      <c r="G23" s="118"/>
      <c r="H23" s="24"/>
      <c r="I23" s="1088">
        <f t="shared" si="1"/>
        <v>0</v>
      </c>
      <c r="J23" s="1228"/>
      <c r="K23" s="2"/>
      <c r="L23" s="118"/>
      <c r="M23" s="24"/>
      <c r="N23" s="1088">
        <f t="shared" si="2"/>
        <v>0</v>
      </c>
      <c r="O23" s="1228"/>
      <c r="P23" s="98"/>
      <c r="Q23" s="118"/>
      <c r="R23" s="24">
        <f>+[3]Seg.Szolgálat!$Z$96</f>
        <v>26575</v>
      </c>
      <c r="S23" s="1088">
        <f t="shared" si="3"/>
        <v>26575</v>
      </c>
      <c r="T23" s="1228"/>
      <c r="U23" s="1"/>
      <c r="V23" s="118"/>
      <c r="W23" s="24"/>
      <c r="X23" s="1088">
        <f t="shared" si="4"/>
        <v>0</v>
      </c>
      <c r="Y23" s="1228"/>
      <c r="Z23" s="98"/>
      <c r="AA23" s="118"/>
      <c r="AB23" s="24"/>
      <c r="AC23" s="1088">
        <f t="shared" si="5"/>
        <v>0</v>
      </c>
      <c r="AD23" s="1228"/>
      <c r="AE23" s="98"/>
      <c r="AF23" s="118"/>
      <c r="AG23" s="24"/>
      <c r="AH23" s="1088">
        <f t="shared" si="6"/>
        <v>0</v>
      </c>
      <c r="AI23" s="1228"/>
      <c r="AJ23" s="98"/>
      <c r="AK23" s="2204">
        <f>+B23+G23+L23+Q23+V23+AA23+AF23</f>
        <v>0</v>
      </c>
      <c r="AL23" s="2201">
        <f t="shared" si="7"/>
        <v>26575</v>
      </c>
      <c r="AM23" s="2202">
        <f t="shared" si="8"/>
        <v>26575</v>
      </c>
      <c r="AN23" s="2203"/>
      <c r="AO23" s="12"/>
    </row>
    <row r="24" spans="1:41" ht="15" customHeight="1">
      <c r="A24" s="135" t="s">
        <v>23</v>
      </c>
      <c r="B24" s="118"/>
      <c r="C24" s="24"/>
      <c r="D24" s="1088">
        <f t="shared" si="0"/>
        <v>0</v>
      </c>
      <c r="E24" s="1228"/>
      <c r="G24" s="118"/>
      <c r="H24" s="24"/>
      <c r="I24" s="1088">
        <f t="shared" si="1"/>
        <v>0</v>
      </c>
      <c r="J24" s="1228"/>
      <c r="L24" s="118"/>
      <c r="M24" s="24"/>
      <c r="N24" s="1088">
        <f t="shared" si="2"/>
        <v>0</v>
      </c>
      <c r="O24" s="1228"/>
      <c r="Q24" s="118"/>
      <c r="R24" s="24">
        <f>+[3]Seg.Szolgálat!$Z$95</f>
        <v>135562</v>
      </c>
      <c r="S24" s="1088">
        <f t="shared" si="3"/>
        <v>135562</v>
      </c>
      <c r="T24" s="1228"/>
      <c r="V24" s="118"/>
      <c r="W24" s="24"/>
      <c r="X24" s="1088">
        <f t="shared" si="4"/>
        <v>0</v>
      </c>
      <c r="Y24" s="1228"/>
      <c r="AA24" s="118"/>
      <c r="AB24" s="24"/>
      <c r="AC24" s="1088">
        <f t="shared" si="5"/>
        <v>0</v>
      </c>
      <c r="AD24" s="1228"/>
      <c r="AF24" s="118"/>
      <c r="AG24" s="24"/>
      <c r="AH24" s="1088">
        <f t="shared" si="6"/>
        <v>0</v>
      </c>
      <c r="AI24" s="1228"/>
      <c r="AJ24" s="98"/>
      <c r="AK24" s="2204">
        <f>+B24+G24+L24+Q24+V24+AA24+AF24</f>
        <v>0</v>
      </c>
      <c r="AL24" s="2201">
        <f t="shared" si="7"/>
        <v>135562</v>
      </c>
      <c r="AM24" s="2202">
        <f t="shared" si="8"/>
        <v>135562</v>
      </c>
      <c r="AN24" s="2203"/>
    </row>
    <row r="25" spans="1:41" ht="15" customHeight="1" thickBot="1">
      <c r="A25" s="1255" t="s">
        <v>655</v>
      </c>
      <c r="B25" s="137"/>
      <c r="C25" s="19"/>
      <c r="D25" s="1232"/>
      <c r="E25" s="1233"/>
      <c r="G25" s="137"/>
      <c r="H25" s="19"/>
      <c r="I25" s="1232"/>
      <c r="J25" s="1233"/>
      <c r="L25" s="137"/>
      <c r="M25" s="19"/>
      <c r="N25" s="1232"/>
      <c r="O25" s="1233"/>
      <c r="Q25" s="137">
        <v>-588</v>
      </c>
      <c r="R25" s="19">
        <v>30</v>
      </c>
      <c r="S25" s="1232">
        <v>-558</v>
      </c>
      <c r="T25" s="1233"/>
      <c r="V25" s="137"/>
      <c r="W25" s="19"/>
      <c r="X25" s="1232"/>
      <c r="Y25" s="1233"/>
      <c r="AA25" s="137"/>
      <c r="AB25" s="19"/>
      <c r="AC25" s="1232"/>
      <c r="AD25" s="1233"/>
      <c r="AF25" s="137"/>
      <c r="AG25" s="19"/>
      <c r="AH25" s="1232"/>
      <c r="AI25" s="1233"/>
      <c r="AJ25" s="98"/>
      <c r="AK25" s="2209">
        <f>+B25+G25+L25+Q25+V25+AA25+AF25</f>
        <v>-588</v>
      </c>
      <c r="AL25" s="2210">
        <f t="shared" si="7"/>
        <v>30</v>
      </c>
      <c r="AM25" s="2211">
        <f t="shared" si="8"/>
        <v>-558</v>
      </c>
      <c r="AN25" s="2212"/>
    </row>
    <row r="26" spans="1:41" s="21" customFormat="1" ht="15" customHeight="1" thickBot="1">
      <c r="A26" s="11" t="s">
        <v>25</v>
      </c>
      <c r="B26" s="216">
        <f>SUM(B7:B25)-SUM(B17:B22)</f>
        <v>11515</v>
      </c>
      <c r="C26" s="20">
        <f>SUM(C7:C25)-SUM(C17:C22)</f>
        <v>278</v>
      </c>
      <c r="D26" s="20">
        <f>SUM(B26:C26)</f>
        <v>11793</v>
      </c>
      <c r="E26" s="1439">
        <f>+D26/B26</f>
        <v>1.0241424229266174</v>
      </c>
      <c r="F26" s="131"/>
      <c r="G26" s="216">
        <f>SUM(G7:G25)-SUM(G17:G22)</f>
        <v>10305</v>
      </c>
      <c r="H26" s="20">
        <f>SUM(H7:H25)-SUM(H17:H22)</f>
        <v>226</v>
      </c>
      <c r="I26" s="20">
        <f>SUM(G26:H26)</f>
        <v>10531</v>
      </c>
      <c r="J26" s="1439">
        <f>+I26/G26</f>
        <v>1.021931101407084</v>
      </c>
      <c r="K26" s="22"/>
      <c r="L26" s="216">
        <f>SUM(L7:L25)-SUM(L17:L22)</f>
        <v>32073</v>
      </c>
      <c r="M26" s="20">
        <f>SUM(M7:M25)-SUM(M17:M22)</f>
        <v>973</v>
      </c>
      <c r="N26" s="20">
        <f>SUM(L26:M26)</f>
        <v>33046</v>
      </c>
      <c r="O26" s="1439">
        <f>+N26/L26</f>
        <v>1.0303370436192436</v>
      </c>
      <c r="P26" s="131"/>
      <c r="Q26" s="216">
        <f>SUM(Q7:Q25)-SUM(Q17:Q22)</f>
        <v>11462</v>
      </c>
      <c r="R26" s="20">
        <f>SUM(R7:R25)-SUM(R17:R22)</f>
        <v>166390</v>
      </c>
      <c r="S26" s="20">
        <f>SUM(Q26:R26)</f>
        <v>177852</v>
      </c>
      <c r="T26" s="1439">
        <f>+S26/Q26</f>
        <v>15.516663758506368</v>
      </c>
      <c r="V26" s="216">
        <f>SUM(V7:V25)-SUM(V17:V22)</f>
        <v>10882</v>
      </c>
      <c r="W26" s="20">
        <f>SUM(W7:W25)-SUM(W17:W22)</f>
        <v>818</v>
      </c>
      <c r="X26" s="20">
        <f>SUM(V26:W26)</f>
        <v>11700</v>
      </c>
      <c r="Y26" s="1439">
        <f>+X26/V26</f>
        <v>1.0751700055136924</v>
      </c>
      <c r="Z26" s="131"/>
      <c r="AA26" s="216">
        <f>SUM(AA7:AA25)-SUM(AA17:AA22)</f>
        <v>8628</v>
      </c>
      <c r="AB26" s="20">
        <f>SUM(AB7:AB25)-SUM(AB17:AB22)</f>
        <v>176</v>
      </c>
      <c r="AC26" s="20">
        <f>SUM(AA26:AB26)</f>
        <v>8804</v>
      </c>
      <c r="AD26" s="1439">
        <f>+AC26/AA26</f>
        <v>1.0203987019007881</v>
      </c>
      <c r="AE26" s="131"/>
      <c r="AF26" s="216">
        <f>SUM(AF7:AF25)-SUM(AF17:AF22)</f>
        <v>3430</v>
      </c>
      <c r="AG26" s="20">
        <f>SUM(AG7:AG25)-SUM(AG17:AG22)</f>
        <v>509</v>
      </c>
      <c r="AH26" s="20">
        <f>SUM(AF26:AG26)</f>
        <v>3939</v>
      </c>
      <c r="AI26" s="1439">
        <f>+AH26/AF26</f>
        <v>1.148396501457726</v>
      </c>
      <c r="AJ26" s="131"/>
      <c r="AK26" s="2213">
        <f>SUM(AK6:AK25)-SUM(AK17:AK22)</f>
        <v>88295</v>
      </c>
      <c r="AL26" s="2214">
        <f>SUM(AL6:AL25)-SUM(AL17:AL22)</f>
        <v>169370</v>
      </c>
      <c r="AM26" s="2214">
        <f>SUM(AM6:AM25)-SUM(AM17:AM22)</f>
        <v>257665</v>
      </c>
      <c r="AN26" s="2215">
        <f>+AM26/AK26</f>
        <v>2.9182286652698339</v>
      </c>
    </row>
    <row r="27" spans="1:41" ht="15" customHeight="1">
      <c r="A27" s="1256" t="s">
        <v>26</v>
      </c>
      <c r="B27" s="111"/>
      <c r="C27" s="15"/>
      <c r="D27" s="15"/>
      <c r="E27" s="369"/>
      <c r="G27" s="111"/>
      <c r="H27" s="15"/>
      <c r="I27" s="15"/>
      <c r="J27" s="369"/>
      <c r="L27" s="111"/>
      <c r="M27" s="15"/>
      <c r="N27" s="15"/>
      <c r="O27" s="369"/>
      <c r="Q27" s="111"/>
      <c r="R27" s="15"/>
      <c r="S27" s="15"/>
      <c r="T27" s="369"/>
      <c r="V27" s="111"/>
      <c r="W27" s="15"/>
      <c r="X27" s="15"/>
      <c r="Y27" s="369"/>
      <c r="AA27" s="111"/>
      <c r="AB27" s="15"/>
      <c r="AC27" s="15"/>
      <c r="AD27" s="369"/>
      <c r="AF27" s="111"/>
      <c r="AG27" s="15"/>
      <c r="AH27" s="15"/>
      <c r="AI27" s="369"/>
      <c r="AJ27" s="98"/>
      <c r="AK27" s="2216"/>
      <c r="AL27" s="2201">
        <f t="shared" si="7"/>
        <v>0</v>
      </c>
      <c r="AM27" s="2217"/>
      <c r="AN27" s="2218"/>
    </row>
    <row r="28" spans="1:41" ht="15" customHeight="1">
      <c r="A28" s="135" t="s">
        <v>27</v>
      </c>
      <c r="B28" s="118">
        <f>+[9]SSZ.összesen!B17</f>
        <v>3535</v>
      </c>
      <c r="C28" s="24"/>
      <c r="D28" s="1090">
        <f t="shared" ref="D28:D39" si="13">SUM(B28:C28)</f>
        <v>3535</v>
      </c>
      <c r="E28" s="364">
        <f t="shared" ref="E28:E34" si="14">+D28/B28</f>
        <v>1</v>
      </c>
      <c r="F28" s="2"/>
      <c r="G28" s="118">
        <f>+'[5]bér SSZ'!C17</f>
        <v>6180</v>
      </c>
      <c r="H28" s="24"/>
      <c r="I28" s="1090">
        <f t="shared" ref="I28:I39" si="15">SUM(G28:H28)</f>
        <v>6180</v>
      </c>
      <c r="J28" s="364">
        <f>+I28/G28</f>
        <v>1</v>
      </c>
      <c r="L28" s="118">
        <f>+'[5]bér SSZ'!D17</f>
        <v>20997</v>
      </c>
      <c r="M28" s="24">
        <f>+[3]Seg.Szolgálat!$D$63</f>
        <v>-36</v>
      </c>
      <c r="N28" s="1090">
        <f t="shared" ref="N28:N39" si="16">SUM(L28:M28)</f>
        <v>20961</v>
      </c>
      <c r="O28" s="364">
        <f t="shared" ref="O28:O34" si="17">+N28/L28</f>
        <v>0.99828546935276463</v>
      </c>
      <c r="P28" s="2"/>
      <c r="Q28" s="118">
        <f>+'[5]bér SSZ'!E17</f>
        <v>6589</v>
      </c>
      <c r="R28" s="24"/>
      <c r="S28" s="1090">
        <f t="shared" ref="S28:S39" si="18">SUM(Q28:R28)</f>
        <v>6589</v>
      </c>
      <c r="T28" s="364">
        <f t="shared" ref="T28:T34" si="19">+S28/Q28</f>
        <v>1</v>
      </c>
      <c r="U28" s="2"/>
      <c r="V28" s="118">
        <f>+'[5]bér SSZ'!F17</f>
        <v>5955</v>
      </c>
      <c r="W28" s="24">
        <f>+[3]Seg.Szolgálat!$D$49</f>
        <v>140</v>
      </c>
      <c r="X28" s="1090">
        <f t="shared" ref="X28:X39" si="20">SUM(V28:W28)</f>
        <v>6095</v>
      </c>
      <c r="Y28" s="364">
        <f t="shared" ref="Y28:Y34" si="21">+X28/V28</f>
        <v>1.0235096557514693</v>
      </c>
      <c r="Z28" s="2"/>
      <c r="AA28" s="118">
        <f>+'[5]bér SSZ'!G17</f>
        <v>4295</v>
      </c>
      <c r="AB28" s="24">
        <f>+[3]Seg.Szolgálat!$D$36</f>
        <v>150</v>
      </c>
      <c r="AC28" s="1090">
        <f t="shared" ref="AC28:AC39" si="22">SUM(AA28:AB28)</f>
        <v>4445</v>
      </c>
      <c r="AD28" s="364">
        <f t="shared" ref="AD28:AD35" si="23">+AC28/AA28</f>
        <v>1.0349243306169964</v>
      </c>
      <c r="AE28" s="2"/>
      <c r="AF28" s="111">
        <f>+'[5]bér SSZ'!H17</f>
        <v>1181</v>
      </c>
      <c r="AG28" s="15">
        <f>+[3]Seg.Szolgálat!$D$86</f>
        <v>25</v>
      </c>
      <c r="AH28" s="1090">
        <f t="shared" ref="AH28:AH39" si="24">SUM(AF28:AG28)</f>
        <v>1206</v>
      </c>
      <c r="AI28" s="364">
        <f>+AH28/AF28</f>
        <v>1.0211685012701102</v>
      </c>
      <c r="AJ28" s="2"/>
      <c r="AK28" s="2204">
        <f t="shared" ref="AK28:AK59" si="25">+B28+G28+L28+Q28+V28+AA28+AF28</f>
        <v>48732</v>
      </c>
      <c r="AL28" s="2201">
        <f t="shared" si="7"/>
        <v>279</v>
      </c>
      <c r="AM28" s="2219">
        <f t="shared" ref="AM28:AM39" si="26">SUM(AK28:AL28)</f>
        <v>49011</v>
      </c>
      <c r="AN28" s="2220">
        <f t="shared" ref="AN28:AN35" si="27">+AM28/AK28</f>
        <v>1.0057251908396947</v>
      </c>
    </row>
    <row r="29" spans="1:41" s="368" customFormat="1" ht="15" customHeight="1">
      <c r="A29" s="135" t="s">
        <v>28</v>
      </c>
      <c r="B29" s="118">
        <f>+[9]SSZ.összesen!B18</f>
        <v>240</v>
      </c>
      <c r="C29" s="24"/>
      <c r="D29" s="1090">
        <f t="shared" si="13"/>
        <v>240</v>
      </c>
      <c r="E29" s="364">
        <f t="shared" si="14"/>
        <v>1</v>
      </c>
      <c r="F29" s="2"/>
      <c r="G29" s="118">
        <f>+'[5]bér SSZ'!C18</f>
        <v>0</v>
      </c>
      <c r="H29" s="24"/>
      <c r="I29" s="1090">
        <f t="shared" si="15"/>
        <v>0</v>
      </c>
      <c r="J29" s="364"/>
      <c r="K29" s="2"/>
      <c r="L29" s="118">
        <f>+'[5]bér SSZ'!D18</f>
        <v>240</v>
      </c>
      <c r="M29" s="24"/>
      <c r="N29" s="1090">
        <f t="shared" si="16"/>
        <v>240</v>
      </c>
      <c r="O29" s="364">
        <f t="shared" si="17"/>
        <v>1</v>
      </c>
      <c r="P29" s="2"/>
      <c r="Q29" s="118">
        <f>+'[5]bér SSZ'!E18</f>
        <v>240</v>
      </c>
      <c r="R29" s="24"/>
      <c r="S29" s="1090">
        <f t="shared" si="18"/>
        <v>240</v>
      </c>
      <c r="T29" s="364">
        <f t="shared" si="19"/>
        <v>1</v>
      </c>
      <c r="U29" s="2"/>
      <c r="V29" s="118">
        <f>+'[5]bér SSZ'!F18</f>
        <v>600</v>
      </c>
      <c r="W29" s="24">
        <f>+[3]Seg.Szolgálat!$D$48</f>
        <v>-120</v>
      </c>
      <c r="X29" s="1090">
        <f t="shared" si="20"/>
        <v>480</v>
      </c>
      <c r="Y29" s="364">
        <f t="shared" si="21"/>
        <v>0.8</v>
      </c>
      <c r="Z29" s="2"/>
      <c r="AA29" s="118">
        <f>+'[5]bér SSZ'!G18</f>
        <v>240</v>
      </c>
      <c r="AB29" s="24"/>
      <c r="AC29" s="1090">
        <f t="shared" si="22"/>
        <v>240</v>
      </c>
      <c r="AD29" s="364">
        <f t="shared" si="23"/>
        <v>1</v>
      </c>
      <c r="AE29" s="2"/>
      <c r="AF29" s="111">
        <f>+'[5]bér SSZ'!H18</f>
        <v>0</v>
      </c>
      <c r="AG29" s="24"/>
      <c r="AH29" s="1090">
        <f t="shared" si="24"/>
        <v>0</v>
      </c>
      <c r="AI29" s="364"/>
      <c r="AJ29" s="2"/>
      <c r="AK29" s="2204">
        <f t="shared" si="25"/>
        <v>1560</v>
      </c>
      <c r="AL29" s="2201">
        <f t="shared" si="7"/>
        <v>-120</v>
      </c>
      <c r="AM29" s="2219">
        <f t="shared" si="26"/>
        <v>1440</v>
      </c>
      <c r="AN29" s="2220">
        <f t="shared" si="27"/>
        <v>0.92307692307692313</v>
      </c>
    </row>
    <row r="30" spans="1:41" s="368" customFormat="1" ht="15" customHeight="1">
      <c r="A30" s="135" t="s">
        <v>29</v>
      </c>
      <c r="B30" s="118">
        <f>+[9]SSZ.összesen!B19</f>
        <v>0</v>
      </c>
      <c r="C30" s="24"/>
      <c r="D30" s="1090">
        <f t="shared" si="13"/>
        <v>0</v>
      </c>
      <c r="E30" s="364"/>
      <c r="F30" s="2"/>
      <c r="G30" s="118">
        <f>+'[5]bér SSZ'!C19</f>
        <v>0</v>
      </c>
      <c r="H30" s="24"/>
      <c r="I30" s="1090">
        <f t="shared" si="15"/>
        <v>0</v>
      </c>
      <c r="J30" s="364"/>
      <c r="K30" s="2"/>
      <c r="L30" s="118">
        <f>+'[5]bér SSZ'!D19</f>
        <v>0</v>
      </c>
      <c r="M30" s="24"/>
      <c r="N30" s="1090">
        <f t="shared" si="16"/>
        <v>0</v>
      </c>
      <c r="O30" s="364"/>
      <c r="P30" s="2"/>
      <c r="Q30" s="118">
        <f>+'[5]bér SSZ'!E19</f>
        <v>0</v>
      </c>
      <c r="R30" s="24"/>
      <c r="S30" s="1090">
        <f t="shared" si="18"/>
        <v>0</v>
      </c>
      <c r="T30" s="364"/>
      <c r="U30" s="2"/>
      <c r="V30" s="118">
        <f>+'[5]bér SSZ'!F19</f>
        <v>0</v>
      </c>
      <c r="W30" s="24"/>
      <c r="X30" s="1090">
        <f t="shared" si="20"/>
        <v>0</v>
      </c>
      <c r="Y30" s="364"/>
      <c r="Z30" s="2"/>
      <c r="AA30" s="118">
        <f>+'[5]bér SSZ'!G19</f>
        <v>0</v>
      </c>
      <c r="AB30" s="24"/>
      <c r="AC30" s="1090">
        <f t="shared" si="22"/>
        <v>0</v>
      </c>
      <c r="AD30" s="364"/>
      <c r="AE30" s="2"/>
      <c r="AF30" s="111">
        <f>+'[5]bér SSZ'!H19</f>
        <v>0</v>
      </c>
      <c r="AG30" s="24"/>
      <c r="AH30" s="1090">
        <f t="shared" si="24"/>
        <v>0</v>
      </c>
      <c r="AI30" s="364"/>
      <c r="AJ30" s="2"/>
      <c r="AK30" s="2204">
        <f t="shared" si="25"/>
        <v>0</v>
      </c>
      <c r="AL30" s="2201">
        <f t="shared" si="7"/>
        <v>0</v>
      </c>
      <c r="AM30" s="2219">
        <f t="shared" si="26"/>
        <v>0</v>
      </c>
      <c r="AN30" s="2220"/>
    </row>
    <row r="31" spans="1:41" ht="15" customHeight="1">
      <c r="A31" s="135" t="s">
        <v>30</v>
      </c>
      <c r="B31" s="118">
        <f>+[9]SSZ.összesen!B20</f>
        <v>0</v>
      </c>
      <c r="C31" s="24"/>
      <c r="D31" s="1090">
        <f t="shared" si="13"/>
        <v>0</v>
      </c>
      <c r="E31" s="364"/>
      <c r="F31" s="2"/>
      <c r="G31" s="118">
        <f>+'[5]bér SSZ'!C20</f>
        <v>0</v>
      </c>
      <c r="H31" s="24"/>
      <c r="I31" s="1090">
        <f t="shared" si="15"/>
        <v>0</v>
      </c>
      <c r="J31" s="364"/>
      <c r="L31" s="118">
        <f>+'[5]bér SSZ'!D20</f>
        <v>0</v>
      </c>
      <c r="M31" s="24"/>
      <c r="N31" s="1090">
        <f t="shared" si="16"/>
        <v>0</v>
      </c>
      <c r="O31" s="364"/>
      <c r="P31" s="2"/>
      <c r="Q31" s="118">
        <f>+'[5]bér SSZ'!E20</f>
        <v>0</v>
      </c>
      <c r="R31" s="24"/>
      <c r="S31" s="1090">
        <f t="shared" si="18"/>
        <v>0</v>
      </c>
      <c r="T31" s="364"/>
      <c r="U31" s="2"/>
      <c r="V31" s="118">
        <f>+'[5]bér SSZ'!F20</f>
        <v>0</v>
      </c>
      <c r="W31" s="24"/>
      <c r="X31" s="1090">
        <f t="shared" si="20"/>
        <v>0</v>
      </c>
      <c r="Y31" s="364"/>
      <c r="Z31" s="2"/>
      <c r="AA31" s="118">
        <f>+'[5]bér SSZ'!G20</f>
        <v>0</v>
      </c>
      <c r="AB31" s="24"/>
      <c r="AC31" s="1090">
        <f t="shared" si="22"/>
        <v>0</v>
      </c>
      <c r="AD31" s="364"/>
      <c r="AE31" s="2"/>
      <c r="AF31" s="111">
        <f>+'[5]bér SSZ'!H20</f>
        <v>0</v>
      </c>
      <c r="AG31" s="24"/>
      <c r="AH31" s="1090">
        <f t="shared" si="24"/>
        <v>0</v>
      </c>
      <c r="AI31" s="364"/>
      <c r="AJ31" s="2"/>
      <c r="AK31" s="2204">
        <f t="shared" si="25"/>
        <v>0</v>
      </c>
      <c r="AL31" s="2201">
        <f t="shared" si="7"/>
        <v>0</v>
      </c>
      <c r="AM31" s="2219">
        <f t="shared" si="26"/>
        <v>0</v>
      </c>
      <c r="AN31" s="2220"/>
    </row>
    <row r="32" spans="1:41" s="368" customFormat="1" ht="15" customHeight="1">
      <c r="A32" s="1073" t="s">
        <v>31</v>
      </c>
      <c r="B32" s="365">
        <f>+[9]SSZ.összesen!B21</f>
        <v>3775</v>
      </c>
      <c r="C32" s="353"/>
      <c r="D32" s="1091">
        <f t="shared" si="13"/>
        <v>3775</v>
      </c>
      <c r="E32" s="1662">
        <f t="shared" si="14"/>
        <v>1</v>
      </c>
      <c r="F32" s="367"/>
      <c r="G32" s="365">
        <f>+'[5]bér SSZ'!C21</f>
        <v>6180</v>
      </c>
      <c r="H32" s="353"/>
      <c r="I32" s="1091">
        <f t="shared" si="15"/>
        <v>6180</v>
      </c>
      <c r="J32" s="1662">
        <f>+I32/G32</f>
        <v>1</v>
      </c>
      <c r="K32" s="367"/>
      <c r="L32" s="365">
        <f>+'[5]bér SSZ'!D21</f>
        <v>21237</v>
      </c>
      <c r="M32" s="370">
        <f>SUM(M28:M31)</f>
        <v>-36</v>
      </c>
      <c r="N32" s="1091">
        <f t="shared" si="16"/>
        <v>21201</v>
      </c>
      <c r="O32" s="1662">
        <f t="shared" si="17"/>
        <v>0.99830484531713515</v>
      </c>
      <c r="P32" s="367"/>
      <c r="Q32" s="365">
        <f>+'[5]bér SSZ'!E21</f>
        <v>6829</v>
      </c>
      <c r="R32" s="353"/>
      <c r="S32" s="1091">
        <f t="shared" si="18"/>
        <v>6829</v>
      </c>
      <c r="T32" s="1662">
        <f t="shared" si="19"/>
        <v>1</v>
      </c>
      <c r="U32" s="367"/>
      <c r="V32" s="365">
        <f>SUM(V28:V31)</f>
        <v>6555</v>
      </c>
      <c r="W32" s="353">
        <f>SUM(W28:W31)</f>
        <v>20</v>
      </c>
      <c r="X32" s="1091">
        <f t="shared" si="20"/>
        <v>6575</v>
      </c>
      <c r="Y32" s="1662">
        <f t="shared" si="21"/>
        <v>1.0030511060259344</v>
      </c>
      <c r="Z32" s="367"/>
      <c r="AA32" s="365">
        <f>+'[5]bér SSZ'!G21</f>
        <v>3608</v>
      </c>
      <c r="AB32" s="353">
        <f>SUM(AB28:AB31)</f>
        <v>150</v>
      </c>
      <c r="AC32" s="1091">
        <f t="shared" si="22"/>
        <v>3758</v>
      </c>
      <c r="AD32" s="1662">
        <f t="shared" si="23"/>
        <v>1.0415742793791574</v>
      </c>
      <c r="AE32" s="367"/>
      <c r="AF32" s="915">
        <f>SUM(AF28:AF31)</f>
        <v>1181</v>
      </c>
      <c r="AG32" s="370">
        <f>SUM(AG28:AG31)</f>
        <v>25</v>
      </c>
      <c r="AH32" s="1091">
        <f t="shared" si="24"/>
        <v>1206</v>
      </c>
      <c r="AI32" s="1662">
        <f>+AH32/AF32</f>
        <v>1.0211685012701102</v>
      </c>
      <c r="AJ32" s="367"/>
      <c r="AK32" s="2205">
        <f t="shared" si="25"/>
        <v>49365</v>
      </c>
      <c r="AL32" s="2206">
        <f t="shared" si="7"/>
        <v>159</v>
      </c>
      <c r="AM32" s="2221">
        <f t="shared" si="26"/>
        <v>49524</v>
      </c>
      <c r="AN32" s="2222">
        <f t="shared" si="27"/>
        <v>1.003220905499848</v>
      </c>
    </row>
    <row r="33" spans="1:40" s="368" customFormat="1" ht="15" customHeight="1">
      <c r="A33" s="1034" t="s">
        <v>32</v>
      </c>
      <c r="B33" s="365">
        <f>+[9]SSZ.összesen!B22</f>
        <v>0</v>
      </c>
      <c r="C33" s="371"/>
      <c r="D33" s="1092">
        <f t="shared" si="13"/>
        <v>0</v>
      </c>
      <c r="E33" s="1662"/>
      <c r="F33" s="367"/>
      <c r="G33" s="365">
        <f>+'[5]bér SSZ'!C22</f>
        <v>0</v>
      </c>
      <c r="H33" s="371"/>
      <c r="I33" s="1092">
        <f t="shared" si="15"/>
        <v>0</v>
      </c>
      <c r="J33" s="1662"/>
      <c r="K33" s="367"/>
      <c r="L33" s="365">
        <f>+'[5]bér SSZ'!D22</f>
        <v>0</v>
      </c>
      <c r="M33" s="371"/>
      <c r="N33" s="1092">
        <f t="shared" si="16"/>
        <v>0</v>
      </c>
      <c r="O33" s="1662"/>
      <c r="P33" s="367"/>
      <c r="Q33" s="365">
        <f>+'[5]bér SSZ'!E22</f>
        <v>0</v>
      </c>
      <c r="R33" s="371"/>
      <c r="S33" s="1092">
        <f t="shared" si="18"/>
        <v>0</v>
      </c>
      <c r="T33" s="1662"/>
      <c r="U33" s="367"/>
      <c r="V33" s="365">
        <f>+'[5]bér SSZ'!F22</f>
        <v>0</v>
      </c>
      <c r="W33" s="371"/>
      <c r="X33" s="1092">
        <f t="shared" si="20"/>
        <v>0</v>
      </c>
      <c r="Y33" s="1662"/>
      <c r="Z33" s="367"/>
      <c r="AA33" s="365">
        <f>+'[5]bér SSZ'!G22</f>
        <v>926</v>
      </c>
      <c r="AB33" s="371"/>
      <c r="AC33" s="1092">
        <f t="shared" si="22"/>
        <v>926</v>
      </c>
      <c r="AD33" s="1662">
        <f t="shared" si="23"/>
        <v>1</v>
      </c>
      <c r="AE33" s="367"/>
      <c r="AF33" s="915">
        <f>+'[5]bér SSZ'!H22</f>
        <v>0</v>
      </c>
      <c r="AG33" s="371"/>
      <c r="AH33" s="1092">
        <f t="shared" si="24"/>
        <v>0</v>
      </c>
      <c r="AI33" s="1662"/>
      <c r="AJ33" s="367"/>
      <c r="AK33" s="2223">
        <f t="shared" si="25"/>
        <v>926</v>
      </c>
      <c r="AL33" s="2224">
        <f t="shared" si="7"/>
        <v>0</v>
      </c>
      <c r="AM33" s="2225">
        <f t="shared" si="26"/>
        <v>926</v>
      </c>
      <c r="AN33" s="2222">
        <f t="shared" si="27"/>
        <v>1</v>
      </c>
    </row>
    <row r="34" spans="1:40" ht="15" customHeight="1">
      <c r="A34" s="1036" t="s">
        <v>33</v>
      </c>
      <c r="B34" s="374">
        <f>SUM(B32:B33)</f>
        <v>3775</v>
      </c>
      <c r="C34" s="18">
        <f>SUM(C32:C33)</f>
        <v>0</v>
      </c>
      <c r="D34" s="1093">
        <f t="shared" si="13"/>
        <v>3775</v>
      </c>
      <c r="E34" s="375">
        <f t="shared" si="14"/>
        <v>1</v>
      </c>
      <c r="F34" s="2"/>
      <c r="G34" s="374">
        <f>SUM(G32:G33)</f>
        <v>6180</v>
      </c>
      <c r="H34" s="18"/>
      <c r="I34" s="1093">
        <f t="shared" si="15"/>
        <v>6180</v>
      </c>
      <c r="J34" s="375">
        <f>+I34/G34</f>
        <v>1</v>
      </c>
      <c r="L34" s="374">
        <f>SUM(L32:L33)</f>
        <v>21237</v>
      </c>
      <c r="M34" s="18">
        <f>SUM(M32:M33)</f>
        <v>-36</v>
      </c>
      <c r="N34" s="1093">
        <f t="shared" si="16"/>
        <v>21201</v>
      </c>
      <c r="O34" s="375">
        <f t="shared" si="17"/>
        <v>0.99830484531713515</v>
      </c>
      <c r="P34" s="2"/>
      <c r="Q34" s="374">
        <f>SUM(Q32:Q33)</f>
        <v>6829</v>
      </c>
      <c r="R34" s="18"/>
      <c r="S34" s="1093">
        <f t="shared" si="18"/>
        <v>6829</v>
      </c>
      <c r="T34" s="375">
        <f t="shared" si="19"/>
        <v>1</v>
      </c>
      <c r="U34" s="2"/>
      <c r="V34" s="374">
        <f>SUM(V32:V33)</f>
        <v>6555</v>
      </c>
      <c r="W34" s="18">
        <f>SUM(W32:W33)</f>
        <v>20</v>
      </c>
      <c r="X34" s="1093">
        <f t="shared" si="20"/>
        <v>6575</v>
      </c>
      <c r="Y34" s="375">
        <f t="shared" si="21"/>
        <v>1.0030511060259344</v>
      </c>
      <c r="Z34" s="2"/>
      <c r="AA34" s="374">
        <f>SUM(AA32:AA33)</f>
        <v>4534</v>
      </c>
      <c r="AB34" s="18">
        <f>SUM(AB32:AB33)</f>
        <v>150</v>
      </c>
      <c r="AC34" s="1093">
        <f t="shared" si="22"/>
        <v>4684</v>
      </c>
      <c r="AD34" s="375">
        <f t="shared" si="23"/>
        <v>1.0330833700926334</v>
      </c>
      <c r="AE34" s="2"/>
      <c r="AF34" s="374">
        <f>SUM(AF32:AF33)</f>
        <v>1181</v>
      </c>
      <c r="AG34" s="18">
        <f>SUM(AG32:AG33)</f>
        <v>25</v>
      </c>
      <c r="AH34" s="1093">
        <f t="shared" si="24"/>
        <v>1206</v>
      </c>
      <c r="AI34" s="375">
        <f>+AH34/AF34</f>
        <v>1.0211685012701102</v>
      </c>
      <c r="AJ34" s="2"/>
      <c r="AK34" s="2226">
        <f t="shared" si="25"/>
        <v>50291</v>
      </c>
      <c r="AL34" s="2227">
        <f t="shared" si="7"/>
        <v>159</v>
      </c>
      <c r="AM34" s="2228">
        <f t="shared" si="26"/>
        <v>50450</v>
      </c>
      <c r="AN34" s="2229">
        <f t="shared" si="27"/>
        <v>1.0031615994909626</v>
      </c>
    </row>
    <row r="35" spans="1:40" ht="15" customHeight="1">
      <c r="A35" s="1074" t="s">
        <v>34</v>
      </c>
      <c r="B35" s="111">
        <f>+'[5]bér SSZ'!B24</f>
        <v>0</v>
      </c>
      <c r="C35" s="15"/>
      <c r="D35" s="1094">
        <f t="shared" si="13"/>
        <v>0</v>
      </c>
      <c r="E35" s="369"/>
      <c r="F35" s="2"/>
      <c r="G35" s="118">
        <f>+'[5]bér SSZ'!C24</f>
        <v>0</v>
      </c>
      <c r="H35" s="15"/>
      <c r="I35" s="1094">
        <f t="shared" si="15"/>
        <v>0</v>
      </c>
      <c r="J35" s="369"/>
      <c r="L35" s="111">
        <f>+'[5]bér SSZ'!D24</f>
        <v>0</v>
      </c>
      <c r="M35" s="15"/>
      <c r="N35" s="1094">
        <f t="shared" si="16"/>
        <v>0</v>
      </c>
      <c r="O35" s="369"/>
      <c r="P35" s="2"/>
      <c r="Q35" s="111">
        <f>+'[5]bér SSZ'!E24</f>
        <v>0</v>
      </c>
      <c r="R35" s="15"/>
      <c r="S35" s="1094">
        <f t="shared" si="18"/>
        <v>0</v>
      </c>
      <c r="T35" s="369"/>
      <c r="U35" s="2"/>
      <c r="V35" s="111">
        <f>+'[5]bér SSZ'!F24</f>
        <v>0</v>
      </c>
      <c r="W35" s="15"/>
      <c r="X35" s="1094">
        <f t="shared" si="20"/>
        <v>0</v>
      </c>
      <c r="Y35" s="369"/>
      <c r="Z35" s="2"/>
      <c r="AA35" s="111">
        <f>+'[5]bér SSZ'!G24</f>
        <v>183</v>
      </c>
      <c r="AB35" s="15">
        <f>+[3]Seg.Szolgálat!$D$23</f>
        <v>0</v>
      </c>
      <c r="AC35" s="1094">
        <f t="shared" si="22"/>
        <v>183</v>
      </c>
      <c r="AD35" s="369">
        <f t="shared" si="23"/>
        <v>1</v>
      </c>
      <c r="AE35" s="2"/>
      <c r="AF35" s="111">
        <f>+'[5]bér SSZ'!H24</f>
        <v>0</v>
      </c>
      <c r="AG35" s="15"/>
      <c r="AH35" s="1094">
        <f t="shared" si="24"/>
        <v>0</v>
      </c>
      <c r="AI35" s="369"/>
      <c r="AJ35" s="2"/>
      <c r="AK35" s="2216">
        <f t="shared" si="25"/>
        <v>183</v>
      </c>
      <c r="AL35" s="2230">
        <f t="shared" si="7"/>
        <v>0</v>
      </c>
      <c r="AM35" s="2231">
        <f t="shared" si="26"/>
        <v>183</v>
      </c>
      <c r="AN35" s="2218">
        <f t="shared" si="27"/>
        <v>1</v>
      </c>
    </row>
    <row r="36" spans="1:40" ht="15" customHeight="1">
      <c r="A36" s="135" t="s">
        <v>35</v>
      </c>
      <c r="B36" s="111">
        <f>+'[5]bér SSZ'!B25</f>
        <v>0</v>
      </c>
      <c r="C36" s="24"/>
      <c r="D36" s="1090">
        <f t="shared" si="13"/>
        <v>0</v>
      </c>
      <c r="E36" s="369"/>
      <c r="F36" s="2"/>
      <c r="G36" s="118">
        <f>+'[5]bér SSZ'!C25</f>
        <v>0</v>
      </c>
      <c r="H36" s="24"/>
      <c r="I36" s="1090">
        <f t="shared" si="15"/>
        <v>0</v>
      </c>
      <c r="J36" s="369"/>
      <c r="L36" s="111">
        <f>+'[5]bér SSZ'!D25</f>
        <v>0</v>
      </c>
      <c r="M36" s="24"/>
      <c r="N36" s="1090">
        <f t="shared" si="16"/>
        <v>0</v>
      </c>
      <c r="O36" s="369"/>
      <c r="P36" s="2"/>
      <c r="Q36" s="111">
        <f>+'[5]bér SSZ'!E25</f>
        <v>0</v>
      </c>
      <c r="R36" s="24"/>
      <c r="S36" s="1090">
        <f t="shared" si="18"/>
        <v>0</v>
      </c>
      <c r="T36" s="369"/>
      <c r="U36" s="2"/>
      <c r="V36" s="111">
        <f>+'[5]bér SSZ'!F25</f>
        <v>0</v>
      </c>
      <c r="W36" s="24"/>
      <c r="X36" s="1090">
        <f t="shared" si="20"/>
        <v>0</v>
      </c>
      <c r="Y36" s="369"/>
      <c r="Z36" s="2"/>
      <c r="AA36" s="111">
        <f>+'[5]bér SSZ'!G25</f>
        <v>0</v>
      </c>
      <c r="AB36" s="24"/>
      <c r="AC36" s="1090">
        <f t="shared" si="22"/>
        <v>0</v>
      </c>
      <c r="AD36" s="369"/>
      <c r="AE36" s="2"/>
      <c r="AF36" s="111">
        <f>+'[5]bér SSZ'!H25</f>
        <v>0</v>
      </c>
      <c r="AG36" s="15"/>
      <c r="AH36" s="1090">
        <f t="shared" si="24"/>
        <v>0</v>
      </c>
      <c r="AI36" s="369"/>
      <c r="AJ36" s="2"/>
      <c r="AK36" s="2204">
        <f t="shared" si="25"/>
        <v>0</v>
      </c>
      <c r="AL36" s="2201">
        <f t="shared" si="7"/>
        <v>0</v>
      </c>
      <c r="AM36" s="2219">
        <f t="shared" si="26"/>
        <v>0</v>
      </c>
      <c r="AN36" s="2218"/>
    </row>
    <row r="37" spans="1:40" s="368" customFormat="1" ht="15" customHeight="1">
      <c r="A37" s="135" t="s">
        <v>36</v>
      </c>
      <c r="B37" s="111">
        <f>+'[5]bér SSZ'!B26</f>
        <v>0</v>
      </c>
      <c r="C37" s="24"/>
      <c r="D37" s="1090">
        <f t="shared" si="13"/>
        <v>0</v>
      </c>
      <c r="E37" s="369"/>
      <c r="F37" s="2"/>
      <c r="G37" s="118">
        <f>+'[5]bér SSZ'!C26</f>
        <v>0</v>
      </c>
      <c r="H37" s="24"/>
      <c r="I37" s="1090">
        <f t="shared" si="15"/>
        <v>0</v>
      </c>
      <c r="J37" s="369"/>
      <c r="K37" s="2"/>
      <c r="L37" s="111">
        <f>+'[5]bér SSZ'!D26</f>
        <v>100</v>
      </c>
      <c r="M37" s="24"/>
      <c r="N37" s="1090">
        <f t="shared" si="16"/>
        <v>100</v>
      </c>
      <c r="O37" s="369">
        <f t="shared" ref="O37:O99" si="28">+N37/L37</f>
        <v>1</v>
      </c>
      <c r="P37" s="2"/>
      <c r="Q37" s="111">
        <f>+'[5]bér SSZ'!E26</f>
        <v>70</v>
      </c>
      <c r="R37" s="24"/>
      <c r="S37" s="1090">
        <f t="shared" si="18"/>
        <v>70</v>
      </c>
      <c r="T37" s="369">
        <f t="shared" ref="T37:T99" si="29">+S37/Q37</f>
        <v>1</v>
      </c>
      <c r="U37" s="2"/>
      <c r="V37" s="111">
        <f>+'[5]bér SSZ'!F26</f>
        <v>50</v>
      </c>
      <c r="W37" s="24">
        <f>+[3]Seg.Szolgálat!$D$51</f>
        <v>27</v>
      </c>
      <c r="X37" s="1090">
        <f t="shared" si="20"/>
        <v>77</v>
      </c>
      <c r="Y37" s="369">
        <f t="shared" ref="Y37:Y99" si="30">+X37/V37</f>
        <v>1.54</v>
      </c>
      <c r="Z37" s="2"/>
      <c r="AA37" s="111">
        <f>+'[5]bér SSZ'!G26</f>
        <v>0</v>
      </c>
      <c r="AB37" s="24"/>
      <c r="AC37" s="1090">
        <f t="shared" si="22"/>
        <v>0</v>
      </c>
      <c r="AD37" s="369"/>
      <c r="AE37" s="2"/>
      <c r="AF37" s="111">
        <f>+'[5]bér SSZ'!H26</f>
        <v>0</v>
      </c>
      <c r="AG37" s="15"/>
      <c r="AH37" s="1090">
        <f t="shared" si="24"/>
        <v>0</v>
      </c>
      <c r="AI37" s="369"/>
      <c r="AJ37" s="2"/>
      <c r="AK37" s="2204">
        <f t="shared" si="25"/>
        <v>220</v>
      </c>
      <c r="AL37" s="2201">
        <f t="shared" si="7"/>
        <v>27</v>
      </c>
      <c r="AM37" s="2219">
        <f t="shared" si="26"/>
        <v>247</v>
      </c>
      <c r="AN37" s="2218">
        <f t="shared" ref="AN37:AN99" si="31">+AM37/AK37</f>
        <v>1.1227272727272728</v>
      </c>
    </row>
    <row r="38" spans="1:40" s="368" customFormat="1" ht="15" customHeight="1">
      <c r="A38" s="135" t="s">
        <v>37</v>
      </c>
      <c r="B38" s="111">
        <f>+'[5]bér SSZ'!B27</f>
        <v>0</v>
      </c>
      <c r="C38" s="24"/>
      <c r="D38" s="1090">
        <f t="shared" si="13"/>
        <v>0</v>
      </c>
      <c r="E38" s="369"/>
      <c r="F38" s="2"/>
      <c r="G38" s="118">
        <f>+'[5]bér SSZ'!C27</f>
        <v>0</v>
      </c>
      <c r="H38" s="24"/>
      <c r="I38" s="1090">
        <f t="shared" si="15"/>
        <v>0</v>
      </c>
      <c r="J38" s="369"/>
      <c r="K38" s="2"/>
      <c r="L38" s="111">
        <f>+'[5]bér SSZ'!D27</f>
        <v>0</v>
      </c>
      <c r="M38" s="24"/>
      <c r="N38" s="1090">
        <f t="shared" si="16"/>
        <v>0</v>
      </c>
      <c r="O38" s="369"/>
      <c r="P38" s="2"/>
      <c r="Q38" s="111">
        <f>+'[5]bér SSZ'!E27</f>
        <v>0</v>
      </c>
      <c r="R38" s="24"/>
      <c r="S38" s="1090">
        <f t="shared" si="18"/>
        <v>0</v>
      </c>
      <c r="T38" s="369"/>
      <c r="U38" s="2"/>
      <c r="V38" s="111">
        <f>+'[5]bér SSZ'!F27</f>
        <v>0</v>
      </c>
      <c r="W38" s="24"/>
      <c r="X38" s="1090">
        <f t="shared" si="20"/>
        <v>0</v>
      </c>
      <c r="Y38" s="369"/>
      <c r="Z38" s="2"/>
      <c r="AA38" s="111">
        <f>+'[5]bér SSZ'!G27</f>
        <v>0</v>
      </c>
      <c r="AB38" s="24"/>
      <c r="AC38" s="1090">
        <f t="shared" si="22"/>
        <v>0</v>
      </c>
      <c r="AD38" s="369"/>
      <c r="AE38" s="2"/>
      <c r="AF38" s="111">
        <f>+'[5]bér SSZ'!H27</f>
        <v>0</v>
      </c>
      <c r="AG38" s="15"/>
      <c r="AH38" s="1090">
        <f t="shared" si="24"/>
        <v>0</v>
      </c>
      <c r="AI38" s="369"/>
      <c r="AJ38" s="2"/>
      <c r="AK38" s="2204">
        <f t="shared" si="25"/>
        <v>0</v>
      </c>
      <c r="AL38" s="2201">
        <f t="shared" si="7"/>
        <v>0</v>
      </c>
      <c r="AM38" s="2219">
        <f t="shared" si="26"/>
        <v>0</v>
      </c>
      <c r="AN38" s="2218"/>
    </row>
    <row r="39" spans="1:40" ht="15" customHeight="1">
      <c r="A39" s="135" t="s">
        <v>38</v>
      </c>
      <c r="B39" s="111">
        <f>+'[5]bér SSZ'!B28</f>
        <v>0</v>
      </c>
      <c r="C39" s="24"/>
      <c r="D39" s="24">
        <f t="shared" si="13"/>
        <v>0</v>
      </c>
      <c r="E39" s="369"/>
      <c r="F39" s="2"/>
      <c r="G39" s="118">
        <f>+'[5]bér SSZ'!C28</f>
        <v>0</v>
      </c>
      <c r="H39" s="24"/>
      <c r="I39" s="24">
        <f t="shared" si="15"/>
        <v>0</v>
      </c>
      <c r="J39" s="369"/>
      <c r="L39" s="111">
        <f>+'[5]bér SSZ'!D28</f>
        <v>0</v>
      </c>
      <c r="M39" s="24"/>
      <c r="N39" s="24">
        <f t="shared" si="16"/>
        <v>0</v>
      </c>
      <c r="O39" s="369"/>
      <c r="P39" s="2"/>
      <c r="Q39" s="111">
        <f>+'[5]bér SSZ'!E28</f>
        <v>0</v>
      </c>
      <c r="R39" s="24"/>
      <c r="S39" s="24">
        <f t="shared" si="18"/>
        <v>0</v>
      </c>
      <c r="T39" s="369"/>
      <c r="U39" s="2"/>
      <c r="V39" s="111">
        <f>+'[5]bér SSZ'!F28</f>
        <v>0</v>
      </c>
      <c r="W39" s="24">
        <f>+[3]Seg.Szolgálat!$D$50</f>
        <v>30</v>
      </c>
      <c r="X39" s="24">
        <f t="shared" si="20"/>
        <v>30</v>
      </c>
      <c r="Y39" s="369"/>
      <c r="Z39" s="2"/>
      <c r="AA39" s="111">
        <f>+'[5]bér SSZ'!G28</f>
        <v>0</v>
      </c>
      <c r="AB39" s="24">
        <f>+[3]Seg.Szolgálat!$D$35</f>
        <v>-150</v>
      </c>
      <c r="AC39" s="24">
        <f t="shared" si="22"/>
        <v>-150</v>
      </c>
      <c r="AD39" s="369"/>
      <c r="AE39" s="2"/>
      <c r="AF39" s="111">
        <f>+'[5]bér SSZ'!H28</f>
        <v>0</v>
      </c>
      <c r="AG39" s="15"/>
      <c r="AH39" s="24">
        <f t="shared" si="24"/>
        <v>0</v>
      </c>
      <c r="AI39" s="369"/>
      <c r="AJ39" s="2"/>
      <c r="AK39" s="2204">
        <f t="shared" si="25"/>
        <v>0</v>
      </c>
      <c r="AL39" s="2201">
        <f t="shared" si="7"/>
        <v>-120</v>
      </c>
      <c r="AM39" s="2232">
        <f t="shared" si="26"/>
        <v>-120</v>
      </c>
      <c r="AN39" s="2218"/>
    </row>
    <row r="40" spans="1:40" s="368" customFormat="1" ht="15" customHeight="1">
      <c r="A40" s="1073" t="s">
        <v>39</v>
      </c>
      <c r="B40" s="915">
        <f>+'[5]bér SSZ'!B29</f>
        <v>0</v>
      </c>
      <c r="C40" s="353"/>
      <c r="D40" s="353">
        <f>SUM(D35:D39)</f>
        <v>0</v>
      </c>
      <c r="E40" s="1660"/>
      <c r="F40" s="367"/>
      <c r="G40" s="365">
        <f>+'[5]bér SSZ'!C29</f>
        <v>0</v>
      </c>
      <c r="H40" s="353"/>
      <c r="I40" s="353">
        <f>SUM(I35:I39)</f>
        <v>0</v>
      </c>
      <c r="J40" s="1660"/>
      <c r="K40" s="367"/>
      <c r="L40" s="915">
        <f>+'[5]bér SSZ'!D29</f>
        <v>100</v>
      </c>
      <c r="M40" s="353"/>
      <c r="N40" s="353">
        <f>SUM(N35:N39)</f>
        <v>100</v>
      </c>
      <c r="O40" s="1660">
        <f t="shared" si="28"/>
        <v>1</v>
      </c>
      <c r="P40" s="367"/>
      <c r="Q40" s="915">
        <f>+'[5]bér SSZ'!E29</f>
        <v>70</v>
      </c>
      <c r="R40" s="353"/>
      <c r="S40" s="353">
        <f>SUM(S35:S39)</f>
        <v>70</v>
      </c>
      <c r="T40" s="1660">
        <f t="shared" si="29"/>
        <v>1</v>
      </c>
      <c r="U40" s="367"/>
      <c r="V40" s="915">
        <f>SUM(V35:V39)</f>
        <v>50</v>
      </c>
      <c r="W40" s="370">
        <f>SUM(W35:W39)</f>
        <v>57</v>
      </c>
      <c r="X40" s="353">
        <f>SUM(X35:X39)</f>
        <v>107</v>
      </c>
      <c r="Y40" s="1660">
        <f t="shared" si="30"/>
        <v>2.14</v>
      </c>
      <c r="Z40" s="367"/>
      <c r="AA40" s="915">
        <f>+'[5]bér SSZ'!G29</f>
        <v>183</v>
      </c>
      <c r="AB40" s="353">
        <f>SUM(AB35:AB39)</f>
        <v>-150</v>
      </c>
      <c r="AC40" s="353">
        <f>SUM(AC35:AC39)</f>
        <v>33</v>
      </c>
      <c r="AD40" s="1660">
        <f t="shared" ref="AD40:AD99" si="32">+AC40/AA40</f>
        <v>0.18032786885245902</v>
      </c>
      <c r="AE40" s="367"/>
      <c r="AF40" s="915">
        <f>+'[5]bér SSZ'!H29</f>
        <v>0</v>
      </c>
      <c r="AG40" s="370"/>
      <c r="AH40" s="353">
        <f>SUM(AH35:AH39)</f>
        <v>0</v>
      </c>
      <c r="AI40" s="1660"/>
      <c r="AJ40" s="367"/>
      <c r="AK40" s="2205">
        <f t="shared" si="25"/>
        <v>403</v>
      </c>
      <c r="AL40" s="2206">
        <f t="shared" si="7"/>
        <v>-93</v>
      </c>
      <c r="AM40" s="2233">
        <f>SUM(AM35:AM39)</f>
        <v>310</v>
      </c>
      <c r="AN40" s="2234"/>
    </row>
    <row r="41" spans="1:40" s="368" customFormat="1" ht="15" customHeight="1">
      <c r="A41" s="1034" t="s">
        <v>40</v>
      </c>
      <c r="B41" s="1239">
        <f>+'[5]bér SSZ'!B30</f>
        <v>0</v>
      </c>
      <c r="C41" s="371"/>
      <c r="D41" s="1092">
        <v>0</v>
      </c>
      <c r="E41" s="1661"/>
      <c r="F41" s="367"/>
      <c r="G41" s="372">
        <f>+[10]SSZ.összesen!C30</f>
        <v>0</v>
      </c>
      <c r="H41" s="371"/>
      <c r="I41" s="1092">
        <v>0</v>
      </c>
      <c r="J41" s="1661"/>
      <c r="K41" s="367"/>
      <c r="L41" s="1239">
        <f>+'[5]bér SSZ'!D30</f>
        <v>0</v>
      </c>
      <c r="M41" s="371"/>
      <c r="N41" s="1092">
        <v>0</v>
      </c>
      <c r="O41" s="1661"/>
      <c r="P41" s="367"/>
      <c r="Q41" s="1239">
        <f>+'[5]bér SSZ'!E30</f>
        <v>0</v>
      </c>
      <c r="R41" s="371"/>
      <c r="S41" s="1092">
        <v>0</v>
      </c>
      <c r="T41" s="1661"/>
      <c r="U41" s="367"/>
      <c r="V41" s="1239">
        <f>+'[5]bér SSZ'!F30</f>
        <v>0</v>
      </c>
      <c r="W41" s="371">
        <v>0</v>
      </c>
      <c r="X41" s="1092">
        <v>0</v>
      </c>
      <c r="Y41" s="1661"/>
      <c r="Z41" s="367"/>
      <c r="AA41" s="1239">
        <f>+'[5]bér SSZ'!G30</f>
        <v>0</v>
      </c>
      <c r="AB41" s="371"/>
      <c r="AC41" s="1092">
        <v>0</v>
      </c>
      <c r="AD41" s="1661"/>
      <c r="AE41" s="367"/>
      <c r="AF41" s="1239">
        <f>+'[5]bér SSZ'!H30</f>
        <v>0</v>
      </c>
      <c r="AG41" s="373"/>
      <c r="AH41" s="1092">
        <v>0</v>
      </c>
      <c r="AI41" s="1661"/>
      <c r="AJ41" s="367"/>
      <c r="AK41" s="2223">
        <f t="shared" si="25"/>
        <v>0</v>
      </c>
      <c r="AL41" s="2224">
        <f t="shared" si="7"/>
        <v>0</v>
      </c>
      <c r="AM41" s="2225">
        <v>0</v>
      </c>
      <c r="AN41" s="2235"/>
    </row>
    <row r="42" spans="1:40" ht="14.45" customHeight="1">
      <c r="A42" s="1036" t="s">
        <v>41</v>
      </c>
      <c r="B42" s="374">
        <f>SUM(B35:B41)</f>
        <v>0</v>
      </c>
      <c r="C42" s="18">
        <f>SUM(C35:C41)</f>
        <v>0</v>
      </c>
      <c r="D42" s="1093">
        <f t="shared" ref="D42:D61" si="33">SUM(B42:C42)</f>
        <v>0</v>
      </c>
      <c r="E42" s="375"/>
      <c r="F42" s="2"/>
      <c r="G42" s="374">
        <f>SUM(G35:G41)</f>
        <v>0</v>
      </c>
      <c r="H42" s="18"/>
      <c r="I42" s="1093">
        <f t="shared" ref="I42:I61" si="34">SUM(G42:H42)</f>
        <v>0</v>
      </c>
      <c r="J42" s="375"/>
      <c r="L42" s="374">
        <f>SUM(L40:L41)</f>
        <v>100</v>
      </c>
      <c r="M42" s="18"/>
      <c r="N42" s="1093">
        <f t="shared" ref="N42:N61" si="35">SUM(L42:M42)</f>
        <v>100</v>
      </c>
      <c r="O42" s="375">
        <f t="shared" si="28"/>
        <v>1</v>
      </c>
      <c r="P42" s="2"/>
      <c r="Q42" s="374">
        <f>SUM(Q40:Q41)</f>
        <v>70</v>
      </c>
      <c r="R42" s="18"/>
      <c r="S42" s="1093">
        <f t="shared" ref="S42:S61" si="36">SUM(Q42:R42)</f>
        <v>70</v>
      </c>
      <c r="T42" s="375">
        <f t="shared" si="29"/>
        <v>1</v>
      </c>
      <c r="U42" s="2"/>
      <c r="V42" s="374">
        <f>SUM(V40:V41)</f>
        <v>50</v>
      </c>
      <c r="W42" s="18">
        <f>SUM(W40:W41)</f>
        <v>57</v>
      </c>
      <c r="X42" s="1093">
        <f t="shared" ref="X42:X61" si="37">SUM(V42:W42)</f>
        <v>107</v>
      </c>
      <c r="Y42" s="375">
        <f t="shared" si="30"/>
        <v>2.14</v>
      </c>
      <c r="Z42" s="2"/>
      <c r="AA42" s="374">
        <f>SUM(AA40:AA41)</f>
        <v>183</v>
      </c>
      <c r="AB42" s="18">
        <f>SUM(AB40:AB41)</f>
        <v>-150</v>
      </c>
      <c r="AC42" s="1093">
        <f t="shared" ref="AC42:AC61" si="38">SUM(AA42:AB42)</f>
        <v>33</v>
      </c>
      <c r="AD42" s="375">
        <f t="shared" si="32"/>
        <v>0.18032786885245902</v>
      </c>
      <c r="AE42" s="2"/>
      <c r="AF42" s="374">
        <f>SUM(AF40:AF41)</f>
        <v>0</v>
      </c>
      <c r="AG42" s="18"/>
      <c r="AH42" s="1093">
        <f t="shared" ref="AH42:AH61" si="39">SUM(AF42:AG42)</f>
        <v>0</v>
      </c>
      <c r="AI42" s="375"/>
      <c r="AJ42" s="2"/>
      <c r="AK42" s="2226">
        <f t="shared" si="25"/>
        <v>403</v>
      </c>
      <c r="AL42" s="2227">
        <f t="shared" si="7"/>
        <v>-93</v>
      </c>
      <c r="AM42" s="2228">
        <f t="shared" ref="AM42:AM61" si="40">SUM(AK42:AL42)</f>
        <v>310</v>
      </c>
      <c r="AN42" s="2229">
        <f t="shared" si="31"/>
        <v>0.76923076923076927</v>
      </c>
    </row>
    <row r="43" spans="1:40" ht="14.45" customHeight="1">
      <c r="A43" s="1074" t="s">
        <v>42</v>
      </c>
      <c r="B43" s="111">
        <f>+'[5]bér SSZ'!B32-75</f>
        <v>0</v>
      </c>
      <c r="C43" s="15"/>
      <c r="D43" s="1094">
        <f t="shared" si="33"/>
        <v>0</v>
      </c>
      <c r="E43" s="369"/>
      <c r="F43" s="2"/>
      <c r="G43" s="111">
        <f>+'[5]bér SSZ'!C32-124</f>
        <v>0</v>
      </c>
      <c r="H43" s="15"/>
      <c r="I43" s="1094">
        <f t="shared" si="34"/>
        <v>0</v>
      </c>
      <c r="J43" s="369"/>
      <c r="L43" s="111">
        <f>+'[5]bér SSZ'!D32-425</f>
        <v>0</v>
      </c>
      <c r="M43" s="15"/>
      <c r="N43" s="1094">
        <f t="shared" si="35"/>
        <v>0</v>
      </c>
      <c r="O43" s="369"/>
      <c r="P43" s="2"/>
      <c r="Q43" s="111">
        <f>+'[5]bér SSZ'!E32-137</f>
        <v>0</v>
      </c>
      <c r="R43" s="15"/>
      <c r="S43" s="1094">
        <f t="shared" si="36"/>
        <v>0</v>
      </c>
      <c r="T43" s="369"/>
      <c r="U43" s="2"/>
      <c r="V43" s="111">
        <f>+'[5]bér SSZ'!F32-131</f>
        <v>0</v>
      </c>
      <c r="W43" s="15"/>
      <c r="X43" s="1094">
        <f t="shared" si="37"/>
        <v>0</v>
      </c>
      <c r="Y43" s="369"/>
      <c r="Z43" s="2"/>
      <c r="AA43" s="111">
        <f>+'[5]bér SSZ'!G32-91</f>
        <v>0</v>
      </c>
      <c r="AB43" s="15"/>
      <c r="AC43" s="1094">
        <f t="shared" si="38"/>
        <v>0</v>
      </c>
      <c r="AD43" s="369"/>
      <c r="AE43" s="2"/>
      <c r="AF43" s="111">
        <f>+'[5]bér SSZ'!H32-24</f>
        <v>0</v>
      </c>
      <c r="AG43" s="15"/>
      <c r="AH43" s="1094">
        <f t="shared" si="39"/>
        <v>0</v>
      </c>
      <c r="AI43" s="369"/>
      <c r="AJ43" s="2"/>
      <c r="AK43" s="2216">
        <f t="shared" si="25"/>
        <v>0</v>
      </c>
      <c r="AL43" s="2230">
        <f t="shared" si="7"/>
        <v>0</v>
      </c>
      <c r="AM43" s="2231">
        <f t="shared" si="40"/>
        <v>0</v>
      </c>
      <c r="AN43" s="2218"/>
    </row>
    <row r="44" spans="1:40" s="368" customFormat="1" ht="14.45" customHeight="1">
      <c r="A44" s="135" t="s">
        <v>43</v>
      </c>
      <c r="B44" s="111">
        <f>+'[5]bér SSZ'!B33</f>
        <v>0</v>
      </c>
      <c r="C44" s="24"/>
      <c r="D44" s="1090">
        <f t="shared" si="33"/>
        <v>0</v>
      </c>
      <c r="E44" s="369"/>
      <c r="F44" s="2"/>
      <c r="G44" s="111">
        <f>+'[5]bér SSZ'!C33</f>
        <v>0</v>
      </c>
      <c r="H44" s="24"/>
      <c r="I44" s="1090">
        <f t="shared" si="34"/>
        <v>0</v>
      </c>
      <c r="J44" s="369"/>
      <c r="K44" s="2"/>
      <c r="L44" s="111">
        <f>+'[5]bér SSZ'!D33</f>
        <v>0</v>
      </c>
      <c r="M44" s="24"/>
      <c r="N44" s="1090">
        <f t="shared" si="35"/>
        <v>0</v>
      </c>
      <c r="O44" s="369"/>
      <c r="P44" s="2"/>
      <c r="Q44" s="111">
        <f>+'[5]bér SSZ'!E33</f>
        <v>334</v>
      </c>
      <c r="R44" s="24"/>
      <c r="S44" s="1090">
        <f t="shared" si="36"/>
        <v>334</v>
      </c>
      <c r="T44" s="369">
        <f t="shared" si="29"/>
        <v>1</v>
      </c>
      <c r="U44" s="2"/>
      <c r="V44" s="111">
        <f>+'[5]bér SSZ'!F33</f>
        <v>0</v>
      </c>
      <c r="W44" s="24"/>
      <c r="X44" s="1090">
        <f t="shared" si="37"/>
        <v>0</v>
      </c>
      <c r="Y44" s="369"/>
      <c r="Z44" s="2"/>
      <c r="AA44" s="111">
        <f>+'[5]bér SSZ'!G33</f>
        <v>0</v>
      </c>
      <c r="AB44" s="24"/>
      <c r="AC44" s="1090">
        <f t="shared" si="38"/>
        <v>0</v>
      </c>
      <c r="AD44" s="369"/>
      <c r="AE44" s="2"/>
      <c r="AF44" s="111">
        <f>+'[5]bér SSZ'!H33</f>
        <v>0</v>
      </c>
      <c r="AG44" s="15"/>
      <c r="AH44" s="1090">
        <f t="shared" si="39"/>
        <v>0</v>
      </c>
      <c r="AI44" s="369"/>
      <c r="AJ44" s="2"/>
      <c r="AK44" s="2204">
        <f t="shared" si="25"/>
        <v>334</v>
      </c>
      <c r="AL44" s="2201">
        <f t="shared" si="7"/>
        <v>0</v>
      </c>
      <c r="AM44" s="2219">
        <f t="shared" si="40"/>
        <v>334</v>
      </c>
      <c r="AN44" s="2218">
        <f t="shared" si="31"/>
        <v>1</v>
      </c>
    </row>
    <row r="45" spans="1:40" s="368" customFormat="1" ht="14.45" customHeight="1">
      <c r="A45" s="135" t="s">
        <v>44</v>
      </c>
      <c r="B45" s="111">
        <f>+'[5]bér SSZ'!B34</f>
        <v>0</v>
      </c>
      <c r="C45" s="24"/>
      <c r="D45" s="1090">
        <f t="shared" si="33"/>
        <v>0</v>
      </c>
      <c r="E45" s="369"/>
      <c r="F45" s="2"/>
      <c r="G45" s="111">
        <f>+'[5]bér SSZ'!C34</f>
        <v>0</v>
      </c>
      <c r="H45" s="24"/>
      <c r="I45" s="1090">
        <f t="shared" si="34"/>
        <v>0</v>
      </c>
      <c r="J45" s="369"/>
      <c r="K45" s="2"/>
      <c r="L45" s="111">
        <f>+'[5]bér SSZ'!D34</f>
        <v>0</v>
      </c>
      <c r="M45" s="24"/>
      <c r="N45" s="1090">
        <f t="shared" si="35"/>
        <v>0</v>
      </c>
      <c r="O45" s="369"/>
      <c r="P45" s="2"/>
      <c r="Q45" s="111">
        <f>+'[5]bér SSZ'!E34</f>
        <v>0</v>
      </c>
      <c r="R45" s="24"/>
      <c r="S45" s="1090">
        <f t="shared" si="36"/>
        <v>0</v>
      </c>
      <c r="T45" s="369"/>
      <c r="U45" s="2"/>
      <c r="V45" s="111">
        <f>+'[5]bér SSZ'!F34</f>
        <v>0</v>
      </c>
      <c r="W45" s="24"/>
      <c r="X45" s="1090">
        <f t="shared" si="37"/>
        <v>0</v>
      </c>
      <c r="Y45" s="369"/>
      <c r="Z45" s="2"/>
      <c r="AA45" s="111">
        <f>+'[5]bér SSZ'!G34</f>
        <v>0</v>
      </c>
      <c r="AB45" s="24"/>
      <c r="AC45" s="1090">
        <f t="shared" si="38"/>
        <v>0</v>
      </c>
      <c r="AD45" s="369"/>
      <c r="AE45" s="2"/>
      <c r="AF45" s="111">
        <f>+'[5]bér SSZ'!H34</f>
        <v>0</v>
      </c>
      <c r="AG45" s="15"/>
      <c r="AH45" s="1090">
        <f t="shared" si="39"/>
        <v>0</v>
      </c>
      <c r="AI45" s="369"/>
      <c r="AJ45" s="2"/>
      <c r="AK45" s="2204">
        <f t="shared" si="25"/>
        <v>0</v>
      </c>
      <c r="AL45" s="2201">
        <f t="shared" si="7"/>
        <v>0</v>
      </c>
      <c r="AM45" s="2219">
        <f t="shared" si="40"/>
        <v>0</v>
      </c>
      <c r="AN45" s="2218"/>
    </row>
    <row r="46" spans="1:40" ht="14.45" customHeight="1">
      <c r="A46" s="135" t="s">
        <v>45</v>
      </c>
      <c r="B46" s="111">
        <f>+'[5]bér SSZ'!B35</f>
        <v>19</v>
      </c>
      <c r="C46" s="24"/>
      <c r="D46" s="1090">
        <f t="shared" si="33"/>
        <v>19</v>
      </c>
      <c r="E46" s="369">
        <f>+D46/B46</f>
        <v>1</v>
      </c>
      <c r="F46" s="2"/>
      <c r="G46" s="111">
        <f>+'[5]bér SSZ'!C35</f>
        <v>28</v>
      </c>
      <c r="H46" s="24">
        <f>+[3]Seg.Szolgálat!$D$20</f>
        <v>50</v>
      </c>
      <c r="I46" s="1090">
        <f t="shared" si="34"/>
        <v>78</v>
      </c>
      <c r="J46" s="369"/>
      <c r="L46" s="111">
        <f>+'[5]bér SSZ'!D35</f>
        <v>160</v>
      </c>
      <c r="M46" s="24"/>
      <c r="N46" s="1090">
        <f t="shared" si="35"/>
        <v>160</v>
      </c>
      <c r="O46" s="369">
        <f t="shared" si="28"/>
        <v>1</v>
      </c>
      <c r="P46" s="2"/>
      <c r="Q46" s="111">
        <f>+'[5]bér SSZ'!E35</f>
        <v>28</v>
      </c>
      <c r="R46" s="24">
        <f>+[3]Seg.Szolgálat!$D$5</f>
        <v>19</v>
      </c>
      <c r="S46" s="1090">
        <f t="shared" si="36"/>
        <v>47</v>
      </c>
      <c r="T46" s="369">
        <f t="shared" si="29"/>
        <v>1.6785714285714286</v>
      </c>
      <c r="U46" s="2"/>
      <c r="V46" s="111">
        <f>+'[5]bér SSZ'!F35</f>
        <v>38</v>
      </c>
      <c r="W46" s="24"/>
      <c r="X46" s="1090">
        <f t="shared" si="37"/>
        <v>38</v>
      </c>
      <c r="Y46" s="369">
        <f t="shared" si="30"/>
        <v>1</v>
      </c>
      <c r="Z46" s="2"/>
      <c r="AA46" s="111">
        <f>+'[5]bér SSZ'!G35</f>
        <v>266</v>
      </c>
      <c r="AB46" s="24"/>
      <c r="AC46" s="1090">
        <f t="shared" si="38"/>
        <v>266</v>
      </c>
      <c r="AD46" s="369">
        <f t="shared" si="32"/>
        <v>1</v>
      </c>
      <c r="AE46" s="2"/>
      <c r="AF46" s="111">
        <f>+'[5]bér SSZ'!H35</f>
        <v>9</v>
      </c>
      <c r="AG46" s="15"/>
      <c r="AH46" s="1090">
        <f t="shared" si="39"/>
        <v>9</v>
      </c>
      <c r="AI46" s="369">
        <f>+AH46/AF46</f>
        <v>1</v>
      </c>
      <c r="AJ46" s="2"/>
      <c r="AK46" s="2204">
        <f t="shared" si="25"/>
        <v>548</v>
      </c>
      <c r="AL46" s="2201">
        <f t="shared" si="7"/>
        <v>69</v>
      </c>
      <c r="AM46" s="2219">
        <f t="shared" si="40"/>
        <v>617</v>
      </c>
      <c r="AN46" s="2218">
        <f t="shared" si="31"/>
        <v>1.1259124087591241</v>
      </c>
    </row>
    <row r="47" spans="1:40" s="368" customFormat="1" ht="14.45" customHeight="1">
      <c r="A47" s="1073" t="s">
        <v>46</v>
      </c>
      <c r="B47" s="915">
        <f>SUM(B43:B46)</f>
        <v>19</v>
      </c>
      <c r="C47" s="353"/>
      <c r="D47" s="1091">
        <f t="shared" si="33"/>
        <v>19</v>
      </c>
      <c r="E47" s="1660">
        <f>+D47/B47</f>
        <v>1</v>
      </c>
      <c r="F47" s="367"/>
      <c r="G47" s="915">
        <f>SUM(G43:G46)</f>
        <v>28</v>
      </c>
      <c r="H47" s="370">
        <f>SUM(H43:H46)</f>
        <v>50</v>
      </c>
      <c r="I47" s="1091">
        <f t="shared" si="34"/>
        <v>78</v>
      </c>
      <c r="J47" s="1660">
        <f>+I47/G47</f>
        <v>2.7857142857142856</v>
      </c>
      <c r="K47" s="367"/>
      <c r="L47" s="915">
        <f>SUM(L43:L46)</f>
        <v>160</v>
      </c>
      <c r="M47" s="353"/>
      <c r="N47" s="1091">
        <f t="shared" si="35"/>
        <v>160</v>
      </c>
      <c r="O47" s="1660">
        <f t="shared" si="28"/>
        <v>1</v>
      </c>
      <c r="P47" s="367"/>
      <c r="Q47" s="915">
        <f>SUM(Q43:Q46)</f>
        <v>362</v>
      </c>
      <c r="R47" s="370">
        <f>SUM(R43:R46)</f>
        <v>19</v>
      </c>
      <c r="S47" s="1091">
        <f t="shared" si="36"/>
        <v>381</v>
      </c>
      <c r="T47" s="1660">
        <f t="shared" si="29"/>
        <v>1.0524861878453038</v>
      </c>
      <c r="U47" s="367"/>
      <c r="V47" s="915">
        <f>SUM(V43:V46)</f>
        <v>38</v>
      </c>
      <c r="W47" s="353"/>
      <c r="X47" s="1091">
        <f t="shared" si="37"/>
        <v>38</v>
      </c>
      <c r="Y47" s="1660">
        <f t="shared" si="30"/>
        <v>1</v>
      </c>
      <c r="Z47" s="367"/>
      <c r="AA47" s="915">
        <v>53</v>
      </c>
      <c r="AB47" s="353"/>
      <c r="AC47" s="1091">
        <f t="shared" si="38"/>
        <v>53</v>
      </c>
      <c r="AD47" s="1660">
        <f t="shared" si="32"/>
        <v>1</v>
      </c>
      <c r="AE47" s="367"/>
      <c r="AF47" s="915">
        <f>SUM(AF43:AF46)</f>
        <v>9</v>
      </c>
      <c r="AG47" s="370"/>
      <c r="AH47" s="1091">
        <f t="shared" si="39"/>
        <v>9</v>
      </c>
      <c r="AI47" s="1660">
        <f>+AH47/AF47</f>
        <v>1</v>
      </c>
      <c r="AJ47" s="367"/>
      <c r="AK47" s="2205">
        <f t="shared" si="25"/>
        <v>669</v>
      </c>
      <c r="AL47" s="2206">
        <f t="shared" si="7"/>
        <v>69</v>
      </c>
      <c r="AM47" s="2221">
        <f t="shared" si="40"/>
        <v>738</v>
      </c>
      <c r="AN47" s="2234">
        <f t="shared" si="31"/>
        <v>1.1031390134529149</v>
      </c>
    </row>
    <row r="48" spans="1:40" s="368" customFormat="1" ht="14.45" customHeight="1">
      <c r="A48" s="1034" t="s">
        <v>47</v>
      </c>
      <c r="B48" s="1239">
        <f>+'[5]bér SSZ'!B37</f>
        <v>0</v>
      </c>
      <c r="C48" s="371"/>
      <c r="D48" s="1092">
        <f t="shared" si="33"/>
        <v>0</v>
      </c>
      <c r="E48" s="1661"/>
      <c r="F48" s="367"/>
      <c r="G48" s="1239">
        <f>+'[5]bér SSZ'!C37</f>
        <v>0</v>
      </c>
      <c r="H48" s="373">
        <f>+'[5]bér SSZ'!D37</f>
        <v>0</v>
      </c>
      <c r="I48" s="1092">
        <f t="shared" si="34"/>
        <v>0</v>
      </c>
      <c r="J48" s="1661"/>
      <c r="K48" s="367"/>
      <c r="L48" s="1239">
        <f>+'[5]bér SSZ'!D37</f>
        <v>0</v>
      </c>
      <c r="M48" s="373"/>
      <c r="N48" s="1092">
        <f t="shared" si="35"/>
        <v>0</v>
      </c>
      <c r="O48" s="1661"/>
      <c r="P48" s="367"/>
      <c r="Q48" s="1239">
        <f>+'[5]bér SSZ'!E37</f>
        <v>0</v>
      </c>
      <c r="R48" s="373">
        <f>+'[5]bér SSZ'!F37</f>
        <v>0</v>
      </c>
      <c r="S48" s="1092">
        <f t="shared" si="36"/>
        <v>0</v>
      </c>
      <c r="T48" s="1661"/>
      <c r="U48" s="367"/>
      <c r="V48" s="1239">
        <f>+'[5]bér SSZ'!F37</f>
        <v>0</v>
      </c>
      <c r="W48" s="371"/>
      <c r="X48" s="1092">
        <f t="shared" si="37"/>
        <v>0</v>
      </c>
      <c r="Y48" s="1661"/>
      <c r="Z48" s="367"/>
      <c r="AA48" s="1239">
        <f>+'[5]bér SSZ'!G37</f>
        <v>213</v>
      </c>
      <c r="AB48" s="371"/>
      <c r="AC48" s="1092">
        <f t="shared" si="38"/>
        <v>213</v>
      </c>
      <c r="AD48" s="1661">
        <f t="shared" si="32"/>
        <v>1</v>
      </c>
      <c r="AE48" s="367"/>
      <c r="AF48" s="1239">
        <f>+'[5]bér SSZ'!H37</f>
        <v>0</v>
      </c>
      <c r="AG48" s="373"/>
      <c r="AH48" s="1092">
        <f t="shared" si="39"/>
        <v>0</v>
      </c>
      <c r="AI48" s="1661"/>
      <c r="AJ48" s="367"/>
      <c r="AK48" s="2223">
        <f t="shared" si="25"/>
        <v>213</v>
      </c>
      <c r="AL48" s="2224">
        <f t="shared" si="7"/>
        <v>0</v>
      </c>
      <c r="AM48" s="2225">
        <f t="shared" si="40"/>
        <v>213</v>
      </c>
      <c r="AN48" s="2235">
        <f t="shared" si="31"/>
        <v>1</v>
      </c>
    </row>
    <row r="49" spans="1:40" ht="14.45" customHeight="1">
      <c r="A49" s="1036" t="s">
        <v>48</v>
      </c>
      <c r="B49" s="374">
        <f>SUM(B47:B48)</f>
        <v>19</v>
      </c>
      <c r="C49" s="18">
        <f>SUM(C47:C48)</f>
        <v>0</v>
      </c>
      <c r="D49" s="1093">
        <f t="shared" si="33"/>
        <v>19</v>
      </c>
      <c r="E49" s="375">
        <f>+D49/B49</f>
        <v>1</v>
      </c>
      <c r="F49" s="2"/>
      <c r="G49" s="374">
        <f>SUM(G47:G48)</f>
        <v>28</v>
      </c>
      <c r="H49" s="18">
        <f>SUM(H47:H48)</f>
        <v>50</v>
      </c>
      <c r="I49" s="1093">
        <f t="shared" si="34"/>
        <v>78</v>
      </c>
      <c r="J49" s="375">
        <f>+I49/G49</f>
        <v>2.7857142857142856</v>
      </c>
      <c r="L49" s="374">
        <f>SUM(L47:L48)</f>
        <v>160</v>
      </c>
      <c r="M49" s="18"/>
      <c r="N49" s="1093">
        <f t="shared" si="35"/>
        <v>160</v>
      </c>
      <c r="O49" s="375">
        <f t="shared" si="28"/>
        <v>1</v>
      </c>
      <c r="P49" s="2"/>
      <c r="Q49" s="374">
        <f>SUM(Q47:Q48)</f>
        <v>362</v>
      </c>
      <c r="R49" s="18">
        <f>SUM(R47:R48)</f>
        <v>19</v>
      </c>
      <c r="S49" s="1093">
        <f t="shared" si="36"/>
        <v>381</v>
      </c>
      <c r="T49" s="375">
        <f t="shared" si="29"/>
        <v>1.0524861878453038</v>
      </c>
      <c r="U49" s="2"/>
      <c r="V49" s="374">
        <f>SUM(V47:V48)</f>
        <v>38</v>
      </c>
      <c r="W49" s="18">
        <f>SUM(W47:W48)</f>
        <v>0</v>
      </c>
      <c r="X49" s="1093">
        <f t="shared" si="37"/>
        <v>38</v>
      </c>
      <c r="Y49" s="375">
        <f t="shared" si="30"/>
        <v>1</v>
      </c>
      <c r="Z49" s="2"/>
      <c r="AA49" s="374">
        <f>SUM(AA47:AA48)</f>
        <v>266</v>
      </c>
      <c r="AB49" s="18"/>
      <c r="AC49" s="1093">
        <f t="shared" si="38"/>
        <v>266</v>
      </c>
      <c r="AD49" s="375">
        <f t="shared" si="32"/>
        <v>1</v>
      </c>
      <c r="AE49" s="2"/>
      <c r="AF49" s="374">
        <f>SUM(AF47:AF48)</f>
        <v>9</v>
      </c>
      <c r="AG49" s="18"/>
      <c r="AH49" s="1093">
        <f t="shared" si="39"/>
        <v>9</v>
      </c>
      <c r="AI49" s="375">
        <f>+AH49/AF49</f>
        <v>1</v>
      </c>
      <c r="AJ49" s="2"/>
      <c r="AK49" s="2226">
        <f t="shared" si="25"/>
        <v>882</v>
      </c>
      <c r="AL49" s="2227">
        <f t="shared" si="7"/>
        <v>69</v>
      </c>
      <c r="AM49" s="2228">
        <f t="shared" si="40"/>
        <v>951</v>
      </c>
      <c r="AN49" s="2229">
        <f t="shared" si="31"/>
        <v>1.0782312925170068</v>
      </c>
    </row>
    <row r="50" spans="1:40" ht="14.45" customHeight="1">
      <c r="A50" s="1074" t="s">
        <v>49</v>
      </c>
      <c r="B50" s="111">
        <f>+'[5]bér SSZ'!B39</f>
        <v>24</v>
      </c>
      <c r="C50" s="15"/>
      <c r="D50" s="1094">
        <f t="shared" si="33"/>
        <v>24</v>
      </c>
      <c r="E50" s="369">
        <f>+D50/B50</f>
        <v>1</v>
      </c>
      <c r="F50" s="2"/>
      <c r="G50" s="111">
        <f>+'[5]bér SSZ'!C39</f>
        <v>117</v>
      </c>
      <c r="H50" s="15"/>
      <c r="I50" s="1094">
        <f t="shared" si="34"/>
        <v>117</v>
      </c>
      <c r="J50" s="369">
        <f>+I50/G50</f>
        <v>1</v>
      </c>
      <c r="L50" s="111">
        <f>+'[5]bér SSZ'!D39</f>
        <v>120</v>
      </c>
      <c r="M50" s="15">
        <f>+[3]Seg.Szolgálat!$D$66</f>
        <v>-40</v>
      </c>
      <c r="N50" s="1094">
        <f t="shared" si="35"/>
        <v>80</v>
      </c>
      <c r="O50" s="369">
        <f t="shared" si="28"/>
        <v>0.66666666666666663</v>
      </c>
      <c r="P50" s="2"/>
      <c r="Q50" s="111">
        <f>+'[5]bér SSZ'!E39</f>
        <v>0</v>
      </c>
      <c r="R50" s="15"/>
      <c r="S50" s="1094">
        <f t="shared" si="36"/>
        <v>0</v>
      </c>
      <c r="T50" s="369"/>
      <c r="U50" s="2"/>
      <c r="V50" s="111">
        <f>+'[5]bér SSZ'!F39</f>
        <v>126</v>
      </c>
      <c r="W50" s="15"/>
      <c r="X50" s="1094">
        <f t="shared" si="37"/>
        <v>126</v>
      </c>
      <c r="Y50" s="369">
        <f t="shared" si="30"/>
        <v>1</v>
      </c>
      <c r="Z50" s="2"/>
      <c r="AA50" s="111">
        <f>+'[5]bér SSZ'!G39</f>
        <v>36</v>
      </c>
      <c r="AB50" s="15"/>
      <c r="AC50" s="1094">
        <f t="shared" si="38"/>
        <v>36</v>
      </c>
      <c r="AD50" s="369">
        <f t="shared" si="32"/>
        <v>1</v>
      </c>
      <c r="AE50" s="2"/>
      <c r="AF50" s="111">
        <f>+'[5]bér SSZ'!H39</f>
        <v>0</v>
      </c>
      <c r="AG50" s="15"/>
      <c r="AH50" s="1094">
        <f t="shared" si="39"/>
        <v>0</v>
      </c>
      <c r="AI50" s="369"/>
      <c r="AJ50" s="2"/>
      <c r="AK50" s="2216">
        <f t="shared" si="25"/>
        <v>423</v>
      </c>
      <c r="AL50" s="2230">
        <f t="shared" si="7"/>
        <v>-40</v>
      </c>
      <c r="AM50" s="2231">
        <f t="shared" si="40"/>
        <v>383</v>
      </c>
      <c r="AN50" s="2218">
        <f t="shared" si="31"/>
        <v>0.90543735224586286</v>
      </c>
    </row>
    <row r="51" spans="1:40" s="368" customFormat="1" ht="14.45" customHeight="1">
      <c r="A51" s="135" t="s">
        <v>50</v>
      </c>
      <c r="B51" s="111">
        <f>+'[5]bér SSZ'!B40</f>
        <v>230</v>
      </c>
      <c r="C51" s="24"/>
      <c r="D51" s="1090">
        <f t="shared" si="33"/>
        <v>230</v>
      </c>
      <c r="E51" s="369">
        <f>+D51/B51</f>
        <v>1</v>
      </c>
      <c r="F51" s="2"/>
      <c r="G51" s="111">
        <f>+'[5]bér SSZ'!C40</f>
        <v>344</v>
      </c>
      <c r="H51" s="24"/>
      <c r="I51" s="1090">
        <f t="shared" si="34"/>
        <v>344</v>
      </c>
      <c r="J51" s="369">
        <f>+I51/G51</f>
        <v>1</v>
      </c>
      <c r="K51" s="2"/>
      <c r="L51" s="111">
        <f>+'[5]bér SSZ'!D40</f>
        <v>1952</v>
      </c>
      <c r="M51" s="24"/>
      <c r="N51" s="1090">
        <f t="shared" si="35"/>
        <v>1952</v>
      </c>
      <c r="O51" s="369">
        <f t="shared" si="28"/>
        <v>1</v>
      </c>
      <c r="P51" s="2"/>
      <c r="Q51" s="111">
        <f>+'[5]bér SSZ'!E40</f>
        <v>459</v>
      </c>
      <c r="R51" s="24"/>
      <c r="S51" s="1090">
        <f t="shared" si="36"/>
        <v>459</v>
      </c>
      <c r="T51" s="369">
        <f t="shared" si="29"/>
        <v>1</v>
      </c>
      <c r="U51" s="2"/>
      <c r="V51" s="111">
        <f>+'[5]bér SSZ'!F40</f>
        <v>459</v>
      </c>
      <c r="W51" s="24"/>
      <c r="X51" s="1090">
        <f t="shared" si="37"/>
        <v>459</v>
      </c>
      <c r="Y51" s="369">
        <f t="shared" si="30"/>
        <v>1</v>
      </c>
      <c r="Z51" s="2"/>
      <c r="AA51" s="111">
        <f>+'[5]bér SSZ'!G40</f>
        <v>287</v>
      </c>
      <c r="AB51" s="24"/>
      <c r="AC51" s="1090">
        <f t="shared" si="38"/>
        <v>287</v>
      </c>
      <c r="AD51" s="369">
        <f t="shared" si="32"/>
        <v>1</v>
      </c>
      <c r="AE51" s="2"/>
      <c r="AF51" s="111">
        <f>+'[5]bér SSZ'!H40</f>
        <v>115</v>
      </c>
      <c r="AG51" s="15"/>
      <c r="AH51" s="1090">
        <f t="shared" si="39"/>
        <v>115</v>
      </c>
      <c r="AI51" s="369">
        <f>+AH51/AF51</f>
        <v>1</v>
      </c>
      <c r="AJ51" s="2"/>
      <c r="AK51" s="2204">
        <f t="shared" si="25"/>
        <v>3846</v>
      </c>
      <c r="AL51" s="2201">
        <f t="shared" si="7"/>
        <v>0</v>
      </c>
      <c r="AM51" s="2219">
        <f t="shared" si="40"/>
        <v>3846</v>
      </c>
      <c r="AN51" s="2218">
        <f t="shared" si="31"/>
        <v>1</v>
      </c>
    </row>
    <row r="52" spans="1:40" s="368" customFormat="1" ht="14.45" customHeight="1">
      <c r="A52" s="135" t="s">
        <v>51</v>
      </c>
      <c r="B52" s="111">
        <f>+'[5]bér SSZ'!B41</f>
        <v>0</v>
      </c>
      <c r="C52" s="24"/>
      <c r="D52" s="1090">
        <f t="shared" si="33"/>
        <v>0</v>
      </c>
      <c r="E52" s="369"/>
      <c r="F52" s="2"/>
      <c r="G52" s="111">
        <f>+'[5]bér SSZ'!C41</f>
        <v>0</v>
      </c>
      <c r="H52" s="24"/>
      <c r="I52" s="1090">
        <f t="shared" si="34"/>
        <v>0</v>
      </c>
      <c r="J52" s="369"/>
      <c r="K52" s="2"/>
      <c r="L52" s="111">
        <f>+'[5]bér SSZ'!D41</f>
        <v>0</v>
      </c>
      <c r="M52" s="24"/>
      <c r="N52" s="1090">
        <f t="shared" si="35"/>
        <v>0</v>
      </c>
      <c r="O52" s="369"/>
      <c r="P52" s="2"/>
      <c r="Q52" s="111">
        <f>+'[5]bér SSZ'!E41</f>
        <v>0</v>
      </c>
      <c r="R52" s="24"/>
      <c r="S52" s="1090">
        <f t="shared" si="36"/>
        <v>0</v>
      </c>
      <c r="T52" s="369"/>
      <c r="U52" s="2"/>
      <c r="V52" s="111">
        <f>+'[5]bér SSZ'!F41</f>
        <v>0</v>
      </c>
      <c r="W52" s="24"/>
      <c r="X52" s="1090">
        <f t="shared" si="37"/>
        <v>0</v>
      </c>
      <c r="Y52" s="369"/>
      <c r="Z52" s="2"/>
      <c r="AA52" s="111">
        <f>+'[5]bér SSZ'!G41</f>
        <v>0</v>
      </c>
      <c r="AB52" s="24"/>
      <c r="AC52" s="1090">
        <f t="shared" si="38"/>
        <v>0</v>
      </c>
      <c r="AD52" s="369"/>
      <c r="AE52" s="2"/>
      <c r="AF52" s="111">
        <f>+'[5]bér SSZ'!H41</f>
        <v>0</v>
      </c>
      <c r="AG52" s="15"/>
      <c r="AH52" s="1090">
        <f t="shared" si="39"/>
        <v>0</v>
      </c>
      <c r="AI52" s="369"/>
      <c r="AJ52" s="2"/>
      <c r="AK52" s="2204">
        <f t="shared" si="25"/>
        <v>0</v>
      </c>
      <c r="AL52" s="2201">
        <f t="shared" si="7"/>
        <v>0</v>
      </c>
      <c r="AM52" s="2219">
        <f t="shared" si="40"/>
        <v>0</v>
      </c>
      <c r="AN52" s="2218"/>
    </row>
    <row r="53" spans="1:40" ht="14.45" customHeight="1">
      <c r="A53" s="135" t="s">
        <v>52</v>
      </c>
      <c r="B53" s="111">
        <f>+'[5]bér SSZ'!B42</f>
        <v>0</v>
      </c>
      <c r="C53" s="24"/>
      <c r="D53" s="1090">
        <f t="shared" si="33"/>
        <v>0</v>
      </c>
      <c r="E53" s="369"/>
      <c r="F53" s="2"/>
      <c r="G53" s="111">
        <f>+'[5]bér SSZ'!C42</f>
        <v>0</v>
      </c>
      <c r="H53" s="24"/>
      <c r="I53" s="1090">
        <f t="shared" si="34"/>
        <v>0</v>
      </c>
      <c r="J53" s="369"/>
      <c r="L53" s="111">
        <f>+'[5]bér SSZ'!D42</f>
        <v>0</v>
      </c>
      <c r="M53" s="24"/>
      <c r="N53" s="1090">
        <f t="shared" si="35"/>
        <v>0</v>
      </c>
      <c r="O53" s="369"/>
      <c r="P53" s="2"/>
      <c r="Q53" s="111">
        <f>+'[5]bér SSZ'!E42</f>
        <v>0</v>
      </c>
      <c r="R53" s="24"/>
      <c r="S53" s="1090">
        <f t="shared" si="36"/>
        <v>0</v>
      </c>
      <c r="T53" s="369"/>
      <c r="U53" s="2"/>
      <c r="V53" s="111">
        <f>+'[5]bér SSZ'!F42</f>
        <v>0</v>
      </c>
      <c r="W53" s="24"/>
      <c r="X53" s="1090">
        <f t="shared" si="37"/>
        <v>0</v>
      </c>
      <c r="Y53" s="369"/>
      <c r="Z53" s="2"/>
      <c r="AA53" s="111">
        <f>+'[5]bér SSZ'!G42</f>
        <v>0</v>
      </c>
      <c r="AB53" s="24"/>
      <c r="AC53" s="1090">
        <f t="shared" si="38"/>
        <v>0</v>
      </c>
      <c r="AD53" s="369"/>
      <c r="AE53" s="2"/>
      <c r="AF53" s="111">
        <f>+'[5]bér SSZ'!H42</f>
        <v>0</v>
      </c>
      <c r="AG53" s="15"/>
      <c r="AH53" s="1090">
        <f t="shared" si="39"/>
        <v>0</v>
      </c>
      <c r="AI53" s="369"/>
      <c r="AJ53" s="2"/>
      <c r="AK53" s="2204">
        <f t="shared" si="25"/>
        <v>0</v>
      </c>
      <c r="AL53" s="2201">
        <f t="shared" si="7"/>
        <v>0</v>
      </c>
      <c r="AM53" s="2219">
        <f t="shared" si="40"/>
        <v>0</v>
      </c>
      <c r="AN53" s="2218"/>
    </row>
    <row r="54" spans="1:40" s="368" customFormat="1" ht="14.45" customHeight="1">
      <c r="A54" s="1073" t="s">
        <v>53</v>
      </c>
      <c r="B54" s="915">
        <f>+'[5]bér SSZ'!B43</f>
        <v>254</v>
      </c>
      <c r="C54" s="353"/>
      <c r="D54" s="1091">
        <f t="shared" si="33"/>
        <v>254</v>
      </c>
      <c r="E54" s="1660">
        <f>+D54/B54</f>
        <v>1</v>
      </c>
      <c r="F54" s="367"/>
      <c r="G54" s="915">
        <f>+'[5]bér SSZ'!C43</f>
        <v>461</v>
      </c>
      <c r="H54" s="353"/>
      <c r="I54" s="1091">
        <f t="shared" si="34"/>
        <v>461</v>
      </c>
      <c r="J54" s="1660">
        <f>+I54/G54</f>
        <v>1</v>
      </c>
      <c r="K54" s="367"/>
      <c r="L54" s="915">
        <f>SUM(L50:L53)</f>
        <v>2072</v>
      </c>
      <c r="M54" s="370">
        <f>SUM(M50:M53)</f>
        <v>-40</v>
      </c>
      <c r="N54" s="1091">
        <f t="shared" si="35"/>
        <v>2032</v>
      </c>
      <c r="O54" s="1660">
        <f t="shared" si="28"/>
        <v>0.98069498069498073</v>
      </c>
      <c r="P54" s="367"/>
      <c r="Q54" s="915">
        <f>+'[5]bér SSZ'!E43</f>
        <v>459</v>
      </c>
      <c r="R54" s="353"/>
      <c r="S54" s="1091">
        <f t="shared" si="36"/>
        <v>459</v>
      </c>
      <c r="T54" s="1660">
        <f t="shared" si="29"/>
        <v>1</v>
      </c>
      <c r="U54" s="367"/>
      <c r="V54" s="915">
        <f>+'[5]bér SSZ'!F43</f>
        <v>585</v>
      </c>
      <c r="W54" s="353"/>
      <c r="X54" s="1091">
        <f t="shared" si="37"/>
        <v>585</v>
      </c>
      <c r="Y54" s="1660">
        <f t="shared" si="30"/>
        <v>1</v>
      </c>
      <c r="Z54" s="367"/>
      <c r="AA54" s="915">
        <f>+'[5]bér SSZ'!G43</f>
        <v>266</v>
      </c>
      <c r="AB54" s="353"/>
      <c r="AC54" s="1091">
        <f t="shared" si="38"/>
        <v>266</v>
      </c>
      <c r="AD54" s="1660">
        <f t="shared" si="32"/>
        <v>1</v>
      </c>
      <c r="AE54" s="367"/>
      <c r="AF54" s="915">
        <f>SUM(AF50:AF53)</f>
        <v>115</v>
      </c>
      <c r="AG54" s="370">
        <f>SUM(AG50:AG53)</f>
        <v>0</v>
      </c>
      <c r="AH54" s="1091">
        <f t="shared" si="39"/>
        <v>115</v>
      </c>
      <c r="AI54" s="1660">
        <f>+AH54/AF54</f>
        <v>1</v>
      </c>
      <c r="AJ54" s="367"/>
      <c r="AK54" s="2205">
        <f t="shared" si="25"/>
        <v>4212</v>
      </c>
      <c r="AL54" s="2206">
        <f t="shared" si="7"/>
        <v>-40</v>
      </c>
      <c r="AM54" s="2221">
        <f t="shared" si="40"/>
        <v>4172</v>
      </c>
      <c r="AN54" s="2234">
        <f t="shared" si="31"/>
        <v>0.99050332383665718</v>
      </c>
    </row>
    <row r="55" spans="1:40" s="368" customFormat="1" ht="14.45" customHeight="1">
      <c r="A55" s="1034" t="s">
        <v>54</v>
      </c>
      <c r="B55" s="1239">
        <f>+'[5]bér SSZ'!B44</f>
        <v>0</v>
      </c>
      <c r="C55" s="371"/>
      <c r="D55" s="1092">
        <f t="shared" si="33"/>
        <v>0</v>
      </c>
      <c r="E55" s="1661"/>
      <c r="F55" s="367"/>
      <c r="G55" s="1239">
        <f>+'[5]bér SSZ'!C44</f>
        <v>0</v>
      </c>
      <c r="H55" s="371"/>
      <c r="I55" s="1092">
        <f t="shared" si="34"/>
        <v>0</v>
      </c>
      <c r="J55" s="1661"/>
      <c r="K55" s="367"/>
      <c r="L55" s="1239">
        <f>+'[5]bér SSZ'!D44</f>
        <v>0</v>
      </c>
      <c r="M55" s="371"/>
      <c r="N55" s="1092">
        <f t="shared" si="35"/>
        <v>0</v>
      </c>
      <c r="O55" s="1661"/>
      <c r="P55" s="367"/>
      <c r="Q55" s="1239">
        <f>+'[5]bér SSZ'!E44</f>
        <v>0</v>
      </c>
      <c r="R55" s="371"/>
      <c r="S55" s="1092">
        <f t="shared" si="36"/>
        <v>0</v>
      </c>
      <c r="T55" s="1661"/>
      <c r="U55" s="367"/>
      <c r="V55" s="1239">
        <f>+'[5]bér SSZ'!F44</f>
        <v>0</v>
      </c>
      <c r="W55" s="371"/>
      <c r="X55" s="1092">
        <f t="shared" si="37"/>
        <v>0</v>
      </c>
      <c r="Y55" s="1661"/>
      <c r="Z55" s="367"/>
      <c r="AA55" s="1239">
        <f>+'[5]bér SSZ'!G44</f>
        <v>57</v>
      </c>
      <c r="AB55" s="371"/>
      <c r="AC55" s="1092">
        <f t="shared" si="38"/>
        <v>57</v>
      </c>
      <c r="AD55" s="1661">
        <f t="shared" si="32"/>
        <v>1</v>
      </c>
      <c r="AE55" s="367"/>
      <c r="AF55" s="1239">
        <f>+'[5]bér SSZ'!H44</f>
        <v>0</v>
      </c>
      <c r="AG55" s="373"/>
      <c r="AH55" s="1092">
        <f t="shared" si="39"/>
        <v>0</v>
      </c>
      <c r="AI55" s="1661"/>
      <c r="AJ55" s="367"/>
      <c r="AK55" s="2223">
        <f t="shared" si="25"/>
        <v>57</v>
      </c>
      <c r="AL55" s="2224">
        <f t="shared" si="7"/>
        <v>0</v>
      </c>
      <c r="AM55" s="2225">
        <f t="shared" si="40"/>
        <v>57</v>
      </c>
      <c r="AN55" s="2235">
        <f t="shared" si="31"/>
        <v>1</v>
      </c>
    </row>
    <row r="56" spans="1:40" s="368" customFormat="1" ht="14.45" customHeight="1">
      <c r="A56" s="1036" t="s">
        <v>55</v>
      </c>
      <c r="B56" s="374">
        <f>SUM(B54:B55)</f>
        <v>254</v>
      </c>
      <c r="C56" s="18"/>
      <c r="D56" s="1093">
        <f t="shared" si="33"/>
        <v>254</v>
      </c>
      <c r="E56" s="375">
        <f>+D56/B56</f>
        <v>1</v>
      </c>
      <c r="F56" s="2"/>
      <c r="G56" s="374">
        <f>SUM(G54:G55)</f>
        <v>461</v>
      </c>
      <c r="H56" s="18"/>
      <c r="I56" s="1093">
        <f t="shared" si="34"/>
        <v>461</v>
      </c>
      <c r="J56" s="375">
        <f>+I56/G56</f>
        <v>1</v>
      </c>
      <c r="K56" s="2"/>
      <c r="L56" s="374">
        <f>SUM(L54:L55)</f>
        <v>2072</v>
      </c>
      <c r="M56" s="18">
        <f>SUM(M54:M55)</f>
        <v>-40</v>
      </c>
      <c r="N56" s="1093">
        <f t="shared" si="35"/>
        <v>2032</v>
      </c>
      <c r="O56" s="375">
        <f t="shared" si="28"/>
        <v>0.98069498069498073</v>
      </c>
      <c r="P56" s="2"/>
      <c r="Q56" s="374">
        <f>SUM(Q54:Q55)</f>
        <v>459</v>
      </c>
      <c r="R56" s="18"/>
      <c r="S56" s="1093">
        <f t="shared" si="36"/>
        <v>459</v>
      </c>
      <c r="T56" s="375">
        <f t="shared" si="29"/>
        <v>1</v>
      </c>
      <c r="U56" s="2"/>
      <c r="V56" s="374">
        <f>SUM(V54:V55)</f>
        <v>585</v>
      </c>
      <c r="W56" s="18">
        <f>SUM(W54:W55)</f>
        <v>0</v>
      </c>
      <c r="X56" s="1093">
        <f t="shared" si="37"/>
        <v>585</v>
      </c>
      <c r="Y56" s="375">
        <f t="shared" si="30"/>
        <v>1</v>
      </c>
      <c r="Z56" s="1250"/>
      <c r="AA56" s="374">
        <f>SUM(AA54:AA55)</f>
        <v>323</v>
      </c>
      <c r="AB56" s="18"/>
      <c r="AC56" s="1093">
        <f t="shared" si="38"/>
        <v>323</v>
      </c>
      <c r="AD56" s="375">
        <f t="shared" si="32"/>
        <v>1</v>
      </c>
      <c r="AE56" s="2"/>
      <c r="AF56" s="374">
        <f>SUM(AF54:AF55)</f>
        <v>115</v>
      </c>
      <c r="AG56" s="18">
        <f>SUM(AG54:AG55)</f>
        <v>0</v>
      </c>
      <c r="AH56" s="1093">
        <f t="shared" si="39"/>
        <v>115</v>
      </c>
      <c r="AI56" s="375">
        <f>+AH56/AF56</f>
        <v>1</v>
      </c>
      <c r="AJ56" s="2"/>
      <c r="AK56" s="2226">
        <f t="shared" si="25"/>
        <v>4269</v>
      </c>
      <c r="AL56" s="2236">
        <f>+C56+H56+M56+R56+W56+AB56+AG56</f>
        <v>-40</v>
      </c>
      <c r="AM56" s="2228">
        <f t="shared" si="40"/>
        <v>4229</v>
      </c>
      <c r="AN56" s="2229">
        <f t="shared" si="31"/>
        <v>0.99063012415085505</v>
      </c>
    </row>
    <row r="57" spans="1:40" ht="14.45" customHeight="1">
      <c r="A57" s="1074" t="s">
        <v>56</v>
      </c>
      <c r="B57" s="111">
        <f>+'[5]bér SSZ'!B46</f>
        <v>0</v>
      </c>
      <c r="C57" s="15"/>
      <c r="D57" s="1094">
        <f t="shared" si="33"/>
        <v>0</v>
      </c>
      <c r="E57" s="369"/>
      <c r="F57" s="2"/>
      <c r="G57" s="111">
        <f>+'[5]bér SSZ'!C46</f>
        <v>0</v>
      </c>
      <c r="H57" s="15"/>
      <c r="I57" s="1094"/>
      <c r="J57" s="369"/>
      <c r="L57" s="121"/>
      <c r="M57" s="15"/>
      <c r="N57" s="1094">
        <f t="shared" si="35"/>
        <v>0</v>
      </c>
      <c r="O57" s="369">
        <f>+N57/M56</f>
        <v>0</v>
      </c>
      <c r="P57" s="2"/>
      <c r="Q57" s="111">
        <f>+'[5]bér SSZ'!E46</f>
        <v>0</v>
      </c>
      <c r="R57" s="15"/>
      <c r="S57" s="1094">
        <f t="shared" si="36"/>
        <v>0</v>
      </c>
      <c r="T57" s="369"/>
      <c r="U57" s="2"/>
      <c r="V57" s="111">
        <f>+'[5]bér SSZ'!F46</f>
        <v>0</v>
      </c>
      <c r="W57" s="15"/>
      <c r="X57" s="1094">
        <f t="shared" si="37"/>
        <v>0</v>
      </c>
      <c r="Y57" s="369"/>
      <c r="Z57" s="2"/>
      <c r="AA57" s="111">
        <f>+'[5]bér SSZ'!G46</f>
        <v>0</v>
      </c>
      <c r="AB57" s="15"/>
      <c r="AC57" s="1094">
        <f t="shared" si="38"/>
        <v>0</v>
      </c>
      <c r="AD57" s="369"/>
      <c r="AE57" s="2"/>
      <c r="AF57" s="111">
        <f>+'[5]bér SSZ'!H46</f>
        <v>0</v>
      </c>
      <c r="AG57" s="15"/>
      <c r="AH57" s="1094">
        <f t="shared" si="39"/>
        <v>0</v>
      </c>
      <c r="AI57" s="369"/>
      <c r="AJ57" s="2"/>
      <c r="AK57" s="2216">
        <f t="shared" si="25"/>
        <v>0</v>
      </c>
      <c r="AL57" s="2217">
        <f>+C57+H57+N56+R57+W57+AB57+AG57</f>
        <v>2032</v>
      </c>
      <c r="AM57" s="2231">
        <f t="shared" si="40"/>
        <v>2032</v>
      </c>
      <c r="AN57" s="2218"/>
    </row>
    <row r="58" spans="1:40" s="368" customFormat="1" ht="14.45" customHeight="1">
      <c r="A58" s="1073" t="s">
        <v>57</v>
      </c>
      <c r="B58" s="915">
        <f>+B40+B47+B54</f>
        <v>273</v>
      </c>
      <c r="C58" s="353"/>
      <c r="D58" s="353">
        <f t="shared" si="33"/>
        <v>273</v>
      </c>
      <c r="E58" s="1660">
        <f>+D58/B58</f>
        <v>1</v>
      </c>
      <c r="F58" s="367"/>
      <c r="G58" s="915">
        <f>+G40+G47+G54</f>
        <v>489</v>
      </c>
      <c r="H58" s="370">
        <f>+H40+H47+H54</f>
        <v>50</v>
      </c>
      <c r="I58" s="353">
        <f t="shared" si="34"/>
        <v>539</v>
      </c>
      <c r="J58" s="1660">
        <f>+I58/G58</f>
        <v>1.1022494887525562</v>
      </c>
      <c r="K58" s="367"/>
      <c r="L58" s="915">
        <f>+L40+L47+L54</f>
        <v>2332</v>
      </c>
      <c r="M58" s="370">
        <f>+M40+M47+M54</f>
        <v>-40</v>
      </c>
      <c r="N58" s="353">
        <f t="shared" si="35"/>
        <v>2292</v>
      </c>
      <c r="O58" s="1660">
        <f t="shared" si="28"/>
        <v>0.98284734133790741</v>
      </c>
      <c r="P58" s="367"/>
      <c r="Q58" s="915">
        <f>+Q40+Q47+Q54</f>
        <v>891</v>
      </c>
      <c r="R58" s="370">
        <f>+R40+R47+R54</f>
        <v>19</v>
      </c>
      <c r="S58" s="353">
        <f t="shared" si="36"/>
        <v>910</v>
      </c>
      <c r="T58" s="1660">
        <f t="shared" si="29"/>
        <v>1.021324354657688</v>
      </c>
      <c r="U58" s="367"/>
      <c r="V58" s="915">
        <f>+V40+V47+V54</f>
        <v>673</v>
      </c>
      <c r="W58" s="370">
        <f>+W40+W47+W54</f>
        <v>57</v>
      </c>
      <c r="X58" s="353">
        <f t="shared" si="37"/>
        <v>730</v>
      </c>
      <c r="Y58" s="1660">
        <f t="shared" si="30"/>
        <v>1.0846953937592867</v>
      </c>
      <c r="Z58" s="367"/>
      <c r="AA58" s="915">
        <f>+AA40+AA47+AA54</f>
        <v>502</v>
      </c>
      <c r="AB58" s="370">
        <f>+AB40+AB47+AB54</f>
        <v>-150</v>
      </c>
      <c r="AC58" s="353">
        <f t="shared" si="38"/>
        <v>352</v>
      </c>
      <c r="AD58" s="1660">
        <f t="shared" si="32"/>
        <v>0.70119521912350602</v>
      </c>
      <c r="AE58" s="367"/>
      <c r="AF58" s="915">
        <f>+AF40+AF47+AF54</f>
        <v>124</v>
      </c>
      <c r="AG58" s="370">
        <f>+AG40+AG47+AG54</f>
        <v>0</v>
      </c>
      <c r="AH58" s="353">
        <f t="shared" si="39"/>
        <v>124</v>
      </c>
      <c r="AI58" s="1660">
        <f>+AH58/AF58</f>
        <v>1</v>
      </c>
      <c r="AJ58" s="367"/>
      <c r="AK58" s="2205">
        <f t="shared" si="25"/>
        <v>5284</v>
      </c>
      <c r="AL58" s="2206">
        <f t="shared" si="7"/>
        <v>-64</v>
      </c>
      <c r="AM58" s="2233">
        <f t="shared" si="40"/>
        <v>5220</v>
      </c>
      <c r="AN58" s="2234">
        <f t="shared" si="31"/>
        <v>0.98788796366389098</v>
      </c>
    </row>
    <row r="59" spans="1:40" s="376" customFormat="1" ht="14.45" customHeight="1">
      <c r="A59" s="1034" t="s">
        <v>58</v>
      </c>
      <c r="B59" s="1239">
        <f>+B41+B48+B55</f>
        <v>0</v>
      </c>
      <c r="C59" s="371"/>
      <c r="D59" s="1092">
        <f t="shared" si="33"/>
        <v>0</v>
      </c>
      <c r="E59" s="1661"/>
      <c r="F59" s="367"/>
      <c r="G59" s="1239">
        <f>+'[5]bér SSZ'!C48</f>
        <v>0</v>
      </c>
      <c r="H59" s="371"/>
      <c r="I59" s="1092">
        <f t="shared" si="34"/>
        <v>0</v>
      </c>
      <c r="J59" s="1661"/>
      <c r="K59" s="367"/>
      <c r="L59" s="1239">
        <f>+'[5]bér SSZ'!D48</f>
        <v>0</v>
      </c>
      <c r="M59" s="371"/>
      <c r="N59" s="1092">
        <f t="shared" si="35"/>
        <v>0</v>
      </c>
      <c r="O59" s="1661"/>
      <c r="P59" s="367"/>
      <c r="Q59" s="1239">
        <f>+'[5]bér SSZ'!E48</f>
        <v>0</v>
      </c>
      <c r="R59" s="371"/>
      <c r="S59" s="1092">
        <f t="shared" si="36"/>
        <v>0</v>
      </c>
      <c r="T59" s="1661"/>
      <c r="U59" s="367"/>
      <c r="V59" s="1239">
        <f>+'[5]bér SSZ'!F48</f>
        <v>0</v>
      </c>
      <c r="W59" s="371"/>
      <c r="X59" s="1092">
        <f t="shared" si="37"/>
        <v>0</v>
      </c>
      <c r="Y59" s="1661"/>
      <c r="Z59" s="367"/>
      <c r="AA59" s="1239">
        <f>+'[5]bér SSZ'!G48</f>
        <v>270</v>
      </c>
      <c r="AB59" s="373">
        <f>+'[5]bér SSZ'!H48</f>
        <v>0</v>
      </c>
      <c r="AC59" s="1092">
        <f t="shared" si="38"/>
        <v>270</v>
      </c>
      <c r="AD59" s="1661">
        <f t="shared" si="32"/>
        <v>1</v>
      </c>
      <c r="AE59" s="367"/>
      <c r="AF59" s="1239">
        <f>+'[5]bér SSZ'!H48</f>
        <v>0</v>
      </c>
      <c r="AG59" s="373"/>
      <c r="AH59" s="1092">
        <f t="shared" si="39"/>
        <v>0</v>
      </c>
      <c r="AI59" s="1661"/>
      <c r="AJ59" s="367"/>
      <c r="AK59" s="2223">
        <f t="shared" si="25"/>
        <v>270</v>
      </c>
      <c r="AL59" s="2224">
        <f t="shared" si="7"/>
        <v>0</v>
      </c>
      <c r="AM59" s="2225">
        <f t="shared" si="40"/>
        <v>270</v>
      </c>
      <c r="AN59" s="2235">
        <f t="shared" si="31"/>
        <v>1</v>
      </c>
    </row>
    <row r="60" spans="1:40" s="21" customFormat="1" ht="14.45" customHeight="1">
      <c r="A60" s="1036" t="s">
        <v>59</v>
      </c>
      <c r="B60" s="374">
        <f>SUM(B57:B59)</f>
        <v>273</v>
      </c>
      <c r="C60" s="1093"/>
      <c r="D60" s="1093">
        <f t="shared" si="33"/>
        <v>273</v>
      </c>
      <c r="E60" s="375">
        <f>+D60/B60</f>
        <v>1</v>
      </c>
      <c r="F60" s="2"/>
      <c r="G60" s="374">
        <f>SUM(G57:G59)</f>
        <v>489</v>
      </c>
      <c r="H60" s="18">
        <f>SUM(H57:H59)</f>
        <v>50</v>
      </c>
      <c r="I60" s="1093">
        <f t="shared" si="34"/>
        <v>539</v>
      </c>
      <c r="J60" s="375">
        <f t="shared" ref="J60:J66" si="41">+I60/G60</f>
        <v>1.1022494887525562</v>
      </c>
      <c r="K60" s="2"/>
      <c r="L60" s="374">
        <f>SUM(L57:L59)</f>
        <v>2332</v>
      </c>
      <c r="M60" s="18">
        <f>SUM(M57:M59)</f>
        <v>-40</v>
      </c>
      <c r="N60" s="1093">
        <f t="shared" si="35"/>
        <v>2292</v>
      </c>
      <c r="O60" s="375">
        <f t="shared" si="28"/>
        <v>0.98284734133790741</v>
      </c>
      <c r="P60" s="2"/>
      <c r="Q60" s="374">
        <f>SUM(Q57:Q59)</f>
        <v>891</v>
      </c>
      <c r="R60" s="18">
        <f>SUM(R57:R59)</f>
        <v>19</v>
      </c>
      <c r="S60" s="1093">
        <f t="shared" si="36"/>
        <v>910</v>
      </c>
      <c r="T60" s="375">
        <f t="shared" si="29"/>
        <v>1.021324354657688</v>
      </c>
      <c r="U60" s="2"/>
      <c r="V60" s="374">
        <f>SUM(V57:V59)</f>
        <v>673</v>
      </c>
      <c r="W60" s="18">
        <f>SUM(W57:W59)</f>
        <v>57</v>
      </c>
      <c r="X60" s="1093">
        <f t="shared" si="37"/>
        <v>730</v>
      </c>
      <c r="Y60" s="375">
        <f t="shared" si="30"/>
        <v>1.0846953937592867</v>
      </c>
      <c r="Z60" s="2"/>
      <c r="AA60" s="374">
        <f>SUM(AA58:AA59)</f>
        <v>772</v>
      </c>
      <c r="AB60" s="18">
        <f>SUM(AB58:AB59)</f>
        <v>-150</v>
      </c>
      <c r="AC60" s="1093">
        <f t="shared" si="38"/>
        <v>622</v>
      </c>
      <c r="AD60" s="375">
        <f t="shared" si="32"/>
        <v>0.80569948186528495</v>
      </c>
      <c r="AE60" s="2"/>
      <c r="AF60" s="374">
        <f>SUM(AF57:AF59)</f>
        <v>124</v>
      </c>
      <c r="AG60" s="18">
        <f>SUM(AG57:AG59)</f>
        <v>0</v>
      </c>
      <c r="AH60" s="1093">
        <f t="shared" si="39"/>
        <v>124</v>
      </c>
      <c r="AI60" s="375">
        <f t="shared" ref="AI60:AI65" si="42">+AH60/AF60</f>
        <v>1</v>
      </c>
      <c r="AJ60" s="2"/>
      <c r="AK60" s="2226">
        <f t="shared" ref="AK60:AK91" si="43">+B60+G60+L60+Q60+V60+AA60+AF60</f>
        <v>5554</v>
      </c>
      <c r="AL60" s="2227">
        <f t="shared" si="7"/>
        <v>-64</v>
      </c>
      <c r="AM60" s="2228">
        <f t="shared" si="40"/>
        <v>5490</v>
      </c>
      <c r="AN60" s="2229">
        <f t="shared" si="31"/>
        <v>0.98847677349657903</v>
      </c>
    </row>
    <row r="61" spans="1:40" s="21" customFormat="1" ht="14.45" customHeight="1">
      <c r="A61" s="1036" t="s">
        <v>382</v>
      </c>
      <c r="B61" s="374">
        <f>+'[5]bér SSZ'!B50</f>
        <v>0</v>
      </c>
      <c r="C61" s="18"/>
      <c r="D61" s="1093">
        <f t="shared" si="33"/>
        <v>0</v>
      </c>
      <c r="E61" s="375"/>
      <c r="F61" s="2"/>
      <c r="G61" s="374">
        <f>+'[5]bér SSZ'!C50</f>
        <v>235</v>
      </c>
      <c r="H61" s="18">
        <f>+[3]Seg.Szolgálat!$D$21</f>
        <v>-181</v>
      </c>
      <c r="I61" s="1093">
        <f t="shared" si="34"/>
        <v>54</v>
      </c>
      <c r="J61" s="375">
        <f t="shared" si="41"/>
        <v>0.22978723404255319</v>
      </c>
      <c r="K61" s="2"/>
      <c r="L61" s="374">
        <f>+'[5]bér SSZ'!D50</f>
        <v>0</v>
      </c>
      <c r="M61" s="18"/>
      <c r="N61" s="1093">
        <f t="shared" si="35"/>
        <v>0</v>
      </c>
      <c r="O61" s="375"/>
      <c r="P61" s="2"/>
      <c r="Q61" s="374">
        <f>+'[5]bér SSZ'!E50</f>
        <v>135</v>
      </c>
      <c r="R61" s="18">
        <f>+[3]Seg.Szolgálat!$D$4+[3]Seg.Szolgálat!$D$70+[3]Seg.Szolgálat!$D$97</f>
        <v>1494</v>
      </c>
      <c r="S61" s="1093">
        <f t="shared" si="36"/>
        <v>1629</v>
      </c>
      <c r="T61" s="375">
        <f t="shared" si="29"/>
        <v>12.066666666666666</v>
      </c>
      <c r="U61" s="2"/>
      <c r="V61" s="374">
        <f>+'[5]bér SSZ'!F50</f>
        <v>50</v>
      </c>
      <c r="W61" s="18"/>
      <c r="X61" s="1093">
        <f t="shared" si="37"/>
        <v>50</v>
      </c>
      <c r="Y61" s="375">
        <f t="shared" si="30"/>
        <v>1</v>
      </c>
      <c r="Z61" s="2"/>
      <c r="AA61" s="374">
        <f>+'[5]bér SSZ'!G50</f>
        <v>110</v>
      </c>
      <c r="AB61" s="18">
        <f>+[3]Seg.Szolgálat!$D$38</f>
        <v>250</v>
      </c>
      <c r="AC61" s="1093">
        <f t="shared" si="38"/>
        <v>360</v>
      </c>
      <c r="AD61" s="375">
        <f t="shared" si="32"/>
        <v>3.2727272727272729</v>
      </c>
      <c r="AE61" s="2"/>
      <c r="AF61" s="374">
        <f>+'[5]bér SSZ'!H50</f>
        <v>50</v>
      </c>
      <c r="AG61" s="18"/>
      <c r="AH61" s="1093">
        <f t="shared" si="39"/>
        <v>50</v>
      </c>
      <c r="AI61" s="375">
        <f t="shared" si="42"/>
        <v>1</v>
      </c>
      <c r="AJ61" s="2"/>
      <c r="AK61" s="2226">
        <f t="shared" si="43"/>
        <v>580</v>
      </c>
      <c r="AL61" s="2227">
        <f t="shared" si="7"/>
        <v>1563</v>
      </c>
      <c r="AM61" s="2228">
        <f t="shared" si="40"/>
        <v>2143</v>
      </c>
      <c r="AN61" s="2229">
        <f t="shared" si="31"/>
        <v>3.6948275862068964</v>
      </c>
    </row>
    <row r="62" spans="1:40" s="21" customFormat="1" ht="14.45" customHeight="1">
      <c r="A62" s="1257" t="s">
        <v>61</v>
      </c>
      <c r="B62" s="127">
        <f>+B34+B60+B61</f>
        <v>4048</v>
      </c>
      <c r="C62" s="128">
        <f>+C34+C60+C61</f>
        <v>0</v>
      </c>
      <c r="D62" s="128">
        <f>+D34+D60+D61</f>
        <v>4048</v>
      </c>
      <c r="E62" s="1440">
        <f>+D62/B62</f>
        <v>1</v>
      </c>
      <c r="F62" s="22"/>
      <c r="G62" s="127">
        <f>+G34+G60+G61</f>
        <v>6904</v>
      </c>
      <c r="H62" s="128">
        <f>+H34+H60+H61</f>
        <v>-131</v>
      </c>
      <c r="I62" s="128">
        <f>+I34+I60+I61</f>
        <v>6773</v>
      </c>
      <c r="J62" s="1440">
        <f t="shared" si="41"/>
        <v>0.98102549246813442</v>
      </c>
      <c r="K62" s="22"/>
      <c r="L62" s="127">
        <f>+L34+L60+L61</f>
        <v>23569</v>
      </c>
      <c r="M62" s="128">
        <f>+M34+M60+M61</f>
        <v>-76</v>
      </c>
      <c r="N62" s="128">
        <f>+N34+N60+N61</f>
        <v>23493</v>
      </c>
      <c r="O62" s="1440">
        <f t="shared" si="28"/>
        <v>0.99677542534685393</v>
      </c>
      <c r="P62" s="22"/>
      <c r="Q62" s="127">
        <f>+Q34+Q60+Q61</f>
        <v>7855</v>
      </c>
      <c r="R62" s="128">
        <f>+R34+R60+R61</f>
        <v>1513</v>
      </c>
      <c r="S62" s="128">
        <f>+S34+S60+S61</f>
        <v>9368</v>
      </c>
      <c r="T62" s="1440">
        <f t="shared" si="29"/>
        <v>1.1926161680458307</v>
      </c>
      <c r="U62" s="22"/>
      <c r="V62" s="127">
        <f>+V34+V60+V61</f>
        <v>7278</v>
      </c>
      <c r="W62" s="128">
        <f>+W34+W60+W61</f>
        <v>77</v>
      </c>
      <c r="X62" s="128">
        <f>+X34+X60+X61</f>
        <v>7355</v>
      </c>
      <c r="Y62" s="1440">
        <f t="shared" si="30"/>
        <v>1.0105798296235229</v>
      </c>
      <c r="Z62" s="22"/>
      <c r="AA62" s="127">
        <f>+AA34+AA60+AA61</f>
        <v>5416</v>
      </c>
      <c r="AB62" s="128">
        <f>+AB34+AB60+AB61</f>
        <v>250</v>
      </c>
      <c r="AC62" s="128">
        <f>+AC34+AC60+AC61</f>
        <v>5666</v>
      </c>
      <c r="AD62" s="1440">
        <f t="shared" si="32"/>
        <v>1.0461595273264401</v>
      </c>
      <c r="AE62" s="22"/>
      <c r="AF62" s="127">
        <f>+AF34+AF60+AF61</f>
        <v>1355</v>
      </c>
      <c r="AG62" s="128">
        <f>+AG34+AG60+AG61</f>
        <v>25</v>
      </c>
      <c r="AH62" s="128">
        <f>+AH34+AH60+AH61</f>
        <v>1380</v>
      </c>
      <c r="AI62" s="1440">
        <f t="shared" si="42"/>
        <v>1.018450184501845</v>
      </c>
      <c r="AJ62" s="22"/>
      <c r="AK62" s="2237">
        <f t="shared" si="43"/>
        <v>56425</v>
      </c>
      <c r="AL62" s="2238">
        <f t="shared" si="7"/>
        <v>1658</v>
      </c>
      <c r="AM62" s="2239">
        <f>+AM34+AM60+AM61</f>
        <v>58083</v>
      </c>
      <c r="AN62" s="2240">
        <f t="shared" si="31"/>
        <v>1.0293841382365974</v>
      </c>
    </row>
    <row r="63" spans="1:40" s="21" customFormat="1" ht="14.45" customHeight="1">
      <c r="A63" s="1257" t="s">
        <v>62</v>
      </c>
      <c r="B63" s="127">
        <f>+(B62-B56-B46)*0.27</f>
        <v>1019.2500000000001</v>
      </c>
      <c r="C63" s="128">
        <f>+(C62-C56-C46)*0.27</f>
        <v>0</v>
      </c>
      <c r="D63" s="128">
        <f>+(D62-D56-D46)*0.27</f>
        <v>1019.2500000000001</v>
      </c>
      <c r="E63" s="1440">
        <f>+D63/B63</f>
        <v>1</v>
      </c>
      <c r="F63" s="22"/>
      <c r="G63" s="127">
        <f>+(G62-G46-G56)*0.27</f>
        <v>1732.0500000000002</v>
      </c>
      <c r="H63" s="128">
        <f>+(H62-H46-H56)*0.27</f>
        <v>-48.870000000000005</v>
      </c>
      <c r="I63" s="128">
        <f>+(I62-I56-I46)*0.27</f>
        <v>1683.18</v>
      </c>
      <c r="J63" s="1440">
        <f t="shared" si="41"/>
        <v>0.97178487918939982</v>
      </c>
      <c r="K63" s="22"/>
      <c r="L63" s="127">
        <f>+(L62-L46-L56)*0.27</f>
        <v>5760.9900000000007</v>
      </c>
      <c r="M63" s="128">
        <f>+[3]Seg.Szolgálat!$E$64</f>
        <v>-10</v>
      </c>
      <c r="N63" s="128">
        <f>+(N62-N56-N46)*0.27</f>
        <v>5751.27</v>
      </c>
      <c r="O63" s="1440">
        <f t="shared" si="28"/>
        <v>0.99831278998922057</v>
      </c>
      <c r="P63" s="22"/>
      <c r="Q63" s="127">
        <f>+(Q62-Q46-Q49)*0.27</f>
        <v>2015.5500000000002</v>
      </c>
      <c r="R63" s="128">
        <f>+[3]Seg.Szolgálat!$E$6+[3]Seg.Szolgálat!$E$98</f>
        <v>381</v>
      </c>
      <c r="S63" s="128">
        <f>SUM(Q63:R63)</f>
        <v>2396.5500000000002</v>
      </c>
      <c r="T63" s="1440">
        <f t="shared" si="29"/>
        <v>1.1890302894991442</v>
      </c>
      <c r="U63" s="22"/>
      <c r="V63" s="127">
        <f>+(V62-V46-V56)*0.27</f>
        <v>1796.8500000000001</v>
      </c>
      <c r="W63" s="128">
        <f>+(W62-W46-W56)*0.27</f>
        <v>20.790000000000003</v>
      </c>
      <c r="X63" s="128">
        <f>+(X62-X56-X46)*0.27</f>
        <v>1817.64</v>
      </c>
      <c r="Y63" s="1440">
        <f t="shared" si="30"/>
        <v>1.0115702479338842</v>
      </c>
      <c r="Z63" s="22"/>
      <c r="AA63" s="127">
        <f>+(AA62-AA46-AA56)*0.27</f>
        <v>1303.2900000000002</v>
      </c>
      <c r="AB63" s="128">
        <f>+[3]Seg.Szolgálat!$E$39</f>
        <v>68</v>
      </c>
      <c r="AC63" s="128">
        <f>+(AC62-AC56-AC46)*0.27</f>
        <v>1370.7900000000002</v>
      </c>
      <c r="AD63" s="1440">
        <f t="shared" si="32"/>
        <v>1.0517920033146881</v>
      </c>
      <c r="AE63" s="22"/>
      <c r="AF63" s="127">
        <f>+(AF62-AF46-AF49)*0.27</f>
        <v>360.99</v>
      </c>
      <c r="AG63" s="128">
        <f>+[3]Seg.Szolgálat!$D$87</f>
        <v>6</v>
      </c>
      <c r="AH63" s="128">
        <f>SUM(AF63:AG63)</f>
        <v>366.99</v>
      </c>
      <c r="AI63" s="1440">
        <f t="shared" si="42"/>
        <v>1.016620959029336</v>
      </c>
      <c r="AJ63" s="22"/>
      <c r="AK63" s="2237">
        <f t="shared" si="43"/>
        <v>13988.970000000001</v>
      </c>
      <c r="AL63" s="2238">
        <f t="shared" si="7"/>
        <v>416.92</v>
      </c>
      <c r="AM63" s="2239">
        <f>SUM(AK63:AL63)</f>
        <v>14405.890000000001</v>
      </c>
      <c r="AN63" s="2240">
        <f t="shared" si="31"/>
        <v>1.0298034808852974</v>
      </c>
    </row>
    <row r="64" spans="1:40" s="21" customFormat="1" ht="14.45" customHeight="1">
      <c r="A64" s="1257" t="s">
        <v>63</v>
      </c>
      <c r="B64" s="127">
        <f>SUM(B62:B63)</f>
        <v>5067.25</v>
      </c>
      <c r="C64" s="128">
        <f>SUM(C62:C63)</f>
        <v>0</v>
      </c>
      <c r="D64" s="128">
        <f>SUM(D62:D63)</f>
        <v>5067.25</v>
      </c>
      <c r="E64" s="1440">
        <f>+D64/B64</f>
        <v>1</v>
      </c>
      <c r="F64" s="22"/>
      <c r="G64" s="127">
        <f>SUM(G62:G63)</f>
        <v>8636.0499999999993</v>
      </c>
      <c r="H64" s="128">
        <f>SUM(H62:H63)</f>
        <v>-179.87</v>
      </c>
      <c r="I64" s="128">
        <f>SUM(I62:I63)</f>
        <v>8456.18</v>
      </c>
      <c r="J64" s="1440">
        <f t="shared" si="41"/>
        <v>0.979172190990094</v>
      </c>
      <c r="K64" s="22"/>
      <c r="L64" s="127">
        <f>SUM(L62:L63)</f>
        <v>29329.99</v>
      </c>
      <c r="M64" s="128">
        <f>SUM(M62:M63)</f>
        <v>-86</v>
      </c>
      <c r="N64" s="128">
        <f>SUM(N62:N63)</f>
        <v>29244.27</v>
      </c>
      <c r="O64" s="1440">
        <f t="shared" si="28"/>
        <v>0.99707739416208452</v>
      </c>
      <c r="P64" s="22"/>
      <c r="Q64" s="127">
        <f>SUM(Q62:Q63)</f>
        <v>9870.5499999999993</v>
      </c>
      <c r="R64" s="128">
        <f>SUM(R62:R63)</f>
        <v>1894</v>
      </c>
      <c r="S64" s="128">
        <f>SUM(S62:S63)</f>
        <v>11764.55</v>
      </c>
      <c r="T64" s="1440">
        <f t="shared" si="29"/>
        <v>1.1918839375718679</v>
      </c>
      <c r="U64" s="22"/>
      <c r="V64" s="127">
        <f>SUM(V62:V63)</f>
        <v>9074.85</v>
      </c>
      <c r="W64" s="128">
        <f>SUM(W62:W63)</f>
        <v>97.79</v>
      </c>
      <c r="X64" s="128">
        <f>SUM(X62:X63)</f>
        <v>9172.64</v>
      </c>
      <c r="Y64" s="1440">
        <f t="shared" si="30"/>
        <v>1.0107759356903969</v>
      </c>
      <c r="Z64" s="22"/>
      <c r="AA64" s="127">
        <f>SUM(AA62:AA63)</f>
        <v>6719.29</v>
      </c>
      <c r="AB64" s="128">
        <f>SUM(AB62:AB63)</f>
        <v>318</v>
      </c>
      <c r="AC64" s="128">
        <f>SUM(AC62:AC63)</f>
        <v>7036.79</v>
      </c>
      <c r="AD64" s="1440">
        <f t="shared" si="32"/>
        <v>1.047252016210046</v>
      </c>
      <c r="AE64" s="22"/>
      <c r="AF64" s="127">
        <f>SUM(AF62:AF63)</f>
        <v>1715.99</v>
      </c>
      <c r="AG64" s="128">
        <f>SUM(AG62:AG63)</f>
        <v>31</v>
      </c>
      <c r="AH64" s="128">
        <f>SUM(AH62:AH63)</f>
        <v>1746.99</v>
      </c>
      <c r="AI64" s="1440">
        <f t="shared" si="42"/>
        <v>1.0180653733413365</v>
      </c>
      <c r="AJ64" s="22"/>
      <c r="AK64" s="2237">
        <f>+B64+G64+L64+Q64+V64+AA64+AF64</f>
        <v>70413.97</v>
      </c>
      <c r="AL64" s="2238">
        <f t="shared" si="7"/>
        <v>2074.92</v>
      </c>
      <c r="AM64" s="2239">
        <f>SUM(AM62:AM63)</f>
        <v>72488.89</v>
      </c>
      <c r="AN64" s="2240">
        <f t="shared" si="31"/>
        <v>1.0294674480078314</v>
      </c>
    </row>
    <row r="65" spans="1:40" ht="14.45" customHeight="1">
      <c r="A65" s="14" t="s">
        <v>64</v>
      </c>
      <c r="B65" s="111">
        <f>+[7]SSZ!B4</f>
        <v>10</v>
      </c>
      <c r="C65" s="15">
        <f>+[3]Seg.Szolgálat!$F$77</f>
        <v>10</v>
      </c>
      <c r="D65" s="15">
        <f t="shared" ref="D65:D74" si="44">SUM(B65:C65)</f>
        <v>20</v>
      </c>
      <c r="E65" s="369">
        <f>+D65/B65</f>
        <v>2</v>
      </c>
      <c r="G65" s="111">
        <f>+[7]SSZ!E4</f>
        <v>20</v>
      </c>
      <c r="H65" s="15"/>
      <c r="I65" s="15">
        <f t="shared" ref="I65:I74" si="45">SUM(G65:H65)</f>
        <v>20</v>
      </c>
      <c r="J65" s="369">
        <f t="shared" si="41"/>
        <v>1</v>
      </c>
      <c r="L65" s="111">
        <f>+[7]SSZ!H4</f>
        <v>30</v>
      </c>
      <c r="M65" s="15">
        <f>+[3]Seg.Szolgálat!$F$68</f>
        <v>-10</v>
      </c>
      <c r="N65" s="15">
        <f t="shared" ref="N65:N74" si="46">SUM(L65:M65)</f>
        <v>20</v>
      </c>
      <c r="O65" s="369">
        <f t="shared" si="28"/>
        <v>0.66666666666666663</v>
      </c>
      <c r="Q65" s="111">
        <f>+[7]SSZ!K4</f>
        <v>20</v>
      </c>
      <c r="R65" s="15">
        <f>+[3]Seg.Szolgálat!$L$8</f>
        <v>8</v>
      </c>
      <c r="S65" s="15">
        <f t="shared" ref="S65:S74" si="47">SUM(Q65:R65)</f>
        <v>28</v>
      </c>
      <c r="T65" s="369">
        <f t="shared" si="29"/>
        <v>1.4</v>
      </c>
      <c r="V65" s="111">
        <f>+[7]SSZ!N4</f>
        <v>10</v>
      </c>
      <c r="W65" s="15"/>
      <c r="X65" s="15">
        <f t="shared" ref="X65:X74" si="48">SUM(V65:W65)</f>
        <v>10</v>
      </c>
      <c r="Y65" s="369">
        <f t="shared" si="30"/>
        <v>1</v>
      </c>
      <c r="AA65" s="111">
        <f>+[7]SSZ!Q4</f>
        <v>20</v>
      </c>
      <c r="AB65" s="15"/>
      <c r="AC65" s="15">
        <f t="shared" ref="AC65:AC74" si="49">SUM(AA65:AB65)</f>
        <v>20</v>
      </c>
      <c r="AD65" s="369">
        <f t="shared" si="32"/>
        <v>1</v>
      </c>
      <c r="AF65" s="111">
        <f>+[7]SSZ!T4</f>
        <v>10</v>
      </c>
      <c r="AG65" s="15"/>
      <c r="AH65" s="15">
        <f t="shared" ref="AH65:AH74" si="50">SUM(AF65:AG65)</f>
        <v>10</v>
      </c>
      <c r="AI65" s="369">
        <f t="shared" si="42"/>
        <v>1</v>
      </c>
      <c r="AJ65" s="98"/>
      <c r="AK65" s="2216">
        <f t="shared" si="43"/>
        <v>120</v>
      </c>
      <c r="AL65" s="2230">
        <f t="shared" si="7"/>
        <v>8</v>
      </c>
      <c r="AM65" s="2217">
        <f t="shared" ref="AM65:AM74" si="51">SUM(AK65:AL65)</f>
        <v>128</v>
      </c>
      <c r="AN65" s="2218">
        <f t="shared" si="31"/>
        <v>1.0666666666666667</v>
      </c>
    </row>
    <row r="66" spans="1:40" ht="14.45" customHeight="1">
      <c r="A66" s="14" t="s">
        <v>65</v>
      </c>
      <c r="B66" s="111">
        <f>+[7]SSZ!B5</f>
        <v>0</v>
      </c>
      <c r="C66" s="15"/>
      <c r="D66" s="15">
        <f t="shared" si="44"/>
        <v>0</v>
      </c>
      <c r="E66" s="369"/>
      <c r="G66" s="111">
        <f>+[7]SSZ!E5</f>
        <v>10</v>
      </c>
      <c r="H66" s="15">
        <f>+[3]Seg.Szolgálat!$L$24</f>
        <v>9</v>
      </c>
      <c r="I66" s="15">
        <f t="shared" si="45"/>
        <v>19</v>
      </c>
      <c r="J66" s="369">
        <f t="shared" si="41"/>
        <v>1.9</v>
      </c>
      <c r="L66" s="111">
        <f>+[7]SSZ!H5</f>
        <v>0</v>
      </c>
      <c r="M66" s="15"/>
      <c r="N66" s="15">
        <f t="shared" si="46"/>
        <v>0</v>
      </c>
      <c r="O66" s="369"/>
      <c r="Q66" s="111">
        <f>+[7]SSZ!K5</f>
        <v>8</v>
      </c>
      <c r="R66" s="15">
        <f>+[3]Seg.Szolgálat!$L$7</f>
        <v>-8</v>
      </c>
      <c r="S66" s="15">
        <f t="shared" si="47"/>
        <v>0</v>
      </c>
      <c r="T66" s="369">
        <f t="shared" si="29"/>
        <v>0</v>
      </c>
      <c r="V66" s="111">
        <f>+[7]SSZ!N5</f>
        <v>0</v>
      </c>
      <c r="W66" s="15"/>
      <c r="X66" s="15">
        <f t="shared" si="48"/>
        <v>0</v>
      </c>
      <c r="Y66" s="369"/>
      <c r="AA66" s="111">
        <v>7</v>
      </c>
      <c r="AB66" s="15"/>
      <c r="AC66" s="15">
        <f t="shared" si="49"/>
        <v>7</v>
      </c>
      <c r="AD66" s="369">
        <f t="shared" si="32"/>
        <v>1</v>
      </c>
      <c r="AF66" s="111">
        <f>+[7]SSZ!T5</f>
        <v>0</v>
      </c>
      <c r="AG66" s="15"/>
      <c r="AH66" s="15">
        <f t="shared" si="50"/>
        <v>0</v>
      </c>
      <c r="AI66" s="369"/>
      <c r="AJ66" s="98"/>
      <c r="AK66" s="2204">
        <f t="shared" si="43"/>
        <v>25</v>
      </c>
      <c r="AL66" s="2201">
        <f t="shared" si="7"/>
        <v>1</v>
      </c>
      <c r="AM66" s="2217">
        <f t="shared" si="51"/>
        <v>26</v>
      </c>
      <c r="AN66" s="2218">
        <f t="shared" si="31"/>
        <v>1.04</v>
      </c>
    </row>
    <row r="67" spans="1:40" ht="14.45" customHeight="1">
      <c r="A67" s="14" t="s">
        <v>66</v>
      </c>
      <c r="B67" s="111">
        <f>+[7]SSZ!B6</f>
        <v>0</v>
      </c>
      <c r="C67" s="15"/>
      <c r="D67" s="15">
        <f t="shared" si="44"/>
        <v>0</v>
      </c>
      <c r="E67" s="369"/>
      <c r="G67" s="111">
        <f>+[7]SSZ!E6</f>
        <v>0</v>
      </c>
      <c r="H67" s="15"/>
      <c r="I67" s="15">
        <f t="shared" si="45"/>
        <v>0</v>
      </c>
      <c r="J67" s="369"/>
      <c r="L67" s="111">
        <f>+[7]SSZ!H6</f>
        <v>0</v>
      </c>
      <c r="M67" s="15"/>
      <c r="N67" s="15">
        <f t="shared" si="46"/>
        <v>0</v>
      </c>
      <c r="O67" s="369"/>
      <c r="Q67" s="111">
        <f>+[7]SSZ!K6</f>
        <v>0</v>
      </c>
      <c r="R67" s="15"/>
      <c r="S67" s="15">
        <f t="shared" si="47"/>
        <v>0</v>
      </c>
      <c r="T67" s="369"/>
      <c r="V67" s="111">
        <f>+[7]SSZ!N6</f>
        <v>0</v>
      </c>
      <c r="W67" s="15"/>
      <c r="X67" s="15">
        <f t="shared" si="48"/>
        <v>0</v>
      </c>
      <c r="Y67" s="369"/>
      <c r="AA67" s="111">
        <f>+[7]SSZ!Q6</f>
        <v>0</v>
      </c>
      <c r="AB67" s="15"/>
      <c r="AC67" s="15">
        <f t="shared" si="49"/>
        <v>0</v>
      </c>
      <c r="AD67" s="369"/>
      <c r="AF67" s="111">
        <f>+[7]SSZ!T6</f>
        <v>0</v>
      </c>
      <c r="AG67" s="15"/>
      <c r="AH67" s="15">
        <f t="shared" si="50"/>
        <v>0</v>
      </c>
      <c r="AI67" s="369"/>
      <c r="AJ67" s="98"/>
      <c r="AK67" s="2204">
        <f t="shared" si="43"/>
        <v>0</v>
      </c>
      <c r="AL67" s="2201">
        <f t="shared" si="7"/>
        <v>0</v>
      </c>
      <c r="AM67" s="2217">
        <f t="shared" si="51"/>
        <v>0</v>
      </c>
      <c r="AN67" s="2218"/>
    </row>
    <row r="68" spans="1:40" ht="14.45" customHeight="1">
      <c r="A68" s="14" t="s">
        <v>67</v>
      </c>
      <c r="B68" s="111">
        <f>+[7]SSZ!B7</f>
        <v>10</v>
      </c>
      <c r="C68" s="15">
        <f>+[3]Seg.Szolgálat!$F$76</f>
        <v>-10</v>
      </c>
      <c r="D68" s="15">
        <f t="shared" si="44"/>
        <v>0</v>
      </c>
      <c r="E68" s="369">
        <f>+D68/B68</f>
        <v>0</v>
      </c>
      <c r="G68" s="111">
        <f>+[7]SSZ!E7</f>
        <v>0</v>
      </c>
      <c r="H68" s="15"/>
      <c r="I68" s="15">
        <f t="shared" si="45"/>
        <v>0</v>
      </c>
      <c r="J68" s="369"/>
      <c r="L68" s="111">
        <f>+[7]SSZ!H7</f>
        <v>10</v>
      </c>
      <c r="M68" s="15">
        <f>+[3]Seg.Szolgálat!$F$67</f>
        <v>-10</v>
      </c>
      <c r="N68" s="15">
        <f t="shared" si="46"/>
        <v>0</v>
      </c>
      <c r="O68" s="369">
        <f t="shared" si="28"/>
        <v>0</v>
      </c>
      <c r="Q68" s="111">
        <f>+[7]SSZ!K7</f>
        <v>0</v>
      </c>
      <c r="R68" s="15"/>
      <c r="S68" s="15">
        <f t="shared" si="47"/>
        <v>0</v>
      </c>
      <c r="T68" s="369"/>
      <c r="V68" s="111">
        <f>+[7]SSZ!N7</f>
        <v>0</v>
      </c>
      <c r="W68" s="15"/>
      <c r="X68" s="15">
        <f t="shared" si="48"/>
        <v>0</v>
      </c>
      <c r="Y68" s="369"/>
      <c r="AA68" s="111">
        <f>+[7]SSZ!Q7</f>
        <v>0</v>
      </c>
      <c r="AB68" s="15"/>
      <c r="AC68" s="15">
        <f t="shared" si="49"/>
        <v>0</v>
      </c>
      <c r="AD68" s="369"/>
      <c r="AF68" s="111">
        <f>+[7]SSZ!T7</f>
        <v>0</v>
      </c>
      <c r="AG68" s="15"/>
      <c r="AH68" s="15">
        <f t="shared" si="50"/>
        <v>0</v>
      </c>
      <c r="AI68" s="369"/>
      <c r="AJ68" s="98"/>
      <c r="AK68" s="2204">
        <f t="shared" si="43"/>
        <v>20</v>
      </c>
      <c r="AL68" s="2201">
        <f t="shared" si="7"/>
        <v>-20</v>
      </c>
      <c r="AM68" s="2217">
        <f t="shared" si="51"/>
        <v>0</v>
      </c>
      <c r="AN68" s="2218">
        <f t="shared" si="31"/>
        <v>0</v>
      </c>
    </row>
    <row r="69" spans="1:40" ht="14.45" customHeight="1">
      <c r="A69" s="14" t="s">
        <v>68</v>
      </c>
      <c r="B69" s="111">
        <f>+[7]SSZ!B8</f>
        <v>0</v>
      </c>
      <c r="C69" s="15"/>
      <c r="D69" s="15">
        <f t="shared" si="44"/>
        <v>0</v>
      </c>
      <c r="E69" s="369"/>
      <c r="G69" s="111">
        <f>+[7]SSZ!E8</f>
        <v>0</v>
      </c>
      <c r="H69" s="15"/>
      <c r="I69" s="15">
        <f t="shared" si="45"/>
        <v>0</v>
      </c>
      <c r="J69" s="369"/>
      <c r="L69" s="111">
        <f>+[7]SSZ!H8</f>
        <v>300</v>
      </c>
      <c r="M69" s="15"/>
      <c r="N69" s="15">
        <f t="shared" si="46"/>
        <v>300</v>
      </c>
      <c r="O69" s="369">
        <f t="shared" si="28"/>
        <v>1</v>
      </c>
      <c r="Q69" s="111">
        <f>+[7]SSZ!K8</f>
        <v>0</v>
      </c>
      <c r="R69" s="15"/>
      <c r="S69" s="15">
        <f t="shared" si="47"/>
        <v>0</v>
      </c>
      <c r="T69" s="369"/>
      <c r="V69" s="111">
        <f>+[7]SSZ!N8</f>
        <v>750</v>
      </c>
      <c r="W69" s="15"/>
      <c r="X69" s="15">
        <f t="shared" si="48"/>
        <v>750</v>
      </c>
      <c r="Y69" s="369">
        <f t="shared" si="30"/>
        <v>1</v>
      </c>
      <c r="AA69" s="111">
        <f>+[7]SSZ!Q8</f>
        <v>100</v>
      </c>
      <c r="AB69" s="15">
        <f>+[3]Seg.Szolgálat!$F$37</f>
        <v>-100</v>
      </c>
      <c r="AC69" s="15">
        <f t="shared" si="49"/>
        <v>0</v>
      </c>
      <c r="AD69" s="369">
        <f t="shared" si="32"/>
        <v>0</v>
      </c>
      <c r="AF69" s="111">
        <f>+[7]SSZ!T8</f>
        <v>960</v>
      </c>
      <c r="AG69" s="15"/>
      <c r="AH69" s="15">
        <f t="shared" si="50"/>
        <v>960</v>
      </c>
      <c r="AI69" s="369">
        <f>+AH69/AF69</f>
        <v>1</v>
      </c>
      <c r="AJ69" s="98"/>
      <c r="AK69" s="2204">
        <f t="shared" si="43"/>
        <v>2110</v>
      </c>
      <c r="AL69" s="2201">
        <f t="shared" si="7"/>
        <v>-100</v>
      </c>
      <c r="AM69" s="2217">
        <f t="shared" si="51"/>
        <v>2010</v>
      </c>
      <c r="AN69" s="2218">
        <f t="shared" si="31"/>
        <v>0.95260663507109</v>
      </c>
    </row>
    <row r="70" spans="1:40" ht="14.45" customHeight="1">
      <c r="A70" s="14" t="s">
        <v>69</v>
      </c>
      <c r="B70" s="111">
        <f>+[7]SSZ!B9</f>
        <v>0</v>
      </c>
      <c r="C70" s="15"/>
      <c r="D70" s="15">
        <f t="shared" si="44"/>
        <v>0</v>
      </c>
      <c r="E70" s="369"/>
      <c r="G70" s="111">
        <f>+[7]SSZ!E9</f>
        <v>10</v>
      </c>
      <c r="H70" s="15"/>
      <c r="I70" s="15">
        <f t="shared" si="45"/>
        <v>10</v>
      </c>
      <c r="J70" s="369">
        <f>+I70/G70</f>
        <v>1</v>
      </c>
      <c r="L70" s="111">
        <f>+[7]SSZ!H9</f>
        <v>20</v>
      </c>
      <c r="M70" s="15"/>
      <c r="N70" s="15">
        <f t="shared" si="46"/>
        <v>20</v>
      </c>
      <c r="O70" s="369">
        <f t="shared" si="28"/>
        <v>1</v>
      </c>
      <c r="Q70" s="111">
        <f>+[7]SSZ!K9</f>
        <v>10</v>
      </c>
      <c r="R70" s="15"/>
      <c r="S70" s="15">
        <f t="shared" si="47"/>
        <v>10</v>
      </c>
      <c r="T70" s="369">
        <f t="shared" si="29"/>
        <v>1</v>
      </c>
      <c r="V70" s="111">
        <f>+[7]SSZ!N9</f>
        <v>80</v>
      </c>
      <c r="W70" s="15">
        <f>+[3]Seg.Szolgálat!$F$54</f>
        <v>-71</v>
      </c>
      <c r="X70" s="15">
        <f t="shared" si="48"/>
        <v>9</v>
      </c>
      <c r="Y70" s="369">
        <f t="shared" si="30"/>
        <v>0.1125</v>
      </c>
      <c r="AA70" s="111">
        <f>+[7]SSZ!Q9</f>
        <v>80</v>
      </c>
      <c r="AB70" s="15"/>
      <c r="AC70" s="15">
        <f t="shared" si="49"/>
        <v>80</v>
      </c>
      <c r="AD70" s="369">
        <f t="shared" si="32"/>
        <v>1</v>
      </c>
      <c r="AF70" s="111">
        <f>+[7]SSZ!T9</f>
        <v>10</v>
      </c>
      <c r="AG70" s="15"/>
      <c r="AH70" s="15">
        <f t="shared" si="50"/>
        <v>10</v>
      </c>
      <c r="AI70" s="369">
        <f>+AH70/AF70</f>
        <v>1</v>
      </c>
      <c r="AJ70" s="98"/>
      <c r="AK70" s="2204">
        <f t="shared" si="43"/>
        <v>210</v>
      </c>
      <c r="AL70" s="2201">
        <f t="shared" si="7"/>
        <v>-71</v>
      </c>
      <c r="AM70" s="2217">
        <f t="shared" si="51"/>
        <v>139</v>
      </c>
      <c r="AN70" s="2218">
        <f t="shared" si="31"/>
        <v>0.66190476190476188</v>
      </c>
    </row>
    <row r="71" spans="1:40" ht="14.45" customHeight="1">
      <c r="A71" s="14" t="s">
        <v>70</v>
      </c>
      <c r="B71" s="111">
        <f>+[7]SSZ!B10</f>
        <v>0</v>
      </c>
      <c r="C71" s="15">
        <f>+[3]Seg.Szolgálat!$F$81</f>
        <v>23</v>
      </c>
      <c r="D71" s="15">
        <f t="shared" si="44"/>
        <v>23</v>
      </c>
      <c r="E71" s="369"/>
      <c r="G71" s="111">
        <f>+[7]SSZ!E10</f>
        <v>5</v>
      </c>
      <c r="H71" s="15">
        <f>+[3]Seg.Szolgálat!$F$25</f>
        <v>-5</v>
      </c>
      <c r="I71" s="15">
        <f t="shared" si="45"/>
        <v>0</v>
      </c>
      <c r="J71" s="369">
        <f>+I71/G71</f>
        <v>0</v>
      </c>
      <c r="L71" s="111">
        <f>+[7]SSZ!H10</f>
        <v>0</v>
      </c>
      <c r="M71" s="15"/>
      <c r="N71" s="15">
        <f t="shared" si="46"/>
        <v>0</v>
      </c>
      <c r="O71" s="369"/>
      <c r="Q71" s="111">
        <f>+[7]SSZ!K10</f>
        <v>10</v>
      </c>
      <c r="R71" s="15">
        <f>+[3]Seg.Szolgálat!$L$10</f>
        <v>-10</v>
      </c>
      <c r="S71" s="15">
        <f t="shared" si="47"/>
        <v>0</v>
      </c>
      <c r="T71" s="369">
        <f t="shared" si="29"/>
        <v>0</v>
      </c>
      <c r="V71" s="111">
        <f>+[7]SSZ!N10</f>
        <v>0</v>
      </c>
      <c r="W71" s="15"/>
      <c r="X71" s="15">
        <f t="shared" si="48"/>
        <v>0</v>
      </c>
      <c r="Y71" s="369"/>
      <c r="AA71" s="111">
        <f>+[7]SSZ!Q10</f>
        <v>0</v>
      </c>
      <c r="AB71" s="15"/>
      <c r="AC71" s="15">
        <f t="shared" si="49"/>
        <v>0</v>
      </c>
      <c r="AD71" s="369"/>
      <c r="AF71" s="111">
        <f>+[7]SSZ!T10</f>
        <v>0</v>
      </c>
      <c r="AG71" s="15"/>
      <c r="AH71" s="15">
        <f t="shared" si="50"/>
        <v>0</v>
      </c>
      <c r="AI71" s="369"/>
      <c r="AJ71" s="98"/>
      <c r="AK71" s="2204">
        <f t="shared" si="43"/>
        <v>15</v>
      </c>
      <c r="AL71" s="2201">
        <f t="shared" si="7"/>
        <v>8</v>
      </c>
      <c r="AM71" s="2217">
        <f t="shared" si="51"/>
        <v>23</v>
      </c>
      <c r="AN71" s="2218">
        <f t="shared" si="31"/>
        <v>1.5333333333333334</v>
      </c>
    </row>
    <row r="72" spans="1:40" ht="14.45" customHeight="1">
      <c r="A72" s="14" t="s">
        <v>71</v>
      </c>
      <c r="B72" s="111">
        <f>+[7]SSZ!B11</f>
        <v>0</v>
      </c>
      <c r="C72" s="15"/>
      <c r="D72" s="15">
        <f t="shared" si="44"/>
        <v>0</v>
      </c>
      <c r="E72" s="369"/>
      <c r="G72" s="111">
        <f>+[7]SSZ!E11</f>
        <v>0</v>
      </c>
      <c r="H72" s="15"/>
      <c r="I72" s="15">
        <f t="shared" si="45"/>
        <v>0</v>
      </c>
      <c r="J72" s="369"/>
      <c r="L72" s="111">
        <f>+[7]SSZ!H11</f>
        <v>0</v>
      </c>
      <c r="M72" s="15"/>
      <c r="N72" s="15">
        <f t="shared" si="46"/>
        <v>0</v>
      </c>
      <c r="O72" s="369"/>
      <c r="Q72" s="111">
        <f>+[7]SSZ!K11</f>
        <v>0</v>
      </c>
      <c r="R72" s="15"/>
      <c r="S72" s="15">
        <f t="shared" si="47"/>
        <v>0</v>
      </c>
      <c r="T72" s="369"/>
      <c r="V72" s="111">
        <f>+[7]SSZ!N11</f>
        <v>0</v>
      </c>
      <c r="W72" s="15"/>
      <c r="X72" s="15">
        <f t="shared" si="48"/>
        <v>0</v>
      </c>
      <c r="Y72" s="369"/>
      <c r="AA72" s="111">
        <f>+[7]SSZ!Q11</f>
        <v>0</v>
      </c>
      <c r="AB72" s="15"/>
      <c r="AC72" s="15">
        <f t="shared" si="49"/>
        <v>0</v>
      </c>
      <c r="AD72" s="369"/>
      <c r="AF72" s="111">
        <f>+[7]SSZ!T11</f>
        <v>0</v>
      </c>
      <c r="AG72" s="15"/>
      <c r="AH72" s="15">
        <f t="shared" si="50"/>
        <v>0</v>
      </c>
      <c r="AI72" s="369"/>
      <c r="AJ72" s="98"/>
      <c r="AK72" s="2204">
        <f t="shared" si="43"/>
        <v>0</v>
      </c>
      <c r="AL72" s="2201">
        <f t="shared" ref="AL72:AM119" si="52">+C72+H72+M72+R72+W72+AB72+AG72</f>
        <v>0</v>
      </c>
      <c r="AM72" s="2217">
        <f t="shared" si="51"/>
        <v>0</v>
      </c>
      <c r="AN72" s="2218"/>
    </row>
    <row r="73" spans="1:40" ht="14.45" customHeight="1">
      <c r="A73" s="14" t="s">
        <v>72</v>
      </c>
      <c r="B73" s="111">
        <f>+[7]SSZ!B12</f>
        <v>0</v>
      </c>
      <c r="C73" s="15"/>
      <c r="D73" s="15">
        <f t="shared" si="44"/>
        <v>0</v>
      </c>
      <c r="E73" s="369"/>
      <c r="G73" s="111">
        <f>+[7]SSZ!E12</f>
        <v>0</v>
      </c>
      <c r="H73" s="15"/>
      <c r="I73" s="15">
        <f t="shared" si="45"/>
        <v>0</v>
      </c>
      <c r="J73" s="369"/>
      <c r="L73" s="111">
        <f>+[7]SSZ!H12</f>
        <v>0</v>
      </c>
      <c r="M73" s="15"/>
      <c r="N73" s="15">
        <f t="shared" si="46"/>
        <v>0</v>
      </c>
      <c r="O73" s="369"/>
      <c r="Q73" s="111">
        <f>+[7]SSZ!K12</f>
        <v>0</v>
      </c>
      <c r="R73" s="15"/>
      <c r="S73" s="15">
        <f t="shared" si="47"/>
        <v>0</v>
      </c>
      <c r="T73" s="369"/>
      <c r="V73" s="111">
        <f>+[7]SSZ!N12</f>
        <v>0</v>
      </c>
      <c r="W73" s="15"/>
      <c r="X73" s="15">
        <f t="shared" si="48"/>
        <v>0</v>
      </c>
      <c r="Y73" s="369"/>
      <c r="AA73" s="111">
        <f>+[7]SSZ!Q12</f>
        <v>0</v>
      </c>
      <c r="AB73" s="15"/>
      <c r="AC73" s="15">
        <f t="shared" si="49"/>
        <v>0</v>
      </c>
      <c r="AD73" s="369"/>
      <c r="AF73" s="111">
        <f>+[7]SSZ!T12</f>
        <v>0</v>
      </c>
      <c r="AG73" s="15"/>
      <c r="AH73" s="15">
        <f t="shared" si="50"/>
        <v>0</v>
      </c>
      <c r="AI73" s="369"/>
      <c r="AJ73" s="98"/>
      <c r="AK73" s="2204">
        <f t="shared" si="43"/>
        <v>0</v>
      </c>
      <c r="AL73" s="2201">
        <f t="shared" si="52"/>
        <v>0</v>
      </c>
      <c r="AM73" s="2217">
        <f t="shared" si="51"/>
        <v>0</v>
      </c>
      <c r="AN73" s="2218"/>
    </row>
    <row r="74" spans="1:40" ht="14.45" customHeight="1">
      <c r="A74" s="396" t="s">
        <v>73</v>
      </c>
      <c r="B74" s="121">
        <f>+[7]SSZ!B13</f>
        <v>0</v>
      </c>
      <c r="C74" s="16"/>
      <c r="D74" s="16">
        <f t="shared" si="44"/>
        <v>0</v>
      </c>
      <c r="E74" s="1231"/>
      <c r="G74" s="121">
        <f>+[7]SSZ!E13</f>
        <v>50</v>
      </c>
      <c r="H74" s="16">
        <f>+[3]Seg.Szolgálat!$F$26</f>
        <v>-25</v>
      </c>
      <c r="I74" s="16">
        <f t="shared" si="45"/>
        <v>25</v>
      </c>
      <c r="J74" s="1231">
        <f>+I74/G74</f>
        <v>0.5</v>
      </c>
      <c r="L74" s="121">
        <f>+[7]SSZ!H13</f>
        <v>85</v>
      </c>
      <c r="M74" s="16">
        <f>+[3]Seg.Szolgálat!$F$69</f>
        <v>-85</v>
      </c>
      <c r="N74" s="16">
        <f t="shared" si="46"/>
        <v>0</v>
      </c>
      <c r="O74" s="1231">
        <f t="shared" si="28"/>
        <v>0</v>
      </c>
      <c r="Q74" s="121">
        <f>+[7]SSZ!K13</f>
        <v>80</v>
      </c>
      <c r="R74" s="16">
        <f>+[3]Seg.Szolgálat!$L$11</f>
        <v>-80</v>
      </c>
      <c r="S74" s="16">
        <f t="shared" si="47"/>
        <v>0</v>
      </c>
      <c r="T74" s="1231">
        <f t="shared" si="29"/>
        <v>0</v>
      </c>
      <c r="V74" s="121">
        <f>+[7]SSZ!N13</f>
        <v>0</v>
      </c>
      <c r="W74" s="16"/>
      <c r="X74" s="16">
        <f t="shared" si="48"/>
        <v>0</v>
      </c>
      <c r="Y74" s="1231"/>
      <c r="AA74" s="121">
        <f>+[7]SSZ!Q13</f>
        <v>80</v>
      </c>
      <c r="AB74" s="16">
        <f>+[3]Seg.Szolgálat!$F$41</f>
        <v>-80</v>
      </c>
      <c r="AC74" s="16">
        <f t="shared" si="49"/>
        <v>0</v>
      </c>
      <c r="AD74" s="1231">
        <f t="shared" si="32"/>
        <v>0</v>
      </c>
      <c r="AF74" s="121">
        <f>+[7]SSZ!T13</f>
        <v>60</v>
      </c>
      <c r="AG74" s="16">
        <f>+[3]Seg.Szolgálat!$F$88</f>
        <v>-60</v>
      </c>
      <c r="AH74" s="16">
        <f t="shared" si="50"/>
        <v>0</v>
      </c>
      <c r="AI74" s="1231">
        <f>+AH74/AF74</f>
        <v>0</v>
      </c>
      <c r="AJ74" s="98"/>
      <c r="AK74" s="2209">
        <f t="shared" si="43"/>
        <v>355</v>
      </c>
      <c r="AL74" s="2210">
        <f t="shared" si="52"/>
        <v>-330</v>
      </c>
      <c r="AM74" s="2241">
        <f t="shared" si="51"/>
        <v>25</v>
      </c>
      <c r="AN74" s="2242">
        <f t="shared" si="31"/>
        <v>7.0422535211267609E-2</v>
      </c>
    </row>
    <row r="75" spans="1:40" ht="14.45" customHeight="1">
      <c r="A75" s="1053" t="s">
        <v>74</v>
      </c>
      <c r="B75" s="374">
        <f>SUM(B65:B74)</f>
        <v>20</v>
      </c>
      <c r="C75" s="18">
        <f>SUM(C65:C74)</f>
        <v>23</v>
      </c>
      <c r="D75" s="18">
        <f>SUM(D65:D74)</f>
        <v>43</v>
      </c>
      <c r="E75" s="375">
        <f>+D75/B75</f>
        <v>2.15</v>
      </c>
      <c r="G75" s="374">
        <f>SUM(G65:G74)</f>
        <v>95</v>
      </c>
      <c r="H75" s="18">
        <f>SUM(H65:H74)</f>
        <v>-21</v>
      </c>
      <c r="I75" s="18">
        <f>SUM(I65:I74)</f>
        <v>74</v>
      </c>
      <c r="J75" s="375">
        <f>+I75/G75</f>
        <v>0.77894736842105261</v>
      </c>
      <c r="L75" s="374">
        <f>SUM(L65:L74)</f>
        <v>445</v>
      </c>
      <c r="M75" s="18">
        <f>SUM(M65:M74)</f>
        <v>-105</v>
      </c>
      <c r="N75" s="18">
        <f>SUM(N65:N74)</f>
        <v>340</v>
      </c>
      <c r="O75" s="375">
        <f t="shared" si="28"/>
        <v>0.7640449438202247</v>
      </c>
      <c r="Q75" s="374">
        <f>SUM(Q65:Q74)</f>
        <v>128</v>
      </c>
      <c r="R75" s="18">
        <f>SUM(R65:R74)</f>
        <v>-90</v>
      </c>
      <c r="S75" s="18">
        <f>SUM(S65:S74)</f>
        <v>38</v>
      </c>
      <c r="T75" s="375">
        <f t="shared" si="29"/>
        <v>0.296875</v>
      </c>
      <c r="V75" s="374">
        <f>SUM(V65:V74)</f>
        <v>840</v>
      </c>
      <c r="W75" s="18">
        <f>SUM(W65:W74)</f>
        <v>-71</v>
      </c>
      <c r="X75" s="18">
        <f>SUM(X65:X74)</f>
        <v>769</v>
      </c>
      <c r="Y75" s="375">
        <f t="shared" si="30"/>
        <v>0.91547619047619044</v>
      </c>
      <c r="AA75" s="374">
        <f>SUM(AA65:AA74)</f>
        <v>287</v>
      </c>
      <c r="AB75" s="18">
        <f>SUM(AB65:AB74)</f>
        <v>-180</v>
      </c>
      <c r="AC75" s="18">
        <f>SUM(AC65:AC74)</f>
        <v>107</v>
      </c>
      <c r="AD75" s="375">
        <f t="shared" si="32"/>
        <v>0.37282229965156793</v>
      </c>
      <c r="AF75" s="374">
        <f>SUM(AF65:AF74)</f>
        <v>1040</v>
      </c>
      <c r="AG75" s="18">
        <f>SUM(AG65:AG74)</f>
        <v>-60</v>
      </c>
      <c r="AH75" s="18">
        <f>SUM(AH65:AH74)</f>
        <v>980</v>
      </c>
      <c r="AI75" s="375">
        <f>+AH75/AF75</f>
        <v>0.94230769230769229</v>
      </c>
      <c r="AJ75" s="98"/>
      <c r="AK75" s="2226">
        <f t="shared" si="43"/>
        <v>2855</v>
      </c>
      <c r="AL75" s="2227">
        <f t="shared" si="52"/>
        <v>-504</v>
      </c>
      <c r="AM75" s="2236">
        <f>SUM(AM65:AM74)</f>
        <v>2351</v>
      </c>
      <c r="AN75" s="2229">
        <f t="shared" si="31"/>
        <v>0.82346760070052538</v>
      </c>
    </row>
    <row r="76" spans="1:40" ht="14.45" customHeight="1">
      <c r="A76" s="14" t="s">
        <v>75</v>
      </c>
      <c r="B76" s="111">
        <f>+[7]SSZ!B15</f>
        <v>50</v>
      </c>
      <c r="C76" s="15"/>
      <c r="D76" s="15">
        <f t="shared" ref="D76:D91" si="53">SUM(B76:C76)</f>
        <v>50</v>
      </c>
      <c r="E76" s="369">
        <f>+D76/B76</f>
        <v>1</v>
      </c>
      <c r="G76" s="111">
        <f>+[7]SSZ!E15</f>
        <v>150</v>
      </c>
      <c r="H76" s="15">
        <f>+[3]Seg.Szolgálat!$L$33</f>
        <v>5</v>
      </c>
      <c r="I76" s="15">
        <f t="shared" ref="I76:I91" si="54">SUM(G76:H76)</f>
        <v>155</v>
      </c>
      <c r="J76" s="369">
        <f>+I76/G76</f>
        <v>1.0333333333333334</v>
      </c>
      <c r="L76" s="111">
        <f>+[7]SSZ!H15</f>
        <v>100</v>
      </c>
      <c r="M76" s="15"/>
      <c r="N76" s="15">
        <f t="shared" ref="N76:N91" si="55">SUM(L76:M76)</f>
        <v>100</v>
      </c>
      <c r="O76" s="369">
        <f t="shared" si="28"/>
        <v>1</v>
      </c>
      <c r="Q76" s="111">
        <f>+[7]SSZ!K15</f>
        <v>200</v>
      </c>
      <c r="R76" s="15">
        <f>+[3]Seg.Szolgálat!$L$18</f>
        <v>6</v>
      </c>
      <c r="S76" s="15">
        <f t="shared" ref="S76:S91" si="56">SUM(Q76:R76)</f>
        <v>206</v>
      </c>
      <c r="T76" s="369">
        <f t="shared" si="29"/>
        <v>1.03</v>
      </c>
      <c r="V76" s="111">
        <f>+[7]SSZ!N15</f>
        <v>50</v>
      </c>
      <c r="W76" s="15">
        <f>+[3]Seg.Szolgálat!$G$61</f>
        <v>5</v>
      </c>
      <c r="X76" s="15">
        <f t="shared" ref="X76:X91" si="57">SUM(V76:W76)</f>
        <v>55</v>
      </c>
      <c r="Y76" s="369">
        <f t="shared" si="30"/>
        <v>1.1000000000000001</v>
      </c>
      <c r="AA76" s="111">
        <f>+[7]SSZ!Q15</f>
        <v>150</v>
      </c>
      <c r="AB76" s="15">
        <f>+[3]Seg.Szolgálat!$G$44</f>
        <v>6</v>
      </c>
      <c r="AC76" s="15">
        <f t="shared" ref="AC76:AC91" si="58">SUM(AA76:AB76)</f>
        <v>156</v>
      </c>
      <c r="AD76" s="369">
        <f t="shared" si="32"/>
        <v>1.04</v>
      </c>
      <c r="AF76" s="111">
        <f>+[7]SSZ!T15</f>
        <v>40</v>
      </c>
      <c r="AG76" s="15"/>
      <c r="AH76" s="15">
        <f t="shared" ref="AH76:AH91" si="59">SUM(AF76:AG76)</f>
        <v>40</v>
      </c>
      <c r="AI76" s="369">
        <f>+AH76/AF76</f>
        <v>1</v>
      </c>
      <c r="AJ76" s="98"/>
      <c r="AK76" s="2216">
        <f t="shared" si="43"/>
        <v>740</v>
      </c>
      <c r="AL76" s="2230">
        <f t="shared" si="52"/>
        <v>22</v>
      </c>
      <c r="AM76" s="2217">
        <f t="shared" ref="AM76:AM91" si="60">SUM(AK76:AL76)</f>
        <v>762</v>
      </c>
      <c r="AN76" s="2218">
        <f t="shared" si="31"/>
        <v>1.0297297297297296</v>
      </c>
    </row>
    <row r="77" spans="1:40" ht="14.45" customHeight="1">
      <c r="A77" s="27" t="s">
        <v>76</v>
      </c>
      <c r="B77" s="111">
        <f>+[7]SSZ!B16</f>
        <v>0</v>
      </c>
      <c r="C77" s="24"/>
      <c r="D77" s="24">
        <f t="shared" si="53"/>
        <v>0</v>
      </c>
      <c r="E77" s="369"/>
      <c r="G77" s="111">
        <f>+[7]SSZ!E16</f>
        <v>0</v>
      </c>
      <c r="H77" s="24"/>
      <c r="I77" s="24">
        <f t="shared" si="54"/>
        <v>0</v>
      </c>
      <c r="J77" s="369"/>
      <c r="L77" s="111">
        <f>+[7]SSZ!H16</f>
        <v>0</v>
      </c>
      <c r="M77" s="24"/>
      <c r="N77" s="24">
        <f t="shared" si="55"/>
        <v>0</v>
      </c>
      <c r="O77" s="369"/>
      <c r="Q77" s="111">
        <f>+[7]SSZ!K16</f>
        <v>0</v>
      </c>
      <c r="R77" s="24"/>
      <c r="S77" s="24">
        <f t="shared" si="56"/>
        <v>0</v>
      </c>
      <c r="T77" s="369"/>
      <c r="V77" s="111">
        <f>+[7]SSZ!N16</f>
        <v>0</v>
      </c>
      <c r="W77" s="24"/>
      <c r="X77" s="24">
        <f t="shared" si="57"/>
        <v>0</v>
      </c>
      <c r="Y77" s="369"/>
      <c r="AA77" s="111">
        <f>+[7]SSZ!Q16</f>
        <v>0</v>
      </c>
      <c r="AB77" s="24"/>
      <c r="AC77" s="24">
        <f t="shared" si="58"/>
        <v>0</v>
      </c>
      <c r="AD77" s="369"/>
      <c r="AF77" s="111">
        <f>+[7]SSZ!T16</f>
        <v>0</v>
      </c>
      <c r="AG77" s="24"/>
      <c r="AH77" s="24">
        <f t="shared" si="59"/>
        <v>0</v>
      </c>
      <c r="AI77" s="369"/>
      <c r="AJ77" s="98"/>
      <c r="AK77" s="2204">
        <f t="shared" si="43"/>
        <v>0</v>
      </c>
      <c r="AL77" s="2201">
        <f t="shared" si="52"/>
        <v>0</v>
      </c>
      <c r="AM77" s="2232">
        <f t="shared" si="60"/>
        <v>0</v>
      </c>
      <c r="AN77" s="2218"/>
    </row>
    <row r="78" spans="1:40" ht="14.45" customHeight="1">
      <c r="A78" s="28" t="s">
        <v>363</v>
      </c>
      <c r="B78" s="121">
        <f>+[7]SSZ!B17</f>
        <v>0</v>
      </c>
      <c r="C78" s="19"/>
      <c r="D78" s="19">
        <f t="shared" si="53"/>
        <v>0</v>
      </c>
      <c r="E78" s="1231"/>
      <c r="G78" s="121">
        <f>+[7]SSZ!E17</f>
        <v>0</v>
      </c>
      <c r="H78" s="19"/>
      <c r="I78" s="19">
        <f t="shared" si="54"/>
        <v>0</v>
      </c>
      <c r="J78" s="1231"/>
      <c r="L78" s="121">
        <f>+[7]SSZ!H17</f>
        <v>0</v>
      </c>
      <c r="M78" s="19"/>
      <c r="N78" s="19">
        <f t="shared" si="55"/>
        <v>0</v>
      </c>
      <c r="O78" s="1231"/>
      <c r="Q78" s="121">
        <f>+[7]SSZ!K17</f>
        <v>0</v>
      </c>
      <c r="R78" s="19"/>
      <c r="S78" s="19">
        <f t="shared" si="56"/>
        <v>0</v>
      </c>
      <c r="T78" s="1231"/>
      <c r="V78" s="121">
        <f>+[7]SSZ!N17</f>
        <v>0</v>
      </c>
      <c r="W78" s="19"/>
      <c r="X78" s="19">
        <f t="shared" si="57"/>
        <v>0</v>
      </c>
      <c r="Y78" s="1231"/>
      <c r="AA78" s="121">
        <f>+[7]SSZ!Q17</f>
        <v>0</v>
      </c>
      <c r="AB78" s="19"/>
      <c r="AC78" s="19">
        <f t="shared" si="58"/>
        <v>0</v>
      </c>
      <c r="AD78" s="1231"/>
      <c r="AF78" s="121">
        <f>+[7]SSZ!T17</f>
        <v>0</v>
      </c>
      <c r="AG78" s="19"/>
      <c r="AH78" s="19">
        <f t="shared" si="59"/>
        <v>0</v>
      </c>
      <c r="AI78" s="1231"/>
      <c r="AJ78" s="98"/>
      <c r="AK78" s="2209">
        <f t="shared" si="43"/>
        <v>0</v>
      </c>
      <c r="AL78" s="2210">
        <f t="shared" si="52"/>
        <v>0</v>
      </c>
      <c r="AM78" s="2243">
        <f t="shared" si="60"/>
        <v>0</v>
      </c>
      <c r="AN78" s="2242"/>
    </row>
    <row r="79" spans="1:40" ht="14.45" customHeight="1">
      <c r="A79" s="1053" t="s">
        <v>78</v>
      </c>
      <c r="B79" s="374">
        <f>SUM(B76:B78)</f>
        <v>50</v>
      </c>
      <c r="C79" s="18"/>
      <c r="D79" s="18">
        <f>SUM(B79:C79)</f>
        <v>50</v>
      </c>
      <c r="E79" s="375">
        <f>+D79/B79</f>
        <v>1</v>
      </c>
      <c r="G79" s="374">
        <f>SUM(G76:G78)</f>
        <v>150</v>
      </c>
      <c r="H79" s="18">
        <f>SUM(H76:H78)</f>
        <v>5</v>
      </c>
      <c r="I79" s="18">
        <f t="shared" si="54"/>
        <v>155</v>
      </c>
      <c r="J79" s="375">
        <f>+I79/G79</f>
        <v>1.0333333333333334</v>
      </c>
      <c r="L79" s="374">
        <f>SUM(L76:L78)</f>
        <v>100</v>
      </c>
      <c r="M79" s="18"/>
      <c r="N79" s="18">
        <f t="shared" si="55"/>
        <v>100</v>
      </c>
      <c r="O79" s="375">
        <f t="shared" si="28"/>
        <v>1</v>
      </c>
      <c r="Q79" s="374">
        <f>SUM(Q76:Q78)</f>
        <v>200</v>
      </c>
      <c r="R79" s="18">
        <f>SUM(R76:R78)</f>
        <v>6</v>
      </c>
      <c r="S79" s="18">
        <f t="shared" si="56"/>
        <v>206</v>
      </c>
      <c r="T79" s="375">
        <f t="shared" si="29"/>
        <v>1.03</v>
      </c>
      <c r="V79" s="374">
        <f>SUM(V76:V78)</f>
        <v>50</v>
      </c>
      <c r="W79" s="18">
        <f>SUM(W76:W78)</f>
        <v>5</v>
      </c>
      <c r="X79" s="18">
        <f t="shared" si="57"/>
        <v>55</v>
      </c>
      <c r="Y79" s="375">
        <f t="shared" si="30"/>
        <v>1.1000000000000001</v>
      </c>
      <c r="AA79" s="374">
        <f>SUM(AA76:AA78)</f>
        <v>150</v>
      </c>
      <c r="AB79" s="18">
        <f>SUM(AB76:AB78)</f>
        <v>6</v>
      </c>
      <c r="AC79" s="18">
        <f t="shared" si="58"/>
        <v>156</v>
      </c>
      <c r="AD79" s="375">
        <f t="shared" si="32"/>
        <v>1.04</v>
      </c>
      <c r="AF79" s="374">
        <f>SUM(AF76:AF78)</f>
        <v>40</v>
      </c>
      <c r="AG79" s="18"/>
      <c r="AH79" s="18">
        <f t="shared" si="59"/>
        <v>40</v>
      </c>
      <c r="AI79" s="375">
        <f>+AH79/AF79</f>
        <v>1</v>
      </c>
      <c r="AJ79" s="98"/>
      <c r="AK79" s="2226">
        <f t="shared" si="43"/>
        <v>740</v>
      </c>
      <c r="AL79" s="2227">
        <f t="shared" si="52"/>
        <v>22</v>
      </c>
      <c r="AM79" s="2236">
        <f t="shared" si="60"/>
        <v>762</v>
      </c>
      <c r="AN79" s="2229">
        <f t="shared" si="31"/>
        <v>1.0297297297297296</v>
      </c>
    </row>
    <row r="80" spans="1:40" ht="14.45" customHeight="1">
      <c r="A80" s="14" t="s">
        <v>79</v>
      </c>
      <c r="B80" s="111">
        <f>+[7]SSZ!B19</f>
        <v>2923</v>
      </c>
      <c r="C80" s="15">
        <f>+[3]Seg.Szolgálat!$H$78</f>
        <v>-776</v>
      </c>
      <c r="D80" s="15">
        <f t="shared" si="53"/>
        <v>2147</v>
      </c>
      <c r="E80" s="369">
        <f>+D80/B80</f>
        <v>0.73451932945603837</v>
      </c>
      <c r="G80" s="111">
        <f>+[7]SSZ!E19</f>
        <v>0</v>
      </c>
      <c r="H80" s="15"/>
      <c r="I80" s="15">
        <f t="shared" si="54"/>
        <v>0</v>
      </c>
      <c r="J80" s="369"/>
      <c r="L80" s="111">
        <f>+[7]SSZ!H19</f>
        <v>0</v>
      </c>
      <c r="M80" s="15"/>
      <c r="N80" s="15">
        <f t="shared" si="55"/>
        <v>0</v>
      </c>
      <c r="O80" s="369"/>
      <c r="Q80" s="111">
        <f>+[7]SSZ!K19</f>
        <v>0</v>
      </c>
      <c r="R80" s="15"/>
      <c r="S80" s="15">
        <f t="shared" si="56"/>
        <v>0</v>
      </c>
      <c r="T80" s="369"/>
      <c r="V80" s="111">
        <f>+[7]SSZ!N19</f>
        <v>0</v>
      </c>
      <c r="W80" s="15"/>
      <c r="X80" s="15">
        <f t="shared" si="57"/>
        <v>0</v>
      </c>
      <c r="Y80" s="369"/>
      <c r="AA80" s="111">
        <f>+[7]SSZ!Q19</f>
        <v>0</v>
      </c>
      <c r="AB80" s="15"/>
      <c r="AC80" s="15">
        <f t="shared" si="58"/>
        <v>0</v>
      </c>
      <c r="AD80" s="369"/>
      <c r="AF80" s="111">
        <f>+[7]SSZ!T19</f>
        <v>0</v>
      </c>
      <c r="AG80" s="15"/>
      <c r="AH80" s="15">
        <f t="shared" si="59"/>
        <v>0</v>
      </c>
      <c r="AI80" s="369"/>
      <c r="AJ80" s="98"/>
      <c r="AK80" s="2216">
        <f t="shared" si="43"/>
        <v>2923</v>
      </c>
      <c r="AL80" s="2230">
        <f t="shared" si="52"/>
        <v>-776</v>
      </c>
      <c r="AM80" s="2217">
        <f t="shared" si="60"/>
        <v>2147</v>
      </c>
      <c r="AN80" s="2218">
        <f t="shared" si="31"/>
        <v>0.73451932945603837</v>
      </c>
    </row>
    <row r="81" spans="1:40" ht="14.45" customHeight="1">
      <c r="A81" s="14" t="s">
        <v>80</v>
      </c>
      <c r="B81" s="111">
        <f>+[7]SSZ!B20</f>
        <v>2016</v>
      </c>
      <c r="C81" s="24"/>
      <c r="D81" s="24">
        <f t="shared" si="53"/>
        <v>2016</v>
      </c>
      <c r="E81" s="369">
        <f>+D81/B81</f>
        <v>1</v>
      </c>
      <c r="G81" s="111">
        <f>+[7]SSZ!E20</f>
        <v>0</v>
      </c>
      <c r="H81" s="15"/>
      <c r="I81" s="24">
        <f t="shared" si="54"/>
        <v>0</v>
      </c>
      <c r="J81" s="369"/>
      <c r="L81" s="111">
        <f>+[7]SSZ!H20</f>
        <v>0</v>
      </c>
      <c r="M81" s="15"/>
      <c r="N81" s="24">
        <f t="shared" si="55"/>
        <v>0</v>
      </c>
      <c r="O81" s="369"/>
      <c r="Q81" s="111">
        <f>+[7]SSZ!K20</f>
        <v>0</v>
      </c>
      <c r="R81" s="15"/>
      <c r="S81" s="24">
        <f t="shared" si="56"/>
        <v>0</v>
      </c>
      <c r="T81" s="369"/>
      <c r="V81" s="111">
        <f>+[7]SSZ!N20</f>
        <v>0</v>
      </c>
      <c r="W81" s="15"/>
      <c r="X81" s="24">
        <f t="shared" si="57"/>
        <v>0</v>
      </c>
      <c r="Y81" s="369"/>
      <c r="AA81" s="111">
        <f>+[7]SSZ!Q20</f>
        <v>0</v>
      </c>
      <c r="AB81" s="15"/>
      <c r="AC81" s="24">
        <f t="shared" si="58"/>
        <v>0</v>
      </c>
      <c r="AD81" s="369"/>
      <c r="AF81" s="111">
        <f>+[7]SSZ!T20</f>
        <v>0</v>
      </c>
      <c r="AG81" s="24"/>
      <c r="AH81" s="24">
        <f t="shared" si="59"/>
        <v>0</v>
      </c>
      <c r="AI81" s="369"/>
      <c r="AJ81" s="98"/>
      <c r="AK81" s="2204">
        <f t="shared" si="43"/>
        <v>2016</v>
      </c>
      <c r="AL81" s="2201">
        <f t="shared" si="52"/>
        <v>0</v>
      </c>
      <c r="AM81" s="2232">
        <f t="shared" si="60"/>
        <v>2016</v>
      </c>
      <c r="AN81" s="2218">
        <f t="shared" si="31"/>
        <v>1</v>
      </c>
    </row>
    <row r="82" spans="1:40" ht="14.45" customHeight="1">
      <c r="A82" s="14" t="s">
        <v>81</v>
      </c>
      <c r="B82" s="111">
        <f>+[7]SSZ!B21</f>
        <v>0</v>
      </c>
      <c r="C82" s="24"/>
      <c r="D82" s="24">
        <f t="shared" si="53"/>
        <v>0</v>
      </c>
      <c r="E82" s="369"/>
      <c r="G82" s="111">
        <f>+[7]SSZ!E21</f>
        <v>25</v>
      </c>
      <c r="H82" s="15"/>
      <c r="I82" s="24">
        <f t="shared" si="54"/>
        <v>25</v>
      </c>
      <c r="J82" s="369"/>
      <c r="L82" s="111">
        <f>+[7]SSZ!H21</f>
        <v>20</v>
      </c>
      <c r="M82" s="15">
        <f>+[3]Seg.Szolgálat!$H$70</f>
        <v>-20</v>
      </c>
      <c r="N82" s="24">
        <f t="shared" si="55"/>
        <v>0</v>
      </c>
      <c r="O82" s="369"/>
      <c r="Q82" s="111">
        <f>+[7]SSZ!K21</f>
        <v>30</v>
      </c>
      <c r="R82" s="15"/>
      <c r="S82" s="24">
        <f t="shared" si="56"/>
        <v>30</v>
      </c>
      <c r="T82" s="369">
        <f t="shared" si="29"/>
        <v>1</v>
      </c>
      <c r="V82" s="111">
        <f>+[7]SSZ!N21</f>
        <v>0</v>
      </c>
      <c r="W82" s="15"/>
      <c r="X82" s="24">
        <f t="shared" si="57"/>
        <v>0</v>
      </c>
      <c r="Y82" s="369"/>
      <c r="AA82" s="111">
        <v>30</v>
      </c>
      <c r="AB82" s="15"/>
      <c r="AC82" s="24">
        <f t="shared" si="58"/>
        <v>30</v>
      </c>
      <c r="AD82" s="369">
        <f t="shared" si="32"/>
        <v>1</v>
      </c>
      <c r="AF82" s="111">
        <f>+[7]SSZ!T21</f>
        <v>0</v>
      </c>
      <c r="AG82" s="24"/>
      <c r="AH82" s="24">
        <f t="shared" si="59"/>
        <v>0</v>
      </c>
      <c r="AI82" s="369"/>
      <c r="AJ82" s="98"/>
      <c r="AK82" s="2204">
        <f t="shared" si="43"/>
        <v>105</v>
      </c>
      <c r="AL82" s="2201">
        <f t="shared" si="52"/>
        <v>-20</v>
      </c>
      <c r="AM82" s="2232">
        <f t="shared" si="60"/>
        <v>85</v>
      </c>
      <c r="AN82" s="2218">
        <f t="shared" si="31"/>
        <v>0.80952380952380953</v>
      </c>
    </row>
    <row r="83" spans="1:40" ht="14.45" customHeight="1">
      <c r="A83" s="14" t="s">
        <v>82</v>
      </c>
      <c r="B83" s="111">
        <f>+[7]SSZ!B22</f>
        <v>0</v>
      </c>
      <c r="C83" s="24"/>
      <c r="D83" s="24">
        <f t="shared" si="53"/>
        <v>0</v>
      </c>
      <c r="E83" s="369"/>
      <c r="G83" s="111">
        <f>+[7]SSZ!E22</f>
        <v>90</v>
      </c>
      <c r="H83" s="15">
        <f>+[3]Seg.Szolgálat!$H$27+[3]Seg.Szolgálat!$L$31</f>
        <v>58</v>
      </c>
      <c r="I83" s="24">
        <f t="shared" si="54"/>
        <v>148</v>
      </c>
      <c r="J83" s="369">
        <f>+I83/G83</f>
        <v>1.6444444444444444</v>
      </c>
      <c r="L83" s="111">
        <f>+[7]SSZ!H22</f>
        <v>50</v>
      </c>
      <c r="M83" s="15"/>
      <c r="N83" s="24">
        <f t="shared" si="55"/>
        <v>50</v>
      </c>
      <c r="O83" s="369">
        <f t="shared" si="28"/>
        <v>1</v>
      </c>
      <c r="Q83" s="111">
        <f>+[7]SSZ!K22</f>
        <v>100</v>
      </c>
      <c r="R83" s="15">
        <f>+[3]Seg.Szolgálat!$H$16</f>
        <v>37</v>
      </c>
      <c r="S83" s="24">
        <f t="shared" si="56"/>
        <v>137</v>
      </c>
      <c r="T83" s="369">
        <f t="shared" si="29"/>
        <v>1.37</v>
      </c>
      <c r="V83" s="111">
        <f>+[7]SSZ!N22</f>
        <v>80</v>
      </c>
      <c r="W83" s="15"/>
      <c r="X83" s="24">
        <f t="shared" si="57"/>
        <v>80</v>
      </c>
      <c r="Y83" s="369">
        <f t="shared" si="30"/>
        <v>1</v>
      </c>
      <c r="AA83" s="111">
        <f>+[7]SSZ!Q22</f>
        <v>110</v>
      </c>
      <c r="AB83" s="15"/>
      <c r="AC83" s="24">
        <f t="shared" si="58"/>
        <v>110</v>
      </c>
      <c r="AD83" s="369">
        <f t="shared" si="32"/>
        <v>1</v>
      </c>
      <c r="AF83" s="111">
        <f>+[7]SSZ!T22</f>
        <v>0</v>
      </c>
      <c r="AG83" s="24"/>
      <c r="AH83" s="24">
        <f t="shared" si="59"/>
        <v>0</v>
      </c>
      <c r="AI83" s="369"/>
      <c r="AJ83" s="98"/>
      <c r="AK83" s="2204">
        <f t="shared" si="43"/>
        <v>430</v>
      </c>
      <c r="AL83" s="2201">
        <f t="shared" si="52"/>
        <v>95</v>
      </c>
      <c r="AM83" s="2232">
        <f t="shared" si="60"/>
        <v>525</v>
      </c>
      <c r="AN83" s="2218">
        <f t="shared" si="31"/>
        <v>1.2209302325581395</v>
      </c>
    </row>
    <row r="84" spans="1:40" ht="14.45" customHeight="1">
      <c r="A84" s="14" t="s">
        <v>83</v>
      </c>
      <c r="B84" s="111">
        <f>+[7]SSZ!B23</f>
        <v>0</v>
      </c>
      <c r="C84" s="24"/>
      <c r="D84" s="24">
        <f t="shared" si="53"/>
        <v>0</v>
      </c>
      <c r="E84" s="369"/>
      <c r="G84" s="111">
        <f>+[7]SSZ!E23</f>
        <v>80</v>
      </c>
      <c r="H84" s="15">
        <f>+[3]Seg.Szolgálat!$L$32</f>
        <v>14</v>
      </c>
      <c r="I84" s="24">
        <f t="shared" si="54"/>
        <v>94</v>
      </c>
      <c r="J84" s="369">
        <f>+I84/G84</f>
        <v>1.175</v>
      </c>
      <c r="L84" s="111">
        <f>+[7]SSZ!H23</f>
        <v>30</v>
      </c>
      <c r="M84" s="15"/>
      <c r="N84" s="24">
        <f t="shared" si="55"/>
        <v>30</v>
      </c>
      <c r="O84" s="369">
        <f t="shared" si="28"/>
        <v>1</v>
      </c>
      <c r="Q84" s="111">
        <f>+[7]SSZ!K23</f>
        <v>80</v>
      </c>
      <c r="R84" s="15">
        <f>+[3]Seg.Szolgálat!$H$17</f>
        <v>11</v>
      </c>
      <c r="S84" s="24">
        <f t="shared" si="56"/>
        <v>91</v>
      </c>
      <c r="T84" s="369">
        <f t="shared" si="29"/>
        <v>1.1375</v>
      </c>
      <c r="V84" s="111">
        <f>+[7]SSZ!N23</f>
        <v>50</v>
      </c>
      <c r="W84" s="15"/>
      <c r="X84" s="24">
        <f t="shared" si="57"/>
        <v>50</v>
      </c>
      <c r="Y84" s="369">
        <f t="shared" si="30"/>
        <v>1</v>
      </c>
      <c r="AA84" s="111">
        <f>+[7]SSZ!Q23</f>
        <v>90</v>
      </c>
      <c r="AB84" s="15"/>
      <c r="AC84" s="24">
        <f t="shared" si="58"/>
        <v>90</v>
      </c>
      <c r="AD84" s="369">
        <f t="shared" si="32"/>
        <v>1</v>
      </c>
      <c r="AF84" s="111">
        <f>+[7]SSZ!T23</f>
        <v>0</v>
      </c>
      <c r="AG84" s="24"/>
      <c r="AH84" s="24">
        <f t="shared" si="59"/>
        <v>0</v>
      </c>
      <c r="AI84" s="369"/>
      <c r="AJ84" s="98"/>
      <c r="AK84" s="2204">
        <f t="shared" si="43"/>
        <v>330</v>
      </c>
      <c r="AL84" s="2201">
        <f t="shared" si="52"/>
        <v>25</v>
      </c>
      <c r="AM84" s="2232">
        <f t="shared" si="60"/>
        <v>355</v>
      </c>
      <c r="AN84" s="2218">
        <f t="shared" si="31"/>
        <v>1.0757575757575757</v>
      </c>
    </row>
    <row r="85" spans="1:40" ht="14.45" customHeight="1">
      <c r="A85" s="14" t="s">
        <v>84</v>
      </c>
      <c r="B85" s="111">
        <f>+[7]SSZ!B24</f>
        <v>0</v>
      </c>
      <c r="C85" s="24"/>
      <c r="D85" s="24">
        <f t="shared" si="53"/>
        <v>0</v>
      </c>
      <c r="E85" s="369"/>
      <c r="G85" s="111">
        <f>+[7]SSZ!E24</f>
        <v>15</v>
      </c>
      <c r="H85" s="15"/>
      <c r="I85" s="24">
        <f t="shared" si="54"/>
        <v>15</v>
      </c>
      <c r="J85" s="369">
        <f>+I85/G85</f>
        <v>1</v>
      </c>
      <c r="L85" s="111">
        <f>+[7]SSZ!H24</f>
        <v>10</v>
      </c>
      <c r="M85" s="15"/>
      <c r="N85" s="24">
        <f t="shared" si="55"/>
        <v>10</v>
      </c>
      <c r="O85" s="369">
        <f t="shared" si="28"/>
        <v>1</v>
      </c>
      <c r="Q85" s="111">
        <f>+[7]SSZ!K24</f>
        <v>10</v>
      </c>
      <c r="R85" s="15"/>
      <c r="S85" s="24">
        <f t="shared" si="56"/>
        <v>10</v>
      </c>
      <c r="T85" s="369">
        <f t="shared" si="29"/>
        <v>1</v>
      </c>
      <c r="V85" s="111">
        <f>+[7]SSZ!N24</f>
        <v>10</v>
      </c>
      <c r="W85" s="15"/>
      <c r="X85" s="24">
        <f t="shared" si="57"/>
        <v>10</v>
      </c>
      <c r="Y85" s="369">
        <f t="shared" si="30"/>
        <v>1</v>
      </c>
      <c r="AA85" s="111">
        <f>+[7]SSZ!Q24</f>
        <v>15</v>
      </c>
      <c r="AB85" s="15"/>
      <c r="AC85" s="24">
        <f t="shared" si="58"/>
        <v>15</v>
      </c>
      <c r="AD85" s="369">
        <f t="shared" si="32"/>
        <v>1</v>
      </c>
      <c r="AF85" s="111">
        <f>+[7]SSZ!T24</f>
        <v>0</v>
      </c>
      <c r="AG85" s="24"/>
      <c r="AH85" s="24">
        <f t="shared" si="59"/>
        <v>0</v>
      </c>
      <c r="AI85" s="369"/>
      <c r="AJ85" s="98"/>
      <c r="AK85" s="2204">
        <f t="shared" si="43"/>
        <v>60</v>
      </c>
      <c r="AL85" s="2201">
        <f t="shared" si="52"/>
        <v>0</v>
      </c>
      <c r="AM85" s="2232">
        <f t="shared" si="60"/>
        <v>60</v>
      </c>
      <c r="AN85" s="2218">
        <f t="shared" si="31"/>
        <v>1</v>
      </c>
    </row>
    <row r="86" spans="1:40" ht="14.45" customHeight="1">
      <c r="A86" s="14" t="s">
        <v>85</v>
      </c>
      <c r="B86" s="111">
        <f>+[7]SSZ!B25</f>
        <v>0</v>
      </c>
      <c r="C86" s="24"/>
      <c r="D86" s="24">
        <f t="shared" si="53"/>
        <v>0</v>
      </c>
      <c r="E86" s="369"/>
      <c r="G86" s="111">
        <f>+[7]SSZ!E25</f>
        <v>0</v>
      </c>
      <c r="H86" s="15"/>
      <c r="I86" s="24">
        <f t="shared" si="54"/>
        <v>0</v>
      </c>
      <c r="J86" s="369"/>
      <c r="L86" s="111">
        <f>+[7]SSZ!H25</f>
        <v>170</v>
      </c>
      <c r="M86" s="15"/>
      <c r="N86" s="24">
        <f t="shared" si="55"/>
        <v>170</v>
      </c>
      <c r="O86" s="369">
        <f t="shared" si="28"/>
        <v>1</v>
      </c>
      <c r="Q86" s="111">
        <f>+[7]SSZ!K25</f>
        <v>10</v>
      </c>
      <c r="R86" s="15"/>
      <c r="S86" s="24">
        <f t="shared" si="56"/>
        <v>10</v>
      </c>
      <c r="T86" s="369">
        <f t="shared" si="29"/>
        <v>1</v>
      </c>
      <c r="V86" s="111">
        <f>+[7]SSZ!N25</f>
        <v>50</v>
      </c>
      <c r="W86" s="15">
        <f>+[3]Seg.Szolgálat!$H$55</f>
        <v>174</v>
      </c>
      <c r="X86" s="24">
        <f t="shared" si="57"/>
        <v>224</v>
      </c>
      <c r="Y86" s="369">
        <f t="shared" si="30"/>
        <v>4.4800000000000004</v>
      </c>
      <c r="AA86" s="111">
        <v>20</v>
      </c>
      <c r="AB86" s="15"/>
      <c r="AC86" s="24">
        <f t="shared" si="58"/>
        <v>20</v>
      </c>
      <c r="AD86" s="369">
        <f t="shared" si="32"/>
        <v>1</v>
      </c>
      <c r="AF86" s="111">
        <f>+[7]SSZ!T25</f>
        <v>200</v>
      </c>
      <c r="AG86" s="24">
        <f>+[3]Seg.Szolgálat!$H$89</f>
        <v>70</v>
      </c>
      <c r="AH86" s="24">
        <f t="shared" si="59"/>
        <v>270</v>
      </c>
      <c r="AI86" s="369">
        <f>+AH86/AF86</f>
        <v>1.35</v>
      </c>
      <c r="AJ86" s="98"/>
      <c r="AK86" s="2204">
        <f t="shared" si="43"/>
        <v>450</v>
      </c>
      <c r="AL86" s="2201">
        <f t="shared" si="52"/>
        <v>244</v>
      </c>
      <c r="AM86" s="2232">
        <f t="shared" si="60"/>
        <v>694</v>
      </c>
      <c r="AN86" s="2218">
        <f t="shared" si="31"/>
        <v>1.5422222222222222</v>
      </c>
    </row>
    <row r="87" spans="1:40" ht="14.45" customHeight="1">
      <c r="A87" s="14" t="s">
        <v>86</v>
      </c>
      <c r="B87" s="111">
        <f>+[7]SSZ!B26</f>
        <v>0</v>
      </c>
      <c r="C87" s="24"/>
      <c r="D87" s="24">
        <f t="shared" si="53"/>
        <v>0</v>
      </c>
      <c r="E87" s="369"/>
      <c r="G87" s="111">
        <f>+[7]SSZ!E26</f>
        <v>30</v>
      </c>
      <c r="H87" s="15"/>
      <c r="I87" s="24">
        <f t="shared" si="54"/>
        <v>30</v>
      </c>
      <c r="J87" s="369"/>
      <c r="L87" s="111">
        <f>+[7]SSZ!H26</f>
        <v>60</v>
      </c>
      <c r="M87" s="15"/>
      <c r="N87" s="24">
        <f t="shared" si="55"/>
        <v>60</v>
      </c>
      <c r="O87" s="369">
        <f t="shared" si="28"/>
        <v>1</v>
      </c>
      <c r="Q87" s="111">
        <f>+[7]SSZ!K26</f>
        <v>10</v>
      </c>
      <c r="R87" s="15"/>
      <c r="S87" s="24">
        <f t="shared" si="56"/>
        <v>10</v>
      </c>
      <c r="T87" s="369">
        <f t="shared" si="29"/>
        <v>1</v>
      </c>
      <c r="V87" s="111">
        <f>+[7]SSZ!N26</f>
        <v>10</v>
      </c>
      <c r="W87" s="15"/>
      <c r="X87" s="24">
        <f t="shared" si="57"/>
        <v>10</v>
      </c>
      <c r="Y87" s="369">
        <f t="shared" si="30"/>
        <v>1</v>
      </c>
      <c r="AA87" s="111">
        <f>+[7]SSZ!Q26</f>
        <v>20</v>
      </c>
      <c r="AB87" s="15"/>
      <c r="AC87" s="24">
        <f t="shared" si="58"/>
        <v>20</v>
      </c>
      <c r="AD87" s="369">
        <f t="shared" si="32"/>
        <v>1</v>
      </c>
      <c r="AF87" s="111">
        <f>+[7]SSZ!T26</f>
        <v>20</v>
      </c>
      <c r="AG87" s="24"/>
      <c r="AH87" s="24">
        <f t="shared" si="59"/>
        <v>20</v>
      </c>
      <c r="AI87" s="369">
        <f>+AH87/AF87</f>
        <v>1</v>
      </c>
      <c r="AJ87" s="98"/>
      <c r="AK87" s="2204">
        <f t="shared" si="43"/>
        <v>150</v>
      </c>
      <c r="AL87" s="2201">
        <f t="shared" si="52"/>
        <v>0</v>
      </c>
      <c r="AM87" s="2232">
        <f t="shared" si="60"/>
        <v>150</v>
      </c>
      <c r="AN87" s="2218">
        <f t="shared" si="31"/>
        <v>1</v>
      </c>
    </row>
    <row r="88" spans="1:40" ht="14.45" customHeight="1">
      <c r="A88" s="396" t="s">
        <v>87</v>
      </c>
      <c r="B88" s="111">
        <f>+[7]SSZ!B27</f>
        <v>0</v>
      </c>
      <c r="C88" s="24"/>
      <c r="D88" s="24">
        <f t="shared" si="53"/>
        <v>0</v>
      </c>
      <c r="E88" s="369"/>
      <c r="G88" s="111">
        <f>+[7]SSZ!E27</f>
        <v>450</v>
      </c>
      <c r="H88" s="15"/>
      <c r="I88" s="24">
        <f t="shared" si="54"/>
        <v>450</v>
      </c>
      <c r="J88" s="369">
        <f>+I88/G88</f>
        <v>1</v>
      </c>
      <c r="L88" s="111">
        <f>+[7]SSZ!H27</f>
        <v>100</v>
      </c>
      <c r="M88" s="15">
        <f>+[3]Seg.Szolgálat!$J$71</f>
        <v>-100</v>
      </c>
      <c r="N88" s="24">
        <f t="shared" si="55"/>
        <v>0</v>
      </c>
      <c r="O88" s="369">
        <f t="shared" si="28"/>
        <v>0</v>
      </c>
      <c r="Q88" s="111">
        <f>+[7]SSZ!K27</f>
        <v>700</v>
      </c>
      <c r="R88" s="15"/>
      <c r="S88" s="24">
        <f t="shared" si="56"/>
        <v>700</v>
      </c>
      <c r="T88" s="369">
        <f t="shared" si="29"/>
        <v>1</v>
      </c>
      <c r="V88" s="111">
        <f>+[7]SSZ!N27</f>
        <v>0</v>
      </c>
      <c r="W88" s="15"/>
      <c r="X88" s="24">
        <f t="shared" si="57"/>
        <v>0</v>
      </c>
      <c r="Y88" s="369"/>
      <c r="AA88" s="111">
        <v>490</v>
      </c>
      <c r="AB88" s="15">
        <f>+[3]Seg.Szolgálat!$J$45</f>
        <v>-70</v>
      </c>
      <c r="AC88" s="24">
        <f t="shared" si="58"/>
        <v>420</v>
      </c>
      <c r="AD88" s="369">
        <f t="shared" si="32"/>
        <v>0.8571428571428571</v>
      </c>
      <c r="AF88" s="111">
        <f>+[7]SSZ!T27</f>
        <v>0</v>
      </c>
      <c r="AG88" s="24"/>
      <c r="AH88" s="24">
        <f t="shared" si="59"/>
        <v>0</v>
      </c>
      <c r="AI88" s="369"/>
      <c r="AJ88" s="98"/>
      <c r="AK88" s="2204">
        <f t="shared" si="43"/>
        <v>1740</v>
      </c>
      <c r="AL88" s="2201">
        <f t="shared" si="52"/>
        <v>-170</v>
      </c>
      <c r="AM88" s="2232">
        <f t="shared" si="60"/>
        <v>1570</v>
      </c>
      <c r="AN88" s="2218">
        <f t="shared" si="31"/>
        <v>0.9022988505747126</v>
      </c>
    </row>
    <row r="89" spans="1:40" ht="14.45" customHeight="1">
      <c r="A89" s="37" t="s">
        <v>88</v>
      </c>
      <c r="B89" s="111">
        <f>+[7]SSZ!B28</f>
        <v>0</v>
      </c>
      <c r="C89" s="24"/>
      <c r="D89" s="24">
        <f t="shared" si="53"/>
        <v>0</v>
      </c>
      <c r="E89" s="369"/>
      <c r="G89" s="111">
        <f>+[7]SSZ!E28</f>
        <v>0</v>
      </c>
      <c r="H89" s="15"/>
      <c r="I89" s="24">
        <f t="shared" si="54"/>
        <v>0</v>
      </c>
      <c r="J89" s="369"/>
      <c r="L89" s="111">
        <f>+[7]SSZ!H28</f>
        <v>0</v>
      </c>
      <c r="M89" s="15"/>
      <c r="N89" s="24">
        <f t="shared" si="55"/>
        <v>0</v>
      </c>
      <c r="O89" s="369"/>
      <c r="Q89" s="111">
        <f>+[7]SSZ!K28</f>
        <v>0</v>
      </c>
      <c r="R89" s="15"/>
      <c r="S89" s="24">
        <f t="shared" si="56"/>
        <v>0</v>
      </c>
      <c r="T89" s="369"/>
      <c r="V89" s="111">
        <f>+[7]SSZ!N28</f>
        <v>0</v>
      </c>
      <c r="W89" s="15"/>
      <c r="X89" s="24">
        <f t="shared" si="57"/>
        <v>0</v>
      </c>
      <c r="Y89" s="369"/>
      <c r="AA89" s="111">
        <f>+[7]SSZ!Q28</f>
        <v>0</v>
      </c>
      <c r="AB89" s="15"/>
      <c r="AC89" s="24">
        <f t="shared" si="58"/>
        <v>0</v>
      </c>
      <c r="AD89" s="369"/>
      <c r="AF89" s="111">
        <f>+[7]SSZ!T28</f>
        <v>0</v>
      </c>
      <c r="AG89" s="24"/>
      <c r="AH89" s="24">
        <f t="shared" si="59"/>
        <v>0</v>
      </c>
      <c r="AI89" s="369"/>
      <c r="AJ89" s="98"/>
      <c r="AK89" s="2204">
        <f t="shared" si="43"/>
        <v>0</v>
      </c>
      <c r="AL89" s="2201">
        <f t="shared" si="52"/>
        <v>0</v>
      </c>
      <c r="AM89" s="2232">
        <f t="shared" si="60"/>
        <v>0</v>
      </c>
      <c r="AN89" s="2218"/>
    </row>
    <row r="90" spans="1:40" ht="14.45" customHeight="1">
      <c r="A90" s="37" t="s">
        <v>383</v>
      </c>
      <c r="B90" s="111">
        <f>+[7]SSZ!B29</f>
        <v>0</v>
      </c>
      <c r="C90" s="19"/>
      <c r="D90" s="19">
        <f t="shared" si="53"/>
        <v>0</v>
      </c>
      <c r="E90" s="369"/>
      <c r="G90" s="111">
        <f>+[7]SSZ!E29</f>
        <v>0</v>
      </c>
      <c r="H90" s="15"/>
      <c r="I90" s="19">
        <f t="shared" si="54"/>
        <v>0</v>
      </c>
      <c r="J90" s="369"/>
      <c r="L90" s="111">
        <f>+[7]SSZ!H29</f>
        <v>0</v>
      </c>
      <c r="M90" s="15"/>
      <c r="N90" s="19">
        <f t="shared" si="55"/>
        <v>0</v>
      </c>
      <c r="O90" s="369"/>
      <c r="Q90" s="111">
        <f>+[7]SSZ!K29</f>
        <v>0</v>
      </c>
      <c r="R90" s="15"/>
      <c r="S90" s="19">
        <f t="shared" si="56"/>
        <v>0</v>
      </c>
      <c r="T90" s="369"/>
      <c r="V90" s="111">
        <f>+[7]SSZ!N29</f>
        <v>0</v>
      </c>
      <c r="W90" s="15"/>
      <c r="X90" s="19">
        <f t="shared" si="57"/>
        <v>0</v>
      </c>
      <c r="Y90" s="369"/>
      <c r="AA90" s="111">
        <f>+[7]SSZ!Q29</f>
        <v>0</v>
      </c>
      <c r="AB90" s="15"/>
      <c r="AC90" s="19">
        <f t="shared" si="58"/>
        <v>0</v>
      </c>
      <c r="AD90" s="369"/>
      <c r="AF90" s="111">
        <f>+[7]SSZ!T29</f>
        <v>0</v>
      </c>
      <c r="AG90" s="19"/>
      <c r="AH90" s="19">
        <f t="shared" si="59"/>
        <v>0</v>
      </c>
      <c r="AI90" s="369"/>
      <c r="AJ90" s="98"/>
      <c r="AK90" s="2204">
        <f t="shared" si="43"/>
        <v>0</v>
      </c>
      <c r="AL90" s="2201">
        <f t="shared" si="52"/>
        <v>0</v>
      </c>
      <c r="AM90" s="2243">
        <f t="shared" si="60"/>
        <v>0</v>
      </c>
      <c r="AN90" s="2218"/>
    </row>
    <row r="91" spans="1:40" ht="14.45" customHeight="1">
      <c r="A91" s="37" t="s">
        <v>90</v>
      </c>
      <c r="B91" s="121">
        <f>+[7]SSZ!B30</f>
        <v>0</v>
      </c>
      <c r="C91" s="19"/>
      <c r="D91" s="19">
        <f t="shared" si="53"/>
        <v>0</v>
      </c>
      <c r="E91" s="1231"/>
      <c r="G91" s="121">
        <f>+[7]SSZ!E30</f>
        <v>0</v>
      </c>
      <c r="H91" s="16"/>
      <c r="I91" s="19">
        <f t="shared" si="54"/>
        <v>0</v>
      </c>
      <c r="J91" s="1231"/>
      <c r="L91" s="121">
        <f>+[7]SSZ!H30</f>
        <v>0</v>
      </c>
      <c r="M91" s="16"/>
      <c r="N91" s="19">
        <f t="shared" si="55"/>
        <v>0</v>
      </c>
      <c r="O91" s="1231"/>
      <c r="Q91" s="121">
        <f>+[7]SSZ!K30</f>
        <v>0</v>
      </c>
      <c r="R91" s="16"/>
      <c r="S91" s="19">
        <f t="shared" si="56"/>
        <v>0</v>
      </c>
      <c r="T91" s="1231"/>
      <c r="V91" s="121">
        <f>+[7]SSZ!N30</f>
        <v>0</v>
      </c>
      <c r="W91" s="16"/>
      <c r="X91" s="19">
        <f t="shared" si="57"/>
        <v>0</v>
      </c>
      <c r="Y91" s="1231"/>
      <c r="AA91" s="121">
        <f>+[7]SSZ!Q30</f>
        <v>0</v>
      </c>
      <c r="AB91" s="16"/>
      <c r="AC91" s="19">
        <f t="shared" si="58"/>
        <v>0</v>
      </c>
      <c r="AD91" s="1231"/>
      <c r="AF91" s="121">
        <f>+[7]SSZ!T30</f>
        <v>0</v>
      </c>
      <c r="AG91" s="19"/>
      <c r="AH91" s="19">
        <f t="shared" si="59"/>
        <v>0</v>
      </c>
      <c r="AI91" s="1231"/>
      <c r="AJ91" s="98"/>
      <c r="AK91" s="2209">
        <f t="shared" si="43"/>
        <v>0</v>
      </c>
      <c r="AL91" s="2210">
        <f t="shared" si="52"/>
        <v>0</v>
      </c>
      <c r="AM91" s="2243">
        <f t="shared" si="60"/>
        <v>0</v>
      </c>
      <c r="AN91" s="2242"/>
    </row>
    <row r="92" spans="1:40" ht="14.45" customHeight="1">
      <c r="A92" s="1053" t="s">
        <v>91</v>
      </c>
      <c r="B92" s="374">
        <f>SUM(B80:B91)</f>
        <v>4939</v>
      </c>
      <c r="C92" s="18">
        <f>SUM(C80:C91)</f>
        <v>-776</v>
      </c>
      <c r="D92" s="18">
        <f>SUM(D80:D91)</f>
        <v>4163</v>
      </c>
      <c r="E92" s="375">
        <f>+D92/B92</f>
        <v>0.84288317473172703</v>
      </c>
      <c r="G92" s="374">
        <f>SUM(G80:G91)</f>
        <v>690</v>
      </c>
      <c r="H92" s="18">
        <f>SUM(H80:H91)</f>
        <v>72</v>
      </c>
      <c r="I92" s="18">
        <f>SUM(I80:I91)</f>
        <v>762</v>
      </c>
      <c r="J92" s="375">
        <f>+I92/G92</f>
        <v>1.1043478260869566</v>
      </c>
      <c r="L92" s="374">
        <f>SUM(L80:L91)</f>
        <v>440</v>
      </c>
      <c r="M92" s="18">
        <f>SUM(M80:M91)</f>
        <v>-120</v>
      </c>
      <c r="N92" s="18">
        <f>SUM(N80:N91)</f>
        <v>320</v>
      </c>
      <c r="O92" s="375">
        <f t="shared" si="28"/>
        <v>0.72727272727272729</v>
      </c>
      <c r="Q92" s="374">
        <f>SUM(Q80:Q91)</f>
        <v>940</v>
      </c>
      <c r="R92" s="18">
        <f>SUM(R80:R91)</f>
        <v>48</v>
      </c>
      <c r="S92" s="18">
        <f>SUM(S80:S91)</f>
        <v>988</v>
      </c>
      <c r="T92" s="375">
        <f t="shared" si="29"/>
        <v>1.0510638297872341</v>
      </c>
      <c r="V92" s="374">
        <f>SUM(V80:V91)</f>
        <v>200</v>
      </c>
      <c r="W92" s="18">
        <f>SUM(W80:W91)</f>
        <v>174</v>
      </c>
      <c r="X92" s="18">
        <f>SUM(X80:X91)</f>
        <v>374</v>
      </c>
      <c r="Y92" s="375">
        <f t="shared" si="30"/>
        <v>1.87</v>
      </c>
      <c r="AA92" s="374">
        <f>SUM(AA80:AA91)</f>
        <v>775</v>
      </c>
      <c r="AB92" s="18">
        <f>SUM(AB80:AB91)</f>
        <v>-70</v>
      </c>
      <c r="AC92" s="18">
        <f>SUM(AC80:AC91)</f>
        <v>705</v>
      </c>
      <c r="AD92" s="375">
        <f t="shared" si="32"/>
        <v>0.9096774193548387</v>
      </c>
      <c r="AF92" s="374">
        <f>SUM(AF80:AF91)</f>
        <v>220</v>
      </c>
      <c r="AG92" s="18">
        <f>SUM(AG80:AG91)</f>
        <v>70</v>
      </c>
      <c r="AH92" s="18">
        <f>SUM(AH80:AH91)</f>
        <v>290</v>
      </c>
      <c r="AI92" s="375">
        <f>+AH92/AF92</f>
        <v>1.3181818181818181</v>
      </c>
      <c r="AJ92" s="98"/>
      <c r="AK92" s="2226">
        <f>SUM(AK80:AK91)</f>
        <v>8204</v>
      </c>
      <c r="AL92" s="2227">
        <f t="shared" si="52"/>
        <v>-602</v>
      </c>
      <c r="AM92" s="2236">
        <f>SUM(AM80:AM91)</f>
        <v>7602</v>
      </c>
      <c r="AN92" s="2229">
        <f t="shared" si="31"/>
        <v>0.92662116040955633</v>
      </c>
    </row>
    <row r="93" spans="1:40" s="359" customFormat="1" ht="15" customHeight="1">
      <c r="A93" s="1258" t="s">
        <v>92</v>
      </c>
      <c r="B93" s="1240">
        <v>1250</v>
      </c>
      <c r="C93" s="1241">
        <f>+[3]Seg.Szolgálat!$I$80</f>
        <v>7</v>
      </c>
      <c r="D93" s="1241">
        <f>SUM(B93:C93)</f>
        <v>1257</v>
      </c>
      <c r="E93" s="375">
        <f>+D93/B93</f>
        <v>1.0056</v>
      </c>
      <c r="G93" s="1240">
        <v>236</v>
      </c>
      <c r="H93" s="1241"/>
      <c r="I93" s="18">
        <f>SUM(G93:H93)</f>
        <v>236</v>
      </c>
      <c r="J93" s="375">
        <f>+I93/G93</f>
        <v>1</v>
      </c>
      <c r="L93" s="1240">
        <v>246</v>
      </c>
      <c r="M93" s="1241">
        <f>+[3]Seg.Szolgálat!$I$75</f>
        <v>-85</v>
      </c>
      <c r="N93" s="1241">
        <f t="shared" ref="N93:N98" si="61">SUM(L93:M93)</f>
        <v>161</v>
      </c>
      <c r="O93" s="375">
        <f t="shared" si="28"/>
        <v>0.65447154471544711</v>
      </c>
      <c r="Q93" s="1240">
        <v>317</v>
      </c>
      <c r="R93" s="1241">
        <f>+[3]Seg.Szolgálat!$I$13</f>
        <v>-23</v>
      </c>
      <c r="S93" s="1241">
        <f t="shared" ref="S93:S98" si="62">SUM(Q93:R93)</f>
        <v>294</v>
      </c>
      <c r="T93" s="375">
        <f t="shared" si="29"/>
        <v>0.9274447949526814</v>
      </c>
      <c r="V93" s="1240">
        <v>272</v>
      </c>
      <c r="W93" s="1241">
        <f>+[3]Seg.Szolgálat!$I$53</f>
        <v>26</v>
      </c>
      <c r="X93" s="1241">
        <f t="shared" ref="X93:X98" si="63">SUM(V93:W93)</f>
        <v>298</v>
      </c>
      <c r="Y93" s="375">
        <f t="shared" si="30"/>
        <v>1.0955882352941178</v>
      </c>
      <c r="AA93" s="1240">
        <f>304+0.5</f>
        <v>304.5</v>
      </c>
      <c r="AB93" s="1241">
        <f>+[3]Seg.Szolgálat!$I$40</f>
        <v>-68</v>
      </c>
      <c r="AC93" s="1241">
        <f t="shared" ref="AC93:AC98" si="64">SUM(AA93:AB93)</f>
        <v>236.5</v>
      </c>
      <c r="AD93" s="375">
        <f t="shared" si="32"/>
        <v>0.77668308702791466</v>
      </c>
      <c r="AF93" s="1240">
        <v>325</v>
      </c>
      <c r="AG93" s="1241"/>
      <c r="AH93" s="1241">
        <f t="shared" ref="AH93:AH98" si="65">SUM(AF93:AG93)</f>
        <v>325</v>
      </c>
      <c r="AI93" s="375">
        <f>+AH93/AF93</f>
        <v>1</v>
      </c>
      <c r="AK93" s="2244">
        <f>+B93+G93+L93+Q93+V93+AA93+AF93</f>
        <v>2950.5</v>
      </c>
      <c r="AL93" s="2227">
        <f t="shared" si="52"/>
        <v>-143</v>
      </c>
      <c r="AM93" s="2245">
        <f t="shared" ref="AM93:AM98" si="66">SUM(AK93:AL93)</f>
        <v>2807.5</v>
      </c>
      <c r="AN93" s="2229">
        <f t="shared" si="31"/>
        <v>0.95153363836637861</v>
      </c>
    </row>
    <row r="94" spans="1:40" ht="15" customHeight="1">
      <c r="A94" s="14" t="s">
        <v>93</v>
      </c>
      <c r="B94" s="111">
        <f>+[7]SSZ!B33</f>
        <v>15</v>
      </c>
      <c r="C94" s="15"/>
      <c r="D94" s="15">
        <f>SUM(B94:C94)</f>
        <v>15</v>
      </c>
      <c r="E94" s="369">
        <f>+D94/B94</f>
        <v>1</v>
      </c>
      <c r="G94" s="111">
        <f>+[7]SSZ!E33</f>
        <v>250</v>
      </c>
      <c r="H94" s="15">
        <f>+[3]Seg.Szolgálat!$L$34</f>
        <v>10</v>
      </c>
      <c r="I94" s="15">
        <f>SUM(G94:H94)</f>
        <v>260</v>
      </c>
      <c r="J94" s="369">
        <f>+I94/G94</f>
        <v>1.04</v>
      </c>
      <c r="L94" s="111">
        <f>+[7]SSZ!H33</f>
        <v>100</v>
      </c>
      <c r="M94" s="15"/>
      <c r="N94" s="15">
        <f t="shared" si="61"/>
        <v>100</v>
      </c>
      <c r="O94" s="369">
        <f t="shared" si="28"/>
        <v>1</v>
      </c>
      <c r="Q94" s="111">
        <f>+[7]SSZ!K33</f>
        <v>250</v>
      </c>
      <c r="R94" s="15"/>
      <c r="S94" s="15">
        <f t="shared" si="62"/>
        <v>250</v>
      </c>
      <c r="T94" s="369">
        <f t="shared" si="29"/>
        <v>1</v>
      </c>
      <c r="V94" s="111">
        <f>+[7]SSZ!N33</f>
        <v>120</v>
      </c>
      <c r="W94" s="15"/>
      <c r="X94" s="15">
        <f t="shared" si="63"/>
        <v>120</v>
      </c>
      <c r="Y94" s="369">
        <f t="shared" si="30"/>
        <v>1</v>
      </c>
      <c r="AA94" s="111">
        <f>+[7]SSZ!Q33</f>
        <v>155</v>
      </c>
      <c r="AB94" s="15"/>
      <c r="AC94" s="15">
        <f t="shared" si="64"/>
        <v>155</v>
      </c>
      <c r="AD94" s="369">
        <f t="shared" si="32"/>
        <v>1</v>
      </c>
      <c r="AF94" s="111">
        <f>+[7]SSZ!T33</f>
        <v>0</v>
      </c>
      <c r="AG94" s="15"/>
      <c r="AH94" s="15">
        <f t="shared" si="65"/>
        <v>0</v>
      </c>
      <c r="AI94" s="369"/>
      <c r="AJ94" s="98"/>
      <c r="AK94" s="2216">
        <f t="shared" ref="AK94:AK104" si="67">+B94+G94+L94+Q94+V94+AA94+AF94</f>
        <v>890</v>
      </c>
      <c r="AL94" s="2230">
        <f t="shared" si="52"/>
        <v>10</v>
      </c>
      <c r="AM94" s="2217">
        <f t="shared" si="66"/>
        <v>900</v>
      </c>
      <c r="AN94" s="2218">
        <f t="shared" si="31"/>
        <v>1.0112359550561798</v>
      </c>
    </row>
    <row r="95" spans="1:40" ht="15" customHeight="1">
      <c r="A95" s="27" t="s">
        <v>384</v>
      </c>
      <c r="B95" s="118">
        <f>+[7]SSZ!B34</f>
        <v>15</v>
      </c>
      <c r="C95" s="24"/>
      <c r="D95" s="24">
        <f>SUM(B95:C95)</f>
        <v>15</v>
      </c>
      <c r="E95" s="369">
        <f>+D95/B95</f>
        <v>1</v>
      </c>
      <c r="G95" s="118">
        <f>+[7]SSZ!E34</f>
        <v>15</v>
      </c>
      <c r="H95" s="24">
        <f>+[3]Seg.Szolgálat!$J$28</f>
        <v>-10</v>
      </c>
      <c r="I95" s="24">
        <f>SUM(G95:H95)</f>
        <v>5</v>
      </c>
      <c r="J95" s="369">
        <f>+I95/G95</f>
        <v>0.33333333333333331</v>
      </c>
      <c r="L95" s="118">
        <f>+[7]SSZ!H34</f>
        <v>15</v>
      </c>
      <c r="M95" s="24"/>
      <c r="N95" s="24">
        <f t="shared" si="61"/>
        <v>15</v>
      </c>
      <c r="O95" s="369">
        <f t="shared" si="28"/>
        <v>1</v>
      </c>
      <c r="Q95" s="118">
        <f>+[7]SSZ!K34</f>
        <v>10</v>
      </c>
      <c r="R95" s="24">
        <f>+[3]Seg.Szolgálat!$J$12</f>
        <v>10</v>
      </c>
      <c r="S95" s="24">
        <f t="shared" si="62"/>
        <v>20</v>
      </c>
      <c r="T95" s="369">
        <f t="shared" si="29"/>
        <v>2</v>
      </c>
      <c r="V95" s="118">
        <f>+[7]SSZ!N34</f>
        <v>10</v>
      </c>
      <c r="W95" s="24">
        <f>+[3]Seg.Szolgálat!$J$56</f>
        <v>-10</v>
      </c>
      <c r="X95" s="24">
        <f t="shared" si="63"/>
        <v>0</v>
      </c>
      <c r="Y95" s="369">
        <f t="shared" si="30"/>
        <v>0</v>
      </c>
      <c r="AA95" s="118">
        <f>+[7]SSZ!Q34</f>
        <v>13</v>
      </c>
      <c r="AB95" s="24"/>
      <c r="AC95" s="24">
        <f t="shared" si="64"/>
        <v>13</v>
      </c>
      <c r="AD95" s="369">
        <f t="shared" si="32"/>
        <v>1</v>
      </c>
      <c r="AF95" s="118">
        <f>+[7]SSZ!T34</f>
        <v>10</v>
      </c>
      <c r="AG95" s="24">
        <f>+[3]Seg.Szolgálat!$J$90</f>
        <v>-10</v>
      </c>
      <c r="AH95" s="24">
        <f t="shared" si="65"/>
        <v>0</v>
      </c>
      <c r="AI95" s="369">
        <f>+AH95/AF95</f>
        <v>0</v>
      </c>
      <c r="AJ95" s="98"/>
      <c r="AK95" s="2204">
        <f t="shared" si="67"/>
        <v>88</v>
      </c>
      <c r="AL95" s="2201">
        <f t="shared" si="52"/>
        <v>-20</v>
      </c>
      <c r="AM95" s="2232">
        <f t="shared" si="66"/>
        <v>68</v>
      </c>
      <c r="AN95" s="2218">
        <f t="shared" si="31"/>
        <v>0.77272727272727271</v>
      </c>
    </row>
    <row r="96" spans="1:40" s="13" customFormat="1" ht="15" customHeight="1">
      <c r="A96" s="28" t="s">
        <v>95</v>
      </c>
      <c r="B96" s="137">
        <f>+[7]SSZ!B35</f>
        <v>0</v>
      </c>
      <c r="C96" s="19"/>
      <c r="D96" s="19">
        <f>SUM(B96:C96)</f>
        <v>0</v>
      </c>
      <c r="E96" s="1231"/>
      <c r="F96" s="98"/>
      <c r="G96" s="137">
        <f>+[7]SSZ!E35</f>
        <v>0</v>
      </c>
      <c r="H96" s="19"/>
      <c r="I96" s="19">
        <f>SUM(G96:H96)</f>
        <v>0</v>
      </c>
      <c r="J96" s="1231"/>
      <c r="K96" s="2"/>
      <c r="L96" s="137">
        <f>+[7]SSZ!H35</f>
        <v>10</v>
      </c>
      <c r="M96" s="19"/>
      <c r="N96" s="19">
        <f t="shared" si="61"/>
        <v>10</v>
      </c>
      <c r="O96" s="1231">
        <f t="shared" si="28"/>
        <v>1</v>
      </c>
      <c r="P96" s="98"/>
      <c r="Q96" s="137">
        <f>+[7]SSZ!K35</f>
        <v>0</v>
      </c>
      <c r="R96" s="19"/>
      <c r="S96" s="19">
        <f t="shared" si="62"/>
        <v>0</v>
      </c>
      <c r="T96" s="1231"/>
      <c r="U96" s="1"/>
      <c r="V96" s="137">
        <f>+[7]SSZ!N35</f>
        <v>0</v>
      </c>
      <c r="W96" s="19"/>
      <c r="X96" s="19">
        <f t="shared" si="63"/>
        <v>0</v>
      </c>
      <c r="Y96" s="1231"/>
      <c r="Z96" s="98"/>
      <c r="AA96" s="137">
        <f>+[7]SSZ!Q35</f>
        <v>0</v>
      </c>
      <c r="AB96" s="19"/>
      <c r="AC96" s="19">
        <f t="shared" si="64"/>
        <v>0</v>
      </c>
      <c r="AD96" s="1231"/>
      <c r="AE96" s="98"/>
      <c r="AF96" s="137">
        <f>+[7]SSZ!T35</f>
        <v>0</v>
      </c>
      <c r="AG96" s="19"/>
      <c r="AH96" s="19">
        <f t="shared" si="65"/>
        <v>0</v>
      </c>
      <c r="AI96" s="1231"/>
      <c r="AJ96" s="98"/>
      <c r="AK96" s="2209">
        <f t="shared" si="67"/>
        <v>10</v>
      </c>
      <c r="AL96" s="2210">
        <f t="shared" si="52"/>
        <v>0</v>
      </c>
      <c r="AM96" s="2243">
        <f t="shared" si="66"/>
        <v>10</v>
      </c>
      <c r="AN96" s="2242">
        <f t="shared" si="31"/>
        <v>1</v>
      </c>
    </row>
    <row r="97" spans="1:41" s="149" customFormat="1" ht="15" customHeight="1">
      <c r="A97" s="1053" t="s">
        <v>96</v>
      </c>
      <c r="B97" s="374">
        <f>SUM(B94:B96)</f>
        <v>30</v>
      </c>
      <c r="C97" s="18">
        <f>SUM(C94:C96)</f>
        <v>0</v>
      </c>
      <c r="D97" s="18">
        <f>SUM(B97:C97)</f>
        <v>30</v>
      </c>
      <c r="E97" s="375">
        <f>+D97/B97</f>
        <v>1</v>
      </c>
      <c r="F97" s="98"/>
      <c r="G97" s="374">
        <f>SUM(G94:G96)</f>
        <v>265</v>
      </c>
      <c r="H97" s="18">
        <f>SUM(H94:H96)</f>
        <v>0</v>
      </c>
      <c r="I97" s="18">
        <f>SUM(G97:H97)</f>
        <v>265</v>
      </c>
      <c r="J97" s="375">
        <f>+I97/G97</f>
        <v>1</v>
      </c>
      <c r="K97" s="2"/>
      <c r="L97" s="374">
        <f>SUM(L94:L96)</f>
        <v>125</v>
      </c>
      <c r="M97" s="18"/>
      <c r="N97" s="18">
        <f t="shared" si="61"/>
        <v>125</v>
      </c>
      <c r="O97" s="375">
        <f t="shared" si="28"/>
        <v>1</v>
      </c>
      <c r="P97" s="98"/>
      <c r="Q97" s="374">
        <f>SUM(Q94:Q96)</f>
        <v>260</v>
      </c>
      <c r="R97" s="18">
        <f>SUM(R94:R96)</f>
        <v>10</v>
      </c>
      <c r="S97" s="18">
        <f t="shared" si="62"/>
        <v>270</v>
      </c>
      <c r="T97" s="375">
        <f t="shared" si="29"/>
        <v>1.0384615384615385</v>
      </c>
      <c r="U97" s="1"/>
      <c r="V97" s="374">
        <f>SUM(V94:V96)</f>
        <v>130</v>
      </c>
      <c r="W97" s="18">
        <f>SUM(W94:W96)</f>
        <v>-10</v>
      </c>
      <c r="X97" s="18">
        <f t="shared" si="63"/>
        <v>120</v>
      </c>
      <c r="Y97" s="375">
        <f t="shared" si="30"/>
        <v>0.92307692307692313</v>
      </c>
      <c r="Z97" s="98"/>
      <c r="AA97" s="374">
        <f>SUM(AA94:AA96)</f>
        <v>168</v>
      </c>
      <c r="AB97" s="18">
        <f>SUM(AB94:AB96)</f>
        <v>0</v>
      </c>
      <c r="AC97" s="18">
        <f t="shared" si="64"/>
        <v>168</v>
      </c>
      <c r="AD97" s="375">
        <f t="shared" si="32"/>
        <v>1</v>
      </c>
      <c r="AE97" s="98"/>
      <c r="AF97" s="374">
        <f>SUM(AF94:AF96)</f>
        <v>10</v>
      </c>
      <c r="AG97" s="18">
        <f>SUM(AG94:AG96)</f>
        <v>-10</v>
      </c>
      <c r="AH97" s="18">
        <f t="shared" si="65"/>
        <v>0</v>
      </c>
      <c r="AI97" s="375">
        <f>+AH97/AF97</f>
        <v>0</v>
      </c>
      <c r="AJ97" s="98"/>
      <c r="AK97" s="2226">
        <f t="shared" si="67"/>
        <v>988</v>
      </c>
      <c r="AL97" s="2227">
        <f t="shared" si="52"/>
        <v>-10</v>
      </c>
      <c r="AM97" s="2236">
        <f t="shared" si="66"/>
        <v>978</v>
      </c>
      <c r="AN97" s="2229">
        <f t="shared" si="31"/>
        <v>0.98987854251012142</v>
      </c>
    </row>
    <row r="98" spans="1:41" s="149" customFormat="1" ht="15" customHeight="1" thickBot="1">
      <c r="A98" s="396" t="s">
        <v>385</v>
      </c>
      <c r="B98" s="121">
        <f>+[7]SSZ!B37</f>
        <v>0</v>
      </c>
      <c r="C98" s="16"/>
      <c r="D98" s="16"/>
      <c r="E98" s="1231"/>
      <c r="F98" s="98"/>
      <c r="G98" s="121">
        <f>+[7]SSZ!E37</f>
        <v>0</v>
      </c>
      <c r="H98" s="16"/>
      <c r="I98" s="16"/>
      <c r="J98" s="1231"/>
      <c r="K98" s="2"/>
      <c r="L98" s="121">
        <f>+[7]SSZ!H37</f>
        <v>50</v>
      </c>
      <c r="M98" s="16"/>
      <c r="N98" s="16">
        <f t="shared" si="61"/>
        <v>50</v>
      </c>
      <c r="O98" s="1231">
        <f t="shared" si="28"/>
        <v>1</v>
      </c>
      <c r="P98" s="98"/>
      <c r="Q98" s="121">
        <f>+[7]SSZ!K37</f>
        <v>20</v>
      </c>
      <c r="R98" s="16">
        <f>+[3]Seg.Szolgálat!$J$19</f>
        <v>-20</v>
      </c>
      <c r="S98" s="16">
        <f t="shared" si="62"/>
        <v>0</v>
      </c>
      <c r="T98" s="1231">
        <f t="shared" si="29"/>
        <v>0</v>
      </c>
      <c r="U98" s="1"/>
      <c r="V98" s="121">
        <f>+[7]SSZ!N37</f>
        <v>0</v>
      </c>
      <c r="W98" s="16"/>
      <c r="X98" s="16">
        <f t="shared" si="63"/>
        <v>0</v>
      </c>
      <c r="Y98" s="1231"/>
      <c r="Z98" s="98"/>
      <c r="AA98" s="121">
        <f>+[7]SSZ!Q37</f>
        <v>0</v>
      </c>
      <c r="AB98" s="16"/>
      <c r="AC98" s="16">
        <f t="shared" si="64"/>
        <v>0</v>
      </c>
      <c r="AD98" s="1231"/>
      <c r="AE98" s="98"/>
      <c r="AF98" s="121">
        <f>+[7]SSZ!T37</f>
        <v>0</v>
      </c>
      <c r="AG98" s="16"/>
      <c r="AH98" s="16">
        <f t="shared" si="65"/>
        <v>0</v>
      </c>
      <c r="AI98" s="1231"/>
      <c r="AJ98" s="98"/>
      <c r="AK98" s="2246">
        <f t="shared" si="67"/>
        <v>70</v>
      </c>
      <c r="AL98" s="2247">
        <f t="shared" si="52"/>
        <v>-20</v>
      </c>
      <c r="AM98" s="2241">
        <f t="shared" si="66"/>
        <v>50</v>
      </c>
      <c r="AN98" s="2242">
        <f t="shared" si="31"/>
        <v>0.7142857142857143</v>
      </c>
    </row>
    <row r="99" spans="1:41" s="12" customFormat="1" ht="15" customHeight="1" thickBot="1">
      <c r="A99" s="11" t="s">
        <v>98</v>
      </c>
      <c r="B99" s="216">
        <f>+B75+B79+B92+B93+B97+B98</f>
        <v>6289</v>
      </c>
      <c r="C99" s="20">
        <f>+C75+C79+C92+C93+C97+C98</f>
        <v>-746</v>
      </c>
      <c r="D99" s="20">
        <f t="shared" ref="D99:D104" si="68">SUM(B99:C99)</f>
        <v>5543</v>
      </c>
      <c r="E99" s="1439">
        <f>+D99/B99</f>
        <v>0.88138018762919379</v>
      </c>
      <c r="F99" s="131"/>
      <c r="G99" s="20">
        <f>+G75+G79+G92+G93+G97+G98</f>
        <v>1436</v>
      </c>
      <c r="H99" s="20">
        <f>+H75+H79+H92+H93+H97+H98</f>
        <v>56</v>
      </c>
      <c r="I99" s="20">
        <f t="shared" ref="I99:I104" si="69">SUM(G99:H99)</f>
        <v>1492</v>
      </c>
      <c r="J99" s="1439">
        <f>+I99/G99</f>
        <v>1.0389972144846797</v>
      </c>
      <c r="K99" s="22"/>
      <c r="L99" s="216">
        <f>+L75+L79+L92+L93+L97+L98</f>
        <v>1406</v>
      </c>
      <c r="M99" s="20">
        <f>+M75+M79+M92+M93+M97+M98</f>
        <v>-310</v>
      </c>
      <c r="N99" s="20">
        <f t="shared" ref="N99:N104" si="70">SUM(L99:M99)</f>
        <v>1096</v>
      </c>
      <c r="O99" s="1439">
        <f t="shared" si="28"/>
        <v>0.77951635846372691</v>
      </c>
      <c r="P99" s="131"/>
      <c r="Q99" s="216">
        <f>+Q75+Q79+Q92+Q93+Q97+Q98</f>
        <v>1865</v>
      </c>
      <c r="R99" s="20">
        <f>+R75+R79+R92+R93+R97+R98</f>
        <v>-69</v>
      </c>
      <c r="S99" s="20">
        <f t="shared" ref="S99:S104" si="71">SUM(Q99:R99)</f>
        <v>1796</v>
      </c>
      <c r="T99" s="1439">
        <f t="shared" si="29"/>
        <v>0.96300268096514741</v>
      </c>
      <c r="U99" s="21"/>
      <c r="V99" s="216">
        <f>+V75+V79+V92+V93+V97+V98</f>
        <v>1492</v>
      </c>
      <c r="W99" s="20">
        <f>+W75+W79+W92+W93+W97+W98</f>
        <v>124</v>
      </c>
      <c r="X99" s="20">
        <f t="shared" ref="X99:X104" si="72">SUM(V99:W99)</f>
        <v>1616</v>
      </c>
      <c r="Y99" s="1439">
        <f t="shared" si="30"/>
        <v>1.0831099195710456</v>
      </c>
      <c r="Z99" s="131"/>
      <c r="AA99" s="216">
        <f>+AA75+AA79+AA92+AA93+AA97+AA98</f>
        <v>1684.5</v>
      </c>
      <c r="AB99" s="20">
        <f>+AB75+AB79+AB92+AB93+AB97+AB98</f>
        <v>-312</v>
      </c>
      <c r="AC99" s="20">
        <f t="shared" ref="AC99:AC104" si="73">SUM(AA99:AB99)</f>
        <v>1372.5</v>
      </c>
      <c r="AD99" s="1439">
        <f t="shared" si="32"/>
        <v>0.8147818343722173</v>
      </c>
      <c r="AE99" s="131"/>
      <c r="AF99" s="216">
        <f>+AF75+AF79+AF92+AF93+AF97+AF98</f>
        <v>1635</v>
      </c>
      <c r="AG99" s="20">
        <f>+AG75+AG79+AG92+AG93+AG97+AG98</f>
        <v>0</v>
      </c>
      <c r="AH99" s="20">
        <f t="shared" ref="AH99:AH104" si="74">SUM(AF99:AG99)</f>
        <v>1635</v>
      </c>
      <c r="AI99" s="1439">
        <f>+AH99/AF99</f>
        <v>1</v>
      </c>
      <c r="AJ99" s="131"/>
      <c r="AK99" s="2213">
        <f t="shared" si="67"/>
        <v>15807.5</v>
      </c>
      <c r="AL99" s="2248">
        <f t="shared" si="52"/>
        <v>-1257</v>
      </c>
      <c r="AM99" s="2214">
        <f t="shared" ref="AM99:AM104" si="75">SUM(AK99:AL99)</f>
        <v>14550.5</v>
      </c>
      <c r="AN99" s="2215">
        <f t="shared" si="31"/>
        <v>0.92048078443776693</v>
      </c>
    </row>
    <row r="100" spans="1:41" s="149" customFormat="1" ht="15" customHeight="1">
      <c r="A100" s="30" t="s">
        <v>99</v>
      </c>
      <c r="B100" s="114">
        <f>+[7]SSZ!B39</f>
        <v>0</v>
      </c>
      <c r="C100" s="194"/>
      <c r="D100" s="194">
        <f t="shared" si="68"/>
        <v>0</v>
      </c>
      <c r="E100" s="369"/>
      <c r="F100" s="98"/>
      <c r="G100" s="114">
        <f>+[7]SSZ!E39</f>
        <v>0</v>
      </c>
      <c r="H100" s="194"/>
      <c r="I100" s="194">
        <f t="shared" si="69"/>
        <v>0</v>
      </c>
      <c r="J100" s="369"/>
      <c r="K100" s="2"/>
      <c r="L100" s="111">
        <f>+[7]SSZ!H39</f>
        <v>0</v>
      </c>
      <c r="M100" s="15"/>
      <c r="N100" s="194">
        <f t="shared" si="70"/>
        <v>0</v>
      </c>
      <c r="O100" s="369"/>
      <c r="P100" s="98"/>
      <c r="Q100" s="114">
        <f>+[7]SSZ!K39</f>
        <v>0</v>
      </c>
      <c r="R100" s="194"/>
      <c r="S100" s="194">
        <f t="shared" si="71"/>
        <v>0</v>
      </c>
      <c r="T100" s="369"/>
      <c r="U100" s="1"/>
      <c r="V100" s="114">
        <f>+[7]SSZ!N39</f>
        <v>0</v>
      </c>
      <c r="W100" s="194"/>
      <c r="X100" s="194">
        <f t="shared" si="72"/>
        <v>0</v>
      </c>
      <c r="Y100" s="369"/>
      <c r="Z100" s="98"/>
      <c r="AA100" s="114">
        <f>+[7]SSZ!Q39</f>
        <v>0</v>
      </c>
      <c r="AB100" s="194"/>
      <c r="AC100" s="194">
        <f t="shared" si="73"/>
        <v>0</v>
      </c>
      <c r="AD100" s="369"/>
      <c r="AE100" s="98"/>
      <c r="AF100" s="114">
        <f>+[7]SSZ!T39</f>
        <v>0</v>
      </c>
      <c r="AG100" s="194"/>
      <c r="AH100" s="194">
        <f t="shared" si="74"/>
        <v>0</v>
      </c>
      <c r="AI100" s="369"/>
      <c r="AJ100" s="1"/>
      <c r="AK100" s="2249">
        <f t="shared" si="67"/>
        <v>0</v>
      </c>
      <c r="AL100" s="2201">
        <f t="shared" si="52"/>
        <v>0</v>
      </c>
      <c r="AM100" s="2250">
        <f t="shared" si="75"/>
        <v>0</v>
      </c>
      <c r="AN100" s="2218"/>
    </row>
    <row r="101" spans="1:41" s="13" customFormat="1" ht="15" customHeight="1">
      <c r="A101" s="32" t="s">
        <v>369</v>
      </c>
      <c r="B101" s="118">
        <f>+[7]SSZ!B40</f>
        <v>0</v>
      </c>
      <c r="C101" s="24"/>
      <c r="D101" s="24">
        <f t="shared" si="68"/>
        <v>0</v>
      </c>
      <c r="E101" s="369"/>
      <c r="F101" s="98"/>
      <c r="G101" s="118">
        <f>+[7]SSZ!E40</f>
        <v>0</v>
      </c>
      <c r="H101" s="24"/>
      <c r="I101" s="24">
        <f t="shared" si="69"/>
        <v>0</v>
      </c>
      <c r="J101" s="369"/>
      <c r="K101" s="2"/>
      <c r="L101" s="111">
        <f>+[7]SSZ!H40</f>
        <v>0</v>
      </c>
      <c r="M101" s="15"/>
      <c r="N101" s="24">
        <f t="shared" si="70"/>
        <v>0</v>
      </c>
      <c r="O101" s="369"/>
      <c r="P101" s="98"/>
      <c r="Q101" s="118">
        <f>+[7]SSZ!K40</f>
        <v>0</v>
      </c>
      <c r="R101" s="24"/>
      <c r="S101" s="24">
        <f t="shared" si="71"/>
        <v>0</v>
      </c>
      <c r="T101" s="369"/>
      <c r="U101" s="1"/>
      <c r="V101" s="118">
        <f>+[7]SSZ!N40</f>
        <v>0</v>
      </c>
      <c r="W101" s="24"/>
      <c r="X101" s="24">
        <f t="shared" si="72"/>
        <v>0</v>
      </c>
      <c r="Y101" s="369"/>
      <c r="Z101" s="98"/>
      <c r="AA101" s="118">
        <f>+[7]SSZ!Q40</f>
        <v>0</v>
      </c>
      <c r="AB101" s="24"/>
      <c r="AC101" s="24">
        <f t="shared" si="73"/>
        <v>0</v>
      </c>
      <c r="AD101" s="369"/>
      <c r="AE101" s="98"/>
      <c r="AF101" s="118">
        <f>+[7]SSZ!T40</f>
        <v>0</v>
      </c>
      <c r="AG101" s="24"/>
      <c r="AH101" s="24">
        <f t="shared" si="74"/>
        <v>0</v>
      </c>
      <c r="AI101" s="369"/>
      <c r="AJ101" s="21"/>
      <c r="AK101" s="2204">
        <f t="shared" si="67"/>
        <v>0</v>
      </c>
      <c r="AL101" s="2201">
        <f t="shared" si="52"/>
        <v>0</v>
      </c>
      <c r="AM101" s="2232">
        <f t="shared" si="75"/>
        <v>0</v>
      </c>
      <c r="AN101" s="2218"/>
    </row>
    <row r="102" spans="1:41" s="791" customFormat="1" ht="15" customHeight="1">
      <c r="A102" s="1259" t="s">
        <v>105</v>
      </c>
      <c r="B102" s="792">
        <f>+B51*0.1904</f>
        <v>43.792000000000002</v>
      </c>
      <c r="C102" s="361"/>
      <c r="D102" s="361">
        <f t="shared" si="68"/>
        <v>43.792000000000002</v>
      </c>
      <c r="E102" s="369">
        <f>+D102/B102</f>
        <v>1</v>
      </c>
      <c r="F102" s="359"/>
      <c r="G102" s="792">
        <f>+(G51*0.1904)-0.5</f>
        <v>64.997600000000006</v>
      </c>
      <c r="H102" s="361"/>
      <c r="I102" s="361">
        <f t="shared" si="69"/>
        <v>64.997600000000006</v>
      </c>
      <c r="J102" s="369">
        <f>+I102/G102</f>
        <v>1</v>
      </c>
      <c r="K102" s="359"/>
      <c r="L102" s="790">
        <f>+L51*0.1904</f>
        <v>371.66080000000005</v>
      </c>
      <c r="M102" s="361"/>
      <c r="N102" s="361">
        <f t="shared" si="70"/>
        <v>371.66080000000005</v>
      </c>
      <c r="O102" s="369">
        <f>+N102/L102</f>
        <v>1</v>
      </c>
      <c r="P102" s="359"/>
      <c r="Q102" s="792">
        <f>+(Q51*0.1904)+0.39</f>
        <v>87.783600000000007</v>
      </c>
      <c r="R102" s="361"/>
      <c r="S102" s="361">
        <f t="shared" si="71"/>
        <v>87.783600000000007</v>
      </c>
      <c r="T102" s="369">
        <f>+S102/Q102</f>
        <v>1</v>
      </c>
      <c r="U102" s="359"/>
      <c r="V102" s="792">
        <f>+(V51*0.1904)-0.1</f>
        <v>87.293600000000012</v>
      </c>
      <c r="W102" s="361"/>
      <c r="X102" s="361">
        <v>87</v>
      </c>
      <c r="Y102" s="369">
        <f>+X102/V102</f>
        <v>0.99663663773747435</v>
      </c>
      <c r="Z102" s="359"/>
      <c r="AA102" s="792">
        <f>+AA51*0.1904+0.5</f>
        <v>55.144800000000004</v>
      </c>
      <c r="AB102" s="361"/>
      <c r="AC102" s="361">
        <f t="shared" si="73"/>
        <v>55.144800000000004</v>
      </c>
      <c r="AD102" s="369">
        <f>+AC102/AA102</f>
        <v>1</v>
      </c>
      <c r="AE102" s="359"/>
      <c r="AF102" s="792">
        <f>+AF51*0.1904-0.35</f>
        <v>21.545999999999999</v>
      </c>
      <c r="AG102" s="361"/>
      <c r="AH102" s="361">
        <f t="shared" si="74"/>
        <v>21.545999999999999</v>
      </c>
      <c r="AI102" s="369">
        <f>+AH102/AF102</f>
        <v>1</v>
      </c>
      <c r="AJ102" s="359"/>
      <c r="AK102" s="2251">
        <f t="shared" si="67"/>
        <v>732.21840000000009</v>
      </c>
      <c r="AL102" s="2201">
        <f t="shared" si="52"/>
        <v>0</v>
      </c>
      <c r="AM102" s="2252">
        <f t="shared" si="75"/>
        <v>732.21840000000009</v>
      </c>
      <c r="AN102" s="2218">
        <f>+AM102/AK102</f>
        <v>1</v>
      </c>
    </row>
    <row r="103" spans="1:41" s="149" customFormat="1" ht="15" customHeight="1" thickBot="1">
      <c r="A103" s="37" t="s">
        <v>386</v>
      </c>
      <c r="B103" s="137">
        <f>+[7]SSZ!$B$42</f>
        <v>113</v>
      </c>
      <c r="C103" s="380">
        <f>+[3]Seg.Szolgálat!$J$83</f>
        <v>113</v>
      </c>
      <c r="D103" s="19">
        <f t="shared" si="68"/>
        <v>226</v>
      </c>
      <c r="E103" s="1231">
        <f>+D103/B103</f>
        <v>2</v>
      </c>
      <c r="F103" s="1"/>
      <c r="G103" s="137">
        <f>+[7]SSZ!$E$42</f>
        <v>170</v>
      </c>
      <c r="H103" s="19">
        <f>+[3]Seg.Szolgálat!$J$29</f>
        <v>170</v>
      </c>
      <c r="I103" s="19">
        <f t="shared" si="69"/>
        <v>340</v>
      </c>
      <c r="J103" s="1231">
        <f>+I103/G103</f>
        <v>2</v>
      </c>
      <c r="K103" s="1"/>
      <c r="L103" s="121">
        <f>+[7]SSZ!$H$42</f>
        <v>965</v>
      </c>
      <c r="M103" s="380">
        <f>+[3]Seg.Szolgálat!$J$72+[3]Seg.Szolgálat!$J$74</f>
        <v>973</v>
      </c>
      <c r="N103" s="19">
        <f t="shared" si="70"/>
        <v>1938</v>
      </c>
      <c r="O103" s="1231">
        <f>+N103/L103</f>
        <v>2.0082901554404144</v>
      </c>
      <c r="P103" s="1"/>
      <c r="Q103" s="137">
        <f>+[7]SSZ!$K$42</f>
        <v>227</v>
      </c>
      <c r="R103" s="380">
        <f>+[3]Seg.Szolgálat!$J$14</f>
        <v>227</v>
      </c>
      <c r="S103" s="19">
        <f t="shared" si="71"/>
        <v>454</v>
      </c>
      <c r="T103" s="1231">
        <f>+S103/Q103</f>
        <v>2</v>
      </c>
      <c r="U103" s="1"/>
      <c r="V103" s="137">
        <f>+[7]SSZ!$N$42</f>
        <v>227</v>
      </c>
      <c r="W103" s="380">
        <f>+[3]Seg.Szolgálat!$J$57+[3]Seg.Szolgálat!$J$58+[3]Seg.Szolgálat!$J$60</f>
        <v>313</v>
      </c>
      <c r="X103" s="19">
        <f t="shared" si="72"/>
        <v>540</v>
      </c>
      <c r="Y103" s="1231">
        <f>+X103/V103</f>
        <v>2.3788546255506606</v>
      </c>
      <c r="Z103" s="1"/>
      <c r="AA103" s="137">
        <f>+[7]SSZ!$Q$42</f>
        <v>170</v>
      </c>
      <c r="AB103" s="19">
        <f>+[3]Seg.Szolgálat!$J$42</f>
        <v>170</v>
      </c>
      <c r="AC103" s="19">
        <f t="shared" si="73"/>
        <v>340</v>
      </c>
      <c r="AD103" s="1231">
        <f>+AC103/AA103</f>
        <v>2</v>
      </c>
      <c r="AE103" s="1"/>
      <c r="AF103" s="137">
        <f>+[7]SSZ!$T$42</f>
        <v>57</v>
      </c>
      <c r="AG103" s="19">
        <f>+[3]Seg.Szolgálat!$J$91+[3]Seg.Szolgálat!$J$92</f>
        <v>478</v>
      </c>
      <c r="AH103" s="19">
        <f t="shared" si="74"/>
        <v>535</v>
      </c>
      <c r="AI103" s="1231">
        <f>+AH103/AF103</f>
        <v>9.3859649122807021</v>
      </c>
      <c r="AJ103" s="1"/>
      <c r="AK103" s="2209">
        <f t="shared" si="67"/>
        <v>1929</v>
      </c>
      <c r="AL103" s="2210">
        <f t="shared" si="52"/>
        <v>2444</v>
      </c>
      <c r="AM103" s="2243">
        <f t="shared" si="75"/>
        <v>4373</v>
      </c>
      <c r="AN103" s="2242">
        <f>+AM103/AK103</f>
        <v>2.2669777086573353</v>
      </c>
    </row>
    <row r="104" spans="1:41" s="13" customFormat="1" ht="22.5" customHeight="1" thickBot="1">
      <c r="A104" s="11" t="s">
        <v>109</v>
      </c>
      <c r="B104" s="216">
        <f>SUM(B99:B103)</f>
        <v>6445.7920000000004</v>
      </c>
      <c r="C104" s="20">
        <f>SUM(C99:C103)</f>
        <v>-633</v>
      </c>
      <c r="D104" s="20">
        <f t="shared" si="68"/>
        <v>5812.7920000000004</v>
      </c>
      <c r="E104" s="1439">
        <f>+D104/B104</f>
        <v>0.90179639678103174</v>
      </c>
      <c r="F104" s="21"/>
      <c r="G104" s="20">
        <f>SUM(G99:G103)</f>
        <v>1670.9975999999999</v>
      </c>
      <c r="H104" s="20">
        <f>SUM(H99:H103)</f>
        <v>226</v>
      </c>
      <c r="I104" s="20">
        <f t="shared" si="69"/>
        <v>1896.9975999999999</v>
      </c>
      <c r="J104" s="1439">
        <f>+I104/G104</f>
        <v>1.1352485485317274</v>
      </c>
      <c r="K104" s="21"/>
      <c r="L104" s="216">
        <f>SUM(L99:L103)</f>
        <v>2742.6608000000001</v>
      </c>
      <c r="M104" s="20">
        <f>SUM(M99:M103)</f>
        <v>663</v>
      </c>
      <c r="N104" s="20">
        <f t="shared" si="70"/>
        <v>3405.6608000000001</v>
      </c>
      <c r="O104" s="1439">
        <f>+N104/L104</f>
        <v>1.2417360542725517</v>
      </c>
      <c r="P104" s="21"/>
      <c r="Q104" s="216">
        <f>SUM(Q99:Q103)</f>
        <v>2179.7835999999998</v>
      </c>
      <c r="R104" s="20">
        <f>SUM(R99:R103)</f>
        <v>158</v>
      </c>
      <c r="S104" s="20">
        <f t="shared" si="71"/>
        <v>2337.7835999999998</v>
      </c>
      <c r="T104" s="1439">
        <f>+S104/Q104</f>
        <v>1.0724842594466717</v>
      </c>
      <c r="U104" s="21"/>
      <c r="V104" s="216">
        <f>SUM(V99:V103)</f>
        <v>1806.2936</v>
      </c>
      <c r="W104" s="20">
        <f>SUM(W99:W103)</f>
        <v>437</v>
      </c>
      <c r="X104" s="20">
        <f t="shared" si="72"/>
        <v>2243.2936</v>
      </c>
      <c r="Y104" s="1439">
        <f>+X104/V104</f>
        <v>1.2419318764125611</v>
      </c>
      <c r="Z104" s="22"/>
      <c r="AA104" s="216">
        <f>SUM(AA99:AA103)</f>
        <v>1909.6448</v>
      </c>
      <c r="AB104" s="20">
        <f>SUM(AB99:AB103)</f>
        <v>-142</v>
      </c>
      <c r="AC104" s="20">
        <f t="shared" si="73"/>
        <v>1767.6448</v>
      </c>
      <c r="AD104" s="1439">
        <f>+AC104/AA104</f>
        <v>0.92564062175332296</v>
      </c>
      <c r="AE104" s="21"/>
      <c r="AF104" s="216">
        <f>SUM(AF99:AF103)</f>
        <v>1713.546</v>
      </c>
      <c r="AG104" s="20">
        <f>SUM(AG99:AG103)</f>
        <v>478</v>
      </c>
      <c r="AH104" s="20">
        <f t="shared" si="74"/>
        <v>2191.5460000000003</v>
      </c>
      <c r="AI104" s="1439">
        <f>+AH104/AF104</f>
        <v>1.2789537018556842</v>
      </c>
      <c r="AJ104" s="21"/>
      <c r="AK104" s="2213">
        <f t="shared" si="67"/>
        <v>18468.718400000002</v>
      </c>
      <c r="AL104" s="2248">
        <f t="shared" si="52"/>
        <v>1187</v>
      </c>
      <c r="AM104" s="2214">
        <f t="shared" si="75"/>
        <v>19655.718400000002</v>
      </c>
      <c r="AN104" s="2215">
        <f>+AM104/AK104</f>
        <v>1.0642708375476666</v>
      </c>
      <c r="AO104" s="12"/>
    </row>
    <row r="105" spans="1:41" s="13" customFormat="1" ht="15" customHeight="1">
      <c r="A105" s="30" t="s">
        <v>110</v>
      </c>
      <c r="B105" s="111"/>
      <c r="C105" s="381"/>
      <c r="D105" s="381"/>
      <c r="E105" s="369"/>
      <c r="F105" s="1"/>
      <c r="G105" s="111"/>
      <c r="H105" s="381"/>
      <c r="I105" s="381"/>
      <c r="J105" s="369"/>
      <c r="K105" s="1"/>
      <c r="L105" s="111"/>
      <c r="M105" s="381"/>
      <c r="N105" s="381"/>
      <c r="O105" s="369"/>
      <c r="P105" s="1"/>
      <c r="Q105" s="111"/>
      <c r="R105" s="381"/>
      <c r="S105" s="381"/>
      <c r="T105" s="369"/>
      <c r="U105" s="1"/>
      <c r="V105" s="111"/>
      <c r="W105" s="381"/>
      <c r="X105" s="381"/>
      <c r="Y105" s="369"/>
      <c r="Z105" s="1"/>
      <c r="AA105" s="111"/>
      <c r="AB105" s="381"/>
      <c r="AC105" s="381"/>
      <c r="AD105" s="369"/>
      <c r="AE105" s="1"/>
      <c r="AF105" s="111"/>
      <c r="AG105" s="381"/>
      <c r="AH105" s="381"/>
      <c r="AI105" s="369"/>
      <c r="AJ105" s="1"/>
      <c r="AK105" s="2216"/>
      <c r="AL105" s="2201">
        <f t="shared" si="52"/>
        <v>0</v>
      </c>
      <c r="AM105" s="2253"/>
      <c r="AN105" s="2218"/>
    </row>
    <row r="106" spans="1:41" s="13" customFormat="1" ht="15" customHeight="1">
      <c r="A106" s="30" t="s">
        <v>387</v>
      </c>
      <c r="B106" s="111"/>
      <c r="C106" s="381"/>
      <c r="D106" s="381"/>
      <c r="E106" s="369"/>
      <c r="F106" s="1"/>
      <c r="G106" s="111"/>
      <c r="H106" s="381"/>
      <c r="I106" s="381"/>
      <c r="J106" s="369"/>
      <c r="K106" s="1"/>
      <c r="L106" s="111"/>
      <c r="M106" s="381"/>
      <c r="N106" s="381"/>
      <c r="O106" s="369"/>
      <c r="P106" s="1"/>
      <c r="Q106" s="111"/>
      <c r="R106" s="381"/>
      <c r="S106" s="381"/>
      <c r="T106" s="369"/>
      <c r="U106" s="1"/>
      <c r="V106" s="111"/>
      <c r="W106" s="381"/>
      <c r="X106" s="381"/>
      <c r="Y106" s="369"/>
      <c r="Z106" s="1"/>
      <c r="AA106" s="111"/>
      <c r="AB106" s="381"/>
      <c r="AC106" s="381"/>
      <c r="AD106" s="369"/>
      <c r="AE106" s="1"/>
      <c r="AF106" s="111"/>
      <c r="AG106" s="381"/>
      <c r="AH106" s="381"/>
      <c r="AI106" s="369"/>
      <c r="AJ106" s="1"/>
      <c r="AK106" s="2204"/>
      <c r="AL106" s="2201">
        <f t="shared" si="52"/>
        <v>0</v>
      </c>
      <c r="AM106" s="2217"/>
      <c r="AN106" s="2218"/>
    </row>
    <row r="107" spans="1:41" s="149" customFormat="1" ht="15" customHeight="1">
      <c r="A107" s="32" t="s">
        <v>112</v>
      </c>
      <c r="B107" s="111"/>
      <c r="C107" s="379"/>
      <c r="D107" s="379"/>
      <c r="E107" s="369"/>
      <c r="F107" s="1"/>
      <c r="G107" s="111"/>
      <c r="H107" s="379"/>
      <c r="I107" s="379"/>
      <c r="J107" s="369"/>
      <c r="K107" s="1"/>
      <c r="L107" s="111"/>
      <c r="M107" s="379"/>
      <c r="N107" s="379"/>
      <c r="O107" s="369"/>
      <c r="P107" s="1"/>
      <c r="Q107" s="111"/>
      <c r="R107" s="24"/>
      <c r="S107" s="379"/>
      <c r="T107" s="369"/>
      <c r="U107" s="1"/>
      <c r="V107" s="111"/>
      <c r="W107" s="379"/>
      <c r="X107" s="379"/>
      <c r="Y107" s="369"/>
      <c r="Z107" s="1"/>
      <c r="AA107" s="111"/>
      <c r="AB107" s="379"/>
      <c r="AC107" s="379"/>
      <c r="AD107" s="369"/>
      <c r="AE107" s="1"/>
      <c r="AF107" s="111"/>
      <c r="AG107" s="24"/>
      <c r="AH107" s="379"/>
      <c r="AI107" s="369"/>
      <c r="AJ107" s="1"/>
      <c r="AK107" s="2204"/>
      <c r="AL107" s="2201">
        <f t="shared" si="52"/>
        <v>0</v>
      </c>
      <c r="AM107" s="2232"/>
      <c r="AN107" s="2218"/>
    </row>
    <row r="108" spans="1:41" s="13" customFormat="1" ht="15" customHeight="1">
      <c r="A108" s="32" t="s">
        <v>113</v>
      </c>
      <c r="B108" s="111"/>
      <c r="C108" s="379"/>
      <c r="D108" s="379"/>
      <c r="E108" s="369"/>
      <c r="F108" s="1"/>
      <c r="G108" s="111"/>
      <c r="H108" s="379"/>
      <c r="I108" s="379"/>
      <c r="J108" s="369"/>
      <c r="K108" s="1"/>
      <c r="L108" s="111"/>
      <c r="M108" s="379"/>
      <c r="N108" s="379"/>
      <c r="O108" s="369"/>
      <c r="P108" s="1"/>
      <c r="Q108" s="111"/>
      <c r="R108" s="24"/>
      <c r="S108" s="379"/>
      <c r="T108" s="369"/>
      <c r="U108" s="1"/>
      <c r="V108" s="111"/>
      <c r="W108" s="379"/>
      <c r="X108" s="379"/>
      <c r="Y108" s="369"/>
      <c r="Z108" s="1"/>
      <c r="AA108" s="111"/>
      <c r="AB108" s="379"/>
      <c r="AC108" s="379"/>
      <c r="AD108" s="369"/>
      <c r="AE108" s="1"/>
      <c r="AF108" s="111"/>
      <c r="AG108" s="24"/>
      <c r="AH108" s="379"/>
      <c r="AI108" s="369"/>
      <c r="AJ108" s="1"/>
      <c r="AK108" s="2204"/>
      <c r="AL108" s="2201">
        <f t="shared" si="52"/>
        <v>0</v>
      </c>
      <c r="AM108" s="2232"/>
      <c r="AN108" s="2218"/>
    </row>
    <row r="109" spans="1:41" ht="15" customHeight="1">
      <c r="A109" s="32" t="s">
        <v>114</v>
      </c>
      <c r="B109" s="111"/>
      <c r="C109" s="1251"/>
      <c r="D109" s="1251"/>
      <c r="E109" s="369"/>
      <c r="F109" s="21"/>
      <c r="G109" s="111"/>
      <c r="H109" s="1251"/>
      <c r="I109" s="1251"/>
      <c r="J109" s="369"/>
      <c r="K109" s="21"/>
      <c r="L109" s="111"/>
      <c r="M109" s="1251"/>
      <c r="N109" s="1251"/>
      <c r="O109" s="369"/>
      <c r="P109" s="21"/>
      <c r="Q109" s="111"/>
      <c r="R109" s="1252"/>
      <c r="S109" s="1251"/>
      <c r="T109" s="369"/>
      <c r="U109" s="21"/>
      <c r="V109" s="111"/>
      <c r="W109" s="1251"/>
      <c r="X109" s="1251"/>
      <c r="Y109" s="369"/>
      <c r="Z109" s="21"/>
      <c r="AA109" s="111"/>
      <c r="AB109" s="1251"/>
      <c r="AC109" s="1251"/>
      <c r="AD109" s="369"/>
      <c r="AE109" s="21"/>
      <c r="AF109" s="111"/>
      <c r="AG109" s="24"/>
      <c r="AH109" s="1251"/>
      <c r="AI109" s="369"/>
      <c r="AJ109" s="21"/>
      <c r="AK109" s="2204"/>
      <c r="AL109" s="2201">
        <f t="shared" si="52"/>
        <v>0</v>
      </c>
      <c r="AM109" s="2254"/>
      <c r="AN109" s="2218"/>
    </row>
    <row r="110" spans="1:41" ht="15" customHeight="1">
      <c r="A110" s="32" t="s">
        <v>388</v>
      </c>
      <c r="B110" s="111"/>
      <c r="C110" s="379"/>
      <c r="D110" s="379"/>
      <c r="E110" s="369"/>
      <c r="F110" s="1"/>
      <c r="G110" s="111"/>
      <c r="H110" s="379"/>
      <c r="I110" s="379"/>
      <c r="J110" s="369"/>
      <c r="K110" s="1"/>
      <c r="L110" s="111"/>
      <c r="M110" s="379"/>
      <c r="N110" s="379"/>
      <c r="O110" s="369"/>
      <c r="P110" s="1"/>
      <c r="Q110" s="111"/>
      <c r="R110" s="24">
        <f>+[3]Seg.Szolgálat!$P$99</f>
        <v>131520</v>
      </c>
      <c r="S110" s="24">
        <f>SUM(Q110:R110)</f>
        <v>131520</v>
      </c>
      <c r="T110" s="369"/>
      <c r="V110" s="111"/>
      <c r="W110" s="379"/>
      <c r="X110" s="379"/>
      <c r="Y110" s="369"/>
      <c r="Z110" s="1"/>
      <c r="AA110" s="111"/>
      <c r="AB110" s="379"/>
      <c r="AC110" s="379"/>
      <c r="AD110" s="369"/>
      <c r="AE110" s="1"/>
      <c r="AF110" s="111"/>
      <c r="AG110" s="24"/>
      <c r="AH110" s="379"/>
      <c r="AI110" s="369"/>
      <c r="AK110" s="2204"/>
      <c r="AL110" s="2201">
        <f t="shared" si="52"/>
        <v>131520</v>
      </c>
      <c r="AM110" s="2232"/>
      <c r="AN110" s="2218"/>
    </row>
    <row r="111" spans="1:41" ht="15" customHeight="1">
      <c r="A111" s="32" t="s">
        <v>116</v>
      </c>
      <c r="B111" s="111"/>
      <c r="C111" s="379">
        <v>607</v>
      </c>
      <c r="D111" s="379">
        <f>SUM(C111)</f>
        <v>607</v>
      </c>
      <c r="E111" s="369"/>
      <c r="F111" s="1"/>
      <c r="G111" s="111"/>
      <c r="H111" s="379"/>
      <c r="I111" s="379">
        <f>SUM(H111)</f>
        <v>0</v>
      </c>
      <c r="J111" s="369"/>
      <c r="K111" s="1"/>
      <c r="L111" s="111"/>
      <c r="M111" s="379"/>
      <c r="N111" s="379">
        <f>SUM(M111)</f>
        <v>0</v>
      </c>
      <c r="O111" s="369"/>
      <c r="P111" s="1"/>
      <c r="Q111" s="111"/>
      <c r="R111" s="24"/>
      <c r="S111" s="379">
        <f>SUM(R111)</f>
        <v>0</v>
      </c>
      <c r="T111" s="369"/>
      <c r="V111" s="111"/>
      <c r="W111" s="379"/>
      <c r="X111" s="379">
        <f>SUM(W111)</f>
        <v>0</v>
      </c>
      <c r="Y111" s="369"/>
      <c r="Z111" s="1"/>
      <c r="AA111" s="111"/>
      <c r="AB111" s="379"/>
      <c r="AC111" s="379">
        <f>SUM(AB111)</f>
        <v>0</v>
      </c>
      <c r="AD111" s="369"/>
      <c r="AE111" s="1"/>
      <c r="AF111" s="111"/>
      <c r="AG111" s="24"/>
      <c r="AH111" s="379">
        <f>SUM(AG111)</f>
        <v>0</v>
      </c>
      <c r="AI111" s="369"/>
      <c r="AK111" s="2204"/>
      <c r="AL111" s="2201">
        <f t="shared" si="52"/>
        <v>607</v>
      </c>
      <c r="AM111" s="2232">
        <f>SUM(AL111)</f>
        <v>607</v>
      </c>
      <c r="AN111" s="2218"/>
    </row>
    <row r="112" spans="1:41" ht="15" customHeight="1">
      <c r="A112" s="35" t="s">
        <v>117</v>
      </c>
      <c r="B112" s="111"/>
      <c r="C112" s="379">
        <f>SUM(C105:C111)</f>
        <v>607</v>
      </c>
      <c r="D112" s="379">
        <f>SUM(C112)</f>
        <v>607</v>
      </c>
      <c r="E112" s="369"/>
      <c r="F112" s="1"/>
      <c r="G112" s="111"/>
      <c r="H112" s="379"/>
      <c r="I112" s="379">
        <f>SUM(H112)</f>
        <v>0</v>
      </c>
      <c r="J112" s="369"/>
      <c r="K112" s="1"/>
      <c r="L112" s="111"/>
      <c r="M112" s="379"/>
      <c r="N112" s="379">
        <f>SUM(M112)</f>
        <v>0</v>
      </c>
      <c r="O112" s="369"/>
      <c r="P112" s="1"/>
      <c r="Q112" s="111"/>
      <c r="R112" s="24">
        <f>SUM(R105:R111)</f>
        <v>131520</v>
      </c>
      <c r="S112" s="379">
        <f>SUM(R112)</f>
        <v>131520</v>
      </c>
      <c r="T112" s="369"/>
      <c r="V112" s="111"/>
      <c r="W112" s="379"/>
      <c r="X112" s="379">
        <f>SUM(W112)</f>
        <v>0</v>
      </c>
      <c r="Y112" s="369"/>
      <c r="Z112" s="1"/>
      <c r="AA112" s="111"/>
      <c r="AB112" s="379"/>
      <c r="AC112" s="379">
        <f>SUM(AB112)</f>
        <v>0</v>
      </c>
      <c r="AD112" s="369"/>
      <c r="AE112" s="1"/>
      <c r="AF112" s="111"/>
      <c r="AG112" s="24"/>
      <c r="AH112" s="379">
        <f>SUM(AG112)</f>
        <v>0</v>
      </c>
      <c r="AI112" s="369"/>
      <c r="AK112" s="2204"/>
      <c r="AL112" s="2201">
        <f t="shared" si="52"/>
        <v>132127</v>
      </c>
      <c r="AM112" s="2232">
        <f>SUM(AL112)</f>
        <v>132127</v>
      </c>
      <c r="AN112" s="2218"/>
    </row>
    <row r="113" spans="1:40" ht="15" customHeight="1">
      <c r="A113" s="36" t="s">
        <v>118</v>
      </c>
      <c r="B113" s="121"/>
      <c r="C113" s="19">
        <v>140</v>
      </c>
      <c r="D113" s="19">
        <f>SUM(C113)</f>
        <v>140</v>
      </c>
      <c r="E113" s="1231"/>
      <c r="F113" s="1"/>
      <c r="G113" s="121"/>
      <c r="H113" s="380"/>
      <c r="I113" s="19">
        <f>SUM(H113)</f>
        <v>0</v>
      </c>
      <c r="J113" s="1231"/>
      <c r="K113" s="1"/>
      <c r="L113" s="121"/>
      <c r="M113" s="380"/>
      <c r="N113" s="19">
        <f>SUM(M113)</f>
        <v>0</v>
      </c>
      <c r="O113" s="1231"/>
      <c r="P113" s="1"/>
      <c r="Q113" s="121"/>
      <c r="R113" s="19">
        <f>+[3]Seg.Szolgálat!$P$101</f>
        <v>32518</v>
      </c>
      <c r="S113" s="19">
        <f>SUM(R113)</f>
        <v>32518</v>
      </c>
      <c r="T113" s="1231"/>
      <c r="V113" s="121"/>
      <c r="W113" s="380"/>
      <c r="X113" s="19">
        <f>SUM(W113)</f>
        <v>0</v>
      </c>
      <c r="Y113" s="1231"/>
      <c r="Z113" s="1"/>
      <c r="AA113" s="121"/>
      <c r="AB113" s="380"/>
      <c r="AC113" s="19">
        <f>SUM(AB113)</f>
        <v>0</v>
      </c>
      <c r="AD113" s="1231"/>
      <c r="AE113" s="1"/>
      <c r="AF113" s="121"/>
      <c r="AG113" s="19"/>
      <c r="AH113" s="19">
        <f>SUM(AG113)</f>
        <v>0</v>
      </c>
      <c r="AI113" s="1231"/>
      <c r="AK113" s="2209"/>
      <c r="AL113" s="2210">
        <f t="shared" si="52"/>
        <v>32658</v>
      </c>
      <c r="AM113" s="2243">
        <f>SUM(AL113)</f>
        <v>32658</v>
      </c>
      <c r="AN113" s="2242"/>
    </row>
    <row r="114" spans="1:40" ht="15" customHeight="1">
      <c r="A114" s="31" t="s">
        <v>119</v>
      </c>
      <c r="B114" s="374"/>
      <c r="C114" s="1559">
        <f>SUM(C112:C113)</f>
        <v>747</v>
      </c>
      <c r="D114" s="18">
        <f>SUM(B114:C114)</f>
        <v>747</v>
      </c>
      <c r="E114" s="375"/>
      <c r="F114" s="1"/>
      <c r="G114" s="374"/>
      <c r="H114" s="1559"/>
      <c r="I114" s="18">
        <f>SUM(G114:H114)</f>
        <v>0</v>
      </c>
      <c r="J114" s="375"/>
      <c r="K114" s="1"/>
      <c r="L114" s="374"/>
      <c r="M114" s="1559"/>
      <c r="N114" s="18">
        <f>SUM(L114:M114)</f>
        <v>0</v>
      </c>
      <c r="O114" s="375"/>
      <c r="P114" s="1"/>
      <c r="Q114" s="374"/>
      <c r="R114" s="18">
        <f>SUM(R112:R113)</f>
        <v>164038</v>
      </c>
      <c r="S114" s="18">
        <f>SUM(Q114:R114)</f>
        <v>164038</v>
      </c>
      <c r="T114" s="375"/>
      <c r="V114" s="374"/>
      <c r="W114" s="1559"/>
      <c r="X114" s="18">
        <f>SUM(V114:W114)</f>
        <v>0</v>
      </c>
      <c r="Y114" s="375"/>
      <c r="Z114" s="1"/>
      <c r="AA114" s="374"/>
      <c r="AB114" s="1559"/>
      <c r="AC114" s="18">
        <f>SUM(AA114:AB114)</f>
        <v>0</v>
      </c>
      <c r="AD114" s="375"/>
      <c r="AE114" s="1801"/>
      <c r="AF114" s="374"/>
      <c r="AG114" s="18"/>
      <c r="AH114" s="18">
        <f>SUM(AF114:AG114)</f>
        <v>0</v>
      </c>
      <c r="AI114" s="375"/>
      <c r="AK114" s="2226"/>
      <c r="AL114" s="2227">
        <f t="shared" si="52"/>
        <v>164785</v>
      </c>
      <c r="AM114" s="2236">
        <f>SUM(AK114:AL114)</f>
        <v>164785</v>
      </c>
      <c r="AN114" s="2229"/>
    </row>
    <row r="115" spans="1:40" ht="15" customHeight="1">
      <c r="A115" s="30" t="s">
        <v>120</v>
      </c>
      <c r="B115" s="111"/>
      <c r="C115" s="381"/>
      <c r="D115" s="381"/>
      <c r="E115" s="369"/>
      <c r="F115" s="1"/>
      <c r="G115" s="111"/>
      <c r="H115" s="381"/>
      <c r="I115" s="381"/>
      <c r="J115" s="369"/>
      <c r="K115" s="1"/>
      <c r="L115" s="111"/>
      <c r="M115" s="381"/>
      <c r="N115" s="381"/>
      <c r="O115" s="369"/>
      <c r="P115" s="1"/>
      <c r="Q115" s="111"/>
      <c r="R115" s="381"/>
      <c r="S115" s="381"/>
      <c r="T115" s="369"/>
      <c r="V115" s="111"/>
      <c r="W115" s="381"/>
      <c r="X115" s="381"/>
      <c r="Y115" s="369"/>
      <c r="Z115" s="1"/>
      <c r="AA115" s="111"/>
      <c r="AB115" s="381"/>
      <c r="AC115" s="381"/>
      <c r="AD115" s="369"/>
      <c r="AE115" s="1"/>
      <c r="AF115" s="111"/>
      <c r="AG115" s="15"/>
      <c r="AH115" s="381"/>
      <c r="AI115" s="369"/>
      <c r="AK115" s="2216"/>
      <c r="AL115" s="2230">
        <f t="shared" si="52"/>
        <v>0</v>
      </c>
      <c r="AM115" s="2253"/>
      <c r="AN115" s="2218"/>
    </row>
    <row r="116" spans="1:40" ht="15" customHeight="1">
      <c r="A116" s="32" t="s">
        <v>121</v>
      </c>
      <c r="B116" s="111"/>
      <c r="C116" s="379"/>
      <c r="D116" s="379"/>
      <c r="E116" s="369"/>
      <c r="F116" s="1"/>
      <c r="G116" s="111"/>
      <c r="H116" s="379"/>
      <c r="I116" s="379"/>
      <c r="J116" s="369"/>
      <c r="K116" s="1"/>
      <c r="L116" s="111"/>
      <c r="M116" s="379"/>
      <c r="N116" s="379"/>
      <c r="O116" s="369"/>
      <c r="P116" s="1"/>
      <c r="Q116" s="111"/>
      <c r="R116" s="379"/>
      <c r="S116" s="379"/>
      <c r="T116" s="369"/>
      <c r="V116" s="111"/>
      <c r="W116" s="379"/>
      <c r="X116" s="379"/>
      <c r="Y116" s="369"/>
      <c r="Z116" s="1"/>
      <c r="AA116" s="111"/>
      <c r="AB116" s="379"/>
      <c r="AC116" s="379"/>
      <c r="AD116" s="369"/>
      <c r="AE116" s="1"/>
      <c r="AF116" s="111"/>
      <c r="AG116" s="24"/>
      <c r="AH116" s="379"/>
      <c r="AI116" s="369"/>
      <c r="AK116" s="2204"/>
      <c r="AL116" s="2201">
        <f t="shared" si="52"/>
        <v>0</v>
      </c>
      <c r="AM116" s="2255"/>
      <c r="AN116" s="2218"/>
    </row>
    <row r="117" spans="1:40" ht="15" customHeight="1">
      <c r="A117" s="37" t="s">
        <v>389</v>
      </c>
      <c r="B117" s="111"/>
      <c r="C117" s="380"/>
      <c r="D117" s="380"/>
      <c r="E117" s="369"/>
      <c r="F117" s="1"/>
      <c r="G117" s="111"/>
      <c r="H117" s="380"/>
      <c r="I117" s="380"/>
      <c r="J117" s="369"/>
      <c r="K117" s="1"/>
      <c r="L117" s="111"/>
      <c r="M117" s="380"/>
      <c r="N117" s="380"/>
      <c r="O117" s="369"/>
      <c r="P117" s="1"/>
      <c r="Q117" s="111"/>
      <c r="R117" s="380"/>
      <c r="S117" s="380"/>
      <c r="T117" s="369"/>
      <c r="V117" s="1646"/>
      <c r="W117" s="24"/>
      <c r="X117" s="380"/>
      <c r="Y117" s="1886"/>
      <c r="Z117" s="396"/>
      <c r="AA117" s="111"/>
      <c r="AB117" s="380"/>
      <c r="AC117" s="380"/>
      <c r="AD117" s="369"/>
      <c r="AE117" s="1"/>
      <c r="AF117" s="111"/>
      <c r="AG117" s="19"/>
      <c r="AH117" s="380"/>
      <c r="AI117" s="369"/>
      <c r="AK117" s="2204"/>
      <c r="AL117" s="2201">
        <f t="shared" si="52"/>
        <v>0</v>
      </c>
      <c r="AM117" s="2256"/>
      <c r="AN117" s="2218"/>
    </row>
    <row r="118" spans="1:40" ht="15" customHeight="1" thickBot="1">
      <c r="A118" s="37" t="s">
        <v>123</v>
      </c>
      <c r="B118" s="121"/>
      <c r="C118" s="380"/>
      <c r="D118" s="19"/>
      <c r="E118" s="1231"/>
      <c r="F118" s="1"/>
      <c r="G118" s="121"/>
      <c r="H118" s="380">
        <f>+[3]Seg.Szolgálat!$Q$23</f>
        <v>0</v>
      </c>
      <c r="I118" s="19">
        <f>SUM(G118:H118)</f>
        <v>0</v>
      </c>
      <c r="J118" s="1231"/>
      <c r="K118" s="1"/>
      <c r="L118" s="121"/>
      <c r="M118" s="380"/>
      <c r="N118" s="19"/>
      <c r="O118" s="1231"/>
      <c r="P118" s="1"/>
      <c r="Q118" s="121"/>
      <c r="R118" s="380">
        <f>+[3]Seg.Szolgálat!$Q$9</f>
        <v>0</v>
      </c>
      <c r="S118" s="19">
        <f>SUM(Q118:R118)</f>
        <v>0</v>
      </c>
      <c r="T118" s="1231"/>
      <c r="V118" s="121"/>
      <c r="W118" s="380"/>
      <c r="X118" s="19"/>
      <c r="Y118" s="1231"/>
      <c r="Z118" s="1"/>
      <c r="AA118" s="121"/>
      <c r="AB118" s="380"/>
      <c r="AC118" s="19"/>
      <c r="AD118" s="1231"/>
      <c r="AE118" s="1"/>
      <c r="AF118" s="121"/>
      <c r="AG118" s="380"/>
      <c r="AH118" s="380"/>
      <c r="AI118" s="1231"/>
      <c r="AK118" s="2209"/>
      <c r="AL118" s="2210">
        <f t="shared" si="52"/>
        <v>0</v>
      </c>
      <c r="AM118" s="2210">
        <f t="shared" si="52"/>
        <v>0</v>
      </c>
      <c r="AN118" s="2242"/>
    </row>
    <row r="119" spans="1:40" s="13" customFormat="1" ht="26.45" customHeight="1" thickBot="1">
      <c r="A119" s="11" t="s">
        <v>124</v>
      </c>
      <c r="B119" s="1297">
        <f>+B64+B104+B114+SUM(B115:B118)</f>
        <v>11513.042000000001</v>
      </c>
      <c r="C119" s="1298">
        <f>+C64+C104+C114+SUM(C115:C118)</f>
        <v>114</v>
      </c>
      <c r="D119" s="1298">
        <f>SUM(B119:C119)</f>
        <v>11627.042000000001</v>
      </c>
      <c r="E119" s="1447">
        <f>+D119/B119</f>
        <v>1.0099018139602027</v>
      </c>
      <c r="F119" s="90"/>
      <c r="G119" s="1297">
        <f>+G64+G104+G114+SUM(G115:G118)</f>
        <v>10307.0476</v>
      </c>
      <c r="H119" s="1298">
        <f>+H64+H104+H114+SUM(H115:H118)</f>
        <v>46.129999999999995</v>
      </c>
      <c r="I119" s="1298">
        <f>SUM(G119:H119)</f>
        <v>10353.177599999999</v>
      </c>
      <c r="J119" s="1447">
        <f>+I119/G119</f>
        <v>1.004475578438194</v>
      </c>
      <c r="K119" s="90"/>
      <c r="L119" s="1297">
        <f>+L64+L104+L114+SUM(L115:L118)</f>
        <v>32072.650800000003</v>
      </c>
      <c r="M119" s="1298">
        <f>+M64+M104+M114+SUM(M115:M118)</f>
        <v>577</v>
      </c>
      <c r="N119" s="1298">
        <f>SUM(L119:M119)</f>
        <v>32649.650800000003</v>
      </c>
      <c r="O119" s="1447">
        <f>+N119/L119</f>
        <v>1.0179904057072826</v>
      </c>
      <c r="P119" s="90"/>
      <c r="Q119" s="1297">
        <f>+Q64+Q104+Q114+SUM(Q115:Q118)</f>
        <v>12050.333599999998</v>
      </c>
      <c r="R119" s="1298">
        <f>+R64+R104+R114+SUM(R115:R118)</f>
        <v>166090</v>
      </c>
      <c r="S119" s="1298">
        <f>SUM(Q119:R119)</f>
        <v>178140.33360000001</v>
      </c>
      <c r="T119" s="1447">
        <f>+S119/Q119</f>
        <v>14.783020911553855</v>
      </c>
      <c r="V119" s="1297">
        <f>+V64+V104+V114+SUM(V115:V118)</f>
        <v>10881.143599999999</v>
      </c>
      <c r="W119" s="1298">
        <f>+W64+W104+W114+SUM(W115:W118)</f>
        <v>534.79</v>
      </c>
      <c r="X119" s="1298">
        <f>SUM(V119:W119)</f>
        <v>11415.9336</v>
      </c>
      <c r="Y119" s="1447">
        <f>+X119/V119</f>
        <v>1.0491483266519892</v>
      </c>
      <c r="AA119" s="1297">
        <f>+AA64+AA104+AA114+SUM(AA115:AA118)</f>
        <v>8628.9347999999991</v>
      </c>
      <c r="AB119" s="1298">
        <f>+AB64+AB104+AB114+SUM(AB115:AB118)</f>
        <v>176</v>
      </c>
      <c r="AC119" s="1298">
        <f>SUM(AA119:AB119)</f>
        <v>8804.9347999999991</v>
      </c>
      <c r="AD119" s="1447">
        <f>+AC119/AA119</f>
        <v>1.0203964920444177</v>
      </c>
      <c r="AF119" s="1297">
        <f>+AF64+AF104+AF114+SUM(AF115:AF118)</f>
        <v>3429.5360000000001</v>
      </c>
      <c r="AG119" s="1298">
        <f>+AG64+AG104+AG114+SUM(AG115:AG118)</f>
        <v>509</v>
      </c>
      <c r="AH119" s="1298">
        <f>SUM(AF119:AG119)</f>
        <v>3938.5360000000001</v>
      </c>
      <c r="AI119" s="1447">
        <f>+AH119/AF119</f>
        <v>1.1484165788024969</v>
      </c>
      <c r="AK119" s="2257">
        <f>+B119+G119+L119+Q119+V119+AA119+AF119</f>
        <v>88882.688399999985</v>
      </c>
      <c r="AL119" s="2258">
        <f t="shared" si="52"/>
        <v>168046.92</v>
      </c>
      <c r="AM119" s="2259">
        <f>SUM(AK119:AL119)</f>
        <v>256929.6084</v>
      </c>
      <c r="AN119" s="2260">
        <f>+AM119/AK119</f>
        <v>2.8906597339150695</v>
      </c>
    </row>
    <row r="120" spans="1:40" ht="15" customHeight="1" thickBot="1">
      <c r="A120" s="1260"/>
      <c r="B120" s="124"/>
      <c r="C120" s="1234"/>
      <c r="D120" s="1234"/>
      <c r="E120" s="1235"/>
      <c r="F120" s="131"/>
      <c r="G120" s="124"/>
      <c r="H120" s="1234"/>
      <c r="I120" s="1234"/>
      <c r="J120" s="1235"/>
      <c r="K120" s="131"/>
      <c r="L120" s="124"/>
      <c r="M120" s="1234"/>
      <c r="N120" s="1234"/>
      <c r="O120" s="1235"/>
      <c r="P120" s="131"/>
      <c r="Q120" s="124"/>
      <c r="R120" s="1234"/>
      <c r="S120" s="1234"/>
      <c r="T120" s="1235"/>
      <c r="U120" s="21"/>
      <c r="V120" s="124"/>
      <c r="W120" s="1234"/>
      <c r="X120" s="1234"/>
      <c r="Y120" s="1235"/>
      <c r="Z120" s="21"/>
      <c r="AA120" s="124"/>
      <c r="AB120" s="1234"/>
      <c r="AC120" s="1234"/>
      <c r="AD120" s="1235"/>
      <c r="AE120" s="21"/>
      <c r="AF120" s="124"/>
      <c r="AG120" s="1236"/>
      <c r="AH120" s="1234"/>
      <c r="AI120" s="1235"/>
      <c r="AJ120" s="21"/>
      <c r="AK120" s="2261"/>
      <c r="AL120" s="2262"/>
      <c r="AM120" s="2263"/>
      <c r="AN120" s="2264"/>
    </row>
    <row r="121" spans="1:40" s="794" customFormat="1" ht="26.45" customHeight="1" thickBot="1">
      <c r="A121" s="1582" t="s">
        <v>125</v>
      </c>
      <c r="B121" s="1435">
        <f>+B26-B119</f>
        <v>1.9579999999987194</v>
      </c>
      <c r="C121" s="1451">
        <f>+C26-C119</f>
        <v>164</v>
      </c>
      <c r="D121" s="1451">
        <f>SUM(B121:C121)</f>
        <v>165.95799999999872</v>
      </c>
      <c r="E121" s="1447"/>
      <c r="G121" s="1435">
        <f>+G26-G119</f>
        <v>-2.0475999999998749</v>
      </c>
      <c r="H121" s="1451">
        <f>+H26-H119</f>
        <v>179.87</v>
      </c>
      <c r="I121" s="1451">
        <f>SUM(G121:H121)</f>
        <v>177.82240000000013</v>
      </c>
      <c r="J121" s="1447"/>
      <c r="L121" s="1435">
        <f>+L26-L119</f>
        <v>0.34919999999692664</v>
      </c>
      <c r="M121" s="1451">
        <f>+M26-M119</f>
        <v>396</v>
      </c>
      <c r="N121" s="1451">
        <f>SUM(L121:M121)</f>
        <v>396.34919999999693</v>
      </c>
      <c r="O121" s="1447"/>
      <c r="Q121" s="1435">
        <f>+Q26-Q119</f>
        <v>-588.33359999999811</v>
      </c>
      <c r="R121" s="1451">
        <f>+R26-R119</f>
        <v>300</v>
      </c>
      <c r="S121" s="1451">
        <f>SUM(Q121:R121)</f>
        <v>-288.33359999999811</v>
      </c>
      <c r="T121" s="1447"/>
      <c r="V121" s="1435">
        <f>+V26-V119</f>
        <v>0.85640000000057626</v>
      </c>
      <c r="W121" s="1451">
        <f>+W26-W119</f>
        <v>283.21000000000004</v>
      </c>
      <c r="X121" s="1451">
        <f>SUM(V121:W121)-0.5</f>
        <v>283.56640000000061</v>
      </c>
      <c r="Y121" s="1447"/>
      <c r="AA121" s="1435">
        <f>+AA26-AA119</f>
        <v>-0.93479999999908614</v>
      </c>
      <c r="AB121" s="1451">
        <f>+AB26-AB119</f>
        <v>0</v>
      </c>
      <c r="AC121" s="1451">
        <f>SUM(AA121:AB121)</f>
        <v>-0.93479999999908614</v>
      </c>
      <c r="AD121" s="1447"/>
      <c r="AF121" s="1435">
        <f>+AF26-AF119</f>
        <v>0.46399999999994179</v>
      </c>
      <c r="AG121" s="1451">
        <f>+AG26-AG119</f>
        <v>0</v>
      </c>
      <c r="AH121" s="1451">
        <f>SUM(AF121:AG121)</f>
        <v>0.46399999999994179</v>
      </c>
      <c r="AI121" s="1447"/>
      <c r="AK121" s="2265">
        <f>+AK26-AK119</f>
        <v>-587.68839999998454</v>
      </c>
      <c r="AL121" s="2266">
        <f>+AL26-AL119</f>
        <v>1323.0799999999872</v>
      </c>
      <c r="AM121" s="2266">
        <f>SUM(AK121:AL121)</f>
        <v>735.39160000000265</v>
      </c>
      <c r="AN121" s="2260"/>
    </row>
    <row r="122" spans="1:40" ht="15" customHeight="1">
      <c r="A122" s="1"/>
      <c r="B122" s="22"/>
      <c r="C122" s="22"/>
      <c r="D122" s="22"/>
      <c r="E122" s="1237"/>
      <c r="F122" s="131"/>
      <c r="G122" s="2"/>
      <c r="H122" s="2"/>
      <c r="I122" s="2"/>
      <c r="J122" s="131"/>
      <c r="K122" s="22"/>
      <c r="L122" s="22"/>
      <c r="M122" s="22"/>
      <c r="N122" s="22"/>
      <c r="O122" s="131"/>
      <c r="P122" s="131"/>
      <c r="Q122" s="2"/>
      <c r="R122" s="1238"/>
      <c r="S122" s="131"/>
      <c r="T122" s="131"/>
      <c r="V122" s="22"/>
      <c r="W122" s="22"/>
      <c r="X122" s="22"/>
      <c r="Y122" s="131"/>
      <c r="Z122" s="131"/>
      <c r="AA122" s="22"/>
      <c r="AB122" s="131"/>
      <c r="AC122" s="131"/>
      <c r="AD122" s="131"/>
      <c r="AE122" s="131"/>
      <c r="AF122" s="1242"/>
      <c r="AG122" s="1229"/>
      <c r="AH122" s="1243"/>
      <c r="AI122" s="1244"/>
      <c r="AK122" s="2267"/>
      <c r="AL122" s="2267"/>
      <c r="AM122" s="2267"/>
      <c r="AN122" s="2268"/>
    </row>
    <row r="123" spans="1:40" ht="15" customHeight="1">
      <c r="D123" s="1028"/>
      <c r="R123" s="1097"/>
      <c r="AF123" s="1095"/>
      <c r="AG123" s="1096"/>
    </row>
    <row r="124" spans="1:40" ht="15" customHeight="1">
      <c r="A124" s="393" t="s">
        <v>265</v>
      </c>
      <c r="C124" s="393">
        <v>2</v>
      </c>
      <c r="E124" s="1098"/>
      <c r="F124" s="2"/>
      <c r="H124" s="393">
        <v>3</v>
      </c>
      <c r="J124" s="393"/>
      <c r="N124" s="393">
        <v>17</v>
      </c>
      <c r="O124" s="393"/>
      <c r="P124" s="2"/>
      <c r="Q124" s="1099"/>
      <c r="R124" s="393"/>
      <c r="S124" s="393">
        <v>4</v>
      </c>
      <c r="T124" s="393"/>
      <c r="U124" s="2"/>
      <c r="X124" s="393">
        <v>4</v>
      </c>
      <c r="Y124" s="393"/>
      <c r="Z124" s="2"/>
      <c r="AB124" s="393"/>
      <c r="AC124" s="393">
        <v>3</v>
      </c>
      <c r="AD124" s="393"/>
      <c r="AE124" s="2"/>
      <c r="AG124" s="393"/>
      <c r="AH124" s="393">
        <v>1</v>
      </c>
      <c r="AI124" s="393"/>
      <c r="AJ124" s="2"/>
      <c r="AM124" s="2190">
        <f>SUM(C124:AK124)</f>
        <v>34</v>
      </c>
      <c r="AN124" s="2190"/>
    </row>
    <row r="125" spans="1:40" ht="15" customHeight="1">
      <c r="A125" s="1031" t="s">
        <v>390</v>
      </c>
      <c r="C125" s="1028">
        <f>+C124/AM124</f>
        <v>5.8823529411764705E-2</v>
      </c>
      <c r="H125" s="1028">
        <f>+H124/AM124</f>
        <v>8.8235294117647065E-2</v>
      </c>
      <c r="I125" s="1028"/>
      <c r="N125" s="1028">
        <f>+N124/$AM$124</f>
        <v>0.5</v>
      </c>
      <c r="R125" s="1099"/>
      <c r="S125" s="1028">
        <f>+S124/$AM$124</f>
        <v>0.11764705882352941</v>
      </c>
      <c r="X125" s="1028">
        <f>+X124/$AM$124</f>
        <v>0.11764705882352941</v>
      </c>
      <c r="AC125" s="1028">
        <f>+AC124/$AM$124</f>
        <v>8.8235294117647065E-2</v>
      </c>
      <c r="AH125" s="1028">
        <f>+AH124/$AM$124</f>
        <v>2.9411764705882353E-2</v>
      </c>
      <c r="AM125" s="2269">
        <f>SUM(B125:AK125)</f>
        <v>1</v>
      </c>
    </row>
    <row r="126" spans="1:40" ht="15" customHeight="1">
      <c r="A126" s="1031" t="s">
        <v>391</v>
      </c>
      <c r="B126" s="393">
        <v>6624</v>
      </c>
      <c r="R126" s="393"/>
      <c r="S126" s="1100"/>
      <c r="AC126" s="393"/>
    </row>
    <row r="127" spans="1:40" ht="15" customHeight="1">
      <c r="A127" s="1031" t="s">
        <v>202</v>
      </c>
      <c r="B127" s="393">
        <v>1</v>
      </c>
      <c r="C127" s="1101">
        <f>+B127/$B$133</f>
        <v>0.05</v>
      </c>
      <c r="D127" s="1102">
        <f>+C127*$B$126</f>
        <v>331.20000000000005</v>
      </c>
      <c r="E127" s="1103"/>
      <c r="F127" s="916"/>
      <c r="G127" s="393">
        <v>331</v>
      </c>
      <c r="S127" s="393"/>
    </row>
    <row r="128" spans="1:40" ht="15" customHeight="1">
      <c r="A128" s="1031" t="s">
        <v>206</v>
      </c>
      <c r="B128" s="393">
        <v>2</v>
      </c>
      <c r="C128" s="1101">
        <f>+B128/$B$133</f>
        <v>0.1</v>
      </c>
      <c r="D128" s="1102">
        <f>+C128*$B$126</f>
        <v>662.40000000000009</v>
      </c>
      <c r="E128" s="1103"/>
      <c r="F128" s="916"/>
      <c r="G128" s="393">
        <v>663</v>
      </c>
      <c r="S128" s="393"/>
    </row>
    <row r="129" spans="1:7" ht="15" customHeight="1">
      <c r="A129" s="1031" t="s">
        <v>208</v>
      </c>
      <c r="B129" s="393">
        <v>1</v>
      </c>
      <c r="C129" s="1101">
        <f>+B129/$B$133</f>
        <v>0.05</v>
      </c>
      <c r="D129" s="1102">
        <f>+C129*$B$126</f>
        <v>331.20000000000005</v>
      </c>
      <c r="E129" s="1103"/>
      <c r="F129" s="916"/>
      <c r="G129" s="393">
        <v>331</v>
      </c>
    </row>
    <row r="130" spans="1:7" ht="15" customHeight="1">
      <c r="A130" s="1031" t="s">
        <v>210</v>
      </c>
      <c r="B130" s="393">
        <v>14</v>
      </c>
      <c r="C130" s="1101">
        <f>+B130/$B$133</f>
        <v>0.7</v>
      </c>
      <c r="D130" s="1102">
        <f>+C130*$B$126</f>
        <v>4636.7999999999993</v>
      </c>
      <c r="E130" s="1103"/>
      <c r="F130" s="916"/>
      <c r="G130" s="393">
        <v>4637</v>
      </c>
    </row>
    <row r="131" spans="1:7" ht="15" customHeight="1">
      <c r="A131" s="1031" t="s">
        <v>212</v>
      </c>
      <c r="B131" s="393">
        <v>2</v>
      </c>
      <c r="C131" s="1101">
        <f>+B131/$B$133</f>
        <v>0.1</v>
      </c>
      <c r="D131" s="1102">
        <f>+C131*$B$126</f>
        <v>662.40000000000009</v>
      </c>
      <c r="E131" s="1103"/>
      <c r="F131" s="916"/>
      <c r="G131" s="393">
        <v>662</v>
      </c>
    </row>
    <row r="132" spans="1:7" ht="15" customHeight="1">
      <c r="A132" s="1031" t="s">
        <v>214</v>
      </c>
      <c r="C132" s="1101"/>
      <c r="D132" s="1102"/>
      <c r="E132" s="1103"/>
      <c r="F132" s="916"/>
    </row>
    <row r="133" spans="1:7" ht="15" customHeight="1">
      <c r="B133" s="393">
        <f>SUM(B127:B131)</f>
        <v>20</v>
      </c>
      <c r="C133" s="393">
        <f>SUM(C127:C131)</f>
        <v>0.99999999999999989</v>
      </c>
      <c r="D133" s="1102">
        <f>SUM(D127:D131)</f>
        <v>6624</v>
      </c>
      <c r="E133" s="1103"/>
      <c r="F133" s="916"/>
      <c r="G133" s="393">
        <f>SUM(G127:G132)</f>
        <v>6624</v>
      </c>
    </row>
    <row r="134" spans="1:7" ht="15" customHeight="1">
      <c r="D134" s="1102"/>
      <c r="E134" s="1103"/>
      <c r="F134" s="916"/>
    </row>
    <row r="135" spans="1:7" ht="15" customHeight="1">
      <c r="A135" s="1031" t="s">
        <v>392</v>
      </c>
      <c r="B135" s="393">
        <v>4567</v>
      </c>
      <c r="D135" s="1102"/>
      <c r="E135" s="1103"/>
      <c r="F135" s="916"/>
    </row>
    <row r="136" spans="1:7" ht="15" customHeight="1">
      <c r="A136" s="512" t="s">
        <v>202</v>
      </c>
      <c r="B136" s="474">
        <v>2739</v>
      </c>
      <c r="C136" s="1101">
        <f t="shared" ref="C136:C141" si="76">+B136/$B$142</f>
        <v>0.17062231358624555</v>
      </c>
      <c r="D136" s="1102">
        <f t="shared" ref="D136:D141" si="77">+C136*$B$135</f>
        <v>779.23210614838342</v>
      </c>
      <c r="E136" s="1103"/>
      <c r="F136" s="916"/>
      <c r="G136" s="393">
        <v>779</v>
      </c>
    </row>
    <row r="137" spans="1:7" ht="15" customHeight="1">
      <c r="A137" s="512" t="s">
        <v>206</v>
      </c>
      <c r="B137" s="474">
        <v>1222</v>
      </c>
      <c r="C137" s="1101">
        <f t="shared" si="76"/>
        <v>7.612284308228992E-2</v>
      </c>
      <c r="D137" s="1102">
        <f t="shared" si="77"/>
        <v>347.65302435681809</v>
      </c>
      <c r="E137" s="1103"/>
      <c r="F137" s="916"/>
      <c r="G137" s="393">
        <v>348</v>
      </c>
    </row>
    <row r="138" spans="1:7" ht="15" customHeight="1">
      <c r="A138" s="512" t="s">
        <v>208</v>
      </c>
      <c r="B138" s="474">
        <v>1091</v>
      </c>
      <c r="C138" s="1101">
        <f t="shared" si="76"/>
        <v>6.7962374634024797E-2</v>
      </c>
      <c r="D138" s="1102">
        <f t="shared" si="77"/>
        <v>310.38416495359127</v>
      </c>
      <c r="E138" s="1103"/>
      <c r="F138" s="916"/>
      <c r="G138" s="393">
        <v>310</v>
      </c>
    </row>
    <row r="139" spans="1:7" ht="15" customHeight="1">
      <c r="A139" s="512" t="s">
        <v>210</v>
      </c>
      <c r="B139" s="474">
        <v>5684</v>
      </c>
      <c r="C139" s="1101">
        <f t="shared" si="76"/>
        <v>0.35407711954151871</v>
      </c>
      <c r="D139" s="1102">
        <f t="shared" si="77"/>
        <v>1617.0702049461161</v>
      </c>
      <c r="E139" s="1103"/>
      <c r="F139" s="916"/>
      <c r="G139" s="393">
        <v>1617</v>
      </c>
    </row>
    <row r="140" spans="1:7" ht="15" customHeight="1">
      <c r="A140" s="512" t="s">
        <v>212</v>
      </c>
      <c r="B140" s="474">
        <v>3357</v>
      </c>
      <c r="C140" s="1101">
        <f t="shared" si="76"/>
        <v>0.20911979069332834</v>
      </c>
      <c r="D140" s="1102">
        <f t="shared" si="77"/>
        <v>955.05008409643051</v>
      </c>
      <c r="E140" s="1103"/>
      <c r="F140" s="916"/>
      <c r="G140" s="393">
        <v>955</v>
      </c>
    </row>
    <row r="141" spans="1:7" ht="15" customHeight="1">
      <c r="A141" s="512" t="s">
        <v>214</v>
      </c>
      <c r="B141" s="474">
        <v>1960</v>
      </c>
      <c r="C141" s="1101">
        <f t="shared" si="76"/>
        <v>0.12209555846259267</v>
      </c>
      <c r="D141" s="1102">
        <f t="shared" si="77"/>
        <v>557.6104154986607</v>
      </c>
      <c r="E141" s="1103"/>
      <c r="F141" s="916"/>
      <c r="G141" s="393">
        <v>558</v>
      </c>
    </row>
    <row r="142" spans="1:7" ht="15" customHeight="1">
      <c r="A142" s="512"/>
      <c r="B142" s="474">
        <f>SUM(B136:B141)</f>
        <v>16053</v>
      </c>
      <c r="C142" s="393">
        <f>SUM(C136:C141)</f>
        <v>0.99999999999999989</v>
      </c>
      <c r="D142" s="1102">
        <f>SUM(D136:D141)</f>
        <v>4567</v>
      </c>
      <c r="E142" s="1103"/>
      <c r="F142" s="916"/>
      <c r="G142" s="393">
        <f>SUM(G136:G141)</f>
        <v>4567</v>
      </c>
    </row>
    <row r="143" spans="1:7" ht="15" customHeight="1">
      <c r="A143" s="1031" t="s">
        <v>393</v>
      </c>
      <c r="D143" s="1102"/>
      <c r="E143" s="1103"/>
      <c r="F143" s="916"/>
    </row>
    <row r="144" spans="1:7" ht="15" customHeight="1">
      <c r="A144" s="1031" t="s">
        <v>202</v>
      </c>
      <c r="D144" s="1102">
        <f>+AF16</f>
        <v>1425</v>
      </c>
      <c r="E144" s="1103"/>
      <c r="F144" s="916"/>
    </row>
    <row r="145" spans="4:6" ht="15" customHeight="1">
      <c r="E145" s="1104"/>
      <c r="F145" s="916"/>
    </row>
    <row r="146" spans="4:6" ht="15" customHeight="1">
      <c r="D146" s="393">
        <f>+D133+D142+D144</f>
        <v>12616</v>
      </c>
      <c r="E146" s="1104"/>
      <c r="F146" s="916"/>
    </row>
    <row r="147" spans="4:6" ht="15" customHeight="1">
      <c r="E147" s="1104"/>
      <c r="F147" s="916"/>
    </row>
    <row r="148" spans="4:6" ht="15" customHeight="1">
      <c r="E148" s="1104"/>
      <c r="F148" s="916"/>
    </row>
  </sheetData>
  <mergeCells count="25">
    <mergeCell ref="AM1:AN1"/>
    <mergeCell ref="Q2:T2"/>
    <mergeCell ref="L2:O2"/>
    <mergeCell ref="V2:Y2"/>
    <mergeCell ref="Q3:T3"/>
    <mergeCell ref="V3:Y3"/>
    <mergeCell ref="L3:O3"/>
    <mergeCell ref="AA3:AD3"/>
    <mergeCell ref="AK3:AN3"/>
    <mergeCell ref="AF3:AI3"/>
    <mergeCell ref="AK2:AN2"/>
    <mergeCell ref="AA2:AD2"/>
    <mergeCell ref="AF2:AI2"/>
    <mergeCell ref="AL4:AL5"/>
    <mergeCell ref="AB4:AB5"/>
    <mergeCell ref="W4:W5"/>
    <mergeCell ref="R4:R5"/>
    <mergeCell ref="M4:M5"/>
    <mergeCell ref="AG4:AG5"/>
    <mergeCell ref="B3:E3"/>
    <mergeCell ref="G2:J2"/>
    <mergeCell ref="G3:J3"/>
    <mergeCell ref="B2:E2"/>
    <mergeCell ref="C4:C5"/>
    <mergeCell ref="H4:H5"/>
  </mergeCells>
  <phoneticPr fontId="25" type="noConversion"/>
  <printOptions horizontalCentered="1"/>
  <pageMargins left="0.27559055118110237" right="0.15748031496062992" top="0.74" bottom="0.31496062992125984" header="0.27559055118110237" footer="0.15748031496062992"/>
  <pageSetup paperSize="8" scale="54" orientation="landscape" r:id="rId1"/>
  <headerFooter alignWithMargins="0">
    <oddHeader>&amp;L&amp;"Times New Roman,Normál"&amp;12Szent László Völgye
Kistérségi Szolgáltató Iroda&amp;C&amp;"Times New Roman,Félkövér"&amp;14 2011. ÉVI KÖLTSÉGVETÉS 
1. SZ. MÓDOSÍTÁSA&amp;R&amp;"Times New Roman,Normál"&amp;12 4. sz. melléklet&amp;"Times New Roman,Félkövér"
 &amp;A</oddHeader>
    <oddFooter>&amp;L&amp;F&amp;C&amp;D</oddFooter>
  </headerFooter>
  <rowBreaks count="1" manualBreakCount="1">
    <brk id="99" max="3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28</vt:i4>
      </vt:variant>
    </vt:vector>
  </HeadingPairs>
  <TitlesOfParts>
    <vt:vector size="49" baseType="lpstr">
      <vt:lpstr>TÁRSULÁS</vt:lpstr>
      <vt:lpstr>BEVÉTELEK</vt:lpstr>
      <vt:lpstr>BEVÉTELEK SZOLGÁLTATÓ IRODA</vt:lpstr>
      <vt:lpstr>BEVÉTELEK SEGÍTŐ SZOLGÁLAT</vt:lpstr>
      <vt:lpstr>BEVÉTELEK  ÓVODA</vt:lpstr>
      <vt:lpstr>BEVÉTELEK KOZMA FERENC ÁLT.ISK.</vt:lpstr>
      <vt:lpstr>BEVÉTEL INT.TÁRSULÁSOK</vt:lpstr>
      <vt:lpstr>SZOLGÁLTATÓ IRODA</vt:lpstr>
      <vt:lpstr>SEGÍTŐ SZOLGÁLAT</vt:lpstr>
      <vt:lpstr>ÓVODA</vt:lpstr>
      <vt:lpstr>KOZMA FERENC ÁLT. ISK.</vt:lpstr>
      <vt:lpstr>LÉTSZÁMADATOK</vt:lpstr>
      <vt:lpstr>TÁRSULÁS (2)</vt:lpstr>
      <vt:lpstr>ELŐIRÁNYZAT FELHASZNÁLÁS</vt:lpstr>
      <vt:lpstr>PÉNZESZKÖZÁTADÁS</vt:lpstr>
      <vt:lpstr>KÖZOKTATÁS</vt:lpstr>
      <vt:lpstr>ÓVODAINORMATÍVA</vt:lpstr>
      <vt:lpstr>ISKOLANORMATÍVA</vt:lpstr>
      <vt:lpstr>SZAKFELADATOS</vt:lpstr>
      <vt:lpstr>SZOCIÁLIS</vt:lpstr>
      <vt:lpstr>EGYÉB</vt:lpstr>
      <vt:lpstr>BEVÉTELEK!Nyomtatási_cím</vt:lpstr>
      <vt:lpstr>KÖZOKTATÁS!Nyomtatási_cím</vt:lpstr>
      <vt:lpstr>ÓVODA!Nyomtatási_cím</vt:lpstr>
      <vt:lpstr>'SEGÍTŐ SZOLGÁLAT'!Nyomtatási_cím</vt:lpstr>
      <vt:lpstr>'SZOLGÁLTATÓ IRODA'!Nyomtatási_cím</vt:lpstr>
      <vt:lpstr>TÁRSULÁS!Nyomtatási_cím</vt:lpstr>
      <vt:lpstr>'TÁRSULÁS (2)'!Nyomtatási_cím</vt:lpstr>
      <vt:lpstr>'BEVÉTEL INT.TÁRSULÁSOK'!Nyomtatási_terület</vt:lpstr>
      <vt:lpstr>BEVÉTELEK!Nyomtatási_terület</vt:lpstr>
      <vt:lpstr>'BEVÉTELEK  ÓVODA'!Nyomtatási_terület</vt:lpstr>
      <vt:lpstr>'BEVÉTELEK KOZMA FERENC ÁLT.ISK.'!Nyomtatási_terület</vt:lpstr>
      <vt:lpstr>'BEVÉTELEK SEGÍTŐ SZOLGÁLAT'!Nyomtatási_terület</vt:lpstr>
      <vt:lpstr>'BEVÉTELEK SZOLGÁLTATÓ IRODA'!Nyomtatási_terület</vt:lpstr>
      <vt:lpstr>EGYÉB!Nyomtatási_terület</vt:lpstr>
      <vt:lpstr>'ELŐIRÁNYZAT FELHASZNÁLÁS'!Nyomtatási_terület</vt:lpstr>
      <vt:lpstr>ISKOLANORMATÍVA!Nyomtatási_terület</vt:lpstr>
      <vt:lpstr>'KOZMA FERENC ÁLT. ISK.'!Nyomtatási_terület</vt:lpstr>
      <vt:lpstr>KÖZOKTATÁS!Nyomtatási_terület</vt:lpstr>
      <vt:lpstr>LÉTSZÁMADATOK!Nyomtatási_terület</vt:lpstr>
      <vt:lpstr>ÓVODA!Nyomtatási_terület</vt:lpstr>
      <vt:lpstr>ÓVODAINORMATÍVA!Nyomtatási_terület</vt:lpstr>
      <vt:lpstr>PÉNZESZKÖZÁTADÁS!Nyomtatási_terület</vt:lpstr>
      <vt:lpstr>'SEGÍTŐ SZOLGÁLAT'!Nyomtatási_terület</vt:lpstr>
      <vt:lpstr>SZAKFELADATOS!Nyomtatási_terület</vt:lpstr>
      <vt:lpstr>SZOCIÁLIS!Nyomtatási_terület</vt:lpstr>
      <vt:lpstr>'SZOLGÁLTATÓ IRODA'!Nyomtatási_terület</vt:lpstr>
      <vt:lpstr>TÁRSULÁS!Nyomtatási_terület</vt:lpstr>
      <vt:lpstr>'TÁRSULÁS (2)'!Nyomtatási_terület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Cserményi Hajnalka</cp:lastModifiedBy>
  <cp:lastPrinted>2011-09-05T06:49:34Z</cp:lastPrinted>
  <dcterms:created xsi:type="dcterms:W3CDTF">2011-02-23T07:11:55Z</dcterms:created>
  <dcterms:modified xsi:type="dcterms:W3CDTF">2011-09-19T11:52:19Z</dcterms:modified>
</cp:coreProperties>
</file>